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2.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harts/chart18.xml" ContentType="application/vnd.openxmlformats-officedocument.drawingml.chart+xml"/>
  <Override PartName="/xl/charts/chart19.xml" ContentType="application/vnd.openxmlformats-officedocument.drawingml.chart+xml"/>
  <Override PartName="/xl/drawings/drawing3.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4.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5.xml" ContentType="application/vnd.openxmlformats-officedocument.drawing+xml"/>
  <Override PartName="/xl/ctrlProps/ctrlProp66.xml" ContentType="application/vnd.ms-excel.controlproperties+xml"/>
  <Override PartName="/xl/comments2.xml" ContentType="application/vnd.openxmlformats-officedocument.spreadsheetml.comments+xml"/>
  <Override PartName="/xl/drawings/drawing6.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7.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8.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codeName="ЭтаКнига"/>
  <mc:AlternateContent xmlns:mc="http://schemas.openxmlformats.org/markup-compatibility/2006">
    <mc:Choice Requires="x15">
      <x15ac:absPath xmlns:x15ac="http://schemas.microsoft.com/office/spreadsheetml/2010/11/ac" url="E:\Документы\Труд\Сайт\"/>
    </mc:Choice>
  </mc:AlternateContent>
  <xr:revisionPtr revIDLastSave="0" documentId="8_{F671A64B-7CF9-4ABD-A9A7-0BBD6F2D5C56}" xr6:coauthVersionLast="37" xr6:coauthVersionMax="37" xr10:uidLastSave="{00000000-0000-0000-0000-000000000000}"/>
  <bookViews>
    <workbookView xWindow="360" yWindow="135" windowWidth="15480" windowHeight="8925" xr2:uid="{00000000-000D-0000-FFFF-FFFF00000000}"/>
  </bookViews>
  <sheets>
    <sheet name="Проект" sheetId="1" r:id="rId1"/>
    <sheet name="Портфель" sheetId="8" state="hidden" r:id="rId2"/>
    <sheet name="Отчет" sheetId="7" r:id="rId3"/>
    <sheet name="Options" sheetId="4" state="veryHidden" r:id="rId4"/>
    <sheet name="Language" sheetId="5" state="hidden" r:id="rId5"/>
    <sheet name="Инвестиции" sheetId="13" r:id="rId6"/>
    <sheet name="продажи" sheetId="10" r:id="rId7"/>
    <sheet name="Продажи 2" sheetId="9" r:id="rId8"/>
    <sheet name="Расходы" sheetId="11" r:id="rId9"/>
    <sheet name="Расходники" sheetId="12" r:id="rId10"/>
    <sheet name="Лист1" sheetId="17" r:id="rId11"/>
    <sheet name="Металл" sheetId="16" r:id="rId12"/>
    <sheet name="Персонал" sheetId="14" r:id="rId13"/>
    <sheet name="Калькуляция" sheetId="15" r:id="rId14"/>
  </sheets>
  <externalReferences>
    <externalReference r:id="rId15"/>
  </externalReferences>
  <definedNames>
    <definedName name="__ESTATE">Options!$B$12</definedName>
    <definedName name="_NPV1" localSheetId="0">Проект!$B$1742</definedName>
    <definedName name="_NPV2" localSheetId="0">Проект!$B$1816</definedName>
    <definedName name="_NPV3" localSheetId="0">Проект!$B$1888</definedName>
    <definedName name="AI_Version" localSheetId="5">[1]Options!$B$5</definedName>
    <definedName name="AI_Version" localSheetId="12">[1]Options!$B$5</definedName>
    <definedName name="AI_Version" localSheetId="6">[1]Options!$B$5</definedName>
    <definedName name="AI_Version" localSheetId="9">[1]Options!$B$5</definedName>
    <definedName name="AI_Version" localSheetId="8">[1]Options!$B$5</definedName>
    <definedName name="AI_Version">Options!$B$5</definedName>
    <definedName name="CalcMethod" localSheetId="5">[1]Проект!$B$77</definedName>
    <definedName name="CalcMethod" localSheetId="12">[1]Проект!$B$77</definedName>
    <definedName name="CalcMethod" localSheetId="6">[1]Проект!$B$77</definedName>
    <definedName name="CalcMethod" localSheetId="9">[1]Проект!$B$77</definedName>
    <definedName name="CalcMethod" localSheetId="8">[1]Проект!$B$77</definedName>
    <definedName name="CalcMethod">Проект!$B$77</definedName>
    <definedName name="Cash_At_End" localSheetId="0">Проект!$A$1356:$AE$1356</definedName>
    <definedName name="Cash_Dividends" localSheetId="0">Проект!$A$1350:$AE$1350</definedName>
    <definedName name="Cash_Finance" localSheetId="0">Проект!$A$1352:$AE$1352</definedName>
    <definedName name="Cash_Grant" localSheetId="0">Проект!$A$1345:$AE$1345</definedName>
    <definedName name="Cash_Interest" localSheetId="0">Проект!$A$1327:$AE$1327</definedName>
    <definedName name="Cash_Invest" localSheetId="0">Проект!$A$1342:$AE$1342</definedName>
    <definedName name="Cash_Leasing" localSheetId="0">Проект!$A$1349:$AE$1349</definedName>
    <definedName name="Cash_LoanOut" localSheetId="0">Проект!$A$1348:$AE$1348</definedName>
    <definedName name="Cash_Oper" localSheetId="0">Проект!$A$1331:$AE$1331</definedName>
    <definedName name="Cash_Share" localSheetId="0">Проект!$A$1344:$AE$1344</definedName>
    <definedName name="Cash_Total" localSheetId="0">Проект!$A$1354:$AE$1354</definedName>
    <definedName name="Chart_1" localSheetId="1">Портфель!$A$192:$H$215</definedName>
    <definedName name="Chart_1" localSheetId="0">Проект!$A$1224:$H$1247</definedName>
    <definedName name="Chart_10" localSheetId="1">Портфель!$A$594:$H$617</definedName>
    <definedName name="Chart_10" localSheetId="0">Проект!$A$1631:$H$1654</definedName>
    <definedName name="Chart_11" localSheetId="1">Портфель!$A$619:$H$642</definedName>
    <definedName name="Chart_11" localSheetId="0">Проект!$A$1433:$H$1456</definedName>
    <definedName name="Chart_12" localSheetId="1">Портфель!$A$644:$H$667</definedName>
    <definedName name="Chart_12" localSheetId="0">Проект!$A$1759:$H$1782</definedName>
    <definedName name="Chart_13" localSheetId="1">Портфель!$A$720:$H$743</definedName>
    <definedName name="Chart_13" localSheetId="0">Проект!$A$1833:$H$1856</definedName>
    <definedName name="Chart_14" localSheetId="1">Портфель!$A$796:$H$819</definedName>
    <definedName name="Chart_14" localSheetId="0">Проект!$A$1905:$H$1928</definedName>
    <definedName name="Chart_15" localSheetId="1">Портфель!$A$870:$H$893</definedName>
    <definedName name="Chart_15" localSheetId="0">Проект!$A$1293:$H$1316</definedName>
    <definedName name="Chart_16" localSheetId="0">Проект!$A$1139:$H$1162</definedName>
    <definedName name="Chart_2" localSheetId="1">Портфель!$A$217:$H$240</definedName>
    <definedName name="Chart_2" localSheetId="0">Проект!$A$1249:$H$1272</definedName>
    <definedName name="Chart_3" localSheetId="1">Портфель!$A$242:$H$265</definedName>
    <definedName name="Chart_3" localSheetId="0">Проект!$A$1358:$H$1381</definedName>
    <definedName name="Chart_4" localSheetId="1">Портфель!$A$337:$H$360</definedName>
    <definedName name="Chart_4" localSheetId="0">Проект!$A$1383:$H$1406</definedName>
    <definedName name="Chart_5" localSheetId="1">Портфель!$A$362:$H$385</definedName>
    <definedName name="Chart_5" localSheetId="0">Проект!$A$1503:$H$1526</definedName>
    <definedName name="Chart_6" localSheetId="1">Портфель!$A$387:$H$410</definedName>
    <definedName name="Chart_6" localSheetId="0">Проект!$A$1528:$H$1551</definedName>
    <definedName name="Chart_7" localSheetId="1">Портфель!$A$412:$H$435</definedName>
    <definedName name="Chart_7" localSheetId="0">Проект!$A$1408:$H$1431</definedName>
    <definedName name="Chart_8" localSheetId="1">Портфель!$A$516:$H$539</definedName>
    <definedName name="Chart_8" localSheetId="0">Проект!$A$1581:$H$1604</definedName>
    <definedName name="Chart_9" localSheetId="1">Портфель!$A$541:$H$564</definedName>
    <definedName name="Chart_9" localSheetId="0">Проект!$A$1606:$H$1629</definedName>
    <definedName name="Count_Assets_1" localSheetId="0">Проект!$D$282</definedName>
    <definedName name="Count_Assets_2" localSheetId="0">Проект!$D$297</definedName>
    <definedName name="Count_Assets_3" localSheetId="0">Проект!$D$362</definedName>
    <definedName name="Count_Assets_4" localSheetId="0">Проект!$D$436</definedName>
    <definedName name="Count_Assets_5" localSheetId="0">Проект!$D$459</definedName>
    <definedName name="Count_Assets_6" localSheetId="0">Проект!$D$476</definedName>
    <definedName name="Count_Expenses_1" localSheetId="0">Проект!$D$929</definedName>
    <definedName name="Count_Expenses_2" localSheetId="0">Проект!$D$946</definedName>
    <definedName name="Count_Expenses_3" localSheetId="0">Проект!$D$961</definedName>
    <definedName name="Count_Expenses_4" localSheetId="0">Проект!$D$972</definedName>
    <definedName name="Count_Leasing" localSheetId="0">Проект!$D$622</definedName>
    <definedName name="Count_Loans" localSheetId="0">Проект!$D$1106</definedName>
    <definedName name="Count_Personnel_1" localSheetId="0">Проект!$D$869</definedName>
    <definedName name="Count_Personnel_2" localSheetId="0">Проект!$D$878</definedName>
    <definedName name="Count_Personnel_3" localSheetId="0">Проект!$D$887</definedName>
    <definedName name="Count_Personnel_4" localSheetId="0">Проект!$D$896</definedName>
    <definedName name="Count_Taxes_1" localSheetId="0">Проект!$D$150</definedName>
    <definedName name="Count_Taxes_2" localSheetId="0">Проект!$D$162</definedName>
    <definedName name="CUR_Foreign" localSheetId="0">Проект!$B$14</definedName>
    <definedName name="CUR_I_Foreign" localSheetId="0">Проект!$D$14</definedName>
    <definedName name="CUR_I_Main" localSheetId="0">Проект!$D$13</definedName>
    <definedName name="CUR_I_Report" localSheetId="1">Портфель!$D$25</definedName>
    <definedName name="CUR_I_Report" localSheetId="0">Проект!$D$15</definedName>
    <definedName name="CUR_Main" localSheetId="0">Проект!$B$13</definedName>
    <definedName name="CUR_Report" localSheetId="1">Портфель!$B$25</definedName>
    <definedName name="CUR_Report" localSheetId="0">Проект!$B$15</definedName>
    <definedName name="CurrencyRate" localSheetId="0">Проект!$F$88:$AC$88</definedName>
    <definedName name="EST_BALANCE" localSheetId="0">Проект!#REF!</definedName>
    <definedName name="EST_DATA" localSheetId="0">Проект!#REF!</definedName>
    <definedName name="EST_Obj_Count" localSheetId="0">Проект!#REF!</definedName>
    <definedName name="EST_Obj_Height_1" localSheetId="0">Проект!#REF!</definedName>
    <definedName name="EST_Obj_Height_2" localSheetId="0">Проект!#REF!</definedName>
    <definedName name="EST_Obj_Height_2_After" localSheetId="0">Проект!#REF!</definedName>
    <definedName name="EST_Obj_Height_3" localSheetId="0">Проект!#REF!</definedName>
    <definedName name="EST_Obj_Height_3_After" localSheetId="0">Проект!#REF!</definedName>
    <definedName name="EST_Obj_Height_4" localSheetId="0">Проект!#REF!</definedName>
    <definedName name="EST_Obj_Height_4_After" localSheetId="0">Проект!#REF!</definedName>
    <definedName name="EST_Obj_Height_5" localSheetId="0">Проект!#REF!</definedName>
    <definedName name="EST_Obj_Height_5_After" localSheetId="0">Проект!#REF!</definedName>
    <definedName name="EST_Obj_Height_6" localSheetId="0">Проект!#REF!</definedName>
    <definedName name="EST_Obj_Height_6_After" localSheetId="0">Проект!#REF!</definedName>
    <definedName name="EST_Obj_Height_7" localSheetId="0">Проект!#REF!</definedName>
    <definedName name="EST_Obj_Height_7_After" localSheetId="0">Проект!#REF!</definedName>
    <definedName name="EST_Obj_Height_8" localSheetId="0">Проект!#REF!</definedName>
    <definedName name="EST_Obj_Height_8_After" localSheetId="0">Проект!#REF!</definedName>
    <definedName name="EST_Obj_Height_9" localSheetId="0">Проект!#REF!</definedName>
    <definedName name="Height_Assets_1" localSheetId="0">Проект!$E$282</definedName>
    <definedName name="Height_Assets_2" localSheetId="0">Проект!$E$297</definedName>
    <definedName name="Height_Assets_3" localSheetId="0">Проект!$E$362</definedName>
    <definedName name="Height_Assets_4" localSheetId="0">Проект!$E$436</definedName>
    <definedName name="Height_Assets_5" localSheetId="0">Проект!$E$459</definedName>
    <definedName name="Height_Assets_6" localSheetId="0">Проект!$E$476</definedName>
    <definedName name="Height_Expenses_1" localSheetId="0">Проект!$E$929</definedName>
    <definedName name="Height_Expenses_2" localSheetId="0">Проект!$E$946</definedName>
    <definedName name="Height_Expenses_3" localSheetId="0">Проект!$E$961</definedName>
    <definedName name="Height_Expenses_4" localSheetId="0">Проект!$E$972</definedName>
    <definedName name="Height_Leasing" localSheetId="0">Проект!$E$622</definedName>
    <definedName name="Height_Loans" localSheetId="0">Проект!$E$1106</definedName>
    <definedName name="Height_Personnel_1" localSheetId="0">Проект!$E$869</definedName>
    <definedName name="Height_Personnel_2" localSheetId="0">Проект!$E$878</definedName>
    <definedName name="Height_Personnel_3" localSheetId="0">Проект!$E$887</definedName>
    <definedName name="Height_Personnel_4" localSheetId="0">Проект!$E$896</definedName>
    <definedName name="Height_Taxes_1" localSheetId="0">Проект!$E$150</definedName>
    <definedName name="Height_Taxes_2" localSheetId="0">Проект!$E$162</definedName>
    <definedName name="IS_BUILT">Options!$B$4</definedName>
    <definedName name="IS_DEMO" localSheetId="5">[1]Options!$B$7</definedName>
    <definedName name="IS_DEMO" localSheetId="12">[1]Options!$B$7</definedName>
    <definedName name="IS_DEMO" localSheetId="6">[1]Options!$B$7</definedName>
    <definedName name="IS_DEMO" localSheetId="9">[1]Options!$B$7</definedName>
    <definedName name="IS_DEMO" localSheetId="8">[1]Options!$B$7</definedName>
    <definedName name="IS_DEMO">Options!$B$7</definedName>
    <definedName name="IS_ESTATE" localSheetId="5">[1]Options!$B$11</definedName>
    <definedName name="IS_ESTATE" localSheetId="12">[1]Options!$B$11</definedName>
    <definedName name="IS_ESTATE" localSheetId="6">[1]Options!$B$11</definedName>
    <definedName name="IS_ESTATE" localSheetId="9">[1]Options!$B$11</definedName>
    <definedName name="IS_ESTATE" localSheetId="8">[1]Options!$B$11</definedName>
    <definedName name="IS_ESTATE">Options!$B$11</definedName>
    <definedName name="IS_SUMM" localSheetId="5">[1]Options!$B$10</definedName>
    <definedName name="IS_SUMM" localSheetId="12">[1]Options!$B$10</definedName>
    <definedName name="IS_SUMM" localSheetId="6">[1]Options!$B$10</definedName>
    <definedName name="IS_SUMM" localSheetId="9">[1]Options!$B$10</definedName>
    <definedName name="IS_SUMM" localSheetId="8">[1]Options!$B$10</definedName>
    <definedName name="IS_SUMM">Options!$B$10</definedName>
    <definedName name="IS_TRIAL" localSheetId="5">[1]Options!$B$8</definedName>
    <definedName name="IS_TRIAL" localSheetId="12">[1]Options!$B$8</definedName>
    <definedName name="IS_TRIAL" localSheetId="6">[1]Options!$B$8</definedName>
    <definedName name="IS_TRIAL" localSheetId="9">[1]Options!$B$8</definedName>
    <definedName name="IS_TRIAL" localSheetId="8">[1]Options!$B$8</definedName>
    <definedName name="IS_TRIAL">Options!$B$8</definedName>
    <definedName name="LanguageID" localSheetId="5">[1]Language!$A$2</definedName>
    <definedName name="LanguageID" localSheetId="12">[1]Language!$A$2</definedName>
    <definedName name="LanguageID" localSheetId="6">[1]Language!$A$2</definedName>
    <definedName name="LanguageID" localSheetId="9">[1]Language!$A$2</definedName>
    <definedName name="LanguageID" localSheetId="8">[1]Language!$A$2</definedName>
    <definedName name="LanguageID">Language!$A$2</definedName>
    <definedName name="LAST_COLUMN" localSheetId="1">Портфель!$Y:$Y</definedName>
    <definedName name="LAST_COLUMN" localSheetId="0">Проект!$AC:$AC</definedName>
    <definedName name="LIFE_PRJ" localSheetId="1">Портфель!$B$14</definedName>
    <definedName name="LNG_CurList">Language!$A$39:$A$56</definedName>
    <definedName name="NWC_T_Cr_AdvK" localSheetId="0">Проект!$B$1039</definedName>
    <definedName name="NWC_T_Cr_AdvT" localSheetId="0">Проект!$C$1039</definedName>
    <definedName name="NWC_T_Cr_CrdK" localSheetId="0">Проект!$B$1040</definedName>
    <definedName name="NWC_T_Cr_CrdT" localSheetId="0">Проект!$C$1040</definedName>
    <definedName name="NWC_T_Cycle" localSheetId="0">Проект!$B$1016</definedName>
    <definedName name="NWC_T_Db_AdvK" localSheetId="0">Проект!$B$1027</definedName>
    <definedName name="NWC_T_Db_AdvT" localSheetId="0">Проект!$C$1027</definedName>
    <definedName name="NWC_T_Db_CrdK" localSheetId="0">Проект!$B$1028</definedName>
    <definedName name="NWC_T_Db_CrdT" localSheetId="0">Проект!$C$1028</definedName>
    <definedName name="NWC_T_Goods" localSheetId="0">Проект!$B$1020</definedName>
    <definedName name="NWC_T_Mat" localSheetId="0">Проект!$B$1012</definedName>
    <definedName name="PeriodTitle" localSheetId="1">Портфель!$F$89:$Y$89</definedName>
    <definedName name="PeriodTitle" localSheetId="7">'Продажи 2'!$F$108:$X$108</definedName>
    <definedName name="PeriodTitle" localSheetId="0">Проект!$F$75:$AC$75</definedName>
    <definedName name="PORT_Consolidated_1">Портфель!$E$44</definedName>
    <definedName name="PORT_ExtPrjCount" localSheetId="1">Портфель!$E$11</definedName>
    <definedName name="PORT_ExtUpdatedTime" localSheetId="1">Портфель!$B$16</definedName>
    <definedName name="PORT_IntPrjCount" localSheetId="1">Портфель!$D$11</definedName>
    <definedName name="PORT_Name" localSheetId="1">Портфель!$A$7</definedName>
    <definedName name="PORT_PRJ_COUNT">Options!$B$14</definedName>
    <definedName name="PORT_PrjList" localSheetId="1">Портфель!$A$11</definedName>
    <definedName name="PORT_PrjPeriods" localSheetId="5">[1]Портфель!$A$27</definedName>
    <definedName name="PORT_PrjPeriods" localSheetId="12">[1]Портфель!$A$27</definedName>
    <definedName name="PORT_PrjPeriods" localSheetId="6">[1]Портфель!$A$27</definedName>
    <definedName name="PORT_PrjPeriods" localSheetId="9">[1]Портфель!$A$27</definedName>
    <definedName name="PORT_PrjPeriods" localSheetId="8">[1]Портфель!$A$27</definedName>
    <definedName name="PORT_PrjPeriods">Портфель!$A$27</definedName>
    <definedName name="PRJ_Len" localSheetId="1">Портфель!$D$23</definedName>
    <definedName name="PRJ_Len" localSheetId="0">Проект!$D$10</definedName>
    <definedName name="PRJ_Name" localSheetId="0">Проект!$A$7</definedName>
    <definedName name="PRJ_Protected" localSheetId="0">Проект!$D$21</definedName>
    <definedName name="PRJ_StartDate" localSheetId="1">Портфель!$B$22</definedName>
    <definedName name="PRJ_StartDate" localSheetId="0">Проект!$B$9</definedName>
    <definedName name="PRJ_StartMon" localSheetId="1">Портфель!$F$32</definedName>
    <definedName name="PRJ_StartMon" localSheetId="0">Проект!$F$28</definedName>
    <definedName name="PRJ_StartYear" localSheetId="1">Портфель!$F$31</definedName>
    <definedName name="PRJ_StartYear" localSheetId="0">Проект!$F$27</definedName>
    <definedName name="PRJ_Step" localSheetId="1">Портфель!$E$24</definedName>
    <definedName name="PRJ_Step" localSheetId="0">Проект!$D$12</definedName>
    <definedName name="PRJ_Step_SName" localSheetId="1">Портфель!$E$23</definedName>
    <definedName name="PRJ_Step_SName" localSheetId="0">Проект!$E$11</definedName>
    <definedName name="PRJ_StepType" localSheetId="1">Портфель!$D$24</definedName>
    <definedName name="PRJ_StepType" localSheetId="0">Проект!$D$11</definedName>
    <definedName name="Product_Count" localSheetId="0">Проект!$D$663</definedName>
    <definedName name="Product_Height_1" localSheetId="0">Проект!$E$663</definedName>
    <definedName name="Product_Height_10" localSheetId="0">Проект!$E$1660</definedName>
    <definedName name="Product_Height_10_After" localSheetId="0">Проект!$D$1660</definedName>
    <definedName name="Product_Height_2" localSheetId="0">Проект!$E$670</definedName>
    <definedName name="Product_Height_2_After" localSheetId="0">Проект!$D$670</definedName>
    <definedName name="Product_Height_3" localSheetId="0">Проект!$E$677</definedName>
    <definedName name="Product_Height_3_After" localSheetId="0">Проект!$D$677</definedName>
    <definedName name="Product_Height_4" localSheetId="0">Проект!$E$696</definedName>
    <definedName name="Product_Height_4_After" localSheetId="0">Проект!$D$696</definedName>
    <definedName name="Product_Height_5" localSheetId="0">Проект!$E$725</definedName>
    <definedName name="Product_Height_5_After" localSheetId="0">Проект!$D$725</definedName>
    <definedName name="Product_Height_6" localSheetId="0">Проект!$E$739</definedName>
    <definedName name="Product_Height_6_After" localSheetId="0">Проект!$D$739</definedName>
    <definedName name="Product_Height_7" localSheetId="0">Проект!$E$749</definedName>
    <definedName name="Product_Height_7_After" localSheetId="0">Проект!$D$749</definedName>
    <definedName name="Product_Height_8" localSheetId="0">Проект!$E$769</definedName>
    <definedName name="Product_Height_8_After" localSheetId="0">Проект!$D$769</definedName>
    <definedName name="Product_Height_9" localSheetId="0">Проект!$E$821</definedName>
    <definedName name="Product_Height_9_After" localSheetId="0">Проект!$D$821</definedName>
    <definedName name="ProfitTax" localSheetId="0">Проект!$B$171</definedName>
    <definedName name="SENS_Costs" localSheetId="0">Проект!$F$981:$AC$1005</definedName>
    <definedName name="SENS_Discount" localSheetId="0">Проект!$B$1716</definedName>
    <definedName name="SENS_From" localSheetId="0">Проект!$B$2055</definedName>
    <definedName name="SENS_Invest" localSheetId="0">Проект!$F$551:$AE$618</definedName>
    <definedName name="SENS_PList_Result" localSheetId="0">Проект!$A$2107:$C$2112</definedName>
    <definedName name="SENS_PList_Source" localSheetId="0">Проект!$A$2099:$D$2105</definedName>
    <definedName name="SENS_Price" localSheetId="0">Проект!$F$714:$AE$721</definedName>
    <definedName name="SENS_Result" localSheetId="0">Проект!$E$2060</definedName>
    <definedName name="SENS_Sales" localSheetId="0">Проект!$F$671:$AE$673</definedName>
    <definedName name="SENS_Source" localSheetId="0">Проект!$E$2052</definedName>
    <definedName name="SENS_Step" localSheetId="0">Проект!$B$2056</definedName>
    <definedName name="SENS_Table" localSheetId="0">Проект!$B$2063:$C$2069</definedName>
    <definedName name="ShowAbout">Options!$B$9</definedName>
    <definedName name="ShowRealDates" localSheetId="0">Проект!$D$22</definedName>
    <definedName name="SUMM_Only_Money1" localSheetId="0">Проект!$1092:$1092</definedName>
    <definedName name="SUMM_Only_Money2" localSheetId="0">Проект!$1137:$1137</definedName>
    <definedName name="SUMM_Only_Money3" localSheetId="0">Проект!$1134:$1134</definedName>
    <definedName name="Table_1" localSheetId="1">Портфель!$A$4:$AA$36</definedName>
    <definedName name="Table_1" localSheetId="0">Проект!$A$4:$AE$32</definedName>
    <definedName name="Table_10" localSheetId="1">Портфель!$A$822:$AA$869</definedName>
    <definedName name="Table_10" localSheetId="0">Проект!$A$676:$AE$693</definedName>
    <definedName name="Table_11" localSheetId="1">Портфель!$A$896:$AA$922</definedName>
    <definedName name="Table_11" localSheetId="0">Проект!$A$695:$AE$722</definedName>
    <definedName name="Table_12" localSheetId="1">Портфель!$A$924:$AA$962</definedName>
    <definedName name="Table_12" localSheetId="0">Проект!$A$724:$AE$736</definedName>
    <definedName name="Table_13" localSheetId="0">Проект!$A$738:$AE$746</definedName>
    <definedName name="Table_14" localSheetId="0">Проект!$A$748:$AE$766</definedName>
    <definedName name="Table_15" localSheetId="0">Проект!$A$768:$AE$818</definedName>
    <definedName name="Table_16" localSheetId="0">Проект!$A$820:$AE$864</definedName>
    <definedName name="Table_17" localSheetId="0">Проект!$A$866:$AE$919</definedName>
    <definedName name="Table_18" localSheetId="0">Проект!$A$921:$AE$1006</definedName>
    <definedName name="Table_19" localSheetId="0">Проект!$A$1008:$AE$1071</definedName>
    <definedName name="Table_2" localSheetId="1">Портфель!$A$39:$AA$64</definedName>
    <definedName name="Table_2" localSheetId="0">Проект!$A$35:$F$73</definedName>
    <definedName name="Table_20" localSheetId="0">Проект!$A$1073:$AE$1092</definedName>
    <definedName name="Table_21" localSheetId="0">Проект!$A$1096:$AE$1138</definedName>
    <definedName name="Table_22" localSheetId="0">Проект!$A$1165:$AE$1195</definedName>
    <definedName name="Table_23" localSheetId="0">Проект!$A$1197:$AE$1223</definedName>
    <definedName name="Table_24" localSheetId="0">Проект!$A$1275:$AE$1292</definedName>
    <definedName name="Table_25" localSheetId="0">Проект!$A$1319:$AE$1357</definedName>
    <definedName name="Table_26" localSheetId="0">Проект!$A$1459:$AD$1501</definedName>
    <definedName name="Table_27" localSheetId="0">Проект!$A$1554:$AD$1580</definedName>
    <definedName name="Table_28" localSheetId="0">Проект!$A$1657:$AE$1709</definedName>
    <definedName name="Table_29" localSheetId="0">Проект!$A$1711:$AE$1758</definedName>
    <definedName name="Table_3" localSheetId="1">Портфель!$A$66:$AA$123</definedName>
    <definedName name="Table_3" localSheetId="0">Проект!$A$75:$AE$100</definedName>
    <definedName name="Table_30" localSheetId="0">Проект!$A$1785:$AE$1832</definedName>
    <definedName name="Table_31" localSheetId="0">Проект!$A$1859:$AE$1904</definedName>
    <definedName name="Table_32" localSheetId="0">Проект!$A$1931:$AE$1955</definedName>
    <definedName name="Table_33" localSheetId="0">Проект!$A$1957:$AE$2006</definedName>
    <definedName name="Table_34" localSheetId="0">Проект!$A$2008:$AE$2046</definedName>
    <definedName name="Table_35" localSheetId="0">Проект!$A$2048:$F$2070</definedName>
    <definedName name="Table_4" localSheetId="1">Портфель!$A$125:$AA$191</definedName>
    <definedName name="Table_4" localSheetId="0">Проект!$A$102:$AE$228</definedName>
    <definedName name="Table_5" localSheetId="1">Портфель!$A$268:$AA$336</definedName>
    <definedName name="Table_5" localSheetId="0">Проект!$A$230:$AE$278</definedName>
    <definedName name="Table_6" localSheetId="1">Портфель!$A$438:$Z$514</definedName>
    <definedName name="Table_6" localSheetId="0">Проект!$A$280:$AE$619</definedName>
    <definedName name="Table_7" localSheetId="1">Портфель!$A$567:$Z$593</definedName>
    <definedName name="Table_7" localSheetId="0">Проект!$A$621:$AE$659</definedName>
    <definedName name="Table_8" localSheetId="1">Портфель!$A$670:$AA$719</definedName>
    <definedName name="Table_8" localSheetId="0">Проект!$A$661:$AE$667</definedName>
    <definedName name="Table_9" localSheetId="1">Портфель!$A$746:$AA$795</definedName>
    <definedName name="Table_9" localSheetId="0">Проект!$A$669:$AE$674</definedName>
    <definedName name="ToBuild_Demo">Options!$B$20</definedName>
    <definedName name="ToBuild_Estate">Options!$B$19</definedName>
    <definedName name="ToBuild_Lang">Options!$B$21</definedName>
    <definedName name="ToBuild_Summ">Options!$B$18</definedName>
    <definedName name="TotalProfit" localSheetId="0">Проект!$AE$1222</definedName>
    <definedName name="TRIAL_DATE">Options!$C$8</definedName>
    <definedName name="VAT" localSheetId="1">Портфель!$B$129</definedName>
    <definedName name="VAT" localSheetId="0">Проект!$B$111</definedName>
    <definedName name="VAT_Period" localSheetId="0">Проект!$B$112</definedName>
    <definedName name="VAT_Repay" localSheetId="0">Проект!$B$113</definedName>
    <definedName name="Ver_BuildDate">Options!$B$6</definedName>
    <definedName name="_xlnm.Print_Area" localSheetId="5">Инвестиции!$A$1:$C$19</definedName>
    <definedName name="_xlnm.Print_Area" localSheetId="13">Калькуляция!$A$1:$O$50</definedName>
    <definedName name="_xlnm.Print_Area" localSheetId="11">Металл!$A$1:$M$18</definedName>
    <definedName name="_xlnm.Print_Area" localSheetId="2">Отчет!$A$1:$AE$669</definedName>
    <definedName name="_xlnm.Print_Area" localSheetId="12">Персонал!$A$1:$O$71</definedName>
    <definedName name="_xlnm.Print_Area" localSheetId="6">продажи!$A$1:$F$34</definedName>
    <definedName name="_xlnm.Print_Area" localSheetId="7">'Продажи 2'!$A$1:$Z$84</definedName>
    <definedName name="_xlnm.Print_Area" localSheetId="9">Расходники!$A$1:$Z$133</definedName>
    <definedName name="_xlnm.Print_Area" localSheetId="8">Расходы!$A$1:$B$17</definedName>
  </definedNames>
  <calcPr calcId="179021" iterate="1"/>
</workbook>
</file>

<file path=xl/calcChain.xml><?xml version="1.0" encoding="utf-8"?>
<calcChain xmlns="http://schemas.openxmlformats.org/spreadsheetml/2006/main">
  <c r="J679" i="1" l="1"/>
  <c r="J681" i="1"/>
  <c r="J682" i="1" l="1"/>
  <c r="J684" i="1" s="1"/>
  <c r="H438" i="1"/>
  <c r="H284" i="1"/>
  <c r="J683" i="1" l="1"/>
  <c r="B27" i="13"/>
  <c r="A28" i="13"/>
  <c r="A27" i="13"/>
  <c r="B144" i="1" l="1"/>
  <c r="A298" i="1"/>
  <c r="A283" i="1"/>
  <c r="B12" i="13"/>
  <c r="B124" i="9" l="1"/>
  <c r="C113" i="9" s="1"/>
  <c r="C112" i="9" l="1"/>
  <c r="C114" i="9"/>
  <c r="C118" i="9"/>
  <c r="C117" i="9"/>
  <c r="C116" i="9"/>
  <c r="C121" i="9"/>
  <c r="C115" i="9"/>
  <c r="C120" i="9"/>
  <c r="C119" i="9"/>
  <c r="F633" i="7"/>
  <c r="D630" i="7"/>
  <c r="D629" i="7"/>
  <c r="D625" i="7"/>
  <c r="D624" i="7"/>
  <c r="D623" i="7"/>
  <c r="D620" i="7"/>
  <c r="AC615" i="7"/>
  <c r="AB615" i="7"/>
  <c r="AA615" i="7"/>
  <c r="Z615" i="7"/>
  <c r="Y615" i="7"/>
  <c r="X615" i="7"/>
  <c r="W615" i="7"/>
  <c r="V615" i="7"/>
  <c r="U615" i="7"/>
  <c r="T615" i="7"/>
  <c r="S615" i="7"/>
  <c r="R615" i="7"/>
  <c r="Q615" i="7"/>
  <c r="P615" i="7"/>
  <c r="O615" i="7"/>
  <c r="N615" i="7"/>
  <c r="M615" i="7"/>
  <c r="L615" i="7"/>
  <c r="K615" i="7"/>
  <c r="J615" i="7"/>
  <c r="I615" i="7"/>
  <c r="H615" i="7"/>
  <c r="G615" i="7"/>
  <c r="F603" i="7"/>
  <c r="D603" i="7"/>
  <c r="D602" i="7"/>
  <c r="D601" i="7"/>
  <c r="C601" i="7"/>
  <c r="B601" i="7"/>
  <c r="B600" i="7"/>
  <c r="B599" i="7"/>
  <c r="B598" i="7"/>
  <c r="D591" i="7"/>
  <c r="C591" i="7"/>
  <c r="D590" i="7"/>
  <c r="C590" i="7"/>
  <c r="D589" i="7"/>
  <c r="D588" i="7"/>
  <c r="D586" i="7"/>
  <c r="C586" i="7"/>
  <c r="D583" i="7"/>
  <c r="D573" i="7"/>
  <c r="D572" i="7"/>
  <c r="D571" i="7"/>
  <c r="D570" i="7"/>
  <c r="D567" i="7"/>
  <c r="C567" i="7"/>
  <c r="D566" i="7"/>
  <c r="C566" i="7"/>
  <c r="D565" i="7"/>
  <c r="D564" i="7"/>
  <c r="D562" i="7"/>
  <c r="C562" i="7"/>
  <c r="D559" i="7"/>
  <c r="D549" i="7"/>
  <c r="D548" i="7"/>
  <c r="D547" i="7"/>
  <c r="D546" i="7"/>
  <c r="E544" i="7"/>
  <c r="D544" i="7"/>
  <c r="B543" i="7"/>
  <c r="D459" i="7"/>
  <c r="D458" i="7"/>
  <c r="D457" i="7"/>
  <c r="C457" i="7"/>
  <c r="D456" i="7"/>
  <c r="D455" i="7"/>
  <c r="D453" i="7"/>
  <c r="D452" i="7"/>
  <c r="D450" i="7"/>
  <c r="C450" i="7"/>
  <c r="D448" i="7"/>
  <c r="C448" i="7"/>
  <c r="D447" i="7"/>
  <c r="C447" i="7"/>
  <c r="D446" i="7"/>
  <c r="C446" i="7"/>
  <c r="D444" i="7"/>
  <c r="C444" i="7"/>
  <c r="D443" i="7"/>
  <c r="D442" i="7"/>
  <c r="C442" i="7"/>
  <c r="D440" i="7"/>
  <c r="C440" i="7"/>
  <c r="D439" i="7"/>
  <c r="C439" i="7"/>
  <c r="D438" i="7"/>
  <c r="C438" i="7"/>
  <c r="D437" i="7"/>
  <c r="C437" i="7"/>
  <c r="D436" i="7"/>
  <c r="C436" i="7"/>
  <c r="D352" i="7"/>
  <c r="D351" i="7"/>
  <c r="D285" i="7"/>
  <c r="D284" i="7"/>
  <c r="B277" i="7"/>
  <c r="AC273" i="7"/>
  <c r="AB273" i="7"/>
  <c r="AA273" i="7"/>
  <c r="Z273" i="7"/>
  <c r="Y273" i="7"/>
  <c r="X273" i="7"/>
  <c r="W273" i="7"/>
  <c r="V273" i="7"/>
  <c r="U273" i="7"/>
  <c r="T273" i="7"/>
  <c r="S273" i="7"/>
  <c r="R273" i="7"/>
  <c r="Q273" i="7"/>
  <c r="P273" i="7"/>
  <c r="O273" i="7"/>
  <c r="N273" i="7"/>
  <c r="M273" i="7"/>
  <c r="L273" i="7"/>
  <c r="K273" i="7"/>
  <c r="J273" i="7"/>
  <c r="I273" i="7"/>
  <c r="H273" i="7"/>
  <c r="G273" i="7"/>
  <c r="F273" i="7"/>
  <c r="B273" i="7"/>
  <c r="AC271" i="7"/>
  <c r="AB271" i="7"/>
  <c r="AA271" i="7"/>
  <c r="Z271" i="7"/>
  <c r="Y271" i="7"/>
  <c r="X271" i="7"/>
  <c r="W271" i="7"/>
  <c r="V271" i="7"/>
  <c r="U271" i="7"/>
  <c r="T271" i="7"/>
  <c r="S271" i="7"/>
  <c r="R271" i="7"/>
  <c r="Q271" i="7"/>
  <c r="P271" i="7"/>
  <c r="O271" i="7"/>
  <c r="N271" i="7"/>
  <c r="M271" i="7"/>
  <c r="L271" i="7"/>
  <c r="K271" i="7"/>
  <c r="J271" i="7"/>
  <c r="I271" i="7"/>
  <c r="H271" i="7"/>
  <c r="G271" i="7"/>
  <c r="F271" i="7"/>
  <c r="B271" i="7"/>
  <c r="D184" i="7"/>
  <c r="D183" i="7"/>
  <c r="E159" i="7"/>
  <c r="D159" i="7"/>
  <c r="D153" i="7"/>
  <c r="B153" i="7"/>
  <c r="D152" i="7"/>
  <c r="B152" i="7"/>
  <c r="D151" i="7"/>
  <c r="C151" i="7"/>
  <c r="B151" i="7"/>
  <c r="D150" i="7"/>
  <c r="D149" i="7"/>
  <c r="C149" i="7"/>
  <c r="D148" i="7"/>
  <c r="C148" i="7"/>
  <c r="D147" i="7"/>
  <c r="B147" i="7"/>
  <c r="D146" i="7"/>
  <c r="B146" i="7"/>
  <c r="D145" i="7"/>
  <c r="B145" i="7"/>
  <c r="D144" i="7"/>
  <c r="C144" i="7"/>
  <c r="B144" i="7"/>
  <c r="D143" i="7"/>
  <c r="D142" i="7"/>
  <c r="C142" i="7"/>
  <c r="J141" i="7"/>
  <c r="D141" i="7"/>
  <c r="C141" i="7"/>
  <c r="D140" i="7"/>
  <c r="B140" i="7"/>
  <c r="E139" i="7"/>
  <c r="D139" i="7"/>
  <c r="E131" i="7"/>
  <c r="D131" i="7"/>
  <c r="D122" i="7"/>
  <c r="C122" i="7"/>
  <c r="D116" i="7"/>
  <c r="D111" i="7"/>
  <c r="C111" i="7"/>
  <c r="B110" i="7"/>
  <c r="D103" i="7"/>
  <c r="C103" i="7"/>
  <c r="B98" i="7"/>
  <c r="B97" i="7"/>
  <c r="B96" i="7"/>
  <c r="B95" i="7"/>
  <c r="D93" i="7"/>
  <c r="C93" i="7"/>
  <c r="D82" i="7"/>
  <c r="D81" i="7"/>
  <c r="AC79" i="7"/>
  <c r="AB79" i="7"/>
  <c r="AA79" i="7"/>
  <c r="Z79" i="7"/>
  <c r="Y79" i="7"/>
  <c r="X79" i="7"/>
  <c r="W79" i="7"/>
  <c r="V79" i="7"/>
  <c r="U79" i="7"/>
  <c r="T79" i="7"/>
  <c r="S79" i="7"/>
  <c r="R79" i="7"/>
  <c r="Q79" i="7"/>
  <c r="P79" i="7"/>
  <c r="O79" i="7"/>
  <c r="N79" i="7"/>
  <c r="M79" i="7"/>
  <c r="L79" i="7"/>
  <c r="K79" i="7"/>
  <c r="J79" i="7"/>
  <c r="I79" i="7"/>
  <c r="H79" i="7"/>
  <c r="G79" i="7"/>
  <c r="F79" i="7"/>
  <c r="D74" i="7"/>
  <c r="B71" i="7"/>
  <c r="D70" i="7"/>
  <c r="C70" i="7"/>
  <c r="B70" i="7"/>
  <c r="F66" i="7"/>
  <c r="D66" i="7"/>
  <c r="D65" i="7"/>
  <c r="D64" i="7"/>
  <c r="C64" i="7"/>
  <c r="B64" i="7"/>
  <c r="F63" i="7"/>
  <c r="D62" i="7"/>
  <c r="E61" i="7"/>
  <c r="D61" i="7"/>
  <c r="D59" i="7"/>
  <c r="C59" i="7"/>
  <c r="AC58" i="7"/>
  <c r="AB58" i="7"/>
  <c r="AA58" i="7"/>
  <c r="Z58" i="7"/>
  <c r="Y58" i="7"/>
  <c r="X58" i="7"/>
  <c r="W58" i="7"/>
  <c r="V58" i="7"/>
  <c r="U58" i="7"/>
  <c r="T58" i="7"/>
  <c r="S58" i="7"/>
  <c r="R58" i="7"/>
  <c r="Q58" i="7"/>
  <c r="P58" i="7"/>
  <c r="O58" i="7"/>
  <c r="N58" i="7"/>
  <c r="M58" i="7"/>
  <c r="L58" i="7"/>
  <c r="K58" i="7"/>
  <c r="J58" i="7"/>
  <c r="I58" i="7"/>
  <c r="H58" i="7"/>
  <c r="G58" i="7"/>
  <c r="F58" i="7"/>
  <c r="D58" i="7"/>
  <c r="D57" i="7"/>
  <c r="B56" i="7"/>
  <c r="F54" i="7"/>
  <c r="D54" i="7"/>
  <c r="D52" i="7"/>
  <c r="C52" i="7"/>
  <c r="B52" i="7"/>
  <c r="F51" i="7"/>
  <c r="D50" i="7"/>
  <c r="E49" i="7"/>
  <c r="D49" i="7"/>
  <c r="D48" i="7"/>
  <c r="C48" i="7"/>
  <c r="B48" i="7"/>
  <c r="D44" i="7"/>
  <c r="B44" i="7"/>
  <c r="D43" i="7"/>
  <c r="B43" i="7"/>
  <c r="B41" i="7"/>
  <c r="D40" i="7"/>
  <c r="C40" i="7"/>
  <c r="B40" i="7"/>
  <c r="B38" i="7"/>
  <c r="D37" i="7"/>
  <c r="C37" i="7"/>
  <c r="D30" i="7"/>
  <c r="D27" i="7"/>
  <c r="B13" i="7"/>
  <c r="B12" i="7"/>
  <c r="C10" i="7"/>
  <c r="B10" i="7"/>
  <c r="B3" i="7"/>
  <c r="B29" i="13"/>
  <c r="A25" i="13"/>
  <c r="A29" i="13"/>
  <c r="B10" i="13"/>
  <c r="A387" i="1" l="1"/>
  <c r="B514" i="1"/>
  <c r="D510" i="1"/>
  <c r="Z499" i="1"/>
  <c r="Z498" i="1" s="1"/>
  <c r="B498" i="1"/>
  <c r="AC499" i="1" s="1"/>
  <c r="AC498" i="1" s="1"/>
  <c r="D494" i="1"/>
  <c r="B507" i="1" l="1"/>
  <c r="F499" i="1"/>
  <c r="F501" i="1" s="1"/>
  <c r="V499" i="1"/>
  <c r="V498" i="1" s="1"/>
  <c r="N499" i="1"/>
  <c r="N498" i="1" s="1"/>
  <c r="R499" i="1"/>
  <c r="R498" i="1" s="1"/>
  <c r="I510" i="1"/>
  <c r="AE510" i="1" s="1"/>
  <c r="B523" i="1"/>
  <c r="W515" i="1"/>
  <c r="W514" i="1" s="1"/>
  <c r="O515" i="1"/>
  <c r="O514" i="1" s="1"/>
  <c r="K515" i="1"/>
  <c r="K514" i="1" s="1"/>
  <c r="AB515" i="1"/>
  <c r="AB514" i="1" s="1"/>
  <c r="Z515" i="1"/>
  <c r="Z514" i="1" s="1"/>
  <c r="X515" i="1"/>
  <c r="X514" i="1" s="1"/>
  <c r="V515" i="1"/>
  <c r="V514" i="1" s="1"/>
  <c r="T515" i="1"/>
  <c r="T514" i="1" s="1"/>
  <c r="R515" i="1"/>
  <c r="R514" i="1" s="1"/>
  <c r="P515" i="1"/>
  <c r="P514" i="1" s="1"/>
  <c r="N515" i="1"/>
  <c r="N514" i="1" s="1"/>
  <c r="L515" i="1"/>
  <c r="L514" i="1" s="1"/>
  <c r="J515" i="1"/>
  <c r="J514" i="1" s="1"/>
  <c r="H515" i="1"/>
  <c r="H514" i="1" s="1"/>
  <c r="F515" i="1"/>
  <c r="AC515" i="1"/>
  <c r="AC514" i="1" s="1"/>
  <c r="AA515" i="1"/>
  <c r="AA514" i="1" s="1"/>
  <c r="Y515" i="1"/>
  <c r="Y514" i="1" s="1"/>
  <c r="U515" i="1"/>
  <c r="U514" i="1" s="1"/>
  <c r="S515" i="1"/>
  <c r="S514" i="1" s="1"/>
  <c r="Q515" i="1"/>
  <c r="Q514" i="1" s="1"/>
  <c r="M515" i="1"/>
  <c r="M514" i="1" s="1"/>
  <c r="G515" i="1"/>
  <c r="G514" i="1" s="1"/>
  <c r="H499" i="1"/>
  <c r="H498" i="1" s="1"/>
  <c r="L499" i="1"/>
  <c r="L498" i="1" s="1"/>
  <c r="P499" i="1"/>
  <c r="P498" i="1" s="1"/>
  <c r="T499" i="1"/>
  <c r="T498" i="1" s="1"/>
  <c r="X499" i="1"/>
  <c r="X498" i="1" s="1"/>
  <c r="AB499" i="1"/>
  <c r="AB498" i="1" s="1"/>
  <c r="F498" i="1"/>
  <c r="G499" i="1"/>
  <c r="G498" i="1" s="1"/>
  <c r="M499" i="1"/>
  <c r="M498" i="1" s="1"/>
  <c r="O499" i="1"/>
  <c r="O498" i="1" s="1"/>
  <c r="Q499" i="1"/>
  <c r="Q498" i="1" s="1"/>
  <c r="S499" i="1"/>
  <c r="S498" i="1" s="1"/>
  <c r="U499" i="1"/>
  <c r="U498" i="1" s="1"/>
  <c r="W499" i="1"/>
  <c r="W498" i="1" s="1"/>
  <c r="Y499" i="1"/>
  <c r="Y498" i="1" s="1"/>
  <c r="AA499" i="1"/>
  <c r="AA498" i="1" s="1"/>
  <c r="I515" i="1" l="1"/>
  <c r="I514" i="1" s="1"/>
  <c r="G501" i="1"/>
  <c r="H501" i="1" s="1"/>
  <c r="F517" i="1"/>
  <c r="G517" i="1" s="1"/>
  <c r="H517" i="1" s="1"/>
  <c r="F514" i="1"/>
  <c r="AE514" i="1" l="1"/>
  <c r="AE515" i="1"/>
  <c r="B516" i="1" s="1"/>
  <c r="I517" i="1"/>
  <c r="J517" i="1" s="1"/>
  <c r="K517" i="1" s="1"/>
  <c r="L517" i="1" s="1"/>
  <c r="M517" i="1" s="1"/>
  <c r="N517" i="1" s="1"/>
  <c r="O517" i="1" s="1"/>
  <c r="P517" i="1" s="1"/>
  <c r="Q517" i="1" s="1"/>
  <c r="R517" i="1" s="1"/>
  <c r="S517" i="1" s="1"/>
  <c r="T517" i="1" s="1"/>
  <c r="U517" i="1" s="1"/>
  <c r="V517" i="1" s="1"/>
  <c r="W517" i="1" s="1"/>
  <c r="X517" i="1" s="1"/>
  <c r="Y517" i="1" s="1"/>
  <c r="Z517" i="1" s="1"/>
  <c r="AA517" i="1" s="1"/>
  <c r="AB517" i="1" s="1"/>
  <c r="AC517" i="1" s="1"/>
  <c r="B512" i="1" s="1"/>
  <c r="F519" i="1" l="1"/>
  <c r="F518" i="1"/>
  <c r="F520" i="1"/>
  <c r="F524" i="1"/>
  <c r="D937" i="1" l="1"/>
  <c r="B937" i="1"/>
  <c r="R935" i="1"/>
  <c r="Q935" i="1"/>
  <c r="P935" i="1"/>
  <c r="O935" i="1"/>
  <c r="N935" i="1"/>
  <c r="M935" i="1"/>
  <c r="L935" i="1"/>
  <c r="K935" i="1"/>
  <c r="J935" i="1"/>
  <c r="I935" i="1"/>
  <c r="H935" i="1"/>
  <c r="G935" i="1"/>
  <c r="F935" i="1"/>
  <c r="D934" i="1"/>
  <c r="C46" i="15" l="1"/>
  <c r="D46" i="15" s="1"/>
  <c r="E46" i="15" s="1"/>
  <c r="F46" i="15" s="1"/>
  <c r="G46" i="15" s="1"/>
  <c r="H46" i="15" s="1"/>
  <c r="I46" i="15" s="1"/>
  <c r="J46" i="15" s="1"/>
  <c r="K46" i="15" s="1"/>
  <c r="Q31" i="12"/>
  <c r="Q29" i="12"/>
  <c r="K70" i="12"/>
  <c r="J70" i="12"/>
  <c r="K69" i="12"/>
  <c r="J69" i="12"/>
  <c r="K68" i="12"/>
  <c r="J68" i="12"/>
  <c r="K67" i="12"/>
  <c r="J67" i="12"/>
  <c r="K66" i="12"/>
  <c r="J66" i="12"/>
  <c r="K65" i="12"/>
  <c r="J65" i="12"/>
  <c r="K64" i="12"/>
  <c r="J64" i="12"/>
  <c r="K63" i="12"/>
  <c r="J63" i="12"/>
  <c r="I70" i="12"/>
  <c r="I69" i="12"/>
  <c r="I68" i="12"/>
  <c r="I67" i="12"/>
  <c r="I66" i="12"/>
  <c r="I65" i="12"/>
  <c r="I64" i="12"/>
  <c r="I63" i="12"/>
  <c r="I62" i="12"/>
  <c r="B31" i="15" s="1" a="1"/>
  <c r="G70" i="12"/>
  <c r="H70" i="12" s="1"/>
  <c r="G69" i="12"/>
  <c r="H69" i="12" s="1"/>
  <c r="G68" i="12"/>
  <c r="H68" i="12" s="1"/>
  <c r="G67" i="12"/>
  <c r="H67" i="12" s="1"/>
  <c r="G66" i="12"/>
  <c r="H66" i="12" s="1"/>
  <c r="G65" i="12"/>
  <c r="H65" i="12" s="1"/>
  <c r="G64" i="12"/>
  <c r="H64" i="12" s="1"/>
  <c r="G63" i="12"/>
  <c r="H63" i="12" s="1"/>
  <c r="G62" i="12"/>
  <c r="H62" i="12" s="1"/>
  <c r="G61" i="12"/>
  <c r="H61" i="12" s="1"/>
  <c r="B30" i="15" s="1" a="1"/>
  <c r="D70" i="12"/>
  <c r="E70" i="12" s="1"/>
  <c r="F70" i="12" s="1"/>
  <c r="D69" i="12"/>
  <c r="E69" i="12" s="1"/>
  <c r="F69" i="12" s="1"/>
  <c r="D68" i="12"/>
  <c r="E68" i="12" s="1"/>
  <c r="F68" i="12" s="1"/>
  <c r="D67" i="12"/>
  <c r="E67" i="12" s="1"/>
  <c r="F67" i="12" s="1"/>
  <c r="D66" i="12"/>
  <c r="E66" i="12" s="1"/>
  <c r="F66" i="12" s="1"/>
  <c r="D65" i="12"/>
  <c r="E65" i="12" s="1"/>
  <c r="F65" i="12" s="1"/>
  <c r="D64" i="12"/>
  <c r="E64" i="12" s="1"/>
  <c r="F64" i="12" s="1"/>
  <c r="D63" i="12"/>
  <c r="E63" i="12" s="1"/>
  <c r="F63" i="12" s="1"/>
  <c r="B29" i="15" s="1" a="1"/>
  <c r="D62" i="12"/>
  <c r="E62" i="12" s="1"/>
  <c r="F62" i="12" s="1"/>
  <c r="D61" i="12"/>
  <c r="E61" i="12" s="1"/>
  <c r="F61" i="12" s="1"/>
  <c r="C62" i="12"/>
  <c r="C63" i="12"/>
  <c r="C64" i="12"/>
  <c r="C65" i="12"/>
  <c r="C66" i="12"/>
  <c r="C67" i="12"/>
  <c r="C68" i="12"/>
  <c r="C69" i="12"/>
  <c r="C70" i="12"/>
  <c r="C61" i="12"/>
  <c r="B29" i="15" l="1"/>
  <c r="E29" i="15"/>
  <c r="G29" i="15"/>
  <c r="I29" i="15"/>
  <c r="K29" i="15"/>
  <c r="C29" i="15"/>
  <c r="B31" i="15"/>
  <c r="H31" i="15"/>
  <c r="C31" i="15"/>
  <c r="I31" i="15"/>
  <c r="D31" i="15"/>
  <c r="J31" i="15"/>
  <c r="F31" i="15"/>
  <c r="E31" i="15"/>
  <c r="K31" i="15"/>
  <c r="G31" i="15"/>
  <c r="B30" i="15"/>
  <c r="E30" i="15"/>
  <c r="G30" i="15"/>
  <c r="I30" i="15"/>
  <c r="K30" i="15"/>
  <c r="C30" i="15"/>
  <c r="M61" i="12"/>
  <c r="M62" i="12"/>
  <c r="J30" i="15"/>
  <c r="H30" i="15"/>
  <c r="F30" i="15"/>
  <c r="D30" i="15"/>
  <c r="J29" i="15"/>
  <c r="H29" i="15"/>
  <c r="F29" i="15"/>
  <c r="D29" i="15"/>
  <c r="I71" i="14"/>
  <c r="I70" i="14"/>
  <c r="O5" i="14"/>
  <c r="O6" i="14"/>
  <c r="O7" i="14"/>
  <c r="O8" i="14"/>
  <c r="O9" i="14"/>
  <c r="O10" i="14"/>
  <c r="O11" i="14"/>
  <c r="O12" i="14"/>
  <c r="O13" i="14"/>
  <c r="O14" i="14"/>
  <c r="O15" i="14"/>
  <c r="O16" i="14"/>
  <c r="O17" i="14"/>
  <c r="O18" i="14"/>
  <c r="O19" i="14"/>
  <c r="O20" i="14"/>
  <c r="O21" i="14"/>
  <c r="O22" i="14"/>
  <c r="O23" i="14"/>
  <c r="O24" i="14"/>
  <c r="O25" i="14"/>
  <c r="O26" i="14"/>
  <c r="O27" i="14"/>
  <c r="O28" i="14"/>
  <c r="O30" i="14"/>
  <c r="O31" i="14"/>
  <c r="O32" i="14"/>
  <c r="O33" i="14"/>
  <c r="O34" i="14"/>
  <c r="O35" i="14"/>
  <c r="O36" i="14"/>
  <c r="O37" i="14"/>
  <c r="O38" i="14"/>
  <c r="O39" i="14"/>
  <c r="O40" i="14"/>
  <c r="O41" i="14"/>
  <c r="O43" i="14"/>
  <c r="O44" i="14"/>
  <c r="O45" i="14"/>
  <c r="O46" i="14"/>
  <c r="O47" i="14"/>
  <c r="O48" i="14"/>
  <c r="O49" i="14"/>
  <c r="O50" i="14"/>
  <c r="O51" i="14"/>
  <c r="O52" i="14"/>
  <c r="O53" i="14"/>
  <c r="O54" i="14"/>
  <c r="O56" i="14"/>
  <c r="O57" i="14"/>
  <c r="O58" i="14"/>
  <c r="O59" i="14"/>
  <c r="O60" i="14"/>
  <c r="O61" i="14"/>
  <c r="O62" i="14"/>
  <c r="O63" i="14"/>
  <c r="O64" i="14"/>
  <c r="O65" i="14"/>
  <c r="O66" i="14"/>
  <c r="O67" i="14"/>
  <c r="O4" i="14"/>
  <c r="M5" i="14"/>
  <c r="M6" i="14"/>
  <c r="M7" i="14"/>
  <c r="M8" i="14"/>
  <c r="M9" i="14"/>
  <c r="M10" i="14"/>
  <c r="M11" i="14"/>
  <c r="M12" i="14"/>
  <c r="M13" i="14"/>
  <c r="M14" i="14"/>
  <c r="M15" i="14"/>
  <c r="M16" i="14"/>
  <c r="M17" i="14"/>
  <c r="M18" i="14"/>
  <c r="M19" i="14"/>
  <c r="M20" i="14"/>
  <c r="M21" i="14"/>
  <c r="M22" i="14"/>
  <c r="M23" i="14"/>
  <c r="M24" i="14"/>
  <c r="M25" i="14"/>
  <c r="M26" i="14"/>
  <c r="M27" i="14"/>
  <c r="M28" i="14"/>
  <c r="M30" i="14"/>
  <c r="M31" i="14"/>
  <c r="M32" i="14"/>
  <c r="M33" i="14"/>
  <c r="M34" i="14"/>
  <c r="M35" i="14"/>
  <c r="M36" i="14"/>
  <c r="M37" i="14"/>
  <c r="M38" i="14"/>
  <c r="M39" i="14"/>
  <c r="M40" i="14"/>
  <c r="M41" i="14"/>
  <c r="M43" i="14"/>
  <c r="M44" i="14"/>
  <c r="M45" i="14"/>
  <c r="M46" i="14"/>
  <c r="M47" i="14"/>
  <c r="M48" i="14"/>
  <c r="M49" i="14"/>
  <c r="M50" i="14"/>
  <c r="M51" i="14"/>
  <c r="M52" i="14"/>
  <c r="M53" i="14"/>
  <c r="M54" i="14"/>
  <c r="M56" i="14"/>
  <c r="M57" i="14"/>
  <c r="M58" i="14"/>
  <c r="M59" i="14"/>
  <c r="M60" i="14"/>
  <c r="M61" i="14"/>
  <c r="M62" i="14"/>
  <c r="M63" i="14"/>
  <c r="M64" i="14"/>
  <c r="M65" i="14"/>
  <c r="M66" i="14"/>
  <c r="M67" i="14"/>
  <c r="K25" i="14"/>
  <c r="K26" i="14"/>
  <c r="K27" i="14"/>
  <c r="K28" i="14"/>
  <c r="K30" i="14"/>
  <c r="K31" i="14"/>
  <c r="K32" i="14"/>
  <c r="K33" i="14"/>
  <c r="K34" i="14"/>
  <c r="K35" i="14"/>
  <c r="K36" i="14"/>
  <c r="K37" i="14"/>
  <c r="K38" i="14"/>
  <c r="K39" i="14"/>
  <c r="K40" i="14"/>
  <c r="K41" i="14"/>
  <c r="K43" i="14"/>
  <c r="K44" i="14"/>
  <c r="K45" i="14"/>
  <c r="K46" i="14"/>
  <c r="K47" i="14"/>
  <c r="K48" i="14"/>
  <c r="K49" i="14"/>
  <c r="K50" i="14"/>
  <c r="K51" i="14"/>
  <c r="K52" i="14"/>
  <c r="K53" i="14"/>
  <c r="K54" i="14"/>
  <c r="K56" i="14"/>
  <c r="K57" i="14"/>
  <c r="K58" i="14"/>
  <c r="K59" i="14"/>
  <c r="K60" i="14"/>
  <c r="K61" i="14"/>
  <c r="K62" i="14"/>
  <c r="K63" i="14"/>
  <c r="K64" i="14"/>
  <c r="K65" i="14"/>
  <c r="K66" i="14"/>
  <c r="K67" i="14"/>
  <c r="I68" i="14"/>
  <c r="M4" i="14"/>
  <c r="S24" i="12"/>
  <c r="R24" i="12"/>
  <c r="Q24" i="12"/>
  <c r="P24" i="12"/>
  <c r="L64" i="12" s="1"/>
  <c r="M64" i="12" s="1"/>
  <c r="O24" i="12"/>
  <c r="N24" i="12"/>
  <c r="H24" i="12"/>
  <c r="I24" i="12"/>
  <c r="J24" i="12"/>
  <c r="K24" i="12"/>
  <c r="L24" i="12"/>
  <c r="M24" i="12"/>
  <c r="H25" i="12"/>
  <c r="I25" i="12"/>
  <c r="J25" i="12"/>
  <c r="K25" i="12"/>
  <c r="L25" i="12"/>
  <c r="M25" i="12"/>
  <c r="H26" i="12"/>
  <c r="I26" i="12"/>
  <c r="J26" i="12"/>
  <c r="K26" i="12"/>
  <c r="L26" i="12"/>
  <c r="M26" i="12"/>
  <c r="H27" i="12"/>
  <c r="I27" i="12"/>
  <c r="J27" i="12"/>
  <c r="K27" i="12"/>
  <c r="L27" i="12"/>
  <c r="M27" i="12"/>
  <c r="G25" i="12"/>
  <c r="G26" i="12"/>
  <c r="G27" i="12"/>
  <c r="G24" i="12"/>
  <c r="A1685" i="1"/>
  <c r="A569" i="7" s="1"/>
  <c r="D852" i="1"/>
  <c r="B852" i="1"/>
  <c r="D851" i="1"/>
  <c r="D850" i="1"/>
  <c r="D849" i="1"/>
  <c r="D848" i="1"/>
  <c r="D847" i="1"/>
  <c r="D846" i="1"/>
  <c r="D845" i="1"/>
  <c r="B845" i="1"/>
  <c r="D844" i="1"/>
  <c r="R842" i="1"/>
  <c r="Q842" i="1"/>
  <c r="P842" i="1"/>
  <c r="O842" i="1"/>
  <c r="N842" i="1"/>
  <c r="M842" i="1"/>
  <c r="L842" i="1"/>
  <c r="K842" i="1"/>
  <c r="J842" i="1"/>
  <c r="I842" i="1"/>
  <c r="H842" i="1"/>
  <c r="G842" i="1"/>
  <c r="F842" i="1"/>
  <c r="D841" i="1"/>
  <c r="G840" i="1"/>
  <c r="F840" i="1"/>
  <c r="A838" i="1"/>
  <c r="D802" i="1"/>
  <c r="B802" i="1"/>
  <c r="D801" i="1"/>
  <c r="D800" i="1"/>
  <c r="D799" i="1"/>
  <c r="D798" i="1"/>
  <c r="D797" i="1"/>
  <c r="D796" i="1"/>
  <c r="D795" i="1"/>
  <c r="D794" i="1"/>
  <c r="D793" i="1"/>
  <c r="D792" i="1"/>
  <c r="D791" i="1"/>
  <c r="D790" i="1"/>
  <c r="B789" i="1"/>
  <c r="D788" i="1"/>
  <c r="A788" i="1"/>
  <c r="A787" i="1"/>
  <c r="B764" i="1"/>
  <c r="A759" i="1"/>
  <c r="A758" i="1"/>
  <c r="AE744" i="1"/>
  <c r="A743" i="1"/>
  <c r="A730" i="1"/>
  <c r="D712" i="1"/>
  <c r="D175" i="7" s="1"/>
  <c r="D711" i="1"/>
  <c r="D174" i="7" s="1"/>
  <c r="D710" i="1"/>
  <c r="D173" i="7" s="1"/>
  <c r="D709" i="1"/>
  <c r="D172" i="7" s="1"/>
  <c r="D708" i="1"/>
  <c r="D171" i="7" s="1"/>
  <c r="D707" i="1"/>
  <c r="D170" i="7" s="1"/>
  <c r="D706" i="1"/>
  <c r="D169" i="7" s="1"/>
  <c r="D705" i="1"/>
  <c r="D168" i="7" s="1"/>
  <c r="A705" i="1"/>
  <c r="A168" i="7" s="1"/>
  <c r="I688" i="1"/>
  <c r="I150" i="7" s="1"/>
  <c r="H688" i="1"/>
  <c r="G688" i="1"/>
  <c r="G150" i="7" s="1"/>
  <c r="F688" i="1"/>
  <c r="R686" i="1"/>
  <c r="R148" i="7" s="1"/>
  <c r="Q686" i="1"/>
  <c r="Q148" i="7" s="1"/>
  <c r="P686" i="1"/>
  <c r="P148" i="7" s="1"/>
  <c r="O686" i="1"/>
  <c r="O148" i="7" s="1"/>
  <c r="N686" i="1"/>
  <c r="N148" i="7" s="1"/>
  <c r="M686" i="1"/>
  <c r="M148" i="7" s="1"/>
  <c r="L686" i="1"/>
  <c r="L148" i="7" s="1"/>
  <c r="K686" i="1"/>
  <c r="K148" i="7" s="1"/>
  <c r="J686" i="1"/>
  <c r="J148" i="7" s="1"/>
  <c r="I686" i="1"/>
  <c r="I148" i="7" s="1"/>
  <c r="H686" i="1"/>
  <c r="H148" i="7" s="1"/>
  <c r="G686" i="1"/>
  <c r="G148" i="7" s="1"/>
  <c r="F686" i="1"/>
  <c r="F148" i="7" s="1"/>
  <c r="A685" i="1"/>
  <c r="A147" i="7" s="1"/>
  <c r="A672" i="1"/>
  <c r="A133" i="7" s="1"/>
  <c r="C51" i="9"/>
  <c r="D51" i="9"/>
  <c r="E51" i="9"/>
  <c r="F51" i="9"/>
  <c r="K51" i="9"/>
  <c r="L51" i="9"/>
  <c r="M51" i="9"/>
  <c r="N51" i="9"/>
  <c r="O51" i="9"/>
  <c r="P51" i="9"/>
  <c r="Q51" i="9"/>
  <c r="R51" i="9"/>
  <c r="S51" i="9"/>
  <c r="T51" i="9"/>
  <c r="U51" i="9"/>
  <c r="V51" i="9"/>
  <c r="W51" i="9"/>
  <c r="X51" i="9"/>
  <c r="Y51" i="9"/>
  <c r="C52" i="9"/>
  <c r="D52" i="9"/>
  <c r="E52" i="9"/>
  <c r="F52" i="9"/>
  <c r="K52" i="9"/>
  <c r="L52" i="9"/>
  <c r="M52" i="9"/>
  <c r="N52" i="9"/>
  <c r="O52" i="9"/>
  <c r="P52" i="9"/>
  <c r="Q52" i="9"/>
  <c r="R52" i="9"/>
  <c r="S52" i="9"/>
  <c r="T52" i="9"/>
  <c r="U52" i="9"/>
  <c r="V52" i="9"/>
  <c r="W52" i="9"/>
  <c r="X52" i="9"/>
  <c r="Y52" i="9"/>
  <c r="C53" i="9"/>
  <c r="D53" i="9"/>
  <c r="E53" i="9"/>
  <c r="F53" i="9"/>
  <c r="K53" i="9"/>
  <c r="L53" i="9"/>
  <c r="M53" i="9"/>
  <c r="N53" i="9"/>
  <c r="O53" i="9"/>
  <c r="P53" i="9"/>
  <c r="Q53" i="9"/>
  <c r="R53" i="9"/>
  <c r="S53" i="9"/>
  <c r="T53" i="9"/>
  <c r="U53" i="9"/>
  <c r="V53" i="9"/>
  <c r="W53" i="9"/>
  <c r="X53" i="9"/>
  <c r="Y53" i="9"/>
  <c r="C54" i="9"/>
  <c r="D54" i="9"/>
  <c r="E54" i="9"/>
  <c r="F54" i="9"/>
  <c r="K54" i="9"/>
  <c r="L54" i="9"/>
  <c r="M54" i="9"/>
  <c r="N54" i="9"/>
  <c r="O54" i="9"/>
  <c r="P54" i="9"/>
  <c r="Q54" i="9"/>
  <c r="R54" i="9"/>
  <c r="S54" i="9"/>
  <c r="T54" i="9"/>
  <c r="U54" i="9"/>
  <c r="V54" i="9"/>
  <c r="W54" i="9"/>
  <c r="X54" i="9"/>
  <c r="Y54" i="9"/>
  <c r="C55" i="9"/>
  <c r="D55" i="9"/>
  <c r="E55" i="9"/>
  <c r="F55" i="9"/>
  <c r="K55" i="9"/>
  <c r="L55" i="9"/>
  <c r="M55" i="9"/>
  <c r="N55" i="9"/>
  <c r="O55" i="9"/>
  <c r="P55" i="9"/>
  <c r="Q55" i="9"/>
  <c r="R55" i="9"/>
  <c r="S55" i="9"/>
  <c r="T55" i="9"/>
  <c r="U55" i="9"/>
  <c r="V55" i="9"/>
  <c r="W55" i="9"/>
  <c r="X55" i="9"/>
  <c r="Y55" i="9"/>
  <c r="C56" i="9"/>
  <c r="D56" i="9"/>
  <c r="E56" i="9"/>
  <c r="F56" i="9"/>
  <c r="K56" i="9"/>
  <c r="L56" i="9"/>
  <c r="M56" i="9"/>
  <c r="N56" i="9"/>
  <c r="O56" i="9"/>
  <c r="P56" i="9"/>
  <c r="Q56" i="9"/>
  <c r="R56" i="9"/>
  <c r="S56" i="9"/>
  <c r="T56" i="9"/>
  <c r="U56" i="9"/>
  <c r="V56" i="9"/>
  <c r="W56" i="9"/>
  <c r="X56" i="9"/>
  <c r="Y56" i="9"/>
  <c r="C57" i="9"/>
  <c r="D57" i="9"/>
  <c r="E57" i="9"/>
  <c r="F57" i="9"/>
  <c r="K57" i="9"/>
  <c r="L57" i="9"/>
  <c r="M57" i="9"/>
  <c r="N57" i="9"/>
  <c r="O57" i="9"/>
  <c r="P57" i="9"/>
  <c r="Q57" i="9"/>
  <c r="R57" i="9"/>
  <c r="S57" i="9"/>
  <c r="T57" i="9"/>
  <c r="U57" i="9"/>
  <c r="V57" i="9"/>
  <c r="W57" i="9"/>
  <c r="X57" i="9"/>
  <c r="Y57" i="9"/>
  <c r="C58" i="9"/>
  <c r="D58" i="9"/>
  <c r="E58" i="9"/>
  <c r="F58" i="9"/>
  <c r="K58" i="9"/>
  <c r="L58" i="9"/>
  <c r="M58" i="9"/>
  <c r="N58" i="9"/>
  <c r="O58" i="9"/>
  <c r="P58" i="9"/>
  <c r="Q58" i="9"/>
  <c r="R58" i="9"/>
  <c r="S58" i="9"/>
  <c r="T58" i="9"/>
  <c r="U58" i="9"/>
  <c r="V58" i="9"/>
  <c r="W58" i="9"/>
  <c r="X58" i="9"/>
  <c r="Y58" i="9"/>
  <c r="C59" i="9"/>
  <c r="D59" i="9"/>
  <c r="E59" i="9"/>
  <c r="F59" i="9"/>
  <c r="K59" i="9"/>
  <c r="L59" i="9"/>
  <c r="M59" i="9"/>
  <c r="N59" i="9"/>
  <c r="O59" i="9"/>
  <c r="P59" i="9"/>
  <c r="Q59" i="9"/>
  <c r="R59" i="9"/>
  <c r="S59" i="9"/>
  <c r="T59" i="9"/>
  <c r="U59" i="9"/>
  <c r="V59" i="9"/>
  <c r="W59" i="9"/>
  <c r="X59" i="9"/>
  <c r="Y59" i="9"/>
  <c r="C60" i="9"/>
  <c r="D60" i="9"/>
  <c r="E60" i="9"/>
  <c r="F60" i="9"/>
  <c r="K60" i="9"/>
  <c r="L60" i="9"/>
  <c r="M60" i="9"/>
  <c r="N60" i="9"/>
  <c r="O60" i="9"/>
  <c r="P60" i="9"/>
  <c r="Q60" i="9"/>
  <c r="R60" i="9"/>
  <c r="S60" i="9"/>
  <c r="T60" i="9"/>
  <c r="U60" i="9"/>
  <c r="V60" i="9"/>
  <c r="W60" i="9"/>
  <c r="X60" i="9"/>
  <c r="Y60" i="9"/>
  <c r="B60" i="9"/>
  <c r="B59" i="9"/>
  <c r="B58" i="9"/>
  <c r="B57" i="9"/>
  <c r="B56" i="9"/>
  <c r="B55" i="9"/>
  <c r="B54" i="9"/>
  <c r="B53" i="9"/>
  <c r="B52" i="9"/>
  <c r="B51" i="9"/>
  <c r="A52" i="9"/>
  <c r="A63" i="9" s="1"/>
  <c r="A53" i="9"/>
  <c r="A64" i="9" s="1"/>
  <c r="A54" i="9"/>
  <c r="A65" i="9" s="1"/>
  <c r="A55" i="9"/>
  <c r="A66" i="9" s="1"/>
  <c r="A56" i="9"/>
  <c r="A67" i="9" s="1"/>
  <c r="A57" i="9"/>
  <c r="A68" i="9" s="1"/>
  <c r="A58" i="9"/>
  <c r="A69" i="9" s="1"/>
  <c r="A59" i="9"/>
  <c r="A70" i="9" s="1"/>
  <c r="A60" i="9"/>
  <c r="A71" i="9" s="1"/>
  <c r="A51" i="9"/>
  <c r="A62" i="9" s="1"/>
  <c r="C34" i="10"/>
  <c r="D33" i="10"/>
  <c r="D32" i="10"/>
  <c r="D31" i="10"/>
  <c r="D30" i="10"/>
  <c r="D29" i="10"/>
  <c r="D28" i="10"/>
  <c r="D27" i="10"/>
  <c r="D26" i="10"/>
  <c r="D34" i="10" s="1"/>
  <c r="D25" i="10"/>
  <c r="D24" i="10"/>
  <c r="A437" i="1"/>
  <c r="F1686" i="1" l="1"/>
  <c r="F570" i="7" s="1"/>
  <c r="F150" i="7"/>
  <c r="H1686" i="1"/>
  <c r="H570" i="7" s="1"/>
  <c r="H150" i="7"/>
  <c r="O70" i="14"/>
  <c r="O71" i="14"/>
  <c r="O68" i="14"/>
  <c r="A76" i="9"/>
  <c r="A114" i="12"/>
  <c r="A125" i="12" s="1"/>
  <c r="A73" i="9"/>
  <c r="A111" i="12"/>
  <c r="A122" i="12" s="1"/>
  <c r="A82" i="9"/>
  <c r="A120" i="12"/>
  <c r="A131" i="12" s="1"/>
  <c r="A74" i="9"/>
  <c r="A112" i="12"/>
  <c r="A123" i="12" s="1"/>
  <c r="A81" i="9"/>
  <c r="A119" i="12"/>
  <c r="A130" i="12" s="1"/>
  <c r="A77" i="9"/>
  <c r="A115" i="12"/>
  <c r="A126" i="12" s="1"/>
  <c r="A80" i="9"/>
  <c r="A118" i="12"/>
  <c r="A129" i="12" s="1"/>
  <c r="A79" i="9"/>
  <c r="A117" i="12"/>
  <c r="A128" i="12" s="1"/>
  <c r="A75" i="9"/>
  <c r="A113" i="12"/>
  <c r="A124" i="12" s="1"/>
  <c r="A78" i="9"/>
  <c r="A116" i="12"/>
  <c r="A127" i="12" s="1"/>
  <c r="P29" i="12"/>
  <c r="L63" i="12" s="1"/>
  <c r="P31" i="12"/>
  <c r="L65" i="12"/>
  <c r="M65" i="12" s="1"/>
  <c r="F689" i="1"/>
  <c r="H689" i="1"/>
  <c r="G689" i="1"/>
  <c r="I689" i="1"/>
  <c r="G1686" i="1"/>
  <c r="G570" i="7" s="1"/>
  <c r="G691" i="1"/>
  <c r="G153" i="7" s="1"/>
  <c r="I1686" i="1"/>
  <c r="I570" i="7" s="1"/>
  <c r="F690" i="1"/>
  <c r="F152" i="7" s="1"/>
  <c r="H840" i="1"/>
  <c r="A363" i="1"/>
  <c r="B16" i="11"/>
  <c r="C10" i="13"/>
  <c r="C9" i="13"/>
  <c r="C8" i="13"/>
  <c r="C7" i="13"/>
  <c r="C6" i="13"/>
  <c r="C5" i="13"/>
  <c r="B3" i="13"/>
  <c r="C3" i="13" s="1"/>
  <c r="B136" i="1"/>
  <c r="B35" i="7" s="1"/>
  <c r="H690" i="1" l="1"/>
  <c r="H152" i="7" s="1"/>
  <c r="H151" i="7"/>
  <c r="K157" i="1"/>
  <c r="L157" i="1" s="1"/>
  <c r="M157" i="1" s="1"/>
  <c r="N157" i="1" s="1"/>
  <c r="O157" i="1" s="1"/>
  <c r="P157" i="1" s="1"/>
  <c r="Q157" i="1" s="1"/>
  <c r="R157" i="1" s="1"/>
  <c r="S157" i="1" s="1"/>
  <c r="T157" i="1" s="1"/>
  <c r="U157" i="1" s="1"/>
  <c r="V157" i="1" s="1"/>
  <c r="W157" i="1" s="1"/>
  <c r="X157" i="1" s="1"/>
  <c r="Y157" i="1" s="1"/>
  <c r="Z157" i="1" s="1"/>
  <c r="AA157" i="1" s="1"/>
  <c r="AB157" i="1" s="1"/>
  <c r="AC157" i="1" s="1"/>
  <c r="C14" i="13"/>
  <c r="C15" i="13"/>
  <c r="P934" i="1"/>
  <c r="V934" i="1"/>
  <c r="AB934" i="1"/>
  <c r="M934" i="1"/>
  <c r="Y934" i="1"/>
  <c r="K934" i="1"/>
  <c r="Q934" i="1"/>
  <c r="W934" i="1"/>
  <c r="AC934" i="1"/>
  <c r="L934" i="1"/>
  <c r="R934" i="1"/>
  <c r="X934" i="1"/>
  <c r="J934" i="1"/>
  <c r="S934" i="1"/>
  <c r="N934" i="1"/>
  <c r="T934" i="1"/>
  <c r="Z934" i="1"/>
  <c r="O934" i="1"/>
  <c r="U934" i="1"/>
  <c r="AA934" i="1"/>
  <c r="F691" i="1"/>
  <c r="F153" i="7" s="1"/>
  <c r="F151" i="7"/>
  <c r="K364" i="1"/>
  <c r="J364" i="1"/>
  <c r="H364" i="1"/>
  <c r="I690" i="1"/>
  <c r="I152" i="7" s="1"/>
  <c r="I151" i="7"/>
  <c r="M63" i="12"/>
  <c r="G690" i="1"/>
  <c r="G152" i="7" s="1"/>
  <c r="G151" i="7"/>
  <c r="G38" i="15"/>
  <c r="B38" i="15"/>
  <c r="F38" i="15"/>
  <c r="K38" i="15"/>
  <c r="E38" i="15"/>
  <c r="J38" i="15"/>
  <c r="J39" i="15" s="1"/>
  <c r="D38" i="15"/>
  <c r="I38" i="15"/>
  <c r="I39" i="15" s="1"/>
  <c r="C38" i="15"/>
  <c r="H38" i="15"/>
  <c r="E39" i="15"/>
  <c r="H39" i="15"/>
  <c r="D39" i="15"/>
  <c r="B39" i="15"/>
  <c r="R68" i="14"/>
  <c r="B24" i="13"/>
  <c r="C16" i="13"/>
  <c r="H691" i="1"/>
  <c r="H153" i="7" s="1"/>
  <c r="L67" i="12"/>
  <c r="M67" i="12" s="1"/>
  <c r="L69" i="12"/>
  <c r="M69" i="12" s="1"/>
  <c r="L66" i="12"/>
  <c r="M66" i="12" s="1"/>
  <c r="L68" i="12"/>
  <c r="M68" i="12" s="1"/>
  <c r="L70" i="12"/>
  <c r="M70" i="12" s="1"/>
  <c r="I691" i="1"/>
  <c r="I153" i="7" s="1"/>
  <c r="I840" i="1"/>
  <c r="B410" i="1"/>
  <c r="AB410" i="1" s="1"/>
  <c r="AC409" i="1"/>
  <c r="AB409" i="1"/>
  <c r="AA409" i="1"/>
  <c r="Z409" i="1"/>
  <c r="Y409" i="1"/>
  <c r="X409" i="1"/>
  <c r="W409" i="1"/>
  <c r="V409" i="1"/>
  <c r="U409" i="1"/>
  <c r="T409" i="1"/>
  <c r="S409" i="1"/>
  <c r="R409" i="1"/>
  <c r="Q409" i="1"/>
  <c r="P409" i="1"/>
  <c r="O409" i="1"/>
  <c r="N409" i="1"/>
  <c r="M409" i="1"/>
  <c r="L409" i="1"/>
  <c r="K409" i="1"/>
  <c r="J409" i="1"/>
  <c r="I409" i="1"/>
  <c r="H409" i="1"/>
  <c r="G409" i="1"/>
  <c r="F409" i="1"/>
  <c r="AE408" i="1"/>
  <c r="F407" i="1"/>
  <c r="F403" i="1"/>
  <c r="F401" i="1"/>
  <c r="F395" i="1" s="1"/>
  <c r="B396" i="1"/>
  <c r="AB398" i="1" s="1"/>
  <c r="AB396" i="1" s="1"/>
  <c r="AC393" i="1"/>
  <c r="AB393" i="1"/>
  <c r="AA393" i="1"/>
  <c r="Z393" i="1"/>
  <c r="Y393" i="1"/>
  <c r="X393" i="1"/>
  <c r="W393" i="1"/>
  <c r="V393" i="1"/>
  <c r="U393" i="1"/>
  <c r="T393" i="1"/>
  <c r="S393" i="1"/>
  <c r="R393" i="1"/>
  <c r="Q393" i="1"/>
  <c r="P393" i="1"/>
  <c r="O393" i="1"/>
  <c r="N393" i="1"/>
  <c r="M393" i="1"/>
  <c r="L393" i="1"/>
  <c r="K393" i="1"/>
  <c r="J393" i="1"/>
  <c r="I393" i="1"/>
  <c r="H393" i="1"/>
  <c r="G393" i="1"/>
  <c r="F393" i="1"/>
  <c r="B393" i="1"/>
  <c r="D388" i="1"/>
  <c r="H299" i="1" l="1"/>
  <c r="I299" i="1" s="1"/>
  <c r="B15" i="13"/>
  <c r="J388" i="1"/>
  <c r="J398" i="1" s="1"/>
  <c r="J396" i="1" s="1"/>
  <c r="B26" i="13"/>
  <c r="B32" i="15" a="1"/>
  <c r="B14" i="13"/>
  <c r="B28" i="13"/>
  <c r="C39" i="15"/>
  <c r="G39" i="15"/>
  <c r="K39" i="15"/>
  <c r="F39" i="15"/>
  <c r="J840" i="1"/>
  <c r="G410" i="1"/>
  <c r="K410" i="1"/>
  <c r="O410" i="1"/>
  <c r="S410" i="1"/>
  <c r="W410" i="1"/>
  <c r="AA410" i="1"/>
  <c r="I410" i="1"/>
  <c r="M410" i="1"/>
  <c r="Q410" i="1"/>
  <c r="U410" i="1"/>
  <c r="Y410" i="1"/>
  <c r="AC410" i="1"/>
  <c r="AE393" i="1"/>
  <c r="G398" i="1"/>
  <c r="G396" i="1" s="1"/>
  <c r="K398" i="1"/>
  <c r="K396" i="1" s="1"/>
  <c r="O398" i="1"/>
  <c r="O396" i="1" s="1"/>
  <c r="U398" i="1"/>
  <c r="U396" i="1" s="1"/>
  <c r="Y398" i="1"/>
  <c r="Y396" i="1" s="1"/>
  <c r="M398" i="1"/>
  <c r="M396" i="1" s="1"/>
  <c r="Q398" i="1"/>
  <c r="Q396" i="1" s="1"/>
  <c r="S398" i="1"/>
  <c r="S396" i="1" s="1"/>
  <c r="W398" i="1"/>
  <c r="W396" i="1" s="1"/>
  <c r="AA398" i="1"/>
  <c r="AA396" i="1" s="1"/>
  <c r="AC398" i="1"/>
  <c r="AC396" i="1" s="1"/>
  <c r="B406" i="1"/>
  <c r="H398" i="1"/>
  <c r="H396" i="1" s="1"/>
  <c r="L398" i="1"/>
  <c r="L396" i="1" s="1"/>
  <c r="N398" i="1"/>
  <c r="N396" i="1" s="1"/>
  <c r="P398" i="1"/>
  <c r="P396" i="1" s="1"/>
  <c r="R398" i="1"/>
  <c r="R396" i="1" s="1"/>
  <c r="T398" i="1"/>
  <c r="T396" i="1" s="1"/>
  <c r="V398" i="1"/>
  <c r="V396" i="1" s="1"/>
  <c r="X398" i="1"/>
  <c r="X396" i="1" s="1"/>
  <c r="Z398" i="1"/>
  <c r="Z396" i="1" s="1"/>
  <c r="AE409" i="1"/>
  <c r="F410" i="1"/>
  <c r="H410" i="1"/>
  <c r="J410" i="1"/>
  <c r="L410" i="1"/>
  <c r="N410" i="1"/>
  <c r="P410" i="1"/>
  <c r="R410" i="1"/>
  <c r="T410" i="1"/>
  <c r="V410" i="1"/>
  <c r="X410" i="1"/>
  <c r="Z410" i="1"/>
  <c r="B32" i="15" l="1"/>
  <c r="B36" i="15" s="1"/>
  <c r="B37" i="15" s="1"/>
  <c r="G32" i="15"/>
  <c r="G36" i="15" s="1"/>
  <c r="G37" i="15" s="1"/>
  <c r="K32" i="15"/>
  <c r="K36" i="15" s="1"/>
  <c r="K37" i="15" s="1"/>
  <c r="I32" i="15"/>
  <c r="I36" i="15" s="1"/>
  <c r="I37" i="15" s="1"/>
  <c r="E32" i="15"/>
  <c r="E36" i="15" s="1"/>
  <c r="E37" i="15" s="1"/>
  <c r="H32" i="15"/>
  <c r="H36" i="15" s="1"/>
  <c r="H37" i="15" s="1"/>
  <c r="C32" i="15"/>
  <c r="C36" i="15" s="1"/>
  <c r="C37" i="15" s="1"/>
  <c r="F32" i="15"/>
  <c r="F36" i="15" s="1"/>
  <c r="F37" i="15" s="1"/>
  <c r="D32" i="15"/>
  <c r="D36" i="15" s="1"/>
  <c r="D37" i="15" s="1"/>
  <c r="J32" i="15"/>
  <c r="J36" i="15" s="1"/>
  <c r="J37" i="15" s="1"/>
  <c r="K840" i="1"/>
  <c r="AE410" i="1"/>
  <c r="C41" i="15" l="1"/>
  <c r="C40" i="15"/>
  <c r="C44" i="15"/>
  <c r="C43" i="15"/>
  <c r="C42" i="15"/>
  <c r="C45" i="15"/>
  <c r="C48" i="15" s="1"/>
  <c r="H44" i="15"/>
  <c r="H42" i="15"/>
  <c r="H43" i="15"/>
  <c r="H41" i="15"/>
  <c r="H40" i="15"/>
  <c r="H45" i="15"/>
  <c r="H48" i="15" s="1"/>
  <c r="J43" i="15"/>
  <c r="J44" i="15"/>
  <c r="J40" i="15"/>
  <c r="J42" i="15"/>
  <c r="J41" i="15"/>
  <c r="J45" i="15"/>
  <c r="J48" i="15" s="1"/>
  <c r="K43" i="15"/>
  <c r="K44" i="15"/>
  <c r="K40" i="15"/>
  <c r="K42" i="15"/>
  <c r="K41" i="15"/>
  <c r="K45" i="15"/>
  <c r="K48" i="15" s="1"/>
  <c r="B44" i="15"/>
  <c r="B41" i="15"/>
  <c r="B40" i="15"/>
  <c r="B43" i="15"/>
  <c r="B42" i="15"/>
  <c r="B45" i="15"/>
  <c r="B48" i="15" s="1"/>
  <c r="E43" i="15"/>
  <c r="E42" i="15"/>
  <c r="E44" i="15"/>
  <c r="E41" i="15"/>
  <c r="E40" i="15"/>
  <c r="E45" i="15"/>
  <c r="E48" i="15" s="1"/>
  <c r="I44" i="15"/>
  <c r="I43" i="15"/>
  <c r="I41" i="15"/>
  <c r="I40" i="15"/>
  <c r="I42" i="15"/>
  <c r="I45" i="15"/>
  <c r="I48" i="15" s="1"/>
  <c r="D40" i="15"/>
  <c r="D44" i="15"/>
  <c r="D41" i="15"/>
  <c r="D43" i="15"/>
  <c r="D42" i="15"/>
  <c r="D45" i="15"/>
  <c r="D48" i="15" s="1"/>
  <c r="F43" i="15"/>
  <c r="F40" i="15"/>
  <c r="F41" i="15"/>
  <c r="F44" i="15"/>
  <c r="F42" i="15"/>
  <c r="G44" i="15"/>
  <c r="G43" i="15"/>
  <c r="G40" i="15"/>
  <c r="G41" i="15"/>
  <c r="G42" i="15"/>
  <c r="F45" i="15"/>
  <c r="F48" i="15" s="1"/>
  <c r="L840" i="1"/>
  <c r="V5" i="9"/>
  <c r="W5" i="9"/>
  <c r="W20" i="9" s="1"/>
  <c r="X5" i="9"/>
  <c r="Y5" i="9"/>
  <c r="V6" i="9"/>
  <c r="V21" i="9" s="1"/>
  <c r="W6" i="9"/>
  <c r="W21" i="9" s="1"/>
  <c r="X6" i="9"/>
  <c r="Y6" i="9"/>
  <c r="Y21" i="9" s="1"/>
  <c r="V7" i="9"/>
  <c r="W7" i="9"/>
  <c r="X7" i="9"/>
  <c r="X22" i="9" s="1"/>
  <c r="Y7" i="9"/>
  <c r="Y22" i="9" s="1"/>
  <c r="V8" i="9"/>
  <c r="W8" i="9"/>
  <c r="W23" i="9" s="1"/>
  <c r="X8" i="9"/>
  <c r="Y8" i="9"/>
  <c r="V9" i="9"/>
  <c r="V24" i="9" s="1"/>
  <c r="W9" i="9"/>
  <c r="W24" i="9" s="1"/>
  <c r="X9" i="9"/>
  <c r="Y9" i="9"/>
  <c r="Y24" i="9" s="1"/>
  <c r="V10" i="9"/>
  <c r="W10" i="9"/>
  <c r="X10" i="9"/>
  <c r="X25" i="9" s="1"/>
  <c r="Y10" i="9"/>
  <c r="Y25" i="9" s="1"/>
  <c r="V11" i="9"/>
  <c r="W11" i="9"/>
  <c r="W26" i="9" s="1"/>
  <c r="X11" i="9"/>
  <c r="Y11" i="9"/>
  <c r="V12" i="9"/>
  <c r="V27" i="9" s="1"/>
  <c r="W12" i="9"/>
  <c r="W27" i="9" s="1"/>
  <c r="X12" i="9"/>
  <c r="Y12" i="9"/>
  <c r="Y27" i="9" s="1"/>
  <c r="V13" i="9"/>
  <c r="W13" i="9"/>
  <c r="X13" i="9"/>
  <c r="X28" i="9" s="1"/>
  <c r="Y13" i="9"/>
  <c r="Y28" i="9" s="1"/>
  <c r="V14" i="9"/>
  <c r="W14" i="9"/>
  <c r="W29" i="9" s="1"/>
  <c r="X14" i="9"/>
  <c r="Y14" i="9"/>
  <c r="V15" i="9"/>
  <c r="V30" i="9" s="1"/>
  <c r="W15" i="9"/>
  <c r="W30" i="9" s="1"/>
  <c r="X15" i="9"/>
  <c r="Y15" i="9"/>
  <c r="Y30" i="9" s="1"/>
  <c r="V16" i="9"/>
  <c r="W16" i="9"/>
  <c r="X16" i="9"/>
  <c r="X31" i="9" s="1"/>
  <c r="Y16" i="9"/>
  <c r="Y31" i="9" s="1"/>
  <c r="V17" i="9"/>
  <c r="W17" i="9"/>
  <c r="W32" i="9" s="1"/>
  <c r="X17" i="9"/>
  <c r="Y17" i="9"/>
  <c r="V18" i="9"/>
  <c r="V33" i="9" s="1"/>
  <c r="W18" i="9"/>
  <c r="W33" i="9" s="1"/>
  <c r="X18" i="9"/>
  <c r="Y18" i="9"/>
  <c r="Y33" i="9" s="1"/>
  <c r="V20" i="9"/>
  <c r="X20" i="9"/>
  <c r="Y20" i="9"/>
  <c r="X21" i="9"/>
  <c r="V22" i="9"/>
  <c r="W22" i="9"/>
  <c r="V23" i="9"/>
  <c r="X23" i="9"/>
  <c r="Y23" i="9"/>
  <c r="X24" i="9"/>
  <c r="V25" i="9"/>
  <c r="W25" i="9"/>
  <c r="V26" i="9"/>
  <c r="X26" i="9"/>
  <c r="Y26" i="9"/>
  <c r="X27" i="9"/>
  <c r="V28" i="9"/>
  <c r="W28" i="9"/>
  <c r="V29" i="9"/>
  <c r="X29" i="9"/>
  <c r="Y29" i="9"/>
  <c r="X30" i="9"/>
  <c r="V31" i="9"/>
  <c r="W31" i="9"/>
  <c r="V32" i="9"/>
  <c r="X32" i="9"/>
  <c r="Y32" i="9"/>
  <c r="X33" i="9"/>
  <c r="D47" i="15" l="1"/>
  <c r="D50" i="15"/>
  <c r="F26" i="10" s="1"/>
  <c r="J50" i="15"/>
  <c r="F32" i="10" s="1"/>
  <c r="J47" i="15"/>
  <c r="E50" i="15"/>
  <c r="F27" i="10" s="1"/>
  <c r="E47" i="15"/>
  <c r="K50" i="15"/>
  <c r="F33" i="10" s="1"/>
  <c r="K47" i="15"/>
  <c r="H47" i="15"/>
  <c r="H50" i="15"/>
  <c r="F30" i="10" s="1"/>
  <c r="F47" i="15"/>
  <c r="F50" i="15"/>
  <c r="F28" i="10" s="1"/>
  <c r="I50" i="15"/>
  <c r="F31" i="10" s="1"/>
  <c r="I47" i="15"/>
  <c r="B47" i="15"/>
  <c r="B50" i="15"/>
  <c r="F24" i="10" s="1"/>
  <c r="C47" i="15"/>
  <c r="C50" i="15"/>
  <c r="F25" i="10" s="1"/>
  <c r="G45" i="15"/>
  <c r="G48" i="15" s="1"/>
  <c r="M840" i="1"/>
  <c r="X92" i="12"/>
  <c r="V92" i="12"/>
  <c r="X91" i="12"/>
  <c r="V91" i="12"/>
  <c r="X90" i="12"/>
  <c r="V90" i="12"/>
  <c r="X89" i="12"/>
  <c r="V89" i="12"/>
  <c r="X88" i="12"/>
  <c r="V88" i="12"/>
  <c r="X87" i="12"/>
  <c r="V87" i="12"/>
  <c r="X86" i="12"/>
  <c r="V86" i="12"/>
  <c r="X85" i="12"/>
  <c r="V85" i="12"/>
  <c r="X84" i="12"/>
  <c r="V84" i="12"/>
  <c r="X83" i="12"/>
  <c r="V83" i="12"/>
  <c r="X82" i="12"/>
  <c r="V82" i="12"/>
  <c r="X81" i="12"/>
  <c r="V81" i="12"/>
  <c r="X80" i="12"/>
  <c r="V80" i="12"/>
  <c r="X79" i="12"/>
  <c r="V79" i="12"/>
  <c r="AB671" i="1"/>
  <c r="AB132" i="7" s="1"/>
  <c r="Z671" i="1"/>
  <c r="Z132" i="7" s="1"/>
  <c r="Y92" i="12"/>
  <c r="W92" i="12"/>
  <c r="Y91" i="12"/>
  <c r="W91" i="12"/>
  <c r="Y90" i="12"/>
  <c r="W90" i="12"/>
  <c r="Y89" i="12"/>
  <c r="W89" i="12"/>
  <c r="Y88" i="12"/>
  <c r="W88" i="12"/>
  <c r="Y87" i="12"/>
  <c r="W87" i="12"/>
  <c r="Y86" i="12"/>
  <c r="W86" i="12"/>
  <c r="Y85" i="12"/>
  <c r="W85" i="12"/>
  <c r="Y84" i="12"/>
  <c r="W84" i="12"/>
  <c r="Y83" i="12"/>
  <c r="W83" i="12"/>
  <c r="Y82" i="12"/>
  <c r="W82" i="12"/>
  <c r="Y81" i="12"/>
  <c r="W81" i="12"/>
  <c r="Y80" i="12"/>
  <c r="W80" i="12"/>
  <c r="Y79" i="12"/>
  <c r="W79" i="12"/>
  <c r="AC671" i="1"/>
  <c r="AA671" i="1"/>
  <c r="AA132" i="7" s="1"/>
  <c r="AC1805" i="1"/>
  <c r="AC1731" i="1"/>
  <c r="AC616" i="7" s="1"/>
  <c r="AC1219" i="1"/>
  <c r="AC210" i="7" s="1"/>
  <c r="AC1182" i="1"/>
  <c r="AC1181" i="1"/>
  <c r="AC1180" i="1"/>
  <c r="AC1089" i="1"/>
  <c r="AC1346" i="1" s="1"/>
  <c r="AC342" i="7" s="1"/>
  <c r="AC1087" i="1"/>
  <c r="AC1982" i="1" s="1"/>
  <c r="AC1084" i="1"/>
  <c r="AC1060" i="1"/>
  <c r="AC1063" i="1" s="1"/>
  <c r="AC1018" i="1"/>
  <c r="AC571" i="1"/>
  <c r="AC1216" i="1" s="1"/>
  <c r="AC207" i="7" s="1"/>
  <c r="AC563" i="1"/>
  <c r="AC474" i="1"/>
  <c r="AC473" i="1"/>
  <c r="AC465" i="1"/>
  <c r="AC456" i="1"/>
  <c r="AC441" i="1"/>
  <c r="AC433" i="1"/>
  <c r="AC418" i="1"/>
  <c r="AC417" i="1"/>
  <c r="AC385" i="1"/>
  <c r="AC369" i="1"/>
  <c r="AC359" i="1"/>
  <c r="AC338" i="1"/>
  <c r="AC317" i="1"/>
  <c r="AC295" i="1"/>
  <c r="AC287" i="1"/>
  <c r="AC275" i="1"/>
  <c r="AC262" i="1"/>
  <c r="AC253" i="1"/>
  <c r="AC244" i="1"/>
  <c r="AC236" i="1"/>
  <c r="AC235" i="1"/>
  <c r="AC181" i="1"/>
  <c r="AC80" i="7" s="1"/>
  <c r="AC93" i="1"/>
  <c r="AC82" i="1"/>
  <c r="AB1805" i="1"/>
  <c r="AB1731" i="1"/>
  <c r="AB616" i="7" s="1"/>
  <c r="AB1219" i="1"/>
  <c r="AB210" i="7" s="1"/>
  <c r="AB1181" i="1"/>
  <c r="AB1180" i="1"/>
  <c r="AB1089" i="1"/>
  <c r="AB1087" i="1"/>
  <c r="AB1982" i="1" s="1"/>
  <c r="AB1084" i="1"/>
  <c r="AB1060" i="1"/>
  <c r="AB1063" i="1" s="1"/>
  <c r="AB1018" i="1"/>
  <c r="AB727" i="1"/>
  <c r="AB571" i="1"/>
  <c r="AB1216" i="1" s="1"/>
  <c r="AB207" i="7" s="1"/>
  <c r="AB563" i="1"/>
  <c r="AB474" i="1"/>
  <c r="AB473" i="1"/>
  <c r="AB465" i="1"/>
  <c r="AB456" i="1"/>
  <c r="AB441" i="1"/>
  <c r="AB433" i="1"/>
  <c r="AB418" i="1"/>
  <c r="AB417" i="1"/>
  <c r="AB385" i="1"/>
  <c r="AB369" i="1"/>
  <c r="AB359" i="1"/>
  <c r="AB338" i="1"/>
  <c r="AB317" i="1"/>
  <c r="AB295" i="1"/>
  <c r="AB287" i="1"/>
  <c r="AB275" i="1"/>
  <c r="AB262" i="1"/>
  <c r="AB253" i="1"/>
  <c r="AB244" i="1"/>
  <c r="AB236" i="1"/>
  <c r="AB235" i="1"/>
  <c r="AB181" i="1"/>
  <c r="AB80" i="7" s="1"/>
  <c r="AB93" i="1"/>
  <c r="AB82" i="1"/>
  <c r="AA1805" i="1"/>
  <c r="AA1731" i="1"/>
  <c r="AA616" i="7" s="1"/>
  <c r="AA1219" i="1"/>
  <c r="AA210" i="7" s="1"/>
  <c r="AA1182" i="1"/>
  <c r="AA1181" i="1"/>
  <c r="AA1180" i="1"/>
  <c r="AA1089" i="1"/>
  <c r="AA1346" i="1" s="1"/>
  <c r="AA342" i="7" s="1"/>
  <c r="AA1087" i="1"/>
  <c r="AA1982" i="1" s="1"/>
  <c r="AA1084" i="1"/>
  <c r="AA1060" i="1"/>
  <c r="AA1063" i="1" s="1"/>
  <c r="AA1018" i="1"/>
  <c r="AA728" i="1"/>
  <c r="AA727" i="1"/>
  <c r="AA571" i="1"/>
  <c r="AA1216" i="1" s="1"/>
  <c r="AA207" i="7" s="1"/>
  <c r="AA563" i="1"/>
  <c r="AA474" i="1"/>
  <c r="AA473" i="1"/>
  <c r="AA465" i="1"/>
  <c r="AA456" i="1"/>
  <c r="AA441" i="1"/>
  <c r="AA433" i="1"/>
  <c r="AA418" i="1"/>
  <c r="AA417" i="1"/>
  <c r="AA385" i="1"/>
  <c r="AA369" i="1"/>
  <c r="AA359" i="1"/>
  <c r="AA338" i="1"/>
  <c r="AA317" i="1"/>
  <c r="AA295" i="1"/>
  <c r="AA287" i="1"/>
  <c r="AA275" i="1"/>
  <c r="AA262" i="1"/>
  <c r="AA253" i="1"/>
  <c r="AA244" i="1"/>
  <c r="AA236" i="1"/>
  <c r="AA235" i="1"/>
  <c r="AA181" i="1"/>
  <c r="AA80" i="7" s="1"/>
  <c r="AA93" i="1"/>
  <c r="AA82" i="1"/>
  <c r="Z1805" i="1"/>
  <c r="Z1731" i="1"/>
  <c r="Z616" i="7" s="1"/>
  <c r="Z1346" i="1"/>
  <c r="Z342" i="7" s="1"/>
  <c r="Z1219" i="1"/>
  <c r="Z210" i="7" s="1"/>
  <c r="Z1181" i="1"/>
  <c r="Z1180" i="1"/>
  <c r="Z1089" i="1"/>
  <c r="Z1182" i="1" s="1"/>
  <c r="Z1087" i="1"/>
  <c r="Z1982" i="1" s="1"/>
  <c r="Z1084" i="1"/>
  <c r="Z1060" i="1"/>
  <c r="Z1063" i="1" s="1"/>
  <c r="Z1018" i="1"/>
  <c r="Z727" i="1"/>
  <c r="Z571" i="1"/>
  <c r="Z1216" i="1" s="1"/>
  <c r="Z207" i="7" s="1"/>
  <c r="Z563" i="1"/>
  <c r="Z474" i="1"/>
  <c r="Z473" i="1"/>
  <c r="Z465" i="1"/>
  <c r="Z456" i="1"/>
  <c r="Z441" i="1"/>
  <c r="Z433" i="1"/>
  <c r="Z418" i="1"/>
  <c r="Z417" i="1"/>
  <c r="Z385" i="1"/>
  <c r="Z369" i="1"/>
  <c r="Z359" i="1"/>
  <c r="Z338" i="1"/>
  <c r="Z317" i="1"/>
  <c r="Z295" i="1"/>
  <c r="Z287" i="1"/>
  <c r="Z275" i="1"/>
  <c r="Z262" i="1"/>
  <c r="Z253" i="1"/>
  <c r="Z244" i="1"/>
  <c r="Z236" i="1"/>
  <c r="Z235" i="1"/>
  <c r="Z181" i="1"/>
  <c r="Z80" i="7" s="1"/>
  <c r="Z93" i="1"/>
  <c r="Z82" i="1"/>
  <c r="Y1805" i="1"/>
  <c r="Y1731" i="1"/>
  <c r="Y616" i="7" s="1"/>
  <c r="Y1219" i="1"/>
  <c r="Y210" i="7" s="1"/>
  <c r="Y1181" i="1"/>
  <c r="Y1180" i="1"/>
  <c r="Y1089" i="1"/>
  <c r="Y1087" i="1"/>
  <c r="Y1982" i="1" s="1"/>
  <c r="Y1084" i="1"/>
  <c r="Y1060" i="1"/>
  <c r="Y1063" i="1" s="1"/>
  <c r="Y1018" i="1"/>
  <c r="Y571" i="1"/>
  <c r="Y1216" i="1" s="1"/>
  <c r="Y207" i="7" s="1"/>
  <c r="Y563" i="1"/>
  <c r="Y474" i="1"/>
  <c r="Y473" i="1"/>
  <c r="Y465" i="1"/>
  <c r="Y456" i="1"/>
  <c r="Y441" i="1"/>
  <c r="Y433" i="1"/>
  <c r="Y418" i="1"/>
  <c r="Y417" i="1"/>
  <c r="Y385" i="1"/>
  <c r="Y369" i="1"/>
  <c r="Y359" i="1"/>
  <c r="Y338" i="1"/>
  <c r="Y317" i="1"/>
  <c r="Y295" i="1"/>
  <c r="Y287" i="1"/>
  <c r="Y275" i="1"/>
  <c r="Y262" i="1"/>
  <c r="Y253" i="1"/>
  <c r="Y244" i="1"/>
  <c r="Y236" i="1"/>
  <c r="Y235" i="1"/>
  <c r="Y181" i="1"/>
  <c r="Y80" i="7" s="1"/>
  <c r="Y93" i="1"/>
  <c r="Y82" i="1"/>
  <c r="AC727" i="1" l="1"/>
  <c r="AC132" i="7"/>
  <c r="G47" i="15"/>
  <c r="G50" i="15"/>
  <c r="F29" i="10" s="1"/>
  <c r="N840" i="1"/>
  <c r="AA463" i="1"/>
  <c r="AB463" i="1"/>
  <c r="Y463" i="1"/>
  <c r="Y1345" i="1"/>
  <c r="Y341" i="7" s="1"/>
  <c r="Z463" i="1"/>
  <c r="AB1345" i="1"/>
  <c r="AB341" i="7" s="1"/>
  <c r="AC463" i="1"/>
  <c r="Z728" i="1"/>
  <c r="AB728" i="1"/>
  <c r="Y1346" i="1"/>
  <c r="Y342" i="7" s="1"/>
  <c r="Y1182" i="1"/>
  <c r="Z1345" i="1"/>
  <c r="Z341" i="7" s="1"/>
  <c r="AA1345" i="1"/>
  <c r="AA341" i="7" s="1"/>
  <c r="AB1346" i="1"/>
  <c r="AB342" i="7" s="1"/>
  <c r="AB1182" i="1"/>
  <c r="AC728" i="1"/>
  <c r="AC1345" i="1"/>
  <c r="AC341" i="7" s="1"/>
  <c r="O840" i="1" l="1"/>
  <c r="AB1871" i="1"/>
  <c r="Y1799" i="1"/>
  <c r="AC1871" i="1"/>
  <c r="AC1799" i="1"/>
  <c r="AB1799" i="1"/>
  <c r="AA1871" i="1"/>
  <c r="AA1799" i="1"/>
  <c r="Z1871" i="1"/>
  <c r="Z1799" i="1"/>
  <c r="Y1871" i="1"/>
  <c r="P840" i="1" l="1"/>
  <c r="Q840" i="1" l="1"/>
  <c r="R840" i="1" l="1"/>
  <c r="F6" i="16"/>
  <c r="F10" i="16"/>
  <c r="F11" i="16" s="1"/>
  <c r="F12" i="16" s="1"/>
  <c r="F14" i="16"/>
  <c r="F18" i="16"/>
  <c r="F5" i="16"/>
  <c r="E18" i="16"/>
  <c r="E17" i="16"/>
  <c r="E16" i="16"/>
  <c r="E15" i="16"/>
  <c r="E14" i="16"/>
  <c r="E13" i="16"/>
  <c r="E12" i="16"/>
  <c r="E11" i="16"/>
  <c r="E10" i="16"/>
  <c r="E9" i="16"/>
  <c r="E8" i="16"/>
  <c r="E7" i="16"/>
  <c r="E6" i="16"/>
  <c r="E5" i="16"/>
  <c r="G14" i="16" l="1"/>
  <c r="H14" i="16" s="1"/>
  <c r="J14" i="16" s="1"/>
  <c r="K14" i="16" s="1"/>
  <c r="G6" i="16"/>
  <c r="H6" i="16" s="1"/>
  <c r="J6" i="16" s="1"/>
  <c r="K6" i="16" s="1"/>
  <c r="M6" i="16" s="1"/>
  <c r="F13" i="16"/>
  <c r="G13" i="16" s="1"/>
  <c r="H13" i="16" s="1"/>
  <c r="J13" i="16" s="1"/>
  <c r="K13" i="16" s="1"/>
  <c r="G12" i="16"/>
  <c r="H12" i="16" s="1"/>
  <c r="J12" i="16" s="1"/>
  <c r="K12" i="16" s="1"/>
  <c r="G18" i="16"/>
  <c r="H18" i="16" s="1"/>
  <c r="J18" i="16" s="1"/>
  <c r="K18" i="16" s="1"/>
  <c r="G10" i="16"/>
  <c r="H10" i="16" s="1"/>
  <c r="J10" i="16" s="1"/>
  <c r="K10" i="16" s="1"/>
  <c r="M10" i="16" s="1"/>
  <c r="F7" i="16"/>
  <c r="G7" i="16" s="1"/>
  <c r="H7" i="16" s="1"/>
  <c r="J7" i="16" s="1"/>
  <c r="K7" i="16" s="1"/>
  <c r="M7" i="16" s="1"/>
  <c r="G5" i="16"/>
  <c r="H5" i="16" s="1"/>
  <c r="J5" i="16" s="1"/>
  <c r="K5" i="16" s="1"/>
  <c r="M5" i="16" s="1"/>
  <c r="G11" i="16"/>
  <c r="H11" i="16" s="1"/>
  <c r="J11" i="16" s="1"/>
  <c r="K11" i="16" s="1"/>
  <c r="F15" i="16"/>
  <c r="G15" i="16" s="1"/>
  <c r="H15" i="16" s="1"/>
  <c r="J15" i="16" s="1"/>
  <c r="K15" i="16" s="1"/>
  <c r="S840" i="1"/>
  <c r="D6" i="10"/>
  <c r="D7" i="10"/>
  <c r="D8" i="10"/>
  <c r="D9" i="10"/>
  <c r="D10" i="10"/>
  <c r="D11" i="10"/>
  <c r="D12" i="10"/>
  <c r="D13" i="10"/>
  <c r="D14" i="10"/>
  <c r="D15" i="10"/>
  <c r="D16" i="10"/>
  <c r="D17" i="10"/>
  <c r="D18" i="10"/>
  <c r="D5" i="10"/>
  <c r="A24" i="13"/>
  <c r="F16" i="16" l="1"/>
  <c r="G16" i="16" s="1"/>
  <c r="H16" i="16" s="1"/>
  <c r="J16" i="16" s="1"/>
  <c r="K16" i="16" s="1"/>
  <c r="F8" i="16"/>
  <c r="G8" i="16" s="1"/>
  <c r="H8" i="16" s="1"/>
  <c r="J8" i="16" s="1"/>
  <c r="K8" i="16" s="1"/>
  <c r="M8" i="16" s="1"/>
  <c r="M11" i="16"/>
  <c r="T840" i="1"/>
  <c r="F44" i="12"/>
  <c r="D4" i="15" s="1"/>
  <c r="F48" i="12"/>
  <c r="H4" i="15" s="1"/>
  <c r="F47" i="12"/>
  <c r="G4" i="15" s="1"/>
  <c r="F45" i="12"/>
  <c r="E4" i="15" s="1"/>
  <c r="F43" i="12"/>
  <c r="C4" i="15" s="1"/>
  <c r="F42" i="12"/>
  <c r="D19" i="10"/>
  <c r="F17" i="16"/>
  <c r="G17" i="16" s="1"/>
  <c r="H17" i="16" s="1"/>
  <c r="J17" i="16" s="1"/>
  <c r="K17" i="16" s="1"/>
  <c r="F9" i="16" l="1"/>
  <c r="G9" i="16" s="1"/>
  <c r="H9" i="16" s="1"/>
  <c r="J9" i="16" s="1"/>
  <c r="K9" i="16" s="1"/>
  <c r="M9" i="16" s="1"/>
  <c r="F46" i="12" s="1"/>
  <c r="F4" i="15" s="1"/>
  <c r="M12" i="16"/>
  <c r="F49" i="12" s="1"/>
  <c r="I4" i="15" s="1"/>
  <c r="B4" i="15"/>
  <c r="U840" i="1"/>
  <c r="D4" i="14"/>
  <c r="D5" i="14"/>
  <c r="D6" i="14"/>
  <c r="D7" i="14"/>
  <c r="D8" i="14"/>
  <c r="D9" i="14"/>
  <c r="D10" i="14"/>
  <c r="D11" i="14"/>
  <c r="D12" i="14"/>
  <c r="D13" i="14"/>
  <c r="D14" i="14"/>
  <c r="D15" i="14"/>
  <c r="D16" i="14"/>
  <c r="D17" i="14"/>
  <c r="D18" i="14"/>
  <c r="D19" i="14"/>
  <c r="D20" i="14"/>
  <c r="D21" i="14"/>
  <c r="D22" i="14"/>
  <c r="D23" i="14"/>
  <c r="D24" i="14"/>
  <c r="D26" i="14"/>
  <c r="D27" i="14"/>
  <c r="D28" i="14"/>
  <c r="D29" i="14"/>
  <c r="D30" i="14"/>
  <c r="D31" i="14"/>
  <c r="D33" i="14"/>
  <c r="D34" i="14"/>
  <c r="D35" i="14"/>
  <c r="D36" i="14"/>
  <c r="D37" i="14"/>
  <c r="D38" i="14"/>
  <c r="B39" i="14"/>
  <c r="B41" i="14"/>
  <c r="B42" i="14"/>
  <c r="M13" i="16" l="1"/>
  <c r="F50" i="12" s="1"/>
  <c r="J4" i="15" s="1"/>
  <c r="V840" i="1"/>
  <c r="D42" i="14"/>
  <c r="D39" i="14"/>
  <c r="D41" i="14"/>
  <c r="B434" i="1"/>
  <c r="X433" i="1"/>
  <c r="W433" i="1"/>
  <c r="V433" i="1"/>
  <c r="U433" i="1"/>
  <c r="T433" i="1"/>
  <c r="S433" i="1"/>
  <c r="R433" i="1"/>
  <c r="Q433" i="1"/>
  <c r="P433" i="1"/>
  <c r="O433" i="1"/>
  <c r="N433" i="1"/>
  <c r="M433" i="1"/>
  <c r="L433" i="1"/>
  <c r="K433" i="1"/>
  <c r="J433" i="1"/>
  <c r="I433" i="1"/>
  <c r="H433" i="1"/>
  <c r="G433" i="1"/>
  <c r="F433" i="1"/>
  <c r="AE432" i="1"/>
  <c r="F431" i="1"/>
  <c r="F427" i="1"/>
  <c r="F425" i="1"/>
  <c r="F419" i="1" s="1"/>
  <c r="B420" i="1"/>
  <c r="B430" i="1" s="1"/>
  <c r="X417" i="1"/>
  <c r="W417" i="1"/>
  <c r="V417" i="1"/>
  <c r="U417" i="1"/>
  <c r="T417" i="1"/>
  <c r="S417" i="1"/>
  <c r="R417" i="1"/>
  <c r="Q417" i="1"/>
  <c r="P417" i="1"/>
  <c r="O417" i="1"/>
  <c r="N417" i="1"/>
  <c r="M417" i="1"/>
  <c r="L417" i="1"/>
  <c r="K417" i="1"/>
  <c r="J417" i="1"/>
  <c r="I417" i="1"/>
  <c r="H417" i="1"/>
  <c r="G417" i="1"/>
  <c r="F417" i="1"/>
  <c r="B417" i="1"/>
  <c r="D412" i="1"/>
  <c r="C20" i="15"/>
  <c r="D20" i="15" s="1"/>
  <c r="E20" i="15" s="1"/>
  <c r="M14" i="16" l="1"/>
  <c r="F51" i="12" s="1"/>
  <c r="K4" i="15" s="1"/>
  <c r="W840" i="1"/>
  <c r="F422" i="1"/>
  <c r="F420" i="1" s="1"/>
  <c r="X422" i="1"/>
  <c r="X420" i="1" s="1"/>
  <c r="AC422" i="1"/>
  <c r="AC420" i="1" s="1"/>
  <c r="AB422" i="1"/>
  <c r="AB420" i="1" s="1"/>
  <c r="AA422" i="1"/>
  <c r="AA420" i="1" s="1"/>
  <c r="Z422" i="1"/>
  <c r="Z420" i="1" s="1"/>
  <c r="Y422" i="1"/>
  <c r="Y420" i="1" s="1"/>
  <c r="X434" i="1"/>
  <c r="AC434" i="1"/>
  <c r="AB434" i="1"/>
  <c r="AA434" i="1"/>
  <c r="Z434" i="1"/>
  <c r="Y434" i="1"/>
  <c r="I434" i="1"/>
  <c r="M434" i="1"/>
  <c r="Q434" i="1"/>
  <c r="U434" i="1"/>
  <c r="G434" i="1"/>
  <c r="K434" i="1"/>
  <c r="O434" i="1"/>
  <c r="S434" i="1"/>
  <c r="W434" i="1"/>
  <c r="AE417" i="1"/>
  <c r="AE433" i="1"/>
  <c r="H422" i="1"/>
  <c r="H420" i="1" s="1"/>
  <c r="L422" i="1"/>
  <c r="L420" i="1" s="1"/>
  <c r="P422" i="1"/>
  <c r="P420" i="1" s="1"/>
  <c r="T422" i="1"/>
  <c r="T420" i="1" s="1"/>
  <c r="W422" i="1"/>
  <c r="W420" i="1" s="1"/>
  <c r="U422" i="1"/>
  <c r="U420" i="1" s="1"/>
  <c r="S422" i="1"/>
  <c r="S420" i="1" s="1"/>
  <c r="Q422" i="1"/>
  <c r="Q420" i="1" s="1"/>
  <c r="O422" i="1"/>
  <c r="O420" i="1" s="1"/>
  <c r="M422" i="1"/>
  <c r="M420" i="1" s="1"/>
  <c r="K422" i="1"/>
  <c r="K420" i="1" s="1"/>
  <c r="G422" i="1"/>
  <c r="G420" i="1" s="1"/>
  <c r="J422" i="1"/>
  <c r="J420" i="1" s="1"/>
  <c r="N422" i="1"/>
  <c r="N420" i="1" s="1"/>
  <c r="R422" i="1"/>
  <c r="R420" i="1" s="1"/>
  <c r="V422" i="1"/>
  <c r="V420" i="1" s="1"/>
  <c r="F434" i="1"/>
  <c r="H434" i="1"/>
  <c r="J434" i="1"/>
  <c r="L434" i="1"/>
  <c r="N434" i="1"/>
  <c r="P434" i="1"/>
  <c r="R434" i="1"/>
  <c r="T434" i="1"/>
  <c r="V434" i="1"/>
  <c r="F20" i="15"/>
  <c r="M15" i="16" l="1"/>
  <c r="F52" i="12" s="1"/>
  <c r="L4" i="15" s="1"/>
  <c r="X840" i="1"/>
  <c r="F424" i="1"/>
  <c r="F426" i="1" s="1"/>
  <c r="AE434" i="1"/>
  <c r="G20" i="15"/>
  <c r="M16" i="16" l="1"/>
  <c r="F53" i="12" s="1"/>
  <c r="M4" i="15" s="1"/>
  <c r="Y840" i="1"/>
  <c r="G424" i="1"/>
  <c r="H424" i="1" s="1"/>
  <c r="H20" i="15"/>
  <c r="M18" i="16" l="1"/>
  <c r="F55" i="12" s="1"/>
  <c r="O4" i="15" s="1"/>
  <c r="M17" i="16"/>
  <c r="F54" i="12" s="1"/>
  <c r="N4" i="15" s="1"/>
  <c r="Z840" i="1"/>
  <c r="M46" i="12"/>
  <c r="M50" i="12"/>
  <c r="M54" i="12"/>
  <c r="M49" i="12"/>
  <c r="M42" i="12"/>
  <c r="M45" i="12"/>
  <c r="M53" i="12"/>
  <c r="M48" i="12"/>
  <c r="M44" i="12"/>
  <c r="L54" i="12"/>
  <c r="L46" i="12"/>
  <c r="L50" i="12"/>
  <c r="L42" i="12"/>
  <c r="L45" i="12"/>
  <c r="L49" i="12"/>
  <c r="L48" i="12"/>
  <c r="L44" i="12"/>
  <c r="K46" i="12"/>
  <c r="K50" i="12"/>
  <c r="K45" i="12"/>
  <c r="K42" i="12"/>
  <c r="K49" i="12"/>
  <c r="K52" i="12"/>
  <c r="J46" i="12"/>
  <c r="J50" i="12"/>
  <c r="J42" i="12"/>
  <c r="J49" i="12"/>
  <c r="J45" i="12"/>
  <c r="J53" i="12"/>
  <c r="J55" i="12"/>
  <c r="J52" i="12"/>
  <c r="I46" i="12"/>
  <c r="I50" i="12"/>
  <c r="I49" i="12"/>
  <c r="I55" i="12"/>
  <c r="I42" i="12"/>
  <c r="I45" i="12"/>
  <c r="I53" i="12"/>
  <c r="I52" i="12"/>
  <c r="H54" i="12"/>
  <c r="H53" i="12"/>
  <c r="H55" i="12"/>
  <c r="H44" i="12"/>
  <c r="H52" i="12"/>
  <c r="H48" i="12"/>
  <c r="G54" i="12"/>
  <c r="G55" i="12"/>
  <c r="I20" i="15"/>
  <c r="AA840" i="1" l="1"/>
  <c r="M43" i="12"/>
  <c r="M47" i="12"/>
  <c r="L43" i="12"/>
  <c r="L47" i="12"/>
  <c r="K43" i="12"/>
  <c r="K47" i="12"/>
  <c r="K51" i="12"/>
  <c r="J43" i="12"/>
  <c r="J47" i="12"/>
  <c r="J51" i="12"/>
  <c r="I51" i="12"/>
  <c r="H43" i="12"/>
  <c r="H47" i="12"/>
  <c r="H51" i="12"/>
  <c r="J20" i="15"/>
  <c r="N43" i="12"/>
  <c r="O44" i="12"/>
  <c r="O45" i="12"/>
  <c r="N46" i="12"/>
  <c r="O46" i="12"/>
  <c r="P46" i="12"/>
  <c r="N47" i="12"/>
  <c r="O48" i="12"/>
  <c r="O49" i="12"/>
  <c r="N50" i="12"/>
  <c r="O50" i="12"/>
  <c r="P50" i="12"/>
  <c r="N51" i="12"/>
  <c r="P51" i="12"/>
  <c r="N52" i="12"/>
  <c r="P52" i="12"/>
  <c r="N53" i="12"/>
  <c r="P53" i="12"/>
  <c r="O54" i="12"/>
  <c r="P54" i="12"/>
  <c r="N55" i="12"/>
  <c r="P55" i="12"/>
  <c r="P42" i="12"/>
  <c r="O42" i="12"/>
  <c r="R17" i="12"/>
  <c r="R55" i="12" s="1"/>
  <c r="O8" i="15" s="1"/>
  <c r="Q17" i="12"/>
  <c r="Q55" i="12" s="1"/>
  <c r="O7" i="15" s="1"/>
  <c r="O17" i="12"/>
  <c r="O55" i="12" s="1"/>
  <c r="M17" i="12"/>
  <c r="M55" i="12" s="1"/>
  <c r="L17" i="12"/>
  <c r="L55" i="12" s="1"/>
  <c r="K17" i="12"/>
  <c r="F17" i="12"/>
  <c r="R16" i="12"/>
  <c r="R54" i="12" s="1"/>
  <c r="N8" i="15" s="1"/>
  <c r="Q16" i="12"/>
  <c r="Q54" i="12" s="1"/>
  <c r="N7" i="15" s="1"/>
  <c r="N16" i="12"/>
  <c r="N54" i="12" s="1"/>
  <c r="K16" i="12"/>
  <c r="K54" i="12" s="1"/>
  <c r="J16" i="12"/>
  <c r="J54" i="12" s="1"/>
  <c r="I16" i="12"/>
  <c r="I54" i="12" s="1"/>
  <c r="F16" i="12"/>
  <c r="R15" i="12"/>
  <c r="R53" i="12" s="1"/>
  <c r="M8" i="15" s="1"/>
  <c r="Q15" i="12"/>
  <c r="Q53" i="12" s="1"/>
  <c r="M7" i="15" s="1"/>
  <c r="O15" i="12"/>
  <c r="O53" i="12" s="1"/>
  <c r="L15" i="12"/>
  <c r="L53" i="12" s="1"/>
  <c r="K15" i="12"/>
  <c r="K53" i="12" s="1"/>
  <c r="G15" i="12"/>
  <c r="G53" i="12" s="1"/>
  <c r="F15" i="12"/>
  <c r="R14" i="12"/>
  <c r="R52" i="12" s="1"/>
  <c r="L8" i="15" s="1"/>
  <c r="Q14" i="12"/>
  <c r="Q52" i="12" s="1"/>
  <c r="L7" i="15" s="1"/>
  <c r="O14" i="12"/>
  <c r="O52" i="12" s="1"/>
  <c r="M14" i="12"/>
  <c r="M52" i="12" s="1"/>
  <c r="L14" i="12"/>
  <c r="L52" i="12" s="1"/>
  <c r="G14" i="12"/>
  <c r="G52" i="12" s="1"/>
  <c r="F14" i="12"/>
  <c r="R13" i="12"/>
  <c r="R51" i="12" s="1"/>
  <c r="K8" i="15" s="1"/>
  <c r="Q13" i="12"/>
  <c r="Q51" i="12" s="1"/>
  <c r="K7" i="15" s="1"/>
  <c r="O13" i="12"/>
  <c r="O51" i="12" s="1"/>
  <c r="M13" i="12"/>
  <c r="M51" i="12" s="1"/>
  <c r="L13" i="12"/>
  <c r="L51" i="12" s="1"/>
  <c r="G13" i="12"/>
  <c r="G51" i="12" s="1"/>
  <c r="F13" i="12"/>
  <c r="R12" i="12"/>
  <c r="R50" i="12" s="1"/>
  <c r="J8" i="15" s="1"/>
  <c r="Q12" i="12"/>
  <c r="Q50" i="12" s="1"/>
  <c r="J7" i="15" s="1"/>
  <c r="H12" i="12"/>
  <c r="H50" i="12" s="1"/>
  <c r="G12" i="12"/>
  <c r="G50" i="12" s="1"/>
  <c r="F12" i="12"/>
  <c r="R11" i="12"/>
  <c r="R49" i="12" s="1"/>
  <c r="I8" i="15" s="1"/>
  <c r="Q11" i="12"/>
  <c r="Q49" i="12" s="1"/>
  <c r="I7" i="15" s="1"/>
  <c r="P11" i="12"/>
  <c r="P49" i="12" s="1"/>
  <c r="N11" i="12"/>
  <c r="N49" i="12" s="1"/>
  <c r="H11" i="12"/>
  <c r="H49" i="12" s="1"/>
  <c r="G11" i="12"/>
  <c r="G49" i="12" s="1"/>
  <c r="F11" i="12"/>
  <c r="R10" i="12"/>
  <c r="R48" i="12" s="1"/>
  <c r="H8" i="15" s="1"/>
  <c r="Q10" i="12"/>
  <c r="Q48" i="12" s="1"/>
  <c r="H7" i="15" s="1"/>
  <c r="P10" i="12"/>
  <c r="P48" i="12" s="1"/>
  <c r="N10" i="12"/>
  <c r="N48" i="12" s="1"/>
  <c r="K10" i="12"/>
  <c r="K48" i="12" s="1"/>
  <c r="J10" i="12"/>
  <c r="J48" i="12" s="1"/>
  <c r="I10" i="12"/>
  <c r="I48" i="12" s="1"/>
  <c r="G10" i="12"/>
  <c r="G48" i="12" s="1"/>
  <c r="F10" i="12"/>
  <c r="R9" i="12"/>
  <c r="R47" i="12" s="1"/>
  <c r="G8" i="15" s="1"/>
  <c r="Q9" i="12"/>
  <c r="Q47" i="12" s="1"/>
  <c r="G7" i="15" s="1"/>
  <c r="P9" i="12"/>
  <c r="P47" i="12" s="1"/>
  <c r="O9" i="12"/>
  <c r="O47" i="12" s="1"/>
  <c r="I9" i="12"/>
  <c r="I47" i="12" s="1"/>
  <c r="G9" i="12"/>
  <c r="G47" i="12" s="1"/>
  <c r="F9" i="12"/>
  <c r="R8" i="12"/>
  <c r="R46" i="12" s="1"/>
  <c r="F8" i="15" s="1"/>
  <c r="Q8" i="12"/>
  <c r="Q46" i="12" s="1"/>
  <c r="F7" i="15" s="1"/>
  <c r="H8" i="12"/>
  <c r="H46" i="12" s="1"/>
  <c r="G8" i="12"/>
  <c r="G46" i="12" s="1"/>
  <c r="F8" i="12"/>
  <c r="R7" i="12"/>
  <c r="R45" i="12" s="1"/>
  <c r="E8" i="15" s="1"/>
  <c r="Q7" i="12"/>
  <c r="Q45" i="12" s="1"/>
  <c r="E7" i="15" s="1"/>
  <c r="P7" i="12"/>
  <c r="P45" i="12" s="1"/>
  <c r="N7" i="12"/>
  <c r="N45" i="12" s="1"/>
  <c r="H7" i="12"/>
  <c r="H45" i="12" s="1"/>
  <c r="G7" i="12"/>
  <c r="G45" i="12" s="1"/>
  <c r="F7" i="12"/>
  <c r="R6" i="12"/>
  <c r="R44" i="12" s="1"/>
  <c r="D8" i="15" s="1"/>
  <c r="Q6" i="12"/>
  <c r="Q44" i="12" s="1"/>
  <c r="D7" i="15" s="1"/>
  <c r="P6" i="12"/>
  <c r="P44" i="12" s="1"/>
  <c r="N6" i="12"/>
  <c r="N44" i="12" s="1"/>
  <c r="K6" i="12"/>
  <c r="K44" i="12" s="1"/>
  <c r="J6" i="12"/>
  <c r="J44" i="12" s="1"/>
  <c r="I6" i="12"/>
  <c r="I44" i="12" s="1"/>
  <c r="G6" i="12"/>
  <c r="G44" i="12" s="1"/>
  <c r="F6" i="12"/>
  <c r="R5" i="12"/>
  <c r="R43" i="12" s="1"/>
  <c r="C8" i="15" s="1"/>
  <c r="Q5" i="12"/>
  <c r="Q43" i="12" s="1"/>
  <c r="C7" i="15" s="1"/>
  <c r="P5" i="12"/>
  <c r="P43" i="12" s="1"/>
  <c r="O5" i="12"/>
  <c r="I5" i="12"/>
  <c r="I43" i="12" s="1"/>
  <c r="G5" i="12"/>
  <c r="G43" i="12" s="1"/>
  <c r="F5" i="12"/>
  <c r="R4" i="12"/>
  <c r="Q4" i="12"/>
  <c r="Q42" i="12" s="1"/>
  <c r="B7" i="15" s="1"/>
  <c r="N4" i="12"/>
  <c r="H4" i="12"/>
  <c r="H42" i="12" s="1"/>
  <c r="G4" i="12"/>
  <c r="G42" i="12" s="1"/>
  <c r="F4" i="12"/>
  <c r="E6" i="15" l="1"/>
  <c r="AB840" i="1"/>
  <c r="X44" i="12"/>
  <c r="Y44" i="12" s="1"/>
  <c r="X46" i="12"/>
  <c r="Y46" i="12" s="1"/>
  <c r="X48" i="12"/>
  <c r="Y48" i="12" s="1"/>
  <c r="X50" i="12"/>
  <c r="Y50" i="12" s="1"/>
  <c r="X54" i="12"/>
  <c r="Y54" i="12" s="1"/>
  <c r="X52" i="12"/>
  <c r="Y52" i="12" s="1"/>
  <c r="X42" i="12"/>
  <c r="Y42" i="12" s="1"/>
  <c r="X45" i="12"/>
  <c r="Y45" i="12" s="1"/>
  <c r="X49" i="12"/>
  <c r="Y49" i="12" s="1"/>
  <c r="X53" i="12"/>
  <c r="Y53" i="12" s="1"/>
  <c r="K55" i="12"/>
  <c r="X55" i="12" s="1"/>
  <c r="Y55" i="12" s="1"/>
  <c r="X43" i="12"/>
  <c r="Y43" i="12" s="1"/>
  <c r="X51" i="12"/>
  <c r="Y51" i="12" s="1"/>
  <c r="X47" i="12"/>
  <c r="Y47" i="12" s="1"/>
  <c r="I6" i="15"/>
  <c r="N6" i="15"/>
  <c r="D5" i="15"/>
  <c r="F5" i="15"/>
  <c r="I5" i="15"/>
  <c r="E5" i="15"/>
  <c r="M5" i="15"/>
  <c r="H5" i="15"/>
  <c r="J5" i="15"/>
  <c r="L5" i="15"/>
  <c r="N5" i="15"/>
  <c r="B5" i="15"/>
  <c r="D6" i="15"/>
  <c r="H6" i="15"/>
  <c r="O6" i="15"/>
  <c r="M6" i="15"/>
  <c r="L6" i="15"/>
  <c r="K6" i="15"/>
  <c r="G6" i="15"/>
  <c r="J6" i="15"/>
  <c r="F6" i="15"/>
  <c r="C5" i="15"/>
  <c r="K20" i="15"/>
  <c r="G5" i="15"/>
  <c r="K5" i="15"/>
  <c r="G19" i="12"/>
  <c r="N19" i="12"/>
  <c r="N42" i="12"/>
  <c r="B6" i="15" s="1"/>
  <c r="R19" i="12"/>
  <c r="R42" i="12"/>
  <c r="B8" i="15" s="1"/>
  <c r="S5" i="12"/>
  <c r="S43" i="12" s="1"/>
  <c r="C9" i="15" s="1"/>
  <c r="O19" i="12"/>
  <c r="O43" i="12"/>
  <c r="C6" i="15" s="1"/>
  <c r="K19" i="12"/>
  <c r="S7" i="12"/>
  <c r="S45" i="12" s="1"/>
  <c r="E9" i="15" s="1"/>
  <c r="S9" i="12"/>
  <c r="S47" i="12" s="1"/>
  <c r="G9" i="15" s="1"/>
  <c r="S11" i="12"/>
  <c r="S49" i="12" s="1"/>
  <c r="I9" i="15" s="1"/>
  <c r="S13" i="12"/>
  <c r="S51" i="12" s="1"/>
  <c r="K9" i="15" s="1"/>
  <c r="S15" i="12"/>
  <c r="S53" i="12" s="1"/>
  <c r="M9" i="15" s="1"/>
  <c r="S17" i="12"/>
  <c r="S55" i="12" s="1"/>
  <c r="M19" i="12"/>
  <c r="H19" i="12"/>
  <c r="Q19" i="12"/>
  <c r="I19" i="12"/>
  <c r="P19" i="12"/>
  <c r="S6" i="12"/>
  <c r="S44" i="12" s="1"/>
  <c r="D9" i="15" s="1"/>
  <c r="J19" i="12"/>
  <c r="S8" i="12"/>
  <c r="S46" i="12" s="1"/>
  <c r="T46" i="12" s="1"/>
  <c r="S10" i="12"/>
  <c r="S48" i="12" s="1"/>
  <c r="T48" i="12" s="1"/>
  <c r="S12" i="12"/>
  <c r="S50" i="12" s="1"/>
  <c r="T50" i="12" s="1"/>
  <c r="L19" i="12"/>
  <c r="S14" i="12"/>
  <c r="S52" i="12" s="1"/>
  <c r="T52" i="12" s="1"/>
  <c r="S16" i="12"/>
  <c r="S54" i="12" s="1"/>
  <c r="T54" i="12" s="1"/>
  <c r="S4" i="12"/>
  <c r="T55" i="12" l="1"/>
  <c r="AC840" i="1"/>
  <c r="O5" i="15"/>
  <c r="W106" i="12"/>
  <c r="V106" i="12"/>
  <c r="X106" i="12"/>
  <c r="Y106" i="12"/>
  <c r="V100" i="12"/>
  <c r="W100" i="12"/>
  <c r="Y100" i="12"/>
  <c r="X100" i="12"/>
  <c r="W104" i="12"/>
  <c r="V104" i="12"/>
  <c r="X104" i="12"/>
  <c r="Y104" i="12"/>
  <c r="V102" i="12"/>
  <c r="W102" i="12"/>
  <c r="Y102" i="12"/>
  <c r="X102" i="12"/>
  <c r="X98" i="12"/>
  <c r="W98" i="12"/>
  <c r="Y98" i="12"/>
  <c r="V98" i="12"/>
  <c r="T45" i="12"/>
  <c r="T51" i="12"/>
  <c r="C10" i="15"/>
  <c r="C11" i="15" s="1"/>
  <c r="T53" i="12"/>
  <c r="E10" i="15"/>
  <c r="E11" i="15" s="1"/>
  <c r="T44" i="12"/>
  <c r="T47" i="12"/>
  <c r="K10" i="15"/>
  <c r="K11" i="15" s="1"/>
  <c r="M10" i="15"/>
  <c r="M11" i="15" s="1"/>
  <c r="T49" i="12"/>
  <c r="D10" i="15"/>
  <c r="D11" i="15" s="1"/>
  <c r="T43" i="12"/>
  <c r="G10" i="15"/>
  <c r="G11" i="15" s="1"/>
  <c r="I10" i="15"/>
  <c r="I11" i="15" s="1"/>
  <c r="L20" i="15"/>
  <c r="L9" i="15"/>
  <c r="L10" i="15" s="1"/>
  <c r="L11" i="15" s="1"/>
  <c r="J9" i="15"/>
  <c r="F9" i="15"/>
  <c r="F10" i="15" s="1"/>
  <c r="F11" i="15" s="1"/>
  <c r="O9" i="15"/>
  <c r="N9" i="15"/>
  <c r="H9" i="15"/>
  <c r="S19" i="12"/>
  <c r="S42" i="12"/>
  <c r="T42" i="12" s="1"/>
  <c r="B889" i="1"/>
  <c r="B890" i="1" s="1"/>
  <c r="B871" i="1"/>
  <c r="B872" i="1" s="1"/>
  <c r="C5" i="9"/>
  <c r="C20" i="9" s="1"/>
  <c r="D5" i="9"/>
  <c r="D20" i="9" s="1"/>
  <c r="E5" i="9"/>
  <c r="E20" i="9" s="1"/>
  <c r="F5" i="9"/>
  <c r="F20" i="9" s="1"/>
  <c r="G5" i="9"/>
  <c r="G20" i="9" s="1"/>
  <c r="H5" i="9"/>
  <c r="H20" i="9" s="1"/>
  <c r="I5" i="9"/>
  <c r="I20" i="9" s="1"/>
  <c r="J5" i="9"/>
  <c r="J20" i="9" s="1"/>
  <c r="K5" i="9"/>
  <c r="K20" i="9" s="1"/>
  <c r="L5" i="9"/>
  <c r="L20" i="9" s="1"/>
  <c r="M5" i="9"/>
  <c r="M20" i="9" s="1"/>
  <c r="N5" i="9"/>
  <c r="N20" i="9" s="1"/>
  <c r="O5" i="9"/>
  <c r="O20" i="9" s="1"/>
  <c r="P5" i="9"/>
  <c r="P20" i="9" s="1"/>
  <c r="Q5" i="9"/>
  <c r="Q20" i="9" s="1"/>
  <c r="R5" i="9"/>
  <c r="R20" i="9" s="1"/>
  <c r="S5" i="9"/>
  <c r="S20" i="9" s="1"/>
  <c r="T5" i="9"/>
  <c r="T20" i="9" s="1"/>
  <c r="U5" i="9"/>
  <c r="U20" i="9" s="1"/>
  <c r="C6" i="9"/>
  <c r="C21" i="9" s="1"/>
  <c r="D6" i="9"/>
  <c r="D21" i="9" s="1"/>
  <c r="E6" i="9"/>
  <c r="E21" i="9" s="1"/>
  <c r="F6" i="9"/>
  <c r="F21" i="9" s="1"/>
  <c r="G6" i="9"/>
  <c r="G21" i="9" s="1"/>
  <c r="H6" i="9"/>
  <c r="H21" i="9" s="1"/>
  <c r="I6" i="9"/>
  <c r="I21" i="9" s="1"/>
  <c r="J6" i="9"/>
  <c r="J21" i="9" s="1"/>
  <c r="K6" i="9"/>
  <c r="K21" i="9" s="1"/>
  <c r="L6" i="9"/>
  <c r="L21" i="9" s="1"/>
  <c r="M6" i="9"/>
  <c r="M21" i="9" s="1"/>
  <c r="N6" i="9"/>
  <c r="N21" i="9" s="1"/>
  <c r="O6" i="9"/>
  <c r="O21" i="9" s="1"/>
  <c r="P6" i="9"/>
  <c r="P21" i="9" s="1"/>
  <c r="Q6" i="9"/>
  <c r="Q21" i="9" s="1"/>
  <c r="R6" i="9"/>
  <c r="R21" i="9" s="1"/>
  <c r="S6" i="9"/>
  <c r="S21" i="9" s="1"/>
  <c r="T6" i="9"/>
  <c r="T21" i="9" s="1"/>
  <c r="U6" i="9"/>
  <c r="U21" i="9" s="1"/>
  <c r="C7" i="9"/>
  <c r="C22" i="9" s="1"/>
  <c r="D7" i="9"/>
  <c r="D22" i="9" s="1"/>
  <c r="E7" i="9"/>
  <c r="E22" i="9" s="1"/>
  <c r="F7" i="9"/>
  <c r="F22" i="9" s="1"/>
  <c r="G7" i="9"/>
  <c r="G22" i="9" s="1"/>
  <c r="H7" i="9"/>
  <c r="H22" i="9" s="1"/>
  <c r="I7" i="9"/>
  <c r="I22" i="9" s="1"/>
  <c r="J7" i="9"/>
  <c r="J22" i="9" s="1"/>
  <c r="K7" i="9"/>
  <c r="K22" i="9" s="1"/>
  <c r="L7" i="9"/>
  <c r="L22" i="9" s="1"/>
  <c r="M7" i="9"/>
  <c r="M22" i="9" s="1"/>
  <c r="N7" i="9"/>
  <c r="N22" i="9" s="1"/>
  <c r="O7" i="9"/>
  <c r="O22" i="9" s="1"/>
  <c r="P7" i="9"/>
  <c r="P22" i="9" s="1"/>
  <c r="Q7" i="9"/>
  <c r="Q22" i="9" s="1"/>
  <c r="R7" i="9"/>
  <c r="R22" i="9" s="1"/>
  <c r="S7" i="9"/>
  <c r="S22" i="9" s="1"/>
  <c r="T7" i="9"/>
  <c r="T22" i="9" s="1"/>
  <c r="U7" i="9"/>
  <c r="U22" i="9" s="1"/>
  <c r="C8" i="9"/>
  <c r="C23" i="9" s="1"/>
  <c r="D8" i="9"/>
  <c r="D23" i="9" s="1"/>
  <c r="E8" i="9"/>
  <c r="E23" i="9" s="1"/>
  <c r="F8" i="9"/>
  <c r="F23" i="9" s="1"/>
  <c r="G8" i="9"/>
  <c r="G23" i="9" s="1"/>
  <c r="H8" i="9"/>
  <c r="H23" i="9" s="1"/>
  <c r="I8" i="9"/>
  <c r="I23" i="9" s="1"/>
  <c r="J8" i="9"/>
  <c r="J23" i="9" s="1"/>
  <c r="K8" i="9"/>
  <c r="K23" i="9" s="1"/>
  <c r="L8" i="9"/>
  <c r="L23" i="9" s="1"/>
  <c r="M8" i="9"/>
  <c r="M23" i="9" s="1"/>
  <c r="N8" i="9"/>
  <c r="N23" i="9" s="1"/>
  <c r="O8" i="9"/>
  <c r="O23" i="9" s="1"/>
  <c r="P8" i="9"/>
  <c r="P23" i="9" s="1"/>
  <c r="Q8" i="9"/>
  <c r="Q23" i="9" s="1"/>
  <c r="R8" i="9"/>
  <c r="R23" i="9" s="1"/>
  <c r="S8" i="9"/>
  <c r="S23" i="9" s="1"/>
  <c r="T8" i="9"/>
  <c r="T23" i="9" s="1"/>
  <c r="U8" i="9"/>
  <c r="U23" i="9" s="1"/>
  <c r="C9" i="9"/>
  <c r="C24" i="9" s="1"/>
  <c r="D9" i="9"/>
  <c r="D24" i="9" s="1"/>
  <c r="E9" i="9"/>
  <c r="E24" i="9" s="1"/>
  <c r="F9" i="9"/>
  <c r="F24" i="9" s="1"/>
  <c r="G9" i="9"/>
  <c r="G24" i="9" s="1"/>
  <c r="H9" i="9"/>
  <c r="H24" i="9" s="1"/>
  <c r="I9" i="9"/>
  <c r="I24" i="9" s="1"/>
  <c r="J9" i="9"/>
  <c r="J24" i="9" s="1"/>
  <c r="K9" i="9"/>
  <c r="K24" i="9" s="1"/>
  <c r="L9" i="9"/>
  <c r="L24" i="9" s="1"/>
  <c r="M9" i="9"/>
  <c r="M24" i="9" s="1"/>
  <c r="N9" i="9"/>
  <c r="N24" i="9" s="1"/>
  <c r="O9" i="9"/>
  <c r="O24" i="9" s="1"/>
  <c r="P9" i="9"/>
  <c r="P24" i="9" s="1"/>
  <c r="Q9" i="9"/>
  <c r="Q24" i="9" s="1"/>
  <c r="R9" i="9"/>
  <c r="R24" i="9" s="1"/>
  <c r="S9" i="9"/>
  <c r="S24" i="9" s="1"/>
  <c r="T9" i="9"/>
  <c r="T24" i="9" s="1"/>
  <c r="U9" i="9"/>
  <c r="U24" i="9" s="1"/>
  <c r="C10" i="9"/>
  <c r="C25" i="9" s="1"/>
  <c r="D10" i="9"/>
  <c r="D25" i="9" s="1"/>
  <c r="E10" i="9"/>
  <c r="E25" i="9" s="1"/>
  <c r="F10" i="9"/>
  <c r="F25" i="9" s="1"/>
  <c r="G10" i="9"/>
  <c r="G25" i="9" s="1"/>
  <c r="H10" i="9"/>
  <c r="H25" i="9" s="1"/>
  <c r="I10" i="9"/>
  <c r="I25" i="9" s="1"/>
  <c r="J10" i="9"/>
  <c r="J25" i="9" s="1"/>
  <c r="K10" i="9"/>
  <c r="K25" i="9" s="1"/>
  <c r="L10" i="9"/>
  <c r="L25" i="9" s="1"/>
  <c r="M10" i="9"/>
  <c r="M25" i="9" s="1"/>
  <c r="N10" i="9"/>
  <c r="N25" i="9" s="1"/>
  <c r="O10" i="9"/>
  <c r="O25" i="9" s="1"/>
  <c r="P10" i="9"/>
  <c r="P25" i="9" s="1"/>
  <c r="Q10" i="9"/>
  <c r="Q25" i="9" s="1"/>
  <c r="R10" i="9"/>
  <c r="R25" i="9" s="1"/>
  <c r="S10" i="9"/>
  <c r="S25" i="9" s="1"/>
  <c r="T10" i="9"/>
  <c r="T25" i="9" s="1"/>
  <c r="U10" i="9"/>
  <c r="U25" i="9" s="1"/>
  <c r="C11" i="9"/>
  <c r="C26" i="9" s="1"/>
  <c r="D11" i="9"/>
  <c r="D26" i="9" s="1"/>
  <c r="E11" i="9"/>
  <c r="E26" i="9" s="1"/>
  <c r="F11" i="9"/>
  <c r="F26" i="9" s="1"/>
  <c r="G11" i="9"/>
  <c r="G26" i="9" s="1"/>
  <c r="H11" i="9"/>
  <c r="H26" i="9" s="1"/>
  <c r="I11" i="9"/>
  <c r="I26" i="9" s="1"/>
  <c r="J11" i="9"/>
  <c r="J26" i="9" s="1"/>
  <c r="K11" i="9"/>
  <c r="K26" i="9" s="1"/>
  <c r="L11" i="9"/>
  <c r="L26" i="9" s="1"/>
  <c r="M11" i="9"/>
  <c r="M26" i="9" s="1"/>
  <c r="N11" i="9"/>
  <c r="N26" i="9" s="1"/>
  <c r="O11" i="9"/>
  <c r="O26" i="9" s="1"/>
  <c r="P11" i="9"/>
  <c r="P26" i="9" s="1"/>
  <c r="Q11" i="9"/>
  <c r="Q26" i="9" s="1"/>
  <c r="R11" i="9"/>
  <c r="R26" i="9" s="1"/>
  <c r="S11" i="9"/>
  <c r="S26" i="9" s="1"/>
  <c r="T11" i="9"/>
  <c r="T26" i="9" s="1"/>
  <c r="U11" i="9"/>
  <c r="U26" i="9" s="1"/>
  <c r="C12" i="9"/>
  <c r="C27" i="9" s="1"/>
  <c r="D12" i="9"/>
  <c r="D27" i="9" s="1"/>
  <c r="E12" i="9"/>
  <c r="E27" i="9" s="1"/>
  <c r="F12" i="9"/>
  <c r="F27" i="9" s="1"/>
  <c r="G12" i="9"/>
  <c r="G27" i="9" s="1"/>
  <c r="H12" i="9"/>
  <c r="H27" i="9" s="1"/>
  <c r="I12" i="9"/>
  <c r="I27" i="9" s="1"/>
  <c r="J12" i="9"/>
  <c r="J27" i="9" s="1"/>
  <c r="K12" i="9"/>
  <c r="K27" i="9" s="1"/>
  <c r="L12" i="9"/>
  <c r="L27" i="9" s="1"/>
  <c r="M12" i="9"/>
  <c r="M27" i="9" s="1"/>
  <c r="N12" i="9"/>
  <c r="N27" i="9" s="1"/>
  <c r="O12" i="9"/>
  <c r="O27" i="9" s="1"/>
  <c r="P12" i="9"/>
  <c r="P27" i="9" s="1"/>
  <c r="Q12" i="9"/>
  <c r="Q27" i="9" s="1"/>
  <c r="R12" i="9"/>
  <c r="R27" i="9" s="1"/>
  <c r="S12" i="9"/>
  <c r="S27" i="9" s="1"/>
  <c r="T12" i="9"/>
  <c r="T27" i="9" s="1"/>
  <c r="U12" i="9"/>
  <c r="U27" i="9" s="1"/>
  <c r="C13" i="9"/>
  <c r="C28" i="9" s="1"/>
  <c r="D13" i="9"/>
  <c r="D28" i="9" s="1"/>
  <c r="E13" i="9"/>
  <c r="E28" i="9" s="1"/>
  <c r="F13" i="9"/>
  <c r="F28" i="9" s="1"/>
  <c r="G13" i="9"/>
  <c r="G28" i="9" s="1"/>
  <c r="H13" i="9"/>
  <c r="H28" i="9" s="1"/>
  <c r="I13" i="9"/>
  <c r="I28" i="9" s="1"/>
  <c r="J13" i="9"/>
  <c r="J28" i="9" s="1"/>
  <c r="K13" i="9"/>
  <c r="K28" i="9" s="1"/>
  <c r="L13" i="9"/>
  <c r="L28" i="9" s="1"/>
  <c r="M13" i="9"/>
  <c r="M28" i="9" s="1"/>
  <c r="N13" i="9"/>
  <c r="N28" i="9" s="1"/>
  <c r="O13" i="9"/>
  <c r="O28" i="9" s="1"/>
  <c r="P13" i="9"/>
  <c r="P28" i="9" s="1"/>
  <c r="Q13" i="9"/>
  <c r="Q28" i="9" s="1"/>
  <c r="R13" i="9"/>
  <c r="R28" i="9" s="1"/>
  <c r="S13" i="9"/>
  <c r="S28" i="9" s="1"/>
  <c r="T13" i="9"/>
  <c r="T28" i="9" s="1"/>
  <c r="U13" i="9"/>
  <c r="U28" i="9" s="1"/>
  <c r="C14" i="9"/>
  <c r="C29" i="9" s="1"/>
  <c r="D14" i="9"/>
  <c r="D29" i="9" s="1"/>
  <c r="E14" i="9"/>
  <c r="E29" i="9" s="1"/>
  <c r="F14" i="9"/>
  <c r="F29" i="9" s="1"/>
  <c r="G14" i="9"/>
  <c r="G29" i="9" s="1"/>
  <c r="H14" i="9"/>
  <c r="H29" i="9" s="1"/>
  <c r="I14" i="9"/>
  <c r="I29" i="9" s="1"/>
  <c r="J14" i="9"/>
  <c r="J29" i="9" s="1"/>
  <c r="K14" i="9"/>
  <c r="K29" i="9" s="1"/>
  <c r="L14" i="9"/>
  <c r="L29" i="9" s="1"/>
  <c r="M14" i="9"/>
  <c r="M29" i="9" s="1"/>
  <c r="N14" i="9"/>
  <c r="N29" i="9" s="1"/>
  <c r="O14" i="9"/>
  <c r="O29" i="9" s="1"/>
  <c r="P14" i="9"/>
  <c r="P29" i="9" s="1"/>
  <c r="Q14" i="9"/>
  <c r="Q29" i="9" s="1"/>
  <c r="R14" i="9"/>
  <c r="R29" i="9" s="1"/>
  <c r="S14" i="9"/>
  <c r="S29" i="9" s="1"/>
  <c r="T14" i="9"/>
  <c r="T29" i="9" s="1"/>
  <c r="U14" i="9"/>
  <c r="U29" i="9" s="1"/>
  <c r="C15" i="9"/>
  <c r="C30" i="9" s="1"/>
  <c r="D15" i="9"/>
  <c r="D30" i="9" s="1"/>
  <c r="E15" i="9"/>
  <c r="E30" i="9" s="1"/>
  <c r="F15" i="9"/>
  <c r="F30" i="9" s="1"/>
  <c r="G15" i="9"/>
  <c r="G30" i="9" s="1"/>
  <c r="H15" i="9"/>
  <c r="H30" i="9" s="1"/>
  <c r="I15" i="9"/>
  <c r="I30" i="9" s="1"/>
  <c r="J15" i="9"/>
  <c r="J30" i="9" s="1"/>
  <c r="K15" i="9"/>
  <c r="K30" i="9" s="1"/>
  <c r="L15" i="9"/>
  <c r="L30" i="9" s="1"/>
  <c r="M15" i="9"/>
  <c r="M30" i="9" s="1"/>
  <c r="N15" i="9"/>
  <c r="N30" i="9" s="1"/>
  <c r="O15" i="9"/>
  <c r="O30" i="9" s="1"/>
  <c r="P15" i="9"/>
  <c r="P30" i="9" s="1"/>
  <c r="Q15" i="9"/>
  <c r="Q30" i="9" s="1"/>
  <c r="R15" i="9"/>
  <c r="R30" i="9" s="1"/>
  <c r="S15" i="9"/>
  <c r="S30" i="9" s="1"/>
  <c r="T15" i="9"/>
  <c r="T30" i="9" s="1"/>
  <c r="U15" i="9"/>
  <c r="U30" i="9" s="1"/>
  <c r="C16" i="9"/>
  <c r="C31" i="9" s="1"/>
  <c r="D16" i="9"/>
  <c r="D31" i="9" s="1"/>
  <c r="E16" i="9"/>
  <c r="E31" i="9" s="1"/>
  <c r="F16" i="9"/>
  <c r="F31" i="9" s="1"/>
  <c r="G16" i="9"/>
  <c r="G31" i="9" s="1"/>
  <c r="H16" i="9"/>
  <c r="H31" i="9" s="1"/>
  <c r="I16" i="9"/>
  <c r="I31" i="9" s="1"/>
  <c r="J16" i="9"/>
  <c r="J31" i="9" s="1"/>
  <c r="K16" i="9"/>
  <c r="K31" i="9" s="1"/>
  <c r="L16" i="9"/>
  <c r="L31" i="9" s="1"/>
  <c r="M16" i="9"/>
  <c r="M31" i="9" s="1"/>
  <c r="N16" i="9"/>
  <c r="N31" i="9" s="1"/>
  <c r="O16" i="9"/>
  <c r="O31" i="9" s="1"/>
  <c r="P16" i="9"/>
  <c r="P31" i="9" s="1"/>
  <c r="Q16" i="9"/>
  <c r="Q31" i="9" s="1"/>
  <c r="R16" i="9"/>
  <c r="R31" i="9" s="1"/>
  <c r="S16" i="9"/>
  <c r="S31" i="9" s="1"/>
  <c r="T16" i="9"/>
  <c r="T31" i="9" s="1"/>
  <c r="U16" i="9"/>
  <c r="U31" i="9" s="1"/>
  <c r="C17" i="9"/>
  <c r="C32" i="9" s="1"/>
  <c r="D17" i="9"/>
  <c r="D32" i="9" s="1"/>
  <c r="E17" i="9"/>
  <c r="E32" i="9" s="1"/>
  <c r="F17" i="9"/>
  <c r="F32" i="9" s="1"/>
  <c r="G17" i="9"/>
  <c r="G32" i="9" s="1"/>
  <c r="H17" i="9"/>
  <c r="H32" i="9" s="1"/>
  <c r="I17" i="9"/>
  <c r="I32" i="9" s="1"/>
  <c r="J17" i="9"/>
  <c r="J32" i="9" s="1"/>
  <c r="K17" i="9"/>
  <c r="K32" i="9" s="1"/>
  <c r="L17" i="9"/>
  <c r="L32" i="9" s="1"/>
  <c r="M17" i="9"/>
  <c r="M32" i="9" s="1"/>
  <c r="N17" i="9"/>
  <c r="N32" i="9" s="1"/>
  <c r="O17" i="9"/>
  <c r="O32" i="9" s="1"/>
  <c r="P17" i="9"/>
  <c r="P32" i="9" s="1"/>
  <c r="Q17" i="9"/>
  <c r="Q32" i="9" s="1"/>
  <c r="R17" i="9"/>
  <c r="R32" i="9" s="1"/>
  <c r="S17" i="9"/>
  <c r="S32" i="9" s="1"/>
  <c r="T17" i="9"/>
  <c r="T32" i="9" s="1"/>
  <c r="U17" i="9"/>
  <c r="U32" i="9" s="1"/>
  <c r="C18" i="9"/>
  <c r="C33" i="9" s="1"/>
  <c r="D18" i="9"/>
  <c r="D33" i="9" s="1"/>
  <c r="E18" i="9"/>
  <c r="E33" i="9" s="1"/>
  <c r="F18" i="9"/>
  <c r="F33" i="9" s="1"/>
  <c r="G18" i="9"/>
  <c r="G33" i="9" s="1"/>
  <c r="H18" i="9"/>
  <c r="H33" i="9" s="1"/>
  <c r="I18" i="9"/>
  <c r="I33" i="9" s="1"/>
  <c r="J18" i="9"/>
  <c r="J33" i="9" s="1"/>
  <c r="K18" i="9"/>
  <c r="K33" i="9" s="1"/>
  <c r="L18" i="9"/>
  <c r="L33" i="9" s="1"/>
  <c r="M18" i="9"/>
  <c r="M33" i="9" s="1"/>
  <c r="N18" i="9"/>
  <c r="N33" i="9" s="1"/>
  <c r="O18" i="9"/>
  <c r="O33" i="9" s="1"/>
  <c r="P18" i="9"/>
  <c r="P33" i="9" s="1"/>
  <c r="Q18" i="9"/>
  <c r="Q33" i="9" s="1"/>
  <c r="R18" i="9"/>
  <c r="R33" i="9" s="1"/>
  <c r="S18" i="9"/>
  <c r="S33" i="9" s="1"/>
  <c r="T18" i="9"/>
  <c r="T33" i="9" s="1"/>
  <c r="U18" i="9"/>
  <c r="U33" i="9" s="1"/>
  <c r="B18" i="9"/>
  <c r="B33" i="9" s="1"/>
  <c r="B17" i="9"/>
  <c r="B32" i="9" s="1"/>
  <c r="B16" i="9"/>
  <c r="B31" i="9" s="1"/>
  <c r="B15" i="9"/>
  <c r="B30" i="9" s="1"/>
  <c r="B14" i="9"/>
  <c r="B29" i="9" s="1"/>
  <c r="B13" i="9"/>
  <c r="B28" i="9" s="1"/>
  <c r="B12" i="9"/>
  <c r="B27" i="9" s="1"/>
  <c r="B11" i="9"/>
  <c r="B26" i="9" s="1"/>
  <c r="B10" i="9"/>
  <c r="B25" i="9" s="1"/>
  <c r="B9" i="9"/>
  <c r="B24" i="9" s="1"/>
  <c r="B8" i="9"/>
  <c r="B23" i="9" s="1"/>
  <c r="B7" i="9"/>
  <c r="B22" i="9" s="1"/>
  <c r="B6" i="9"/>
  <c r="B21" i="9" s="1"/>
  <c r="B5" i="9"/>
  <c r="B20" i="9" s="1"/>
  <c r="G15" i="15" l="1"/>
  <c r="G18" i="15"/>
  <c r="G16" i="15"/>
  <c r="G14" i="15"/>
  <c r="G17" i="15"/>
  <c r="F15" i="15"/>
  <c r="F18" i="15"/>
  <c r="F16" i="15"/>
  <c r="F14" i="15"/>
  <c r="F17" i="15"/>
  <c r="D16" i="15"/>
  <c r="D17" i="15"/>
  <c r="D14" i="15"/>
  <c r="D15" i="15"/>
  <c r="D18" i="15"/>
  <c r="E16" i="15"/>
  <c r="E14" i="15"/>
  <c r="E17" i="15"/>
  <c r="E15" i="15"/>
  <c r="E18" i="15"/>
  <c r="L15" i="15"/>
  <c r="L18" i="15"/>
  <c r="L16" i="15"/>
  <c r="L14" i="15"/>
  <c r="L17" i="15"/>
  <c r="M15" i="15"/>
  <c r="M18" i="15"/>
  <c r="M16" i="15"/>
  <c r="M14" i="15"/>
  <c r="M17" i="15"/>
  <c r="C14" i="15"/>
  <c r="C17" i="15"/>
  <c r="C15" i="15"/>
  <c r="C18" i="15"/>
  <c r="C16" i="15"/>
  <c r="I14" i="15"/>
  <c r="I17" i="15"/>
  <c r="I15" i="15"/>
  <c r="I18" i="15"/>
  <c r="I16" i="15"/>
  <c r="K16" i="15"/>
  <c r="K14" i="15"/>
  <c r="K17" i="15"/>
  <c r="K15" i="15"/>
  <c r="K18" i="15"/>
  <c r="X107" i="12"/>
  <c r="V107" i="12"/>
  <c r="W107" i="12"/>
  <c r="Y107" i="12"/>
  <c r="B80" i="12"/>
  <c r="B95" i="12" s="1"/>
  <c r="B84" i="12"/>
  <c r="B88" i="12"/>
  <c r="B103" i="12" s="1"/>
  <c r="B92" i="12"/>
  <c r="B107" i="12" s="1"/>
  <c r="R92" i="12"/>
  <c r="R107" i="12" s="1"/>
  <c r="N92" i="12"/>
  <c r="N107" i="12" s="1"/>
  <c r="J92" i="12"/>
  <c r="J107" i="12" s="1"/>
  <c r="H92" i="12"/>
  <c r="H107" i="12" s="1"/>
  <c r="D92" i="12"/>
  <c r="D107" i="12" s="1"/>
  <c r="S91" i="12"/>
  <c r="S106" i="12" s="1"/>
  <c r="O91" i="12"/>
  <c r="O106" i="12" s="1"/>
  <c r="K91" i="12"/>
  <c r="K106" i="12" s="1"/>
  <c r="G91" i="12"/>
  <c r="G106" i="12" s="1"/>
  <c r="C91" i="12"/>
  <c r="R90" i="12"/>
  <c r="R105" i="12" s="1"/>
  <c r="B79" i="12"/>
  <c r="B81" i="12"/>
  <c r="B96" i="12" s="1"/>
  <c r="B83" i="12"/>
  <c r="B98" i="12" s="1"/>
  <c r="B85" i="12"/>
  <c r="B100" i="12" s="1"/>
  <c r="B87" i="12"/>
  <c r="B102" i="12" s="1"/>
  <c r="B89" i="12"/>
  <c r="B104" i="12" s="1"/>
  <c r="B91" i="12"/>
  <c r="B106" i="12" s="1"/>
  <c r="U92" i="12"/>
  <c r="S92" i="12"/>
  <c r="S107" i="12" s="1"/>
  <c r="Q92" i="12"/>
  <c r="Q107" i="12" s="1"/>
  <c r="O92" i="12"/>
  <c r="M92" i="12"/>
  <c r="M107" i="12" s="1"/>
  <c r="K92" i="12"/>
  <c r="K107" i="12" s="1"/>
  <c r="I92" i="12"/>
  <c r="I107" i="12" s="1"/>
  <c r="G92" i="12"/>
  <c r="G107" i="12" s="1"/>
  <c r="E92" i="12"/>
  <c r="E107" i="12" s="1"/>
  <c r="C92" i="12"/>
  <c r="C107" i="12" s="1"/>
  <c r="T91" i="12"/>
  <c r="T106" i="12" s="1"/>
  <c r="R91" i="12"/>
  <c r="R106" i="12" s="1"/>
  <c r="P91" i="12"/>
  <c r="P106" i="12" s="1"/>
  <c r="N91" i="12"/>
  <c r="L91" i="12"/>
  <c r="L106" i="12" s="1"/>
  <c r="J91" i="12"/>
  <c r="J106" i="12" s="1"/>
  <c r="H91" i="12"/>
  <c r="H106" i="12" s="1"/>
  <c r="F91" i="12"/>
  <c r="F106" i="12" s="1"/>
  <c r="D91" i="12"/>
  <c r="D106" i="12" s="1"/>
  <c r="U90" i="12"/>
  <c r="S90" i="12"/>
  <c r="S105" i="12" s="1"/>
  <c r="Q90" i="12"/>
  <c r="O90" i="12"/>
  <c r="O105" i="12" s="1"/>
  <c r="M90" i="12"/>
  <c r="M105" i="12" s="1"/>
  <c r="K90" i="12"/>
  <c r="K105" i="12" s="1"/>
  <c r="I90" i="12"/>
  <c r="G90" i="12"/>
  <c r="G105" i="12" s="1"/>
  <c r="E90" i="12"/>
  <c r="E105" i="12" s="1"/>
  <c r="C90" i="12"/>
  <c r="C105" i="12" s="1"/>
  <c r="T89" i="12"/>
  <c r="T104" i="12" s="1"/>
  <c r="R89" i="12"/>
  <c r="R104" i="12" s="1"/>
  <c r="P89" i="12"/>
  <c r="N89" i="12"/>
  <c r="N104" i="12" s="1"/>
  <c r="L89" i="12"/>
  <c r="L104" i="12" s="1"/>
  <c r="J89" i="12"/>
  <c r="J104" i="12" s="1"/>
  <c r="H89" i="12"/>
  <c r="F89" i="12"/>
  <c r="F104" i="12" s="1"/>
  <c r="D89" i="12"/>
  <c r="D104" i="12" s="1"/>
  <c r="U88" i="12"/>
  <c r="U103" i="12" s="1"/>
  <c r="S88" i="12"/>
  <c r="S103" i="12" s="1"/>
  <c r="Q88" i="12"/>
  <c r="Q103" i="12" s="1"/>
  <c r="O88" i="12"/>
  <c r="O103" i="12" s="1"/>
  <c r="M88" i="12"/>
  <c r="M103" i="12" s="1"/>
  <c r="K88" i="12"/>
  <c r="K103" i="12" s="1"/>
  <c r="I88" i="12"/>
  <c r="I103" i="12" s="1"/>
  <c r="G88" i="12"/>
  <c r="E88" i="12"/>
  <c r="E103" i="12" s="1"/>
  <c r="C88" i="12"/>
  <c r="C103" i="12" s="1"/>
  <c r="T87" i="12"/>
  <c r="T102" i="12" s="1"/>
  <c r="R87" i="12"/>
  <c r="R102" i="12" s="1"/>
  <c r="P87" i="12"/>
  <c r="P102" i="12" s="1"/>
  <c r="N87" i="12"/>
  <c r="N102" i="12" s="1"/>
  <c r="L87" i="12"/>
  <c r="L102" i="12" s="1"/>
  <c r="J87" i="12"/>
  <c r="J102" i="12" s="1"/>
  <c r="H87" i="12"/>
  <c r="H102" i="12" s="1"/>
  <c r="F87" i="12"/>
  <c r="F102" i="12" s="1"/>
  <c r="D87" i="12"/>
  <c r="D102" i="12" s="1"/>
  <c r="U86" i="12"/>
  <c r="U101" i="12" s="1"/>
  <c r="S86" i="12"/>
  <c r="S101" i="12" s="1"/>
  <c r="Q86" i="12"/>
  <c r="Q101" i="12" s="1"/>
  <c r="O86" i="12"/>
  <c r="O101" i="12" s="1"/>
  <c r="M86" i="12"/>
  <c r="K86" i="12"/>
  <c r="I86" i="12"/>
  <c r="I101" i="12" s="1"/>
  <c r="G86" i="12"/>
  <c r="G101" i="12" s="1"/>
  <c r="E86" i="12"/>
  <c r="C86" i="12"/>
  <c r="C101" i="12" s="1"/>
  <c r="T85" i="12"/>
  <c r="T100" i="12" s="1"/>
  <c r="R85" i="12"/>
  <c r="P85" i="12"/>
  <c r="P100" i="12" s="1"/>
  <c r="N85" i="12"/>
  <c r="N100" i="12" s="1"/>
  <c r="L85" i="12"/>
  <c r="L100" i="12" s="1"/>
  <c r="J85" i="12"/>
  <c r="J100" i="12" s="1"/>
  <c r="H85" i="12"/>
  <c r="F85" i="12"/>
  <c r="F100" i="12" s="1"/>
  <c r="D85" i="12"/>
  <c r="D100" i="12" s="1"/>
  <c r="U84" i="12"/>
  <c r="U99" i="12" s="1"/>
  <c r="S84" i="12"/>
  <c r="S99" i="12" s="1"/>
  <c r="Q84" i="12"/>
  <c r="O84" i="12"/>
  <c r="M84" i="12"/>
  <c r="M99" i="12" s="1"/>
  <c r="K84" i="12"/>
  <c r="K99" i="12" s="1"/>
  <c r="I84" i="12"/>
  <c r="I99" i="12" s="1"/>
  <c r="G84" i="12"/>
  <c r="G99" i="12" s="1"/>
  <c r="E84" i="12"/>
  <c r="E99" i="12" s="1"/>
  <c r="C84" i="12"/>
  <c r="C99" i="12" s="1"/>
  <c r="T83" i="12"/>
  <c r="R83" i="12"/>
  <c r="R98" i="12" s="1"/>
  <c r="P83" i="12"/>
  <c r="P98" i="12" s="1"/>
  <c r="N83" i="12"/>
  <c r="N98" i="12" s="1"/>
  <c r="L83" i="12"/>
  <c r="L98" i="12" s="1"/>
  <c r="J83" i="12"/>
  <c r="J98" i="12" s="1"/>
  <c r="H83" i="12"/>
  <c r="H98" i="12" s="1"/>
  <c r="F83" i="12"/>
  <c r="F98" i="12" s="1"/>
  <c r="D83" i="12"/>
  <c r="D98" i="12" s="1"/>
  <c r="U82" i="12"/>
  <c r="U97" i="12" s="1"/>
  <c r="S82" i="12"/>
  <c r="S97" i="12" s="1"/>
  <c r="Q82" i="12"/>
  <c r="Q97" i="12" s="1"/>
  <c r="O82" i="12"/>
  <c r="O97" i="12" s="1"/>
  <c r="M82" i="12"/>
  <c r="M97" i="12" s="1"/>
  <c r="K82" i="12"/>
  <c r="K97" i="12" s="1"/>
  <c r="I82" i="12"/>
  <c r="I97" i="12" s="1"/>
  <c r="G82" i="12"/>
  <c r="G97" i="12" s="1"/>
  <c r="E82" i="12"/>
  <c r="C82" i="12"/>
  <c r="C97" i="12" s="1"/>
  <c r="T81" i="12"/>
  <c r="T96" i="12" s="1"/>
  <c r="R81" i="12"/>
  <c r="R96" i="12" s="1"/>
  <c r="P81" i="12"/>
  <c r="P96" i="12" s="1"/>
  <c r="N81" i="12"/>
  <c r="L81" i="12"/>
  <c r="J81" i="12"/>
  <c r="J96" i="12" s="1"/>
  <c r="H81" i="12"/>
  <c r="H96" i="12" s="1"/>
  <c r="F81" i="12"/>
  <c r="F96" i="12" s="1"/>
  <c r="D81" i="12"/>
  <c r="D96" i="12" s="1"/>
  <c r="U80" i="12"/>
  <c r="U95" i="12" s="1"/>
  <c r="S80" i="12"/>
  <c r="S95" i="12" s="1"/>
  <c r="Q80" i="12"/>
  <c r="Q95" i="12" s="1"/>
  <c r="O80" i="12"/>
  <c r="O95" i="12" s="1"/>
  <c r="M80" i="12"/>
  <c r="M95" i="12" s="1"/>
  <c r="K80" i="12"/>
  <c r="K95" i="12" s="1"/>
  <c r="I80" i="12"/>
  <c r="G80" i="12"/>
  <c r="E80" i="12"/>
  <c r="E95" i="12" s="1"/>
  <c r="C80" i="12"/>
  <c r="C95" i="12" s="1"/>
  <c r="T79" i="12"/>
  <c r="R79" i="12"/>
  <c r="P79" i="12"/>
  <c r="N79" i="12"/>
  <c r="L79" i="12"/>
  <c r="L94" i="12" s="1"/>
  <c r="J79" i="12"/>
  <c r="J94" i="12" s="1"/>
  <c r="H79" i="12"/>
  <c r="F79" i="12"/>
  <c r="D79" i="12"/>
  <c r="D94" i="12" s="1"/>
  <c r="B82" i="12"/>
  <c r="B97" i="12" s="1"/>
  <c r="B86" i="12"/>
  <c r="B101" i="12" s="1"/>
  <c r="B90" i="12"/>
  <c r="B105" i="12" s="1"/>
  <c r="T92" i="12"/>
  <c r="T107" i="12" s="1"/>
  <c r="P92" i="12"/>
  <c r="L92" i="12"/>
  <c r="L107" i="12" s="1"/>
  <c r="F92" i="12"/>
  <c r="F107" i="12" s="1"/>
  <c r="U91" i="12"/>
  <c r="U106" i="12" s="1"/>
  <c r="Q91" i="12"/>
  <c r="Q106" i="12" s="1"/>
  <c r="M91" i="12"/>
  <c r="M106" i="12" s="1"/>
  <c r="I91" i="12"/>
  <c r="I106" i="12" s="1"/>
  <c r="E91" i="12"/>
  <c r="E106" i="12" s="1"/>
  <c r="T90" i="12"/>
  <c r="P90" i="12"/>
  <c r="P105" i="12" s="1"/>
  <c r="N90" i="12"/>
  <c r="L90" i="12"/>
  <c r="L105" i="12" s="1"/>
  <c r="J90" i="12"/>
  <c r="J105" i="12" s="1"/>
  <c r="H90" i="12"/>
  <c r="H105" i="12" s="1"/>
  <c r="F90" i="12"/>
  <c r="D90" i="12"/>
  <c r="D105" i="12" s="1"/>
  <c r="U89" i="12"/>
  <c r="S89" i="12"/>
  <c r="S104" i="12" s="1"/>
  <c r="Q89" i="12"/>
  <c r="Q104" i="12" s="1"/>
  <c r="O89" i="12"/>
  <c r="O104" i="12" s="1"/>
  <c r="M89" i="12"/>
  <c r="K89" i="12"/>
  <c r="K104" i="12" s="1"/>
  <c r="I89" i="12"/>
  <c r="I104" i="12" s="1"/>
  <c r="G89" i="12"/>
  <c r="G104" i="12" s="1"/>
  <c r="E89" i="12"/>
  <c r="E104" i="12" s="1"/>
  <c r="C89" i="12"/>
  <c r="C104" i="12" s="1"/>
  <c r="T88" i="12"/>
  <c r="R88" i="12"/>
  <c r="R103" i="12" s="1"/>
  <c r="P88" i="12"/>
  <c r="P103" i="12" s="1"/>
  <c r="N88" i="12"/>
  <c r="N103" i="12" s="1"/>
  <c r="L88" i="12"/>
  <c r="L103" i="12" s="1"/>
  <c r="J88" i="12"/>
  <c r="J103" i="12" s="1"/>
  <c r="H88" i="12"/>
  <c r="H103" i="12" s="1"/>
  <c r="F88" i="12"/>
  <c r="F103" i="12" s="1"/>
  <c r="D88" i="12"/>
  <c r="U87" i="12"/>
  <c r="S87" i="12"/>
  <c r="S102" i="12" s="1"/>
  <c r="Q87" i="12"/>
  <c r="Q102" i="12" s="1"/>
  <c r="O87" i="12"/>
  <c r="O102" i="12" s="1"/>
  <c r="M87" i="12"/>
  <c r="M102" i="12" s="1"/>
  <c r="K87" i="12"/>
  <c r="K102" i="12" s="1"/>
  <c r="I87" i="12"/>
  <c r="I102" i="12" s="1"/>
  <c r="G87" i="12"/>
  <c r="G102" i="12" s="1"/>
  <c r="E87" i="12"/>
  <c r="E102" i="12" s="1"/>
  <c r="C87" i="12"/>
  <c r="C102" i="12" s="1"/>
  <c r="T86" i="12"/>
  <c r="R86" i="12"/>
  <c r="R101" i="12" s="1"/>
  <c r="P86" i="12"/>
  <c r="N86" i="12"/>
  <c r="N101" i="12" s="1"/>
  <c r="L86" i="12"/>
  <c r="L101" i="12" s="1"/>
  <c r="J86" i="12"/>
  <c r="J101" i="12" s="1"/>
  <c r="H86" i="12"/>
  <c r="H101" i="12" s="1"/>
  <c r="F86" i="12"/>
  <c r="F101" i="12" s="1"/>
  <c r="D86" i="12"/>
  <c r="D101" i="12" s="1"/>
  <c r="U85" i="12"/>
  <c r="U100" i="12" s="1"/>
  <c r="S85" i="12"/>
  <c r="S100" i="12" s="1"/>
  <c r="Q85" i="12"/>
  <c r="Q100" i="12" s="1"/>
  <c r="O85" i="12"/>
  <c r="O100" i="12" s="1"/>
  <c r="M85" i="12"/>
  <c r="M100" i="12" s="1"/>
  <c r="K85" i="12"/>
  <c r="K100" i="12" s="1"/>
  <c r="I85" i="12"/>
  <c r="I100" i="12" s="1"/>
  <c r="G85" i="12"/>
  <c r="G100" i="12" s="1"/>
  <c r="E85" i="12"/>
  <c r="C85" i="12"/>
  <c r="C100" i="12" s="1"/>
  <c r="T84" i="12"/>
  <c r="T99" i="12" s="1"/>
  <c r="R84" i="12"/>
  <c r="R99" i="12" s="1"/>
  <c r="P84" i="12"/>
  <c r="P99" i="12" s="1"/>
  <c r="N84" i="12"/>
  <c r="N99" i="12" s="1"/>
  <c r="L84" i="12"/>
  <c r="J84" i="12"/>
  <c r="J99" i="12" s="1"/>
  <c r="H84" i="12"/>
  <c r="H99" i="12" s="1"/>
  <c r="F84" i="12"/>
  <c r="F99" i="12" s="1"/>
  <c r="D84" i="12"/>
  <c r="D99" i="12" s="1"/>
  <c r="U83" i="12"/>
  <c r="U98" i="12" s="1"/>
  <c r="S83" i="12"/>
  <c r="Q83" i="12"/>
  <c r="Q98" i="12" s="1"/>
  <c r="O83" i="12"/>
  <c r="O98" i="12" s="1"/>
  <c r="M83" i="12"/>
  <c r="M98" i="12" s="1"/>
  <c r="K83" i="12"/>
  <c r="K98" i="12" s="1"/>
  <c r="I83" i="12"/>
  <c r="I98" i="12" s="1"/>
  <c r="G83" i="12"/>
  <c r="G98" i="12" s="1"/>
  <c r="E83" i="12"/>
  <c r="E98" i="12" s="1"/>
  <c r="C83" i="12"/>
  <c r="T82" i="12"/>
  <c r="T97" i="12" s="1"/>
  <c r="R82" i="12"/>
  <c r="P82" i="12"/>
  <c r="P97" i="12" s="1"/>
  <c r="N82" i="12"/>
  <c r="L82" i="12"/>
  <c r="L97" i="12" s="1"/>
  <c r="J82" i="12"/>
  <c r="H82" i="12"/>
  <c r="H97" i="12" s="1"/>
  <c r="F82" i="12"/>
  <c r="F97" i="12" s="1"/>
  <c r="D82" i="12"/>
  <c r="D97" i="12" s="1"/>
  <c r="U81" i="12"/>
  <c r="S81" i="12"/>
  <c r="S96" i="12" s="1"/>
  <c r="Q81" i="12"/>
  <c r="Q96" i="12" s="1"/>
  <c r="O81" i="12"/>
  <c r="O96" i="12" s="1"/>
  <c r="M81" i="12"/>
  <c r="M96" i="12" s="1"/>
  <c r="K81" i="12"/>
  <c r="K96" i="12" s="1"/>
  <c r="I81" i="12"/>
  <c r="G81" i="12"/>
  <c r="G96" i="12" s="1"/>
  <c r="E81" i="12"/>
  <c r="C81" i="12"/>
  <c r="C96" i="12" s="1"/>
  <c r="T80" i="12"/>
  <c r="T95" i="12" s="1"/>
  <c r="R80" i="12"/>
  <c r="R95" i="12" s="1"/>
  <c r="P80" i="12"/>
  <c r="P95" i="12" s="1"/>
  <c r="N80" i="12"/>
  <c r="N95" i="12" s="1"/>
  <c r="L80" i="12"/>
  <c r="J80" i="12"/>
  <c r="J95" i="12" s="1"/>
  <c r="H80" i="12"/>
  <c r="H95" i="12" s="1"/>
  <c r="F80" i="12"/>
  <c r="F95" i="12" s="1"/>
  <c r="D80" i="12"/>
  <c r="D95" i="12" s="1"/>
  <c r="S79" i="12"/>
  <c r="Q79" i="12"/>
  <c r="Q94" i="12" s="1"/>
  <c r="O79" i="12"/>
  <c r="M79" i="12"/>
  <c r="K79" i="12"/>
  <c r="I79" i="12"/>
  <c r="I94" i="12" s="1"/>
  <c r="G79" i="12"/>
  <c r="E79" i="12"/>
  <c r="C79" i="12"/>
  <c r="U79" i="12"/>
  <c r="Y671" i="1"/>
  <c r="Y132" i="7" s="1"/>
  <c r="W94" i="12"/>
  <c r="X94" i="12"/>
  <c r="Y94" i="12"/>
  <c r="V94" i="12"/>
  <c r="W95" i="12"/>
  <c r="X95" i="12"/>
  <c r="Y95" i="12"/>
  <c r="V95" i="12"/>
  <c r="W101" i="12"/>
  <c r="X101" i="12"/>
  <c r="V101" i="12"/>
  <c r="Y101" i="12"/>
  <c r="V96" i="12"/>
  <c r="W96" i="12"/>
  <c r="Y96" i="12"/>
  <c r="X96" i="12"/>
  <c r="X105" i="12"/>
  <c r="W105" i="12"/>
  <c r="Y105" i="12"/>
  <c r="V105" i="12"/>
  <c r="X103" i="12"/>
  <c r="W103" i="12"/>
  <c r="V103" i="12"/>
  <c r="Y103" i="12"/>
  <c r="W99" i="12"/>
  <c r="V99" i="12"/>
  <c r="X99" i="12"/>
  <c r="Y99" i="12"/>
  <c r="W97" i="12"/>
  <c r="V97" i="12"/>
  <c r="X97" i="12"/>
  <c r="Y97" i="12"/>
  <c r="O10" i="15"/>
  <c r="O11" i="15" s="1"/>
  <c r="J10" i="15"/>
  <c r="J11" i="15" s="1"/>
  <c r="H10" i="15"/>
  <c r="H11" i="15" s="1"/>
  <c r="N10" i="15"/>
  <c r="N11" i="15" s="1"/>
  <c r="W671" i="1"/>
  <c r="W132" i="7" s="1"/>
  <c r="U671" i="1"/>
  <c r="S671" i="1"/>
  <c r="S132" i="7" s="1"/>
  <c r="Q671" i="1"/>
  <c r="Q132" i="7" s="1"/>
  <c r="O671" i="1"/>
  <c r="O132" i="7" s="1"/>
  <c r="M671" i="1"/>
  <c r="M132" i="7" s="1"/>
  <c r="K671" i="1"/>
  <c r="K132" i="7" s="1"/>
  <c r="I671" i="1"/>
  <c r="I132" i="7" s="1"/>
  <c r="G671" i="1"/>
  <c r="G132" i="7" s="1"/>
  <c r="F671" i="1"/>
  <c r="X671" i="1"/>
  <c r="V671" i="1"/>
  <c r="T671" i="1"/>
  <c r="T132" i="7" s="1"/>
  <c r="R671" i="1"/>
  <c r="R132" i="7" s="1"/>
  <c r="P671" i="1"/>
  <c r="P132" i="7" s="1"/>
  <c r="N671" i="1"/>
  <c r="N132" i="7" s="1"/>
  <c r="L671" i="1"/>
  <c r="L132" i="7" s="1"/>
  <c r="J671" i="1"/>
  <c r="J132" i="7" s="1"/>
  <c r="H671" i="1"/>
  <c r="H132" i="7" s="1"/>
  <c r="M20" i="15"/>
  <c r="O107" i="12"/>
  <c r="U107" i="12"/>
  <c r="P107" i="12"/>
  <c r="T98" i="12"/>
  <c r="S98" i="12"/>
  <c r="C98" i="12"/>
  <c r="U102" i="12"/>
  <c r="U104" i="12"/>
  <c r="M104" i="12"/>
  <c r="P104" i="12"/>
  <c r="H104" i="12"/>
  <c r="B9" i="15"/>
  <c r="H100" i="12"/>
  <c r="R100" i="12"/>
  <c r="E100" i="12"/>
  <c r="C106" i="12"/>
  <c r="N106" i="12"/>
  <c r="I96" i="12"/>
  <c r="U96" i="12"/>
  <c r="E96" i="12"/>
  <c r="L96" i="12"/>
  <c r="N96" i="12"/>
  <c r="L95" i="12"/>
  <c r="I95" i="12"/>
  <c r="G95" i="12"/>
  <c r="L99" i="12"/>
  <c r="Q99" i="12"/>
  <c r="O99" i="12"/>
  <c r="B99" i="12"/>
  <c r="G103" i="12"/>
  <c r="D103" i="12"/>
  <c r="T103" i="12"/>
  <c r="J97" i="12"/>
  <c r="N97" i="12"/>
  <c r="R97" i="12"/>
  <c r="E97" i="12"/>
  <c r="P101" i="12"/>
  <c r="K101" i="12"/>
  <c r="E101" i="12"/>
  <c r="M101" i="12"/>
  <c r="T101" i="12"/>
  <c r="I105" i="12"/>
  <c r="Q105" i="12"/>
  <c r="U105" i="12"/>
  <c r="F105" i="12"/>
  <c r="N105" i="12"/>
  <c r="T105" i="12"/>
  <c r="K4" i="14"/>
  <c r="K5" i="14"/>
  <c r="K6" i="14"/>
  <c r="K7" i="14"/>
  <c r="K8" i="14"/>
  <c r="K9" i="14"/>
  <c r="K10" i="14"/>
  <c r="K11" i="14"/>
  <c r="K12" i="14"/>
  <c r="K13" i="14"/>
  <c r="K14" i="14"/>
  <c r="K15" i="14"/>
  <c r="K16" i="14"/>
  <c r="K17" i="14"/>
  <c r="K18" i="14"/>
  <c r="K19" i="14"/>
  <c r="K20" i="14"/>
  <c r="K21" i="14"/>
  <c r="K22" i="14"/>
  <c r="K23" i="14"/>
  <c r="K24" i="14"/>
  <c r="C19" i="10"/>
  <c r="X1805" i="1"/>
  <c r="X1731" i="1"/>
  <c r="X616" i="7" s="1"/>
  <c r="X1219" i="1"/>
  <c r="X210" i="7" s="1"/>
  <c r="X1181" i="1"/>
  <c r="X1180" i="1"/>
  <c r="X1089" i="1"/>
  <c r="X1087" i="1"/>
  <c r="X1982" i="1" s="1"/>
  <c r="X1084" i="1"/>
  <c r="X1060" i="1"/>
  <c r="X1063" i="1" s="1"/>
  <c r="X1018" i="1"/>
  <c r="X571" i="1"/>
  <c r="X1216" i="1" s="1"/>
  <c r="X207" i="7" s="1"/>
  <c r="X563" i="1"/>
  <c r="X474" i="1"/>
  <c r="X473" i="1"/>
  <c r="X465" i="1"/>
  <c r="X456" i="1"/>
  <c r="X441" i="1"/>
  <c r="X385" i="1"/>
  <c r="X369" i="1"/>
  <c r="X359" i="1"/>
  <c r="X338" i="1"/>
  <c r="X317" i="1"/>
  <c r="X295" i="1"/>
  <c r="X287" i="1"/>
  <c r="X275" i="1"/>
  <c r="X262" i="1"/>
  <c r="X253" i="1"/>
  <c r="X244" i="1"/>
  <c r="X236" i="1"/>
  <c r="X235" i="1"/>
  <c r="X181" i="1"/>
  <c r="X80" i="7" s="1"/>
  <c r="X93" i="1"/>
  <c r="X82" i="1"/>
  <c r="W1805" i="1"/>
  <c r="W1731" i="1"/>
  <c r="W616" i="7" s="1"/>
  <c r="W1219" i="1"/>
  <c r="W210" i="7" s="1"/>
  <c r="W1181" i="1"/>
  <c r="W1180" i="1"/>
  <c r="W1089" i="1"/>
  <c r="W1087" i="1"/>
  <c r="W1982" i="1" s="1"/>
  <c r="W1084" i="1"/>
  <c r="W1060" i="1"/>
  <c r="W1063" i="1" s="1"/>
  <c r="W1018" i="1"/>
  <c r="W728" i="1"/>
  <c r="W727" i="1"/>
  <c r="W571" i="1"/>
  <c r="W1216" i="1" s="1"/>
  <c r="W207" i="7" s="1"/>
  <c r="W563" i="1"/>
  <c r="W474" i="1"/>
  <c r="W473" i="1"/>
  <c r="W465" i="1"/>
  <c r="W456" i="1"/>
  <c r="W441" i="1"/>
  <c r="W385" i="1"/>
  <c r="W369" i="1"/>
  <c r="W359" i="1"/>
  <c r="W338" i="1"/>
  <c r="W317" i="1"/>
  <c r="W295" i="1"/>
  <c r="W287" i="1"/>
  <c r="W275" i="1"/>
  <c r="W262" i="1"/>
  <c r="W253" i="1"/>
  <c r="W244" i="1"/>
  <c r="W236" i="1"/>
  <c r="W235" i="1"/>
  <c r="W181" i="1"/>
  <c r="W80" i="7" s="1"/>
  <c r="W93" i="1"/>
  <c r="W82" i="1"/>
  <c r="V1805" i="1"/>
  <c r="V1731" i="1"/>
  <c r="V616" i="7" s="1"/>
  <c r="V1219" i="1"/>
  <c r="V210" i="7" s="1"/>
  <c r="V1181" i="1"/>
  <c r="V1180" i="1"/>
  <c r="V1089" i="1"/>
  <c r="V1087" i="1"/>
  <c r="V1982" i="1" s="1"/>
  <c r="V1084" i="1"/>
  <c r="V1060" i="1"/>
  <c r="V1063" i="1" s="1"/>
  <c r="V1018" i="1"/>
  <c r="V728" i="1"/>
  <c r="V571" i="1"/>
  <c r="V1216" i="1" s="1"/>
  <c r="V207" i="7" s="1"/>
  <c r="V563" i="1"/>
  <c r="V474" i="1"/>
  <c r="V473" i="1"/>
  <c r="V465" i="1"/>
  <c r="V456" i="1"/>
  <c r="V441" i="1"/>
  <c r="V385" i="1"/>
  <c r="V369" i="1"/>
  <c r="V359" i="1"/>
  <c r="V338" i="1"/>
  <c r="V317" i="1"/>
  <c r="V295" i="1"/>
  <c r="V287" i="1"/>
  <c r="V275" i="1"/>
  <c r="V262" i="1"/>
  <c r="V253" i="1"/>
  <c r="V244" i="1"/>
  <c r="V236" i="1"/>
  <c r="V235" i="1"/>
  <c r="V181" i="1"/>
  <c r="V80" i="7" s="1"/>
  <c r="V93" i="1"/>
  <c r="V82" i="1"/>
  <c r="U1805" i="1"/>
  <c r="U1731" i="1"/>
  <c r="U616" i="7" s="1"/>
  <c r="U1219" i="1"/>
  <c r="U210" i="7" s="1"/>
  <c r="U1181" i="1"/>
  <c r="U1180" i="1"/>
  <c r="U1089" i="1"/>
  <c r="U1087" i="1"/>
  <c r="U1982" i="1" s="1"/>
  <c r="U1084" i="1"/>
  <c r="U1060" i="1"/>
  <c r="U1063" i="1" s="1"/>
  <c r="U1018" i="1"/>
  <c r="U727" i="1"/>
  <c r="U571" i="1"/>
  <c r="U1216" i="1" s="1"/>
  <c r="U207" i="7" s="1"/>
  <c r="U563" i="1"/>
  <c r="U474" i="1"/>
  <c r="U473" i="1"/>
  <c r="U465" i="1"/>
  <c r="U456" i="1"/>
  <c r="U441" i="1"/>
  <c r="U385" i="1"/>
  <c r="U369" i="1"/>
  <c r="U359" i="1"/>
  <c r="U338" i="1"/>
  <c r="U317" i="1"/>
  <c r="U295" i="1"/>
  <c r="U287" i="1"/>
  <c r="U275" i="1"/>
  <c r="U262" i="1"/>
  <c r="U253" i="1"/>
  <c r="U244" i="1"/>
  <c r="U236" i="1"/>
  <c r="U235" i="1"/>
  <c r="U181" i="1"/>
  <c r="U80" i="7" s="1"/>
  <c r="U93" i="1"/>
  <c r="U82" i="1"/>
  <c r="V727" i="1" l="1"/>
  <c r="V132" i="7"/>
  <c r="N14" i="15"/>
  <c r="N17" i="15"/>
  <c r="N18" i="15"/>
  <c r="N15" i="15"/>
  <c r="N16" i="15"/>
  <c r="X727" i="1"/>
  <c r="X132" i="7"/>
  <c r="H14" i="15"/>
  <c r="H17" i="15"/>
  <c r="H15" i="15"/>
  <c r="H18" i="15"/>
  <c r="H16" i="15"/>
  <c r="F727" i="1"/>
  <c r="F132" i="7"/>
  <c r="J16" i="15"/>
  <c r="J14" i="15"/>
  <c r="J17" i="15"/>
  <c r="J15" i="15"/>
  <c r="J18" i="15"/>
  <c r="O14" i="15"/>
  <c r="O17" i="15"/>
  <c r="O15" i="15"/>
  <c r="O18" i="15"/>
  <c r="O16" i="15"/>
  <c r="M12" i="15"/>
  <c r="I12" i="15"/>
  <c r="N12" i="15"/>
  <c r="G12" i="15"/>
  <c r="J12" i="15"/>
  <c r="C12" i="15"/>
  <c r="H12" i="15"/>
  <c r="D12" i="15"/>
  <c r="E12" i="15"/>
  <c r="B12" i="15"/>
  <c r="B13" i="15" s="1"/>
  <c r="K12" i="15"/>
  <c r="L12" i="15"/>
  <c r="O12" i="15"/>
  <c r="F12" i="15"/>
  <c r="U728" i="1"/>
  <c r="U132" i="7"/>
  <c r="X728" i="1"/>
  <c r="Z105" i="12"/>
  <c r="Z97" i="12"/>
  <c r="Z103" i="12"/>
  <c r="Z99" i="12"/>
  <c r="Z104" i="12"/>
  <c r="Z102" i="12"/>
  <c r="Z107" i="12"/>
  <c r="Z95" i="12"/>
  <c r="Z98" i="12"/>
  <c r="Z101" i="12"/>
  <c r="Y108" i="12"/>
  <c r="W108" i="12"/>
  <c r="Z96" i="12"/>
  <c r="Z106" i="12"/>
  <c r="Z100" i="12"/>
  <c r="V108" i="12"/>
  <c r="X108" i="12"/>
  <c r="Y728" i="1"/>
  <c r="Y727" i="1"/>
  <c r="B10" i="15"/>
  <c r="B11" i="15" s="1"/>
  <c r="J108" i="12"/>
  <c r="N20" i="15"/>
  <c r="R94" i="12"/>
  <c r="R108" i="12" s="1"/>
  <c r="T94" i="12"/>
  <c r="T108" i="12" s="1"/>
  <c r="U94" i="12"/>
  <c r="U108" i="12" s="1"/>
  <c r="M94" i="12"/>
  <c r="M108" i="12" s="1"/>
  <c r="E94" i="12"/>
  <c r="E108" i="12" s="1"/>
  <c r="B94" i="12"/>
  <c r="N94" i="12"/>
  <c r="N108" i="12" s="1"/>
  <c r="F94" i="12"/>
  <c r="F108" i="12" s="1"/>
  <c r="P94" i="12"/>
  <c r="P108" i="12" s="1"/>
  <c r="H94" i="12"/>
  <c r="H108" i="12" s="1"/>
  <c r="S94" i="12"/>
  <c r="S108" i="12" s="1"/>
  <c r="O94" i="12"/>
  <c r="O108" i="12" s="1"/>
  <c r="K94" i="12"/>
  <c r="K108" i="12" s="1"/>
  <c r="G94" i="12"/>
  <c r="G108" i="12" s="1"/>
  <c r="C94" i="12"/>
  <c r="C108" i="12" s="1"/>
  <c r="L108" i="12"/>
  <c r="Q108" i="12"/>
  <c r="I108" i="12"/>
  <c r="D108" i="12"/>
  <c r="V463" i="1"/>
  <c r="V1345" i="1"/>
  <c r="V341" i="7" s="1"/>
  <c r="X463" i="1"/>
  <c r="X1345" i="1"/>
  <c r="X341" i="7" s="1"/>
  <c r="U463" i="1"/>
  <c r="U1345" i="1"/>
  <c r="U341" i="7" s="1"/>
  <c r="W463" i="1"/>
  <c r="W1345" i="1"/>
  <c r="W341" i="7" s="1"/>
  <c r="U1346" i="1"/>
  <c r="U342" i="7" s="1"/>
  <c r="U1182" i="1"/>
  <c r="W1346" i="1"/>
  <c r="W342" i="7" s="1"/>
  <c r="W1182" i="1"/>
  <c r="V1346" i="1"/>
  <c r="V342" i="7" s="1"/>
  <c r="V1182" i="1"/>
  <c r="X1346" i="1"/>
  <c r="X342" i="7" s="1"/>
  <c r="X1182" i="1"/>
  <c r="B14" i="15" l="1"/>
  <c r="B17" i="15"/>
  <c r="B18" i="15"/>
  <c r="B15" i="15"/>
  <c r="B16" i="15"/>
  <c r="V1871" i="1"/>
  <c r="H751" i="1"/>
  <c r="U751" i="1"/>
  <c r="G751" i="1"/>
  <c r="O751" i="1"/>
  <c r="W751" i="1"/>
  <c r="T751" i="1"/>
  <c r="R751" i="1"/>
  <c r="I751" i="1"/>
  <c r="Y751" i="1"/>
  <c r="Y771" i="1" s="1"/>
  <c r="V751" i="1"/>
  <c r="N751" i="1"/>
  <c r="Z751" i="1"/>
  <c r="M751" i="1"/>
  <c r="P751" i="1"/>
  <c r="K751" i="1"/>
  <c r="S751" i="1"/>
  <c r="L751" i="1"/>
  <c r="J751" i="1"/>
  <c r="Q751" i="1"/>
  <c r="X751" i="1"/>
  <c r="F398" i="1"/>
  <c r="X1871" i="1"/>
  <c r="W1871" i="1"/>
  <c r="U1871" i="1"/>
  <c r="AA751" i="1"/>
  <c r="AA771" i="1" s="1"/>
  <c r="AB751" i="1"/>
  <c r="AB771" i="1" s="1"/>
  <c r="AC751" i="1"/>
  <c r="AC771" i="1" s="1"/>
  <c r="B108" i="12"/>
  <c r="Z94" i="12"/>
  <c r="Z108" i="12" s="1"/>
  <c r="Z771" i="1" s="1"/>
  <c r="V1799" i="1"/>
  <c r="U1799" i="1"/>
  <c r="X1799" i="1"/>
  <c r="W1799" i="1"/>
  <c r="O20" i="15"/>
  <c r="K68" i="14"/>
  <c r="F751" i="1" l="1"/>
  <c r="F396" i="1"/>
  <c r="F400" i="1"/>
  <c r="T571" i="1"/>
  <c r="S571" i="1"/>
  <c r="R571" i="1"/>
  <c r="Q571" i="1"/>
  <c r="P571" i="1"/>
  <c r="O571" i="1"/>
  <c r="N571" i="1"/>
  <c r="M571" i="1"/>
  <c r="L571" i="1"/>
  <c r="K571" i="1"/>
  <c r="J571" i="1"/>
  <c r="I571" i="1"/>
  <c r="H571" i="1"/>
  <c r="G571" i="1"/>
  <c r="F571" i="1"/>
  <c r="AE571" i="1" s="1"/>
  <c r="T563" i="1"/>
  <c r="S563" i="1"/>
  <c r="R563" i="1"/>
  <c r="Q563" i="1"/>
  <c r="P563" i="1"/>
  <c r="O563" i="1"/>
  <c r="N563" i="1"/>
  <c r="M563" i="1"/>
  <c r="L563" i="1"/>
  <c r="K563" i="1"/>
  <c r="J563" i="1"/>
  <c r="I563" i="1"/>
  <c r="H563" i="1"/>
  <c r="G563" i="1"/>
  <c r="F563" i="1"/>
  <c r="B645" i="1"/>
  <c r="G88" i="1"/>
  <c r="D12" i="1"/>
  <c r="B300" i="1"/>
  <c r="B439" i="1"/>
  <c r="F441" i="1"/>
  <c r="G441" i="1"/>
  <c r="H441" i="1"/>
  <c r="I441" i="1"/>
  <c r="J441" i="1"/>
  <c r="K441" i="1"/>
  <c r="L441" i="1"/>
  <c r="M441" i="1"/>
  <c r="N441" i="1"/>
  <c r="O441" i="1"/>
  <c r="P441" i="1"/>
  <c r="Q441" i="1"/>
  <c r="R441" i="1"/>
  <c r="S441" i="1"/>
  <c r="T441" i="1"/>
  <c r="B365" i="1"/>
  <c r="F369" i="1"/>
  <c r="G369" i="1"/>
  <c r="H369" i="1"/>
  <c r="I369" i="1"/>
  <c r="J369" i="1"/>
  <c r="K369" i="1"/>
  <c r="L369" i="1"/>
  <c r="M369" i="1"/>
  <c r="N369" i="1"/>
  <c r="O369" i="1"/>
  <c r="P369" i="1"/>
  <c r="Q369" i="1"/>
  <c r="R369" i="1"/>
  <c r="S369" i="1"/>
  <c r="T369" i="1"/>
  <c r="B482" i="1"/>
  <c r="B242" i="1"/>
  <c r="B251" i="1"/>
  <c r="B260" i="1"/>
  <c r="B268" i="1"/>
  <c r="F641" i="1"/>
  <c r="F644" i="1" s="1"/>
  <c r="B204" i="1"/>
  <c r="B223" i="1"/>
  <c r="B933" i="1"/>
  <c r="F465" i="1"/>
  <c r="F467" i="1" s="1"/>
  <c r="G465" i="1"/>
  <c r="H465" i="1"/>
  <c r="I465" i="1"/>
  <c r="J465" i="1"/>
  <c r="K465" i="1"/>
  <c r="L465" i="1"/>
  <c r="M465" i="1"/>
  <c r="N465" i="1"/>
  <c r="O465" i="1"/>
  <c r="P465" i="1"/>
  <c r="Q465" i="1"/>
  <c r="R465" i="1"/>
  <c r="S465" i="1"/>
  <c r="T465" i="1"/>
  <c r="B245" i="1"/>
  <c r="F640" i="1"/>
  <c r="F160" i="1"/>
  <c r="F59" i="7" s="1"/>
  <c r="F728" i="1"/>
  <c r="F729" i="1" s="1"/>
  <c r="AE671" i="1"/>
  <c r="AE132" i="7" s="1"/>
  <c r="F526" i="1"/>
  <c r="D954" i="1"/>
  <c r="A47" i="5"/>
  <c r="A620" i="5"/>
  <c r="R952" i="1"/>
  <c r="R953" i="1" s="1"/>
  <c r="Q952" i="1"/>
  <c r="P952" i="1"/>
  <c r="P953" i="1" s="1"/>
  <c r="O952" i="1"/>
  <c r="N952" i="1"/>
  <c r="N953" i="1" s="1"/>
  <c r="M952" i="1"/>
  <c r="L952" i="1"/>
  <c r="L953" i="1" s="1"/>
  <c r="K952" i="1"/>
  <c r="J952" i="1"/>
  <c r="J953" i="1" s="1"/>
  <c r="I952" i="1"/>
  <c r="H952" i="1"/>
  <c r="H953" i="1" s="1"/>
  <c r="G952" i="1"/>
  <c r="F952" i="1"/>
  <c r="F953" i="1" s="1"/>
  <c r="A106" i="5"/>
  <c r="A936" i="1" s="1"/>
  <c r="A104" i="5"/>
  <c r="A935" i="1" s="1"/>
  <c r="D951" i="1"/>
  <c r="A431" i="5"/>
  <c r="A879" i="1" s="1"/>
  <c r="G771" i="1"/>
  <c r="H771" i="1"/>
  <c r="I771" i="1"/>
  <c r="J771" i="1"/>
  <c r="K771" i="1"/>
  <c r="L771" i="1"/>
  <c r="M771" i="1"/>
  <c r="N771" i="1"/>
  <c r="O771" i="1"/>
  <c r="A38" i="5"/>
  <c r="A576" i="5"/>
  <c r="G727" i="1"/>
  <c r="G728" i="1"/>
  <c r="H727" i="1"/>
  <c r="H728" i="1"/>
  <c r="I727" i="1"/>
  <c r="I728" i="1"/>
  <c r="J727" i="1"/>
  <c r="J728" i="1"/>
  <c r="K727" i="1"/>
  <c r="K728" i="1"/>
  <c r="L727" i="1"/>
  <c r="L728" i="1"/>
  <c r="M727" i="1"/>
  <c r="M728" i="1"/>
  <c r="N727" i="1"/>
  <c r="N728" i="1"/>
  <c r="O727" i="1"/>
  <c r="O728" i="1"/>
  <c r="P727" i="1"/>
  <c r="P728" i="1"/>
  <c r="Q727" i="1"/>
  <c r="Q728" i="1"/>
  <c r="R727" i="1"/>
  <c r="R728" i="1"/>
  <c r="S727" i="1"/>
  <c r="S728" i="1"/>
  <c r="T727" i="1"/>
  <c r="T728" i="1"/>
  <c r="A575" i="5"/>
  <c r="A574" i="5"/>
  <c r="A573" i="5"/>
  <c r="A572" i="5"/>
  <c r="A571" i="5"/>
  <c r="A569" i="5"/>
  <c r="A796" i="1" s="1"/>
  <c r="A568" i="5"/>
  <c r="A567" i="5"/>
  <c r="A570" i="5"/>
  <c r="A566" i="5"/>
  <c r="A792" i="1" s="1"/>
  <c r="A565" i="5"/>
  <c r="A564" i="5"/>
  <c r="A790" i="1" s="1"/>
  <c r="A563" i="5"/>
  <c r="A561" i="5"/>
  <c r="A560" i="5"/>
  <c r="A763" i="1" s="1"/>
  <c r="A559" i="5"/>
  <c r="A762" i="1" s="1"/>
  <c r="A530" i="5"/>
  <c r="D785" i="1"/>
  <c r="D784" i="1"/>
  <c r="D783" i="1"/>
  <c r="D782" i="1"/>
  <c r="D781" i="1"/>
  <c r="D780" i="1"/>
  <c r="D779" i="1"/>
  <c r="D778" i="1"/>
  <c r="D777" i="1"/>
  <c r="D776" i="1"/>
  <c r="D775" i="1"/>
  <c r="D774" i="1"/>
  <c r="D773" i="1"/>
  <c r="D771" i="1"/>
  <c r="F824" i="1"/>
  <c r="D836" i="1"/>
  <c r="D835" i="1"/>
  <c r="D834" i="1"/>
  <c r="D833" i="1"/>
  <c r="D832" i="1"/>
  <c r="D831" i="1"/>
  <c r="D830" i="1"/>
  <c r="D829" i="1"/>
  <c r="D828" i="1"/>
  <c r="D825" i="1"/>
  <c r="D364" i="1"/>
  <c r="D933" i="1"/>
  <c r="D930" i="1"/>
  <c r="D950" i="1"/>
  <c r="D947" i="1"/>
  <c r="D965" i="1"/>
  <c r="D962" i="1"/>
  <c r="D977" i="1"/>
  <c r="D973" i="1"/>
  <c r="F974" i="1"/>
  <c r="G974" i="1" s="1"/>
  <c r="H974" i="1" s="1"/>
  <c r="I974" i="1" s="1"/>
  <c r="J974" i="1" s="1"/>
  <c r="K974" i="1" s="1"/>
  <c r="L974" i="1" s="1"/>
  <c r="M974" i="1" s="1"/>
  <c r="N974" i="1" s="1"/>
  <c r="O974" i="1" s="1"/>
  <c r="P974" i="1" s="1"/>
  <c r="Q974" i="1" s="1"/>
  <c r="R974" i="1" s="1"/>
  <c r="S974" i="1" s="1"/>
  <c r="T974" i="1" s="1"/>
  <c r="U974" i="1" s="1"/>
  <c r="D704" i="1"/>
  <c r="D167" i="7" s="1"/>
  <c r="D703" i="1"/>
  <c r="D166" i="7" s="1"/>
  <c r="D702" i="1"/>
  <c r="D165" i="7" s="1"/>
  <c r="D701" i="1"/>
  <c r="D164" i="7" s="1"/>
  <c r="D700" i="1"/>
  <c r="D163" i="7" s="1"/>
  <c r="D699" i="1"/>
  <c r="D162" i="7" s="1"/>
  <c r="D698" i="1"/>
  <c r="D161" i="7" s="1"/>
  <c r="D697" i="1"/>
  <c r="D160" i="7" s="1"/>
  <c r="G29" i="1"/>
  <c r="D645" i="1"/>
  <c r="D644" i="1"/>
  <c r="D643" i="1"/>
  <c r="D642" i="1"/>
  <c r="D641" i="1"/>
  <c r="D640" i="1"/>
  <c r="D639" i="1"/>
  <c r="D638" i="1"/>
  <c r="D637" i="1"/>
  <c r="D635" i="1"/>
  <c r="D634" i="1"/>
  <c r="D633" i="1"/>
  <c r="D632" i="1"/>
  <c r="D631" i="1"/>
  <c r="D630" i="1"/>
  <c r="D629" i="1"/>
  <c r="D628" i="1"/>
  <c r="D299" i="1"/>
  <c r="D320" i="1"/>
  <c r="D341" i="1"/>
  <c r="D438" i="1"/>
  <c r="D461" i="1"/>
  <c r="D478" i="1"/>
  <c r="E233" i="1"/>
  <c r="E241" i="1"/>
  <c r="E239" i="1" s="1"/>
  <c r="E250" i="1"/>
  <c r="E248" i="1" s="1"/>
  <c r="E259" i="1"/>
  <c r="E257" i="1" s="1"/>
  <c r="E267" i="1"/>
  <c r="E266" i="1" s="1"/>
  <c r="E272" i="1"/>
  <c r="F474" i="1"/>
  <c r="F236" i="1"/>
  <c r="F250" i="1"/>
  <c r="G250" i="1" s="1"/>
  <c r="H250" i="1" s="1"/>
  <c r="I250" i="1" s="1"/>
  <c r="J250" i="1" s="1"/>
  <c r="K250" i="1" s="1"/>
  <c r="L250" i="1" s="1"/>
  <c r="M250" i="1" s="1"/>
  <c r="N250" i="1" s="1"/>
  <c r="O250" i="1" s="1"/>
  <c r="P250" i="1" s="1"/>
  <c r="Q250" i="1" s="1"/>
  <c r="R250" i="1" s="1"/>
  <c r="S250" i="1" s="1"/>
  <c r="T250" i="1" s="1"/>
  <c r="U250" i="1" s="1"/>
  <c r="V250" i="1" s="1"/>
  <c r="W250" i="1" s="1"/>
  <c r="X250" i="1" s="1"/>
  <c r="Y250" i="1" s="1"/>
  <c r="D870" i="1"/>
  <c r="F872" i="1"/>
  <c r="G872" i="1" s="1"/>
  <c r="H872" i="1" s="1"/>
  <c r="I872" i="1" s="1"/>
  <c r="J872" i="1" s="1"/>
  <c r="K872" i="1" s="1"/>
  <c r="L872" i="1" s="1"/>
  <c r="M872" i="1" s="1"/>
  <c r="N872" i="1" s="1"/>
  <c r="O872" i="1" s="1"/>
  <c r="D897" i="1"/>
  <c r="D888" i="1"/>
  <c r="D879" i="1"/>
  <c r="F881" i="1"/>
  <c r="G881" i="1" s="1"/>
  <c r="H881" i="1" s="1"/>
  <c r="I881" i="1" s="1"/>
  <c r="J881" i="1" s="1"/>
  <c r="K881" i="1" s="1"/>
  <c r="L881" i="1" s="1"/>
  <c r="M881" i="1" s="1"/>
  <c r="N881" i="1" s="1"/>
  <c r="O881" i="1" s="1"/>
  <c r="P881" i="1" s="1"/>
  <c r="Q881" i="1" s="1"/>
  <c r="R881" i="1" s="1"/>
  <c r="S881" i="1" s="1"/>
  <c r="T881" i="1" s="1"/>
  <c r="U881" i="1" s="1"/>
  <c r="F141" i="1"/>
  <c r="F40" i="7" s="1"/>
  <c r="F149" i="1"/>
  <c r="F48" i="7" s="1"/>
  <c r="F153" i="1"/>
  <c r="F52" i="7" s="1"/>
  <c r="F144" i="1"/>
  <c r="F43" i="7" s="1"/>
  <c r="F145" i="1"/>
  <c r="F44" i="7" s="1"/>
  <c r="F165" i="1"/>
  <c r="F64" i="7" s="1"/>
  <c r="F1110" i="1"/>
  <c r="D64" i="1"/>
  <c r="F1102" i="1" s="1"/>
  <c r="F1099" i="1"/>
  <c r="D1120" i="1"/>
  <c r="D1119" i="1"/>
  <c r="D1118" i="1"/>
  <c r="D1116" i="1"/>
  <c r="D1115" i="1"/>
  <c r="D1114" i="1"/>
  <c r="D1113" i="1"/>
  <c r="F890" i="1"/>
  <c r="F899" i="1"/>
  <c r="G899" i="1" s="1"/>
  <c r="H899" i="1" s="1"/>
  <c r="I899" i="1" s="1"/>
  <c r="J899" i="1" s="1"/>
  <c r="K899" i="1" s="1"/>
  <c r="L899" i="1" s="1"/>
  <c r="M899" i="1" s="1"/>
  <c r="N899" i="1" s="1"/>
  <c r="O899" i="1" s="1"/>
  <c r="P899" i="1" s="1"/>
  <c r="Q899" i="1" s="1"/>
  <c r="R899" i="1" s="1"/>
  <c r="S899" i="1" s="1"/>
  <c r="T899" i="1" s="1"/>
  <c r="U899" i="1" s="1"/>
  <c r="F272" i="1"/>
  <c r="E1122" i="1"/>
  <c r="E1129" i="1" s="1"/>
  <c r="F1219" i="1"/>
  <c r="F210" i="7" s="1"/>
  <c r="D284" i="1"/>
  <c r="F295" i="1"/>
  <c r="F317" i="1"/>
  <c r="F338" i="1"/>
  <c r="F359" i="1"/>
  <c r="F385" i="1"/>
  <c r="F456" i="1"/>
  <c r="F473" i="1"/>
  <c r="F244" i="1"/>
  <c r="F235" i="1"/>
  <c r="F253" i="1"/>
  <c r="F262" i="1"/>
  <c r="F275" i="1"/>
  <c r="F98" i="1"/>
  <c r="F171" i="1"/>
  <c r="F70" i="7" s="1"/>
  <c r="B212" i="1"/>
  <c r="F31" i="1"/>
  <c r="F218" i="1" s="1"/>
  <c r="F117" i="7" s="1"/>
  <c r="B194" i="1"/>
  <c r="F196" i="1"/>
  <c r="F95" i="7" s="1"/>
  <c r="F197" i="1"/>
  <c r="F96" i="7" s="1"/>
  <c r="F198" i="1"/>
  <c r="F97" i="7" s="1"/>
  <c r="F199" i="1"/>
  <c r="F98" i="7" s="1"/>
  <c r="B772" i="1"/>
  <c r="B785" i="1"/>
  <c r="B836" i="1"/>
  <c r="F1060" i="1"/>
  <c r="B112" i="1"/>
  <c r="B11" i="7" s="1"/>
  <c r="B150" i="1"/>
  <c r="B49" i="7" s="1"/>
  <c r="E1013" i="1"/>
  <c r="E1011" i="1" s="1"/>
  <c r="E1017" i="1"/>
  <c r="E1015" i="1" s="1"/>
  <c r="E1021" i="1"/>
  <c r="E1019" i="1" s="1"/>
  <c r="E1030" i="1"/>
  <c r="E1029" i="1" s="1"/>
  <c r="E1045" i="1"/>
  <c r="E1044" i="1" s="1"/>
  <c r="E1042" i="1"/>
  <c r="E1041" i="1" s="1"/>
  <c r="E1048" i="1"/>
  <c r="E1056" i="1"/>
  <c r="E1033" i="1"/>
  <c r="E1032" i="1" s="1"/>
  <c r="F1731" i="1"/>
  <c r="F616" i="7" s="1"/>
  <c r="B285" i="1"/>
  <c r="B542" i="1" s="1"/>
  <c r="B544" i="1"/>
  <c r="B536" i="1"/>
  <c r="B537" i="1"/>
  <c r="B538" i="1"/>
  <c r="B539" i="1"/>
  <c r="F463" i="1"/>
  <c r="G463" i="1"/>
  <c r="H463" i="1"/>
  <c r="I463" i="1"/>
  <c r="J463" i="1"/>
  <c r="K463" i="1"/>
  <c r="L463" i="1"/>
  <c r="M463" i="1"/>
  <c r="N463" i="1"/>
  <c r="O463" i="1"/>
  <c r="P463" i="1"/>
  <c r="Q463" i="1"/>
  <c r="R463" i="1"/>
  <c r="S463" i="1"/>
  <c r="T463" i="1"/>
  <c r="G474" i="1"/>
  <c r="G236" i="1"/>
  <c r="G640" i="1"/>
  <c r="G160" i="1"/>
  <c r="G59" i="7" s="1"/>
  <c r="G141" i="1"/>
  <c r="G40" i="7" s="1"/>
  <c r="G149" i="1"/>
  <c r="G152" i="1"/>
  <c r="G51" i="7" s="1"/>
  <c r="G153" i="1"/>
  <c r="G52" i="7" s="1"/>
  <c r="G144" i="1"/>
  <c r="G43" i="7" s="1"/>
  <c r="G145" i="1"/>
  <c r="G44" i="7" s="1"/>
  <c r="G164" i="1"/>
  <c r="G63" i="7" s="1"/>
  <c r="G165" i="1"/>
  <c r="G64" i="7" s="1"/>
  <c r="G1110" i="1"/>
  <c r="H1110" i="1" s="1"/>
  <c r="I1110" i="1" s="1"/>
  <c r="J1110" i="1" s="1"/>
  <c r="K1110" i="1" s="1"/>
  <c r="L1110" i="1" s="1"/>
  <c r="G1099" i="1"/>
  <c r="G890" i="1"/>
  <c r="H890" i="1" s="1"/>
  <c r="I890" i="1" s="1"/>
  <c r="J890" i="1" s="1"/>
  <c r="K890" i="1" s="1"/>
  <c r="L890" i="1" s="1"/>
  <c r="M890" i="1" s="1"/>
  <c r="N890" i="1" s="1"/>
  <c r="O890" i="1" s="1"/>
  <c r="P890" i="1" s="1"/>
  <c r="Q890" i="1" s="1"/>
  <c r="R890" i="1" s="1"/>
  <c r="S890" i="1" s="1"/>
  <c r="T890" i="1" s="1"/>
  <c r="U890" i="1" s="1"/>
  <c r="G272" i="1"/>
  <c r="G273" i="1" s="1"/>
  <c r="G1219" i="1"/>
  <c r="G210" i="7" s="1"/>
  <c r="G295" i="1"/>
  <c r="G317" i="1"/>
  <c r="G338" i="1"/>
  <c r="G359" i="1"/>
  <c r="G385" i="1"/>
  <c r="G456" i="1"/>
  <c r="G473" i="1"/>
  <c r="G244" i="1"/>
  <c r="G253" i="1"/>
  <c r="G262" i="1"/>
  <c r="G235" i="1"/>
  <c r="G275" i="1"/>
  <c r="F182" i="1"/>
  <c r="F81" i="7" s="1"/>
  <c r="G95" i="1"/>
  <c r="G98" i="1" s="1"/>
  <c r="G31" i="1"/>
  <c r="H31" i="1" s="1"/>
  <c r="G196" i="1"/>
  <c r="G198" i="1"/>
  <c r="G97" i="7" s="1"/>
  <c r="G1060" i="1"/>
  <c r="G1063" i="1" s="1"/>
  <c r="B154" i="1"/>
  <c r="B53" i="7" s="1"/>
  <c r="G1731" i="1"/>
  <c r="G616" i="7" s="1"/>
  <c r="H474" i="1"/>
  <c r="H236" i="1"/>
  <c r="H152" i="1"/>
  <c r="H51" i="7" s="1"/>
  <c r="H165" i="1"/>
  <c r="H64" i="7" s="1"/>
  <c r="H1099" i="1"/>
  <c r="H1219" i="1"/>
  <c r="H210" i="7" s="1"/>
  <c r="H295" i="1"/>
  <c r="H317" i="1"/>
  <c r="H338" i="1"/>
  <c r="H359" i="1"/>
  <c r="H385" i="1"/>
  <c r="H456" i="1"/>
  <c r="H473" i="1"/>
  <c r="H244" i="1"/>
  <c r="H253" i="1"/>
  <c r="H262" i="1"/>
  <c r="H235" i="1"/>
  <c r="H275" i="1"/>
  <c r="H1060" i="1"/>
  <c r="H1731" i="1"/>
  <c r="H616" i="7" s="1"/>
  <c r="I474" i="1"/>
  <c r="I236" i="1"/>
  <c r="I1219" i="1"/>
  <c r="I210" i="7" s="1"/>
  <c r="I295" i="1"/>
  <c r="I317" i="1"/>
  <c r="I338" i="1"/>
  <c r="I359" i="1"/>
  <c r="I385" i="1"/>
  <c r="I456" i="1"/>
  <c r="I473" i="1"/>
  <c r="I244" i="1"/>
  <c r="I253" i="1"/>
  <c r="I262" i="1"/>
  <c r="I235" i="1"/>
  <c r="I275" i="1"/>
  <c r="I221" i="1"/>
  <c r="I120" i="7" s="1"/>
  <c r="I1060" i="1"/>
  <c r="I1731" i="1"/>
  <c r="I616" i="7" s="1"/>
  <c r="J474" i="1"/>
  <c r="J236" i="1"/>
  <c r="J1219" i="1"/>
  <c r="J210" i="7" s="1"/>
  <c r="J295" i="1"/>
  <c r="J317" i="1"/>
  <c r="J338" i="1"/>
  <c r="J359" i="1"/>
  <c r="J385" i="1"/>
  <c r="J456" i="1"/>
  <c r="J473" i="1"/>
  <c r="J244" i="1"/>
  <c r="J253" i="1"/>
  <c r="J262" i="1"/>
  <c r="J235" i="1"/>
  <c r="J275" i="1"/>
  <c r="J221" i="1"/>
  <c r="J120" i="7" s="1"/>
  <c r="J1060" i="1"/>
  <c r="J1731" i="1"/>
  <c r="J616" i="7" s="1"/>
  <c r="K474" i="1"/>
  <c r="K236" i="1"/>
  <c r="K1219" i="1"/>
  <c r="K210" i="7" s="1"/>
  <c r="K295" i="1"/>
  <c r="K317" i="1"/>
  <c r="K338" i="1"/>
  <c r="K359" i="1"/>
  <c r="K385" i="1"/>
  <c r="K456" i="1"/>
  <c r="K473" i="1"/>
  <c r="K244" i="1"/>
  <c r="K253" i="1"/>
  <c r="K262" i="1"/>
  <c r="K235" i="1"/>
  <c r="K275" i="1"/>
  <c r="K1060" i="1"/>
  <c r="K1731" i="1"/>
  <c r="K616" i="7" s="1"/>
  <c r="L474" i="1"/>
  <c r="L236" i="1"/>
  <c r="L1219" i="1"/>
  <c r="L210" i="7" s="1"/>
  <c r="L295" i="1"/>
  <c r="L317" i="1"/>
  <c r="L338" i="1"/>
  <c r="L359" i="1"/>
  <c r="L385" i="1"/>
  <c r="L456" i="1"/>
  <c r="L473" i="1"/>
  <c r="L244" i="1"/>
  <c r="L253" i="1"/>
  <c r="L262" i="1"/>
  <c r="L235" i="1"/>
  <c r="L275" i="1"/>
  <c r="L1060" i="1"/>
  <c r="L1731" i="1"/>
  <c r="L616" i="7" s="1"/>
  <c r="M474" i="1"/>
  <c r="M236" i="1"/>
  <c r="M1110" i="1"/>
  <c r="N1110" i="1" s="1"/>
  <c r="O1110" i="1" s="1"/>
  <c r="P1110" i="1" s="1"/>
  <c r="Q1110" i="1" s="1"/>
  <c r="R1110" i="1" s="1"/>
  <c r="S1110" i="1" s="1"/>
  <c r="T1110" i="1" s="1"/>
  <c r="U1110" i="1" s="1"/>
  <c r="V1110" i="1" s="1"/>
  <c r="W1110" i="1" s="1"/>
  <c r="X1110" i="1" s="1"/>
  <c r="Y1110" i="1" s="1"/>
  <c r="Z1110" i="1" s="1"/>
  <c r="AA1110" i="1" s="1"/>
  <c r="AB1110" i="1" s="1"/>
  <c r="AC1110" i="1" s="1"/>
  <c r="M1219" i="1"/>
  <c r="M210" i="7" s="1"/>
  <c r="M295" i="1"/>
  <c r="M317" i="1"/>
  <c r="M338" i="1"/>
  <c r="M359" i="1"/>
  <c r="M385" i="1"/>
  <c r="M456" i="1"/>
  <c r="M473" i="1"/>
  <c r="M244" i="1"/>
  <c r="M253" i="1"/>
  <c r="M262" i="1"/>
  <c r="M235" i="1"/>
  <c r="M275" i="1"/>
  <c r="M221" i="1"/>
  <c r="M120" i="7" s="1"/>
  <c r="M1060" i="1"/>
  <c r="M1063" i="1" s="1"/>
  <c r="M1731" i="1"/>
  <c r="M616" i="7" s="1"/>
  <c r="N474" i="1"/>
  <c r="N236" i="1"/>
  <c r="N1219" i="1"/>
  <c r="N210" i="7" s="1"/>
  <c r="N295" i="1"/>
  <c r="N317" i="1"/>
  <c r="N338" i="1"/>
  <c r="N359" i="1"/>
  <c r="N385" i="1"/>
  <c r="N456" i="1"/>
  <c r="N473" i="1"/>
  <c r="N244" i="1"/>
  <c r="N253" i="1"/>
  <c r="N262" i="1"/>
  <c r="N235" i="1"/>
  <c r="N275" i="1"/>
  <c r="N1060" i="1"/>
  <c r="N1063" i="1" s="1"/>
  <c r="N1731" i="1"/>
  <c r="N616" i="7" s="1"/>
  <c r="O474" i="1"/>
  <c r="O245" i="1"/>
  <c r="O236" i="1"/>
  <c r="O1219" i="1"/>
  <c r="O210" i="7" s="1"/>
  <c r="O295" i="1"/>
  <c r="O317" i="1"/>
  <c r="O338" i="1"/>
  <c r="O359" i="1"/>
  <c r="O385" i="1"/>
  <c r="O456" i="1"/>
  <c r="O473" i="1"/>
  <c r="O244" i="1"/>
  <c r="O253" i="1"/>
  <c r="O262" i="1"/>
  <c r="O235" i="1"/>
  <c r="O275" i="1"/>
  <c r="O1060" i="1"/>
  <c r="O1731" i="1"/>
  <c r="O616" i="7" s="1"/>
  <c r="P771" i="1"/>
  <c r="P474" i="1"/>
  <c r="P236" i="1"/>
  <c r="P1219" i="1"/>
  <c r="P210" i="7" s="1"/>
  <c r="P295" i="1"/>
  <c r="P317" i="1"/>
  <c r="P338" i="1"/>
  <c r="P359" i="1"/>
  <c r="P385" i="1"/>
  <c r="P456" i="1"/>
  <c r="P473" i="1"/>
  <c r="P244" i="1"/>
  <c r="P253" i="1"/>
  <c r="P262" i="1"/>
  <c r="P235" i="1"/>
  <c r="P275" i="1"/>
  <c r="P1060" i="1"/>
  <c r="P1731" i="1"/>
  <c r="P616" i="7" s="1"/>
  <c r="Q771" i="1"/>
  <c r="Q474" i="1"/>
  <c r="Q236" i="1"/>
  <c r="Q1219" i="1"/>
  <c r="Q210" i="7" s="1"/>
  <c r="Q295" i="1"/>
  <c r="Q317" i="1"/>
  <c r="Q338" i="1"/>
  <c r="Q359" i="1"/>
  <c r="Q385" i="1"/>
  <c r="Q456" i="1"/>
  <c r="Q473" i="1"/>
  <c r="Q244" i="1"/>
  <c r="Q253" i="1"/>
  <c r="Q262" i="1"/>
  <c r="Q235" i="1"/>
  <c r="Q275" i="1"/>
  <c r="Q221" i="1"/>
  <c r="Q120" i="7" s="1"/>
  <c r="Q1060" i="1"/>
  <c r="Q1731" i="1"/>
  <c r="Q616" i="7" s="1"/>
  <c r="R771" i="1"/>
  <c r="R474" i="1"/>
  <c r="R236" i="1"/>
  <c r="R1219" i="1"/>
  <c r="R210" i="7" s="1"/>
  <c r="R295" i="1"/>
  <c r="R317" i="1"/>
  <c r="R338" i="1"/>
  <c r="R359" i="1"/>
  <c r="R385" i="1"/>
  <c r="R456" i="1"/>
  <c r="R473" i="1"/>
  <c r="R244" i="1"/>
  <c r="R253" i="1"/>
  <c r="R262" i="1"/>
  <c r="R235" i="1"/>
  <c r="R275" i="1"/>
  <c r="R221" i="1"/>
  <c r="R120" i="7" s="1"/>
  <c r="R1060" i="1"/>
  <c r="R1731" i="1"/>
  <c r="R616" i="7" s="1"/>
  <c r="S771" i="1"/>
  <c r="S474" i="1"/>
  <c r="S236" i="1"/>
  <c r="S1219" i="1"/>
  <c r="S210" i="7" s="1"/>
  <c r="S295" i="1"/>
  <c r="S317" i="1"/>
  <c r="S338" i="1"/>
  <c r="S359" i="1"/>
  <c r="S385" i="1"/>
  <c r="S456" i="1"/>
  <c r="S473" i="1"/>
  <c r="S244" i="1"/>
  <c r="S253" i="1"/>
  <c r="S262" i="1"/>
  <c r="S235" i="1"/>
  <c r="S275" i="1"/>
  <c r="S221" i="1"/>
  <c r="S120" i="7" s="1"/>
  <c r="S1060" i="1"/>
  <c r="S1731" i="1"/>
  <c r="S616" i="7" s="1"/>
  <c r="S80" i="1"/>
  <c r="T771" i="1"/>
  <c r="T474" i="1"/>
  <c r="T245" i="1"/>
  <c r="T236" i="1"/>
  <c r="T1219" i="1"/>
  <c r="T210" i="7" s="1"/>
  <c r="T295" i="1"/>
  <c r="T317" i="1"/>
  <c r="T338" i="1"/>
  <c r="T359" i="1"/>
  <c r="T385" i="1"/>
  <c r="T456" i="1"/>
  <c r="T473" i="1"/>
  <c r="T244" i="1"/>
  <c r="T253" i="1"/>
  <c r="T262" i="1"/>
  <c r="T235" i="1"/>
  <c r="T275" i="1"/>
  <c r="T1060" i="1"/>
  <c r="T1063" i="1" s="1"/>
  <c r="T1731" i="1"/>
  <c r="T616" i="7" s="1"/>
  <c r="E1291" i="1"/>
  <c r="E285" i="7" s="1"/>
  <c r="E1356" i="1"/>
  <c r="E352" i="7" s="1"/>
  <c r="D1081" i="1"/>
  <c r="D1080" i="1"/>
  <c r="D1079" i="1"/>
  <c r="D1078" i="1"/>
  <c r="D1077" i="1"/>
  <c r="G1084" i="1"/>
  <c r="F1084" i="1"/>
  <c r="F1344" i="1" s="1"/>
  <c r="F340" i="7" s="1"/>
  <c r="H1084" i="1"/>
  <c r="I1084" i="1"/>
  <c r="J1084" i="1"/>
  <c r="K1084" i="1"/>
  <c r="L1084" i="1"/>
  <c r="L1087" i="1"/>
  <c r="L1345" i="1" s="1"/>
  <c r="L341" i="7" s="1"/>
  <c r="M1084" i="1"/>
  <c r="M1087" i="1"/>
  <c r="N1084" i="1"/>
  <c r="N1087" i="1"/>
  <c r="O1084" i="1"/>
  <c r="O1087" i="1"/>
  <c r="P1084" i="1"/>
  <c r="P1087" i="1"/>
  <c r="P1345" i="1" s="1"/>
  <c r="P341" i="7" s="1"/>
  <c r="Q1084" i="1"/>
  <c r="Q1087" i="1"/>
  <c r="Q1345" i="1" s="1"/>
  <c r="Q341" i="7" s="1"/>
  <c r="R1084" i="1"/>
  <c r="R1087" i="1"/>
  <c r="R1345" i="1" s="1"/>
  <c r="R341" i="7" s="1"/>
  <c r="S1084" i="1"/>
  <c r="S1087" i="1"/>
  <c r="T1084" i="1"/>
  <c r="T1087" i="1"/>
  <c r="T1345" i="1" s="1"/>
  <c r="T341" i="7" s="1"/>
  <c r="B535" i="1"/>
  <c r="A834" i="5"/>
  <c r="B1724" i="1" s="1"/>
  <c r="B609" i="7" s="1"/>
  <c r="AE320" i="1"/>
  <c r="AE337" i="1"/>
  <c r="AE358" i="1"/>
  <c r="AE341" i="1"/>
  <c r="F529" i="1"/>
  <c r="F1216" i="1"/>
  <c r="F207" i="7" s="1"/>
  <c r="G1216" i="1"/>
  <c r="G207" i="7" s="1"/>
  <c r="H1216" i="1"/>
  <c r="H207" i="7" s="1"/>
  <c r="I1216" i="1"/>
  <c r="I207" i="7" s="1"/>
  <c r="J1216" i="1"/>
  <c r="J207" i="7" s="1"/>
  <c r="K1216" i="1"/>
  <c r="K207" i="7" s="1"/>
  <c r="L1216" i="1"/>
  <c r="L207" i="7" s="1"/>
  <c r="M1216" i="1"/>
  <c r="M207" i="7" s="1"/>
  <c r="N1216" i="1"/>
  <c r="N207" i="7" s="1"/>
  <c r="O1216" i="1"/>
  <c r="O207" i="7" s="1"/>
  <c r="P1216" i="1"/>
  <c r="P207" i="7" s="1"/>
  <c r="Q1216" i="1"/>
  <c r="Q207" i="7" s="1"/>
  <c r="R1216" i="1"/>
  <c r="R207" i="7" s="1"/>
  <c r="S1216" i="1"/>
  <c r="S207" i="7" s="1"/>
  <c r="T1216" i="1"/>
  <c r="T207" i="7" s="1"/>
  <c r="F287" i="1"/>
  <c r="F289" i="1" s="1"/>
  <c r="G287" i="1"/>
  <c r="H287" i="1"/>
  <c r="I287" i="1"/>
  <c r="J287" i="1"/>
  <c r="K287" i="1"/>
  <c r="L287" i="1"/>
  <c r="M287" i="1"/>
  <c r="N287" i="1"/>
  <c r="O287" i="1"/>
  <c r="P287" i="1"/>
  <c r="Q287" i="1"/>
  <c r="R287" i="1"/>
  <c r="S287" i="1"/>
  <c r="T287" i="1"/>
  <c r="A556" i="5"/>
  <c r="A751" i="1"/>
  <c r="A380" i="5"/>
  <c r="T1018" i="1"/>
  <c r="S1018" i="1"/>
  <c r="T1089" i="1"/>
  <c r="T1346" i="1" s="1"/>
  <c r="T342" i="7" s="1"/>
  <c r="R1018" i="1"/>
  <c r="S1089" i="1"/>
  <c r="S1346" i="1" s="1"/>
  <c r="S342" i="7" s="1"/>
  <c r="Q1018" i="1"/>
  <c r="R1089" i="1"/>
  <c r="R1346" i="1" s="1"/>
  <c r="R342" i="7" s="1"/>
  <c r="P1018" i="1"/>
  <c r="Q1089" i="1"/>
  <c r="Q1346" i="1" s="1"/>
  <c r="Q342" i="7" s="1"/>
  <c r="O1018" i="1"/>
  <c r="P1089" i="1"/>
  <c r="P1346" i="1" s="1"/>
  <c r="P342" i="7" s="1"/>
  <c r="N1018" i="1"/>
  <c r="O1089" i="1"/>
  <c r="O1346" i="1" s="1"/>
  <c r="O342" i="7" s="1"/>
  <c r="M1018" i="1"/>
  <c r="N1089" i="1"/>
  <c r="N1346" i="1" s="1"/>
  <c r="N342" i="7" s="1"/>
  <c r="L1018" i="1"/>
  <c r="M1089" i="1"/>
  <c r="M1346" i="1" s="1"/>
  <c r="M342" i="7" s="1"/>
  <c r="K1018" i="1"/>
  <c r="L1089" i="1"/>
  <c r="L1346" i="1" s="1"/>
  <c r="L342" i="7" s="1"/>
  <c r="K1089" i="1"/>
  <c r="K1346" i="1" s="1"/>
  <c r="K342" i="7" s="1"/>
  <c r="F181" i="1"/>
  <c r="F80" i="7" s="1"/>
  <c r="F54" i="8"/>
  <c r="B42" i="8"/>
  <c r="F42" i="8" s="1"/>
  <c r="G42" i="8" s="1"/>
  <c r="H42" i="8" s="1"/>
  <c r="I42" i="8" s="1"/>
  <c r="J42" i="8" s="1"/>
  <c r="K42" i="8" s="1"/>
  <c r="L42" i="8" s="1"/>
  <c r="M42" i="8" s="1"/>
  <c r="N42" i="8" s="1"/>
  <c r="O42" i="8" s="1"/>
  <c r="P42" i="8" s="1"/>
  <c r="Q42" i="8" s="1"/>
  <c r="R42" i="8" s="1"/>
  <c r="S42" i="8" s="1"/>
  <c r="T42" i="8" s="1"/>
  <c r="U42" i="8" s="1"/>
  <c r="V42" i="8" s="1"/>
  <c r="W42" i="8" s="1"/>
  <c r="X42" i="8" s="1"/>
  <c r="Y42" i="8" s="1"/>
  <c r="G181" i="1"/>
  <c r="G80" i="7" s="1"/>
  <c r="H181" i="1"/>
  <c r="H80" i="7" s="1"/>
  <c r="I181" i="1"/>
  <c r="I80" i="7" s="1"/>
  <c r="J181" i="1"/>
  <c r="J80" i="7" s="1"/>
  <c r="K181" i="1"/>
  <c r="K80" i="7" s="1"/>
  <c r="L181" i="1"/>
  <c r="L80" i="7" s="1"/>
  <c r="M181" i="1"/>
  <c r="M80" i="7" s="1"/>
  <c r="N181" i="1"/>
  <c r="N80" i="7" s="1"/>
  <c r="O181" i="1"/>
  <c r="O80" i="7" s="1"/>
  <c r="P181" i="1"/>
  <c r="P80" i="7" s="1"/>
  <c r="Q181" i="1"/>
  <c r="Q80" i="7" s="1"/>
  <c r="R181" i="1"/>
  <c r="R80" i="7" s="1"/>
  <c r="S181" i="1"/>
  <c r="S80" i="7" s="1"/>
  <c r="T181" i="1"/>
  <c r="T80" i="7" s="1"/>
  <c r="F35" i="8"/>
  <c r="E24" i="8"/>
  <c r="A69" i="5"/>
  <c r="F1469" i="1"/>
  <c r="F1490" i="1"/>
  <c r="B901" i="8"/>
  <c r="F901" i="8"/>
  <c r="F672" i="8"/>
  <c r="G672" i="8" s="1"/>
  <c r="B827" i="8"/>
  <c r="F827" i="8" s="1"/>
  <c r="B752" i="8"/>
  <c r="J768" i="8" s="1"/>
  <c r="B751" i="8"/>
  <c r="B753" i="8"/>
  <c r="F753" i="8" s="1"/>
  <c r="B676" i="8"/>
  <c r="P692" i="8" s="1"/>
  <c r="B675" i="8"/>
  <c r="F677" i="8"/>
  <c r="G677" i="8" s="1"/>
  <c r="F233" i="1"/>
  <c r="G233" i="1" s="1"/>
  <c r="H233" i="1" s="1"/>
  <c r="I233" i="1" s="1"/>
  <c r="J233" i="1" s="1"/>
  <c r="K233" i="1" s="1"/>
  <c r="L233" i="1" s="1"/>
  <c r="M233" i="1" s="1"/>
  <c r="N233" i="1" s="1"/>
  <c r="O233" i="1" s="1"/>
  <c r="P233" i="1" s="1"/>
  <c r="Q233" i="1" s="1"/>
  <c r="R233" i="1" s="1"/>
  <c r="S233" i="1" s="1"/>
  <c r="T233" i="1" s="1"/>
  <c r="U233" i="1" s="1"/>
  <c r="V233" i="1" s="1"/>
  <c r="W233" i="1" s="1"/>
  <c r="X233" i="1" s="1"/>
  <c r="Y233" i="1" s="1"/>
  <c r="Z233" i="1" s="1"/>
  <c r="AA233" i="1" s="1"/>
  <c r="AB233" i="1" s="1"/>
  <c r="AC233" i="1" s="1"/>
  <c r="S1063" i="1"/>
  <c r="T1181" i="1"/>
  <c r="T1180" i="1"/>
  <c r="R1063" i="1"/>
  <c r="S1182" i="1"/>
  <c r="S1181" i="1"/>
  <c r="S1180" i="1"/>
  <c r="Q1063" i="1"/>
  <c r="R1182" i="1"/>
  <c r="R1181" i="1"/>
  <c r="R1180" i="1"/>
  <c r="P1063" i="1"/>
  <c r="Q1181" i="1"/>
  <c r="Q1180" i="1"/>
  <c r="O1063" i="1"/>
  <c r="P1182" i="1"/>
  <c r="P1181" i="1"/>
  <c r="P1180" i="1"/>
  <c r="O1182" i="1"/>
  <c r="O1181" i="1"/>
  <c r="O1180" i="1"/>
  <c r="N1181" i="1"/>
  <c r="N1180" i="1"/>
  <c r="L1063" i="1"/>
  <c r="M1182" i="1"/>
  <c r="M1181" i="1"/>
  <c r="M1180" i="1"/>
  <c r="K1063" i="1"/>
  <c r="L1182" i="1"/>
  <c r="L1181" i="1"/>
  <c r="L1180" i="1"/>
  <c r="J1063" i="1"/>
  <c r="K1180" i="1"/>
  <c r="H1063" i="1"/>
  <c r="I1063" i="1"/>
  <c r="G1180" i="1"/>
  <c r="H1180" i="1"/>
  <c r="I1180" i="1"/>
  <c r="J1180" i="1"/>
  <c r="B1961" i="1"/>
  <c r="F1862" i="1"/>
  <c r="F1790" i="1"/>
  <c r="G1790" i="1" s="1"/>
  <c r="F1805" i="1"/>
  <c r="G1805" i="1"/>
  <c r="H1805" i="1"/>
  <c r="I1805" i="1"/>
  <c r="J1805" i="1"/>
  <c r="K1805" i="1"/>
  <c r="L1805" i="1"/>
  <c r="M1805" i="1"/>
  <c r="N1805" i="1"/>
  <c r="O1805" i="1"/>
  <c r="P1805" i="1"/>
  <c r="Q1805" i="1"/>
  <c r="R1805" i="1"/>
  <c r="S1805" i="1"/>
  <c r="T1805" i="1"/>
  <c r="T1982" i="1"/>
  <c r="T93" i="1"/>
  <c r="T82" i="1"/>
  <c r="S975" i="1"/>
  <c r="S963" i="1"/>
  <c r="S948" i="1"/>
  <c r="S931" i="1"/>
  <c r="S900" i="1"/>
  <c r="S891" i="1"/>
  <c r="S882" i="1"/>
  <c r="S873" i="1"/>
  <c r="S826" i="1"/>
  <c r="S679" i="1"/>
  <c r="S141" i="7" s="1"/>
  <c r="S93" i="1"/>
  <c r="S82" i="1"/>
  <c r="R1982" i="1"/>
  <c r="R975" i="1"/>
  <c r="R963" i="1"/>
  <c r="R948" i="1"/>
  <c r="R931" i="1"/>
  <c r="R900" i="1"/>
  <c r="R891" i="1"/>
  <c r="R882" i="1"/>
  <c r="R873" i="1"/>
  <c r="R826" i="1"/>
  <c r="R679" i="1"/>
  <c r="R141" i="7" s="1"/>
  <c r="R93" i="1"/>
  <c r="R82" i="1"/>
  <c r="Q1982" i="1"/>
  <c r="Q975" i="1"/>
  <c r="Q963" i="1"/>
  <c r="Q948" i="1"/>
  <c r="Q931" i="1"/>
  <c r="Q900" i="1"/>
  <c r="Q891" i="1"/>
  <c r="Q882" i="1"/>
  <c r="Q873" i="1"/>
  <c r="Q826" i="1"/>
  <c r="Q679" i="1"/>
  <c r="Q141" i="7" s="1"/>
  <c r="Q93" i="1"/>
  <c r="Q82" i="1"/>
  <c r="P1982" i="1"/>
  <c r="P975" i="1"/>
  <c r="P963" i="1"/>
  <c r="P948" i="1"/>
  <c r="P931" i="1"/>
  <c r="P900" i="1"/>
  <c r="P891" i="1"/>
  <c r="P882" i="1"/>
  <c r="P873" i="1"/>
  <c r="P826" i="1"/>
  <c r="P679" i="1"/>
  <c r="P141" i="7" s="1"/>
  <c r="P93" i="1"/>
  <c r="P82" i="1"/>
  <c r="O975" i="1"/>
  <c r="O963" i="1"/>
  <c r="O948" i="1"/>
  <c r="O931" i="1"/>
  <c r="O900" i="1"/>
  <c r="O891" i="1"/>
  <c r="O882" i="1"/>
  <c r="O873" i="1"/>
  <c r="O826" i="1"/>
  <c r="O679" i="1"/>
  <c r="O141" i="7" s="1"/>
  <c r="O93" i="1"/>
  <c r="O82" i="1"/>
  <c r="N975" i="1"/>
  <c r="N963" i="1"/>
  <c r="N948" i="1"/>
  <c r="N931" i="1"/>
  <c r="N900" i="1"/>
  <c r="N891" i="1"/>
  <c r="N882" i="1"/>
  <c r="N873" i="1"/>
  <c r="N826" i="1"/>
  <c r="N679" i="1"/>
  <c r="N141" i="7" s="1"/>
  <c r="N93" i="1"/>
  <c r="N82" i="1"/>
  <c r="M975" i="1"/>
  <c r="M963" i="1"/>
  <c r="M948" i="1"/>
  <c r="M931" i="1"/>
  <c r="M900" i="1"/>
  <c r="M891" i="1"/>
  <c r="M882" i="1"/>
  <c r="M873" i="1"/>
  <c r="M826" i="1"/>
  <c r="M679" i="1"/>
  <c r="M141" i="7" s="1"/>
  <c r="M93" i="1"/>
  <c r="M82" i="1"/>
  <c r="L975" i="1"/>
  <c r="L963" i="1"/>
  <c r="L948" i="1"/>
  <c r="L931" i="1"/>
  <c r="L900" i="1"/>
  <c r="L891" i="1"/>
  <c r="L882" i="1"/>
  <c r="L873" i="1"/>
  <c r="L826" i="1"/>
  <c r="L679" i="1"/>
  <c r="L141" i="7" s="1"/>
  <c r="L93" i="1"/>
  <c r="L82" i="1"/>
  <c r="K975" i="1"/>
  <c r="K963" i="1"/>
  <c r="K948" i="1"/>
  <c r="K931" i="1"/>
  <c r="K900" i="1"/>
  <c r="K891" i="1"/>
  <c r="K882" i="1"/>
  <c r="K873" i="1"/>
  <c r="K826" i="1"/>
  <c r="K679" i="1"/>
  <c r="K141" i="7" s="1"/>
  <c r="K93" i="1"/>
  <c r="K82" i="1"/>
  <c r="F1089" i="1"/>
  <c r="F1346" i="1" s="1"/>
  <c r="F342" i="7" s="1"/>
  <c r="G1089" i="1"/>
  <c r="G1346" i="1" s="1"/>
  <c r="G342" i="7" s="1"/>
  <c r="H1089" i="1"/>
  <c r="H1346" i="1" s="1"/>
  <c r="H342" i="7" s="1"/>
  <c r="I1089" i="1"/>
  <c r="I1346" i="1" s="1"/>
  <c r="I342" i="7" s="1"/>
  <c r="J1089" i="1"/>
  <c r="J1346" i="1" s="1"/>
  <c r="J342" i="7" s="1"/>
  <c r="J1018" i="1"/>
  <c r="I1018" i="1"/>
  <c r="H1018" i="1"/>
  <c r="G1018" i="1"/>
  <c r="F1018" i="1"/>
  <c r="A779" i="5"/>
  <c r="A1469" i="1" s="1"/>
  <c r="A91" i="5"/>
  <c r="A59" i="1" s="1"/>
  <c r="A1046" i="5"/>
  <c r="A16" i="5"/>
  <c r="A7" i="1" s="1"/>
  <c r="A12" i="8" s="1"/>
  <c r="A474" i="8" s="1"/>
  <c r="A189" i="5"/>
  <c r="G33" i="8"/>
  <c r="A223" i="5"/>
  <c r="B106" i="1" s="1"/>
  <c r="B5" i="7" s="1"/>
  <c r="A1045" i="5"/>
  <c r="A817" i="5"/>
  <c r="A399" i="5"/>
  <c r="A523" i="1" s="1"/>
  <c r="A384" i="5"/>
  <c r="A511" i="1" s="1"/>
  <c r="F643" i="1"/>
  <c r="A73" i="5"/>
  <c r="A636" i="5"/>
  <c r="A995" i="1" s="1"/>
  <c r="A903" i="5"/>
  <c r="A1963" i="1" s="1"/>
  <c r="A188" i="5"/>
  <c r="A183" i="1" s="1"/>
  <c r="A82" i="7" s="1"/>
  <c r="A665" i="5"/>
  <c r="A1104" i="1" s="1"/>
  <c r="A517" i="5"/>
  <c r="A1065" i="1" s="1"/>
  <c r="A996" i="5"/>
  <c r="A2102" i="1" s="1"/>
  <c r="A628" i="5"/>
  <c r="A984" i="1" s="1"/>
  <c r="A629" i="5"/>
  <c r="A985" i="1" s="1"/>
  <c r="A627" i="5"/>
  <c r="A983" i="1" s="1"/>
  <c r="A593" i="5"/>
  <c r="A910" i="1" s="1"/>
  <c r="A717" i="5"/>
  <c r="A146" i="8" s="1"/>
  <c r="A713" i="5"/>
  <c r="F1063" i="1"/>
  <c r="F116" i="8" s="1"/>
  <c r="F115" i="8" s="1"/>
  <c r="A1026" i="5"/>
  <c r="C1659" i="1" s="1"/>
  <c r="C543" i="7" s="1"/>
  <c r="A1044" i="5"/>
  <c r="A1043" i="5"/>
  <c r="A1029" i="5"/>
  <c r="A816" i="5"/>
  <c r="A1042" i="5"/>
  <c r="A198" i="5"/>
  <c r="C1699" i="1" s="1"/>
  <c r="C583" i="7" s="1"/>
  <c r="A1041" i="5"/>
  <c r="A995" i="5"/>
  <c r="A1686" i="1" s="1"/>
  <c r="A570" i="7" s="1"/>
  <c r="A1040" i="5"/>
  <c r="A1036" i="5"/>
  <c r="A1039" i="5"/>
  <c r="A1038" i="5"/>
  <c r="A1037" i="5"/>
  <c r="A626" i="5"/>
  <c r="A1035" i="5"/>
  <c r="A1034" i="5"/>
  <c r="A1033" i="5"/>
  <c r="A1032" i="5"/>
  <c r="A1031" i="5"/>
  <c r="A712" i="5"/>
  <c r="A711" i="5"/>
  <c r="A75" i="5"/>
  <c r="A1030" i="5"/>
  <c r="A710" i="5"/>
  <c r="A714" i="5"/>
  <c r="A715" i="5"/>
  <c r="A716" i="5"/>
  <c r="A718" i="5"/>
  <c r="A148" i="8" s="1"/>
  <c r="A719" i="5"/>
  <c r="A1211" i="1" s="1"/>
  <c r="A202" i="7" s="1"/>
  <c r="A720" i="5"/>
  <c r="A1025" i="5"/>
  <c r="A1659" i="1" s="1"/>
  <c r="A543" i="7" s="1"/>
  <c r="A528" i="5"/>
  <c r="A1027" i="5"/>
  <c r="A1028" i="5"/>
  <c r="A808" i="5"/>
  <c r="A827" i="5"/>
  <c r="A1024" i="5"/>
  <c r="A1657" i="1" s="1"/>
  <c r="A541" i="7" s="1"/>
  <c r="A809" i="5"/>
  <c r="A1554" i="1" s="1"/>
  <c r="A434" i="7" s="1"/>
  <c r="A686" i="5"/>
  <c r="A1134" i="1" s="1"/>
  <c r="A687" i="5"/>
  <c r="A688" i="5"/>
  <c r="A1098" i="1" s="1"/>
  <c r="A837" i="5"/>
  <c r="C1820" i="1" s="1"/>
  <c r="C2040" i="1" s="1"/>
  <c r="A118" i="5"/>
  <c r="A109" i="5"/>
  <c r="A108" i="5"/>
  <c r="A107" i="5"/>
  <c r="A117" i="5"/>
  <c r="A973" i="5"/>
  <c r="A66" i="8" s="1"/>
  <c r="A797" i="5"/>
  <c r="A495" i="8" s="1"/>
  <c r="A382" i="5"/>
  <c r="A510" i="1" s="1"/>
  <c r="A417" i="5"/>
  <c r="A547" i="1" s="1"/>
  <c r="A355" i="5"/>
  <c r="B264" i="1" s="1"/>
  <c r="A881" i="5"/>
  <c r="A879" i="5"/>
  <c r="A877" i="5"/>
  <c r="A807" i="5"/>
  <c r="A1014" i="5"/>
  <c r="A1012" i="5"/>
  <c r="A769" i="5"/>
  <c r="A768" i="5"/>
  <c r="A1015" i="5"/>
  <c r="A736" i="5"/>
  <c r="A735" i="5"/>
  <c r="A1013" i="5"/>
  <c r="A445" i="5"/>
  <c r="A636" i="1" s="1"/>
  <c r="A447" i="5"/>
  <c r="A635" i="1" s="1"/>
  <c r="A444" i="5"/>
  <c r="A634" i="1" s="1"/>
  <c r="A443" i="5"/>
  <c r="A633" i="1" s="1"/>
  <c r="A442" i="5"/>
  <c r="A632" i="1" s="1"/>
  <c r="A441" i="5"/>
  <c r="A631" i="1" s="1"/>
  <c r="A354" i="5"/>
  <c r="A546" i="1" s="1"/>
  <c r="A418" i="5"/>
  <c r="A540" i="1" s="1"/>
  <c r="F43" i="1"/>
  <c r="F37" i="1"/>
  <c r="A790" i="5"/>
  <c r="A1483" i="1" s="1"/>
  <c r="A477" i="5"/>
  <c r="A1016" i="1" s="1"/>
  <c r="A476" i="5"/>
  <c r="A1015" i="1" s="1"/>
  <c r="A599" i="5"/>
  <c r="A921" i="1" s="1"/>
  <c r="A429" i="5"/>
  <c r="A618" i="1" s="1"/>
  <c r="A377" i="5"/>
  <c r="C512" i="1" s="1"/>
  <c r="A657" i="5"/>
  <c r="A1137" i="1" s="1"/>
  <c r="A612" i="5"/>
  <c r="A927" i="1" s="1"/>
  <c r="A656" i="5"/>
  <c r="A1093" i="1" s="1"/>
  <c r="D14" i="8"/>
  <c r="A1021" i="5"/>
  <c r="A14" i="8" s="1"/>
  <c r="A1022" i="5"/>
  <c r="C14" i="8" s="1"/>
  <c r="A1023" i="5"/>
  <c r="A1008" i="5"/>
  <c r="C12" i="8" s="1"/>
  <c r="A383" i="5"/>
  <c r="A1020" i="5"/>
  <c r="A1017" i="5"/>
  <c r="A997" i="5"/>
  <c r="A2103" i="1" s="1"/>
  <c r="A2052" i="1" s="1"/>
  <c r="A1018" i="5"/>
  <c r="A1019" i="5"/>
  <c r="A668" i="5"/>
  <c r="A361" i="5"/>
  <c r="A248" i="1" s="1"/>
  <c r="A407" i="5"/>
  <c r="A271" i="1" s="1"/>
  <c r="A33" i="5"/>
  <c r="A31" i="5"/>
  <c r="B10" i="1" s="1"/>
  <c r="A410" i="5"/>
  <c r="B369" i="1"/>
  <c r="A514" i="5"/>
  <c r="A115" i="8" s="1"/>
  <c r="A655" i="5"/>
  <c r="A1192" i="1" s="1"/>
  <c r="A667" i="5"/>
  <c r="A1117" i="1" s="1"/>
  <c r="A53" i="5"/>
  <c r="A45" i="5"/>
  <c r="A46" i="5"/>
  <c r="A912" i="5"/>
  <c r="A1976" i="1" s="1"/>
  <c r="A855" i="5"/>
  <c r="A838" i="5"/>
  <c r="A833" i="5"/>
  <c r="B684" i="8" s="1"/>
  <c r="A1016" i="5"/>
  <c r="A112" i="8" s="1"/>
  <c r="F975" i="1"/>
  <c r="F963" i="1"/>
  <c r="F948" i="1"/>
  <c r="F931" i="1"/>
  <c r="F900" i="1"/>
  <c r="F891" i="1"/>
  <c r="F882" i="1"/>
  <c r="F873" i="1"/>
  <c r="F826" i="1"/>
  <c r="F679" i="1"/>
  <c r="F141" i="7" s="1"/>
  <c r="H93" i="1"/>
  <c r="I93" i="1"/>
  <c r="J93" i="1"/>
  <c r="G93" i="1"/>
  <c r="H82" i="1"/>
  <c r="I82" i="1"/>
  <c r="J82" i="1"/>
  <c r="G82" i="1"/>
  <c r="A1011" i="5"/>
  <c r="A413" i="5"/>
  <c r="A412" i="5"/>
  <c r="A527" i="1" s="1"/>
  <c r="A228" i="5"/>
  <c r="A352" i="5"/>
  <c r="A351" i="5"/>
  <c r="A350" i="5"/>
  <c r="A349" i="5"/>
  <c r="A348" i="5"/>
  <c r="A347" i="5"/>
  <c r="A297" i="5"/>
  <c r="A346" i="5"/>
  <c r="A345" i="5"/>
  <c r="A344" i="5"/>
  <c r="A343" i="5"/>
  <c r="A342" i="5"/>
  <c r="A341" i="5"/>
  <c r="A340" i="5"/>
  <c r="A339" i="5"/>
  <c r="A338" i="5"/>
  <c r="A337" i="5"/>
  <c r="A336" i="5"/>
  <c r="A335" i="5"/>
  <c r="A334" i="5"/>
  <c r="A333" i="5"/>
  <c r="A332" i="5"/>
  <c r="A331" i="5"/>
  <c r="A330" i="5"/>
  <c r="A329" i="5"/>
  <c r="A328" i="5"/>
  <c r="A327" i="5"/>
  <c r="A326" i="5"/>
  <c r="A325" i="5"/>
  <c r="A324" i="5"/>
  <c r="A323" i="5"/>
  <c r="A322" i="5"/>
  <c r="A321" i="5"/>
  <c r="A320" i="5"/>
  <c r="A319" i="5"/>
  <c r="A318" i="5"/>
  <c r="A317" i="5"/>
  <c r="A316" i="5"/>
  <c r="A315" i="5"/>
  <c r="A314" i="5"/>
  <c r="A313" i="5"/>
  <c r="A312" i="5"/>
  <c r="A311" i="5"/>
  <c r="A294" i="5"/>
  <c r="A310" i="5"/>
  <c r="A309" i="5"/>
  <c r="A308" i="5"/>
  <c r="A307" i="5"/>
  <c r="A306" i="5"/>
  <c r="A389" i="5"/>
  <c r="A518" i="1" s="1"/>
  <c r="A390" i="5"/>
  <c r="A402" i="1" s="1"/>
  <c r="A411" i="5"/>
  <c r="A526" i="1" s="1"/>
  <c r="A305" i="5"/>
  <c r="A304" i="5"/>
  <c r="A303" i="5"/>
  <c r="A302" i="5"/>
  <c r="A301" i="5"/>
  <c r="A300" i="5"/>
  <c r="A299" i="5"/>
  <c r="A298" i="5"/>
  <c r="A296" i="5"/>
  <c r="A295" i="5"/>
  <c r="A257" i="5"/>
  <c r="A291" i="5"/>
  <c r="A290" i="5"/>
  <c r="A229" i="5"/>
  <c r="A289" i="5"/>
  <c r="A288" i="5"/>
  <c r="A287" i="5"/>
  <c r="A235" i="5"/>
  <c r="A285" i="5"/>
  <c r="A284" i="5"/>
  <c r="A283" i="5"/>
  <c r="A282" i="5"/>
  <c r="A281" i="5"/>
  <c r="A280" i="5"/>
  <c r="A279" i="5"/>
  <c r="A278" i="5"/>
  <c r="A277" i="5"/>
  <c r="A276" i="5"/>
  <c r="A275" i="5"/>
  <c r="A274" i="5"/>
  <c r="A272" i="5"/>
  <c r="A266" i="5"/>
  <c r="A271" i="5"/>
  <c r="A270" i="5"/>
  <c r="A269" i="5"/>
  <c r="A268" i="5"/>
  <c r="A267" i="5"/>
  <c r="A265" i="5"/>
  <c r="A264" i="5"/>
  <c r="A263" i="5"/>
  <c r="A261" i="5"/>
  <c r="A260" i="5"/>
  <c r="A259" i="5"/>
  <c r="A258" i="5"/>
  <c r="A256" i="5"/>
  <c r="A255" i="5"/>
  <c r="A254" i="5"/>
  <c r="A253" i="5"/>
  <c r="A252" i="5"/>
  <c r="A251" i="5"/>
  <c r="A250" i="5"/>
  <c r="A249" i="5"/>
  <c r="A248" i="5"/>
  <c r="A247" i="5"/>
  <c r="A230" i="5"/>
  <c r="A237" i="5"/>
  <c r="A236" i="5"/>
  <c r="A234" i="5"/>
  <c r="A233" i="5"/>
  <c r="A232" i="5"/>
  <c r="A1009" i="5"/>
  <c r="A1010" i="5"/>
  <c r="A60" i="5"/>
  <c r="B22" i="1" s="1"/>
  <c r="F457" i="8"/>
  <c r="F456" i="8" s="1"/>
  <c r="A1007" i="5"/>
  <c r="A61" i="8" s="1"/>
  <c r="A202" i="5"/>
  <c r="A198" i="1" s="1"/>
  <c r="A97" i="7" s="1"/>
  <c r="A216" i="5"/>
  <c r="A220" i="1" s="1"/>
  <c r="A119" i="7" s="1"/>
  <c r="A960" i="5"/>
  <c r="A31" i="8" s="1"/>
  <c r="A843" i="5"/>
  <c r="A1999" i="1" s="1"/>
  <c r="A219" i="5"/>
  <c r="A173" i="5"/>
  <c r="A172" i="5"/>
  <c r="A154" i="1" s="1"/>
  <c r="A53" i="7" s="1"/>
  <c r="A171" i="5"/>
  <c r="A153" i="1" s="1"/>
  <c r="A52" i="7" s="1"/>
  <c r="A170" i="5"/>
  <c r="A152" i="1" s="1"/>
  <c r="A51" i="7" s="1"/>
  <c r="A225" i="5"/>
  <c r="A151" i="1" s="1"/>
  <c r="A50" i="7" s="1"/>
  <c r="A183" i="5"/>
  <c r="A182" i="5"/>
  <c r="A165" i="1" s="1"/>
  <c r="A64" i="7" s="1"/>
  <c r="A181" i="5"/>
  <c r="A164" i="1" s="1"/>
  <c r="A63" i="7" s="1"/>
  <c r="F183" i="1"/>
  <c r="F82" i="7" s="1"/>
  <c r="B1831" i="1"/>
  <c r="AE364" i="1"/>
  <c r="A375" i="5"/>
  <c r="A376" i="5"/>
  <c r="C391" i="1" s="1"/>
  <c r="A1006" i="5"/>
  <c r="C2055" i="1" s="1"/>
  <c r="A1005" i="5"/>
  <c r="B2107" i="1" s="1"/>
  <c r="A985" i="5"/>
  <c r="A2054" i="1" s="1"/>
  <c r="A986" i="5"/>
  <c r="A2055" i="1" s="1"/>
  <c r="A987" i="5"/>
  <c r="A2056" i="1" s="1"/>
  <c r="A988" i="5"/>
  <c r="A989" i="5"/>
  <c r="A2062" i="1" s="1"/>
  <c r="A990" i="5"/>
  <c r="B2062" i="1" s="1"/>
  <c r="A991" i="5"/>
  <c r="C2062" i="1" s="1"/>
  <c r="A992" i="5"/>
  <c r="A2071" i="1" s="1"/>
  <c r="A993" i="5"/>
  <c r="A2097" i="1" s="1"/>
  <c r="A994" i="5"/>
  <c r="A2100" i="1" s="1"/>
  <c r="A998" i="5"/>
  <c r="A2104" i="1" s="1"/>
  <c r="A999" i="5"/>
  <c r="A2105" i="1" s="1"/>
  <c r="A1000" i="5"/>
  <c r="A2108" i="1" s="1"/>
  <c r="A2060" i="1" s="1"/>
  <c r="A1001" i="5"/>
  <c r="A2109" i="1" s="1"/>
  <c r="A1002" i="5"/>
  <c r="A2110" i="1" s="1"/>
  <c r="A1003" i="5"/>
  <c r="A2111" i="1" s="1"/>
  <c r="A1004" i="5"/>
  <c r="A2112" i="1" s="1"/>
  <c r="A984" i="5"/>
  <c r="B2063" i="1"/>
  <c r="B2064" i="1" s="1"/>
  <c r="B2065" i="1" s="1"/>
  <c r="B2066" i="1" s="1"/>
  <c r="B2067" i="1" s="1"/>
  <c r="B2068" i="1" s="1"/>
  <c r="B2069" i="1" s="1"/>
  <c r="A231" i="5"/>
  <c r="A243" i="5"/>
  <c r="A242" i="5"/>
  <c r="A3" i="5"/>
  <c r="A4" i="5"/>
  <c r="A5" i="5"/>
  <c r="A857" i="5"/>
  <c r="A770" i="8" s="1"/>
  <c r="B22" i="8"/>
  <c r="B9" i="1"/>
  <c r="F1180" i="1"/>
  <c r="F92" i="8" s="1"/>
  <c r="F91" i="8" s="1"/>
  <c r="A685" i="5"/>
  <c r="A1133" i="1" s="1"/>
  <c r="A72" i="5"/>
  <c r="A35" i="1" s="1"/>
  <c r="A14" i="5"/>
  <c r="A4" i="1" s="1"/>
  <c r="A831" i="5"/>
  <c r="A515" i="7" s="1"/>
  <c r="A830" i="5"/>
  <c r="A489" i="7" s="1"/>
  <c r="A829" i="5"/>
  <c r="A463" i="7" s="1"/>
  <c r="A828" i="5"/>
  <c r="A592" i="8" s="1"/>
  <c r="A826" i="5"/>
  <c r="A1577" i="1" s="1"/>
  <c r="A457" i="7" s="1"/>
  <c r="A825" i="5"/>
  <c r="A589" i="8" s="1"/>
  <c r="A824" i="5"/>
  <c r="A1575" i="1" s="1"/>
  <c r="A455" i="7" s="1"/>
  <c r="A823" i="5"/>
  <c r="A586" i="8" s="1"/>
  <c r="A822" i="5"/>
  <c r="A821" i="5"/>
  <c r="A583" i="8" s="1"/>
  <c r="A820" i="5"/>
  <c r="A819" i="5"/>
  <c r="A1567" i="1" s="1"/>
  <c r="A447" i="7" s="1"/>
  <c r="A818" i="5"/>
  <c r="A815" i="5"/>
  <c r="A1562" i="1" s="1"/>
  <c r="A442" i="7" s="1"/>
  <c r="A814" i="5"/>
  <c r="A813" i="5"/>
  <c r="A572" i="8" s="1"/>
  <c r="A812" i="5"/>
  <c r="A811" i="5"/>
  <c r="A570" i="8" s="1"/>
  <c r="A810" i="5"/>
  <c r="A943" i="5"/>
  <c r="A2048" i="1" s="1"/>
  <c r="A836" i="5"/>
  <c r="A835" i="5"/>
  <c r="A983" i="5"/>
  <c r="A924" i="8" s="1"/>
  <c r="A868" i="5"/>
  <c r="A2034" i="1" s="1"/>
  <c r="A865" i="5"/>
  <c r="A942" i="5"/>
  <c r="A959" i="8" s="1"/>
  <c r="A869" i="5"/>
  <c r="A786" i="8" s="1"/>
  <c r="A864" i="5"/>
  <c r="A954" i="8" s="1"/>
  <c r="A941" i="5"/>
  <c r="A940" i="5"/>
  <c r="A947" i="8" s="1"/>
  <c r="A767" i="5"/>
  <c r="A2029" i="1" s="1"/>
  <c r="A766" i="5"/>
  <c r="A2028" i="1" s="1"/>
  <c r="A765" i="5"/>
  <c r="A330" i="8" s="1"/>
  <c r="A939" i="5"/>
  <c r="A941" i="8" s="1"/>
  <c r="A938" i="5"/>
  <c r="A937" i="5"/>
  <c r="A936" i="5"/>
  <c r="A937" i="8" s="1"/>
  <c r="A935" i="5"/>
  <c r="A2019" i="1" s="1"/>
  <c r="A934" i="5"/>
  <c r="A743" i="5"/>
  <c r="A1289" i="1" s="1"/>
  <c r="A283" i="7" s="1"/>
  <c r="A734" i="5"/>
  <c r="A732" i="5"/>
  <c r="A930" i="8" s="1"/>
  <c r="A730" i="5"/>
  <c r="A1286" i="1" s="1"/>
  <c r="A280" i="7" s="1"/>
  <c r="A728" i="5"/>
  <c r="A176" i="8" s="1"/>
  <c r="A933" i="5"/>
  <c r="A932" i="5"/>
  <c r="A2010" i="1" s="1"/>
  <c r="A372" i="5"/>
  <c r="AE1931" i="1" s="1"/>
  <c r="A931" i="5"/>
  <c r="A2008" i="1" s="1"/>
  <c r="A187" i="5"/>
  <c r="A896" i="5"/>
  <c r="A1954" i="1" s="1"/>
  <c r="A895" i="5"/>
  <c r="A1952" i="1" s="1"/>
  <c r="A894" i="5"/>
  <c r="A180" i="8" s="1"/>
  <c r="A893" i="5"/>
  <c r="A917" i="8" s="1"/>
  <c r="A892" i="5"/>
  <c r="A1948" i="1" s="1"/>
  <c r="A891" i="5"/>
  <c r="A890" i="5"/>
  <c r="A1945" i="1" s="1"/>
  <c r="A889" i="5"/>
  <c r="A888" i="5"/>
  <c r="A1943" i="1" s="1"/>
  <c r="A887" i="5"/>
  <c r="A1942" i="1" s="1"/>
  <c r="A886" i="5"/>
  <c r="A885" i="5"/>
  <c r="A884" i="5"/>
  <c r="A1938" i="1" s="1"/>
  <c r="A844" i="5"/>
  <c r="A883" i="5"/>
  <c r="A842" i="5"/>
  <c r="A841" i="5"/>
  <c r="A901" i="8" s="1"/>
  <c r="A840" i="5"/>
  <c r="A1789" i="1" s="1"/>
  <c r="A882" i="5"/>
  <c r="A1931" i="1" s="1"/>
  <c r="A982" i="5"/>
  <c r="A870" i="8" s="1"/>
  <c r="A880" i="5"/>
  <c r="A1859" i="1" s="1"/>
  <c r="A981" i="5"/>
  <c r="A796" i="8" s="1"/>
  <c r="A856" i="5"/>
  <c r="A1731" i="1" s="1"/>
  <c r="A616" i="7" s="1"/>
  <c r="A878" i="5"/>
  <c r="A746" i="8" s="1"/>
  <c r="A876" i="5"/>
  <c r="A1831" i="1" s="1"/>
  <c r="A875" i="5"/>
  <c r="A874" i="5"/>
  <c r="A1755" i="1" s="1"/>
  <c r="A640" i="7" s="1"/>
  <c r="A873" i="5"/>
  <c r="A714" i="8" s="1"/>
  <c r="A872" i="5"/>
  <c r="A1898" i="1" s="1"/>
  <c r="A871" i="5"/>
  <c r="A870" i="5"/>
  <c r="A1750" i="1" s="1"/>
  <c r="A635" i="7" s="1"/>
  <c r="A867" i="5"/>
  <c r="A866" i="5"/>
  <c r="A855" i="8" s="1"/>
  <c r="A863" i="5"/>
  <c r="A1740" i="1" s="1"/>
  <c r="A625" i="7" s="1"/>
  <c r="A862" i="5"/>
  <c r="A700" i="8" s="1"/>
  <c r="A861" i="5"/>
  <c r="A860" i="5"/>
  <c r="A1883" i="1" s="1"/>
  <c r="A859" i="5"/>
  <c r="A696" i="8" s="1"/>
  <c r="A858" i="5"/>
  <c r="A695" i="8" s="1"/>
  <c r="A854" i="5"/>
  <c r="A853" i="5"/>
  <c r="A1728" i="1" s="1"/>
  <c r="A613" i="7" s="1"/>
  <c r="A852" i="5"/>
  <c r="A838" i="8" s="1"/>
  <c r="A851" i="5"/>
  <c r="A763" i="8" s="1"/>
  <c r="A850" i="5"/>
  <c r="A686" i="8" s="1"/>
  <c r="A849" i="5"/>
  <c r="A1798" i="1" s="1"/>
  <c r="A848" i="5"/>
  <c r="A760" i="8" s="1"/>
  <c r="A847" i="5"/>
  <c r="A759" i="8" s="1"/>
  <c r="A846" i="5"/>
  <c r="A1721" i="1" s="1"/>
  <c r="A606" i="7" s="1"/>
  <c r="A845" i="5"/>
  <c r="A681" i="8" s="1"/>
  <c r="A839" i="5"/>
  <c r="A752" i="8" s="1"/>
  <c r="A980" i="5"/>
  <c r="A720" i="8" s="1"/>
  <c r="A105" i="5"/>
  <c r="A80" i="1" s="1"/>
  <c r="A549" i="5"/>
  <c r="A724" i="1" s="1"/>
  <c r="A548" i="5"/>
  <c r="A804" i="1" s="1"/>
  <c r="A547" i="5"/>
  <c r="A832" i="5"/>
  <c r="A1711" i="1" s="1"/>
  <c r="A596" i="7" s="1"/>
  <c r="A979" i="5"/>
  <c r="A567" i="8" s="1"/>
  <c r="A978" i="5"/>
  <c r="A541" i="8" s="1"/>
  <c r="A977" i="5"/>
  <c r="A516" i="8" s="1"/>
  <c r="A949" i="5"/>
  <c r="B11" i="8" s="1"/>
  <c r="A71" i="5"/>
  <c r="A806" i="5"/>
  <c r="A805" i="5"/>
  <c r="A514" i="8" s="1"/>
  <c r="A804" i="5"/>
  <c r="A803" i="5"/>
  <c r="A509" i="8" s="1"/>
  <c r="A802" i="5"/>
  <c r="A801" i="5"/>
  <c r="A800" i="5"/>
  <c r="A799" i="5"/>
  <c r="A1493" i="1" s="1"/>
  <c r="A798" i="5"/>
  <c r="A796" i="5"/>
  <c r="A795" i="5"/>
  <c r="A794" i="5"/>
  <c r="A1487" i="1" s="1"/>
  <c r="A793" i="5"/>
  <c r="A792" i="5"/>
  <c r="A791" i="5"/>
  <c r="A483" i="8" s="1"/>
  <c r="A789" i="5"/>
  <c r="A478" i="8" s="1"/>
  <c r="A788" i="5"/>
  <c r="A787" i="5"/>
  <c r="A473" i="8" s="1"/>
  <c r="A786" i="5"/>
  <c r="A471" i="8" s="1"/>
  <c r="A785" i="5"/>
  <c r="A467" i="8" s="1"/>
  <c r="A784" i="5"/>
  <c r="A783" i="5"/>
  <c r="A782" i="5"/>
  <c r="A781" i="5"/>
  <c r="A780" i="5"/>
  <c r="A778" i="5"/>
  <c r="A1468" i="1" s="1"/>
  <c r="A777" i="5"/>
  <c r="A1467" i="1" s="1"/>
  <c r="A776" i="5"/>
  <c r="A1466" i="1" s="1"/>
  <c r="A775" i="5"/>
  <c r="A448" i="8" s="1"/>
  <c r="A774" i="5"/>
  <c r="A773" i="5"/>
  <c r="A772" i="5"/>
  <c r="A442" i="8" s="1"/>
  <c r="A771" i="5"/>
  <c r="A976" i="5"/>
  <c r="A438" i="8" s="1"/>
  <c r="A975" i="5"/>
  <c r="A268" i="8" s="1"/>
  <c r="A974" i="5"/>
  <c r="A125" i="8" s="1"/>
  <c r="A746" i="5"/>
  <c r="A1319" i="1" s="1"/>
  <c r="A315" i="7" s="1"/>
  <c r="A745" i="5"/>
  <c r="A189" i="8" s="1"/>
  <c r="A744" i="5"/>
  <c r="A742" i="5"/>
  <c r="A733" i="5"/>
  <c r="A731" i="5"/>
  <c r="A1213" i="1" s="1"/>
  <c r="A204" i="7" s="1"/>
  <c r="A729" i="5"/>
  <c r="A727" i="5"/>
  <c r="A166" i="8" s="1"/>
  <c r="A726" i="5"/>
  <c r="A1218" i="1" s="1"/>
  <c r="A209" i="7" s="1"/>
  <c r="A725" i="5"/>
  <c r="A162" i="8" s="1"/>
  <c r="A724" i="5"/>
  <c r="A160" i="8" s="1"/>
  <c r="A723" i="5"/>
  <c r="A158" i="8" s="1"/>
  <c r="A722" i="5"/>
  <c r="A721" i="5"/>
  <c r="A156" i="8" s="1"/>
  <c r="A709" i="5"/>
  <c r="A708" i="5"/>
  <c r="A127" i="8" s="1"/>
  <c r="A707" i="5"/>
  <c r="A1197" i="1" s="1"/>
  <c r="A188" i="7" s="1"/>
  <c r="A972" i="5"/>
  <c r="A42" i="8" s="1"/>
  <c r="A971" i="5"/>
  <c r="A41" i="8" s="1"/>
  <c r="A966" i="5"/>
  <c r="A39" i="8" s="1"/>
  <c r="A961" i="5"/>
  <c r="A32" i="8" s="1"/>
  <c r="A962" i="5"/>
  <c r="A33" i="8" s="1"/>
  <c r="A963" i="5"/>
  <c r="A34" i="8" s="1"/>
  <c r="A964" i="5"/>
  <c r="A35" i="8" s="1"/>
  <c r="A965" i="5"/>
  <c r="A36" i="8" s="1"/>
  <c r="A967" i="5"/>
  <c r="C41" i="8" s="1"/>
  <c r="A968" i="5"/>
  <c r="A969" i="5"/>
  <c r="A970" i="5"/>
  <c r="A959" i="5"/>
  <c r="C27" i="8" s="1"/>
  <c r="A958" i="5"/>
  <c r="B27" i="8" s="1"/>
  <c r="A957" i="5"/>
  <c r="A27" i="8" s="1"/>
  <c r="A954" i="5"/>
  <c r="A23" i="8" s="1"/>
  <c r="A955" i="5"/>
  <c r="A24" i="8" s="1"/>
  <c r="A956" i="5"/>
  <c r="A25" i="8" s="1"/>
  <c r="A953" i="5"/>
  <c r="A22" i="8" s="1"/>
  <c r="A952" i="5"/>
  <c r="A20" i="8" s="1"/>
  <c r="A951" i="5"/>
  <c r="A16" i="8" s="1"/>
  <c r="A950" i="5"/>
  <c r="F11" i="8" s="1"/>
  <c r="A948" i="5"/>
  <c r="A11" i="8" s="1"/>
  <c r="A947" i="5"/>
  <c r="A7" i="8" s="1"/>
  <c r="A946" i="5"/>
  <c r="A6" i="8" s="1"/>
  <c r="A945" i="5"/>
  <c r="A4" i="8" s="1"/>
  <c r="A944" i="5"/>
  <c r="A2" i="8" s="1"/>
  <c r="A930" i="5"/>
  <c r="A2005" i="1" s="1"/>
  <c r="A929" i="5"/>
  <c r="A2004" i="1" s="1"/>
  <c r="A928" i="5"/>
  <c r="A2002" i="1" s="1"/>
  <c r="A927" i="5"/>
  <c r="A2001" i="1" s="1"/>
  <c r="A925" i="5"/>
  <c r="A1998" i="1" s="1"/>
  <c r="A926" i="5"/>
  <c r="A924" i="5"/>
  <c r="A1997" i="1" s="1"/>
  <c r="A923" i="5"/>
  <c r="A1995" i="1" s="1"/>
  <c r="A922" i="5"/>
  <c r="A1994" i="1" s="1"/>
  <c r="A921" i="5"/>
  <c r="A1992" i="1" s="1"/>
  <c r="A917" i="5"/>
  <c r="A918" i="5"/>
  <c r="A1984" i="1" s="1"/>
  <c r="A919" i="5"/>
  <c r="A1985" i="1" s="1"/>
  <c r="A920" i="5"/>
  <c r="A1986" i="1" s="1"/>
  <c r="A916" i="5"/>
  <c r="A915" i="5"/>
  <c r="A1981" i="1" s="1"/>
  <c r="A914" i="5"/>
  <c r="A1979" i="1" s="1"/>
  <c r="A913" i="5"/>
  <c r="A1977" i="1" s="1"/>
  <c r="A911" i="5"/>
  <c r="A1974" i="1" s="1"/>
  <c r="A910" i="5"/>
  <c r="A1972" i="1" s="1"/>
  <c r="A909" i="5"/>
  <c r="A1971" i="1" s="1"/>
  <c r="A902" i="5"/>
  <c r="A1962" i="1" s="1"/>
  <c r="A904" i="5"/>
  <c r="A1964" i="1" s="1"/>
  <c r="A905" i="5"/>
  <c r="A1965" i="1" s="1"/>
  <c r="A906" i="5"/>
  <c r="A1966" i="1" s="1"/>
  <c r="A907" i="5"/>
  <c r="A1967" i="1" s="1"/>
  <c r="A908" i="5"/>
  <c r="A1968" i="1" s="1"/>
  <c r="A901" i="5"/>
  <c r="A1961" i="1" s="1"/>
  <c r="A900" i="5"/>
  <c r="A1959" i="1" s="1"/>
  <c r="A899" i="5"/>
  <c r="C1960" i="1" s="1"/>
  <c r="A898" i="5"/>
  <c r="B1960" i="1" s="1"/>
  <c r="A897" i="5"/>
  <c r="A1957" i="1" s="1"/>
  <c r="A741" i="5"/>
  <c r="A1282" i="1" s="1"/>
  <c r="A276" i="7" s="1"/>
  <c r="A739" i="5"/>
  <c r="A1278" i="1" s="1"/>
  <c r="A272" i="7" s="1"/>
  <c r="A740" i="5"/>
  <c r="A1279" i="1" s="1"/>
  <c r="A273" i="7" s="1"/>
  <c r="A738" i="5"/>
  <c r="A1277" i="1" s="1"/>
  <c r="A271" i="7" s="1"/>
  <c r="A690" i="5"/>
  <c r="A1128" i="1" s="1"/>
  <c r="A691" i="5"/>
  <c r="A1165" i="1" s="1"/>
  <c r="A582" i="5"/>
  <c r="A400" i="5"/>
  <c r="A524" i="1" s="1"/>
  <c r="A396" i="5"/>
  <c r="A392" i="5"/>
  <c r="A522" i="1" s="1"/>
  <c r="A423" i="5"/>
  <c r="A565" i="1" s="1"/>
  <c r="A391" i="5"/>
  <c r="A520" i="1" s="1"/>
  <c r="A409" i="5"/>
  <c r="A386" i="5"/>
  <c r="A515" i="1" s="1"/>
  <c r="A401" i="5"/>
  <c r="A410" i="1" s="1"/>
  <c r="A363" i="5"/>
  <c r="A409" i="1" s="1"/>
  <c r="A362" i="5"/>
  <c r="A408" i="1" s="1"/>
  <c r="A408" i="5"/>
  <c r="A464" i="1" s="1"/>
  <c r="A427" i="5"/>
  <c r="A598" i="1" s="1"/>
  <c r="A426" i="5"/>
  <c r="A586" i="1" s="1"/>
  <c r="A405" i="5"/>
  <c r="A425" i="5"/>
  <c r="A573" i="1" s="1"/>
  <c r="A424" i="5"/>
  <c r="A571" i="1" s="1"/>
  <c r="A422" i="5"/>
  <c r="A563" i="1" s="1"/>
  <c r="A421" i="5"/>
  <c r="A559" i="1" s="1"/>
  <c r="A420" i="5"/>
  <c r="A551" i="1" s="1"/>
  <c r="A419" i="5"/>
  <c r="A548" i="1" s="1"/>
  <c r="A416" i="5"/>
  <c r="A535" i="1" s="1"/>
  <c r="A415" i="5"/>
  <c r="A534" i="1" s="1"/>
  <c r="A414" i="5"/>
  <c r="A533" i="1" s="1"/>
  <c r="A394" i="5"/>
  <c r="A398" i="5"/>
  <c r="A521" i="1" s="1"/>
  <c r="A428" i="5"/>
  <c r="A388" i="5"/>
  <c r="A517" i="1" s="1"/>
  <c r="A387" i="5"/>
  <c r="A516" i="1" s="1"/>
  <c r="A385" i="5"/>
  <c r="A512" i="1" s="1"/>
  <c r="A381" i="5"/>
  <c r="A397" i="5"/>
  <c r="A397" i="1" s="1"/>
  <c r="A395" i="5"/>
  <c r="A406" i="5"/>
  <c r="A436" i="1" s="1"/>
  <c r="A404" i="5"/>
  <c r="A392" i="1" s="1"/>
  <c r="A403" i="5"/>
  <c r="A391" i="1" s="1"/>
  <c r="A402" i="5"/>
  <c r="A362" i="1" s="1"/>
  <c r="A393" i="5"/>
  <c r="A297" i="1" s="1"/>
  <c r="A379" i="5"/>
  <c r="A282" i="1" s="1"/>
  <c r="A378" i="5"/>
  <c r="C392" i="1" s="1"/>
  <c r="A430" i="5"/>
  <c r="A621" i="1" s="1"/>
  <c r="A432" i="5"/>
  <c r="A625" i="1" s="1"/>
  <c r="A433" i="5"/>
  <c r="A626" i="1" s="1"/>
  <c r="A434" i="5"/>
  <c r="A627" i="1" s="1"/>
  <c r="A435" i="5"/>
  <c r="A628" i="1" s="1"/>
  <c r="A436" i="5"/>
  <c r="A629" i="1" s="1"/>
  <c r="A437" i="5"/>
  <c r="A638" i="1" s="1"/>
  <c r="A438" i="5"/>
  <c r="A630" i="1" s="1"/>
  <c r="A439" i="5"/>
  <c r="A440" i="5"/>
  <c r="A446" i="5"/>
  <c r="A448" i="5"/>
  <c r="A637" i="1" s="1"/>
  <c r="A449" i="5"/>
  <c r="A639" i="1" s="1"/>
  <c r="A450" i="5"/>
  <c r="A640" i="1" s="1"/>
  <c r="A451" i="5"/>
  <c r="A641" i="1" s="1"/>
  <c r="A452" i="5"/>
  <c r="A642" i="1" s="1"/>
  <c r="A453" i="5"/>
  <c r="A643" i="1" s="1"/>
  <c r="A454" i="5"/>
  <c r="A644" i="1" s="1"/>
  <c r="A455" i="5"/>
  <c r="A645" i="1" s="1"/>
  <c r="A456" i="5"/>
  <c r="A647" i="1" s="1"/>
  <c r="A457" i="5"/>
  <c r="A648" i="1" s="1"/>
  <c r="A458" i="5"/>
  <c r="A649" i="1" s="1"/>
  <c r="A459" i="5"/>
  <c r="A650" i="1" s="1"/>
  <c r="A460" i="5"/>
  <c r="A651" i="1" s="1"/>
  <c r="A461" i="5"/>
  <c r="A652" i="1" s="1"/>
  <c r="A462" i="5"/>
  <c r="A653" i="1" s="1"/>
  <c r="A463" i="5"/>
  <c r="A654" i="1" s="1"/>
  <c r="A464" i="5"/>
  <c r="A655" i="1" s="1"/>
  <c r="A465" i="5"/>
  <c r="A656" i="1" s="1"/>
  <c r="A466" i="5"/>
  <c r="A657" i="1" s="1"/>
  <c r="A467" i="5"/>
  <c r="A658" i="1" s="1"/>
  <c r="A468" i="5"/>
  <c r="C625" i="1" s="1"/>
  <c r="A469" i="5"/>
  <c r="A470" i="5"/>
  <c r="A471" i="5"/>
  <c r="A472" i="5"/>
  <c r="A1008" i="1" s="1"/>
  <c r="A473" i="5"/>
  <c r="A1010" i="1" s="1"/>
  <c r="A474" i="5"/>
  <c r="A1011" i="1" s="1"/>
  <c r="A475" i="5"/>
  <c r="A1012" i="1" s="1"/>
  <c r="A478" i="5"/>
  <c r="A1019" i="1" s="1"/>
  <c r="A479" i="5"/>
  <c r="A480" i="5"/>
  <c r="A481" i="5"/>
  <c r="A1020" i="1" s="1"/>
  <c r="A482" i="5"/>
  <c r="A1024" i="1" s="1"/>
  <c r="A483" i="5"/>
  <c r="A1025" i="1" s="1"/>
  <c r="A484" i="5"/>
  <c r="A1026" i="1" s="1"/>
  <c r="A485" i="5"/>
  <c r="A1027" i="1" s="1"/>
  <c r="A486" i="5"/>
  <c r="A1028" i="1" s="1"/>
  <c r="A487" i="5"/>
  <c r="A1029" i="1" s="1"/>
  <c r="A488" i="5"/>
  <c r="A1030" i="1" s="1"/>
  <c r="A489" i="5"/>
  <c r="A1031" i="1" s="1"/>
  <c r="A490" i="5"/>
  <c r="A1032" i="1" s="1"/>
  <c r="A491" i="5"/>
  <c r="A1033" i="1" s="1"/>
  <c r="A492" i="5"/>
  <c r="A1034" i="1" s="1"/>
  <c r="A493" i="5"/>
  <c r="A1036" i="1" s="1"/>
  <c r="A494" i="5"/>
  <c r="A1037" i="1" s="1"/>
  <c r="A495" i="5"/>
  <c r="A1038" i="1" s="1"/>
  <c r="A496" i="5"/>
  <c r="A1039" i="1" s="1"/>
  <c r="A497" i="5"/>
  <c r="A1040" i="1" s="1"/>
  <c r="A498" i="5"/>
  <c r="A1041" i="1" s="1"/>
  <c r="A499" i="5"/>
  <c r="A1042" i="1" s="1"/>
  <c r="A500" i="5"/>
  <c r="A1046" i="1" s="1"/>
  <c r="A501" i="5"/>
  <c r="A1044" i="1" s="1"/>
  <c r="A502" i="5"/>
  <c r="A1045" i="1" s="1"/>
  <c r="A503" i="5"/>
  <c r="A504" i="5"/>
  <c r="A1048" i="1" s="1"/>
  <c r="A505" i="5"/>
  <c r="A1049" i="1" s="1"/>
  <c r="A360" i="5"/>
  <c r="A261" i="1" s="1"/>
  <c r="A359" i="5"/>
  <c r="A260" i="1" s="1"/>
  <c r="A358" i="5"/>
  <c r="A259" i="1" s="1"/>
  <c r="A364" i="5"/>
  <c r="A263" i="1" s="1"/>
  <c r="A370" i="5"/>
  <c r="A273" i="1" s="1"/>
  <c r="A368" i="5"/>
  <c r="A367" i="5"/>
  <c r="A256" i="1" s="1"/>
  <c r="A366" i="5"/>
  <c r="A247" i="1" s="1"/>
  <c r="A365" i="5"/>
  <c r="A232" i="1" s="1"/>
  <c r="A357" i="5"/>
  <c r="A238" i="1" s="1"/>
  <c r="A356" i="5"/>
  <c r="A369" i="5"/>
  <c r="A244" i="5"/>
  <c r="A241" i="5"/>
  <c r="A239" i="5"/>
  <c r="A238" i="5"/>
  <c r="A240" i="5"/>
  <c r="A217" i="5"/>
  <c r="A221" i="1" s="1"/>
  <c r="A120" i="7" s="1"/>
  <c r="A195" i="5"/>
  <c r="A58" i="8" s="1"/>
  <c r="A215" i="5"/>
  <c r="A216" i="1" s="1"/>
  <c r="A115" i="7" s="1"/>
  <c r="A214" i="5"/>
  <c r="A214" i="1" s="1"/>
  <c r="A113" i="7" s="1"/>
  <c r="A184" i="5"/>
  <c r="A170" i="1" s="1"/>
  <c r="A69" i="7" s="1"/>
  <c r="A86" i="5"/>
  <c r="A54" i="1" s="1"/>
  <c r="A763" i="5"/>
  <c r="A1350" i="1" s="1"/>
  <c r="A346" i="7" s="1"/>
  <c r="A762" i="5"/>
  <c r="A1349" i="1" s="1"/>
  <c r="A345" i="7" s="1"/>
  <c r="A761" i="5"/>
  <c r="A760" i="5"/>
  <c r="A318" i="8" s="1"/>
  <c r="A654" i="5"/>
  <c r="A1346" i="1" s="1"/>
  <c r="A342" i="7" s="1"/>
  <c r="A759" i="5"/>
  <c r="A1345" i="1" s="1"/>
  <c r="A341" i="7" s="1"/>
  <c r="A758" i="5"/>
  <c r="A312" i="8" s="1"/>
  <c r="A764" i="5"/>
  <c r="A1352" i="1" s="1"/>
  <c r="A348" i="7" s="1"/>
  <c r="A756" i="5"/>
  <c r="A1340" i="1" s="1"/>
  <c r="A336" i="7" s="1"/>
  <c r="A700" i="5"/>
  <c r="A304" i="8" s="1"/>
  <c r="A699" i="5"/>
  <c r="A1338" i="1" s="1"/>
  <c r="A334" i="7" s="1"/>
  <c r="A698" i="5"/>
  <c r="A1337" i="1" s="1"/>
  <c r="A333" i="7" s="1"/>
  <c r="A694" i="5"/>
  <c r="A1171" i="1" s="1"/>
  <c r="A697" i="5"/>
  <c r="A296" i="8" s="1"/>
  <c r="A696" i="5"/>
  <c r="A1169" i="1" s="1"/>
  <c r="A693" i="5"/>
  <c r="A1333" i="1" s="1"/>
  <c r="A329" i="7" s="1"/>
  <c r="A757" i="5"/>
  <c r="A754" i="5"/>
  <c r="A1329" i="1" s="1"/>
  <c r="A325" i="7" s="1"/>
  <c r="A753" i="5"/>
  <c r="A1328" i="1" s="1"/>
  <c r="A324" i="7" s="1"/>
  <c r="A752" i="5"/>
  <c r="A1327" i="1" s="1"/>
  <c r="A323" i="7" s="1"/>
  <c r="A751" i="5"/>
  <c r="A1326" i="1" s="1"/>
  <c r="A322" i="7" s="1"/>
  <c r="A750" i="5"/>
  <c r="A278" i="8" s="1"/>
  <c r="A749" i="5"/>
  <c r="A1324" i="1" s="1"/>
  <c r="A320" i="7" s="1"/>
  <c r="A600" i="5"/>
  <c r="A993" i="1" s="1"/>
  <c r="A748" i="5"/>
  <c r="A747" i="5"/>
  <c r="A270" i="8" s="1"/>
  <c r="A755" i="5"/>
  <c r="A706" i="5"/>
  <c r="A122" i="8" s="1"/>
  <c r="A705" i="5"/>
  <c r="A704" i="5"/>
  <c r="A107" i="8" s="1"/>
  <c r="A703" i="5"/>
  <c r="A105" i="8" s="1"/>
  <c r="A666" i="5"/>
  <c r="A1187" i="1" s="1"/>
  <c r="A702" i="5"/>
  <c r="A663" i="5"/>
  <c r="A1113" i="1" s="1"/>
  <c r="A653" i="5"/>
  <c r="A1086" i="1" s="1"/>
  <c r="A651" i="5"/>
  <c r="A1180" i="1" s="1"/>
  <c r="A645" i="5"/>
  <c r="A1075" i="1" s="1"/>
  <c r="A701" i="5"/>
  <c r="A86" i="8" s="1"/>
  <c r="A695" i="5"/>
  <c r="A692" i="5"/>
  <c r="A68" i="8" s="1"/>
  <c r="A88" i="5"/>
  <c r="A56" i="1" s="1"/>
  <c r="A737" i="5"/>
  <c r="A1275" i="1" s="1"/>
  <c r="A269" i="7" s="1"/>
  <c r="A208" i="5"/>
  <c r="A206" i="1" s="1"/>
  <c r="A105" i="7" s="1"/>
  <c r="A679" i="5"/>
  <c r="A1130" i="1" s="1"/>
  <c r="A144" i="5"/>
  <c r="A122" i="1" s="1"/>
  <c r="A21" i="7" s="1"/>
  <c r="A353" i="5"/>
  <c r="A230" i="1" s="1"/>
  <c r="A246" i="5"/>
  <c r="A146" i="5"/>
  <c r="A124" i="1" s="1"/>
  <c r="A23" i="7" s="1"/>
  <c r="A193" i="5"/>
  <c r="A218" i="1" s="1"/>
  <c r="A117" i="7" s="1"/>
  <c r="A194" i="5"/>
  <c r="A184" i="1" s="1"/>
  <c r="A83" i="7" s="1"/>
  <c r="A192" i="5"/>
  <c r="A217" i="1" s="1"/>
  <c r="A116" i="7" s="1"/>
  <c r="A227" i="5"/>
  <c r="A226" i="5"/>
  <c r="A224" i="5"/>
  <c r="C145" i="1" s="1"/>
  <c r="C44" i="7" s="1"/>
  <c r="A186" i="5"/>
  <c r="A195" i="1" s="1"/>
  <c r="A94" i="7" s="1"/>
  <c r="B1964" i="1"/>
  <c r="B1965" i="1"/>
  <c r="B1963" i="1"/>
  <c r="B1967" i="1"/>
  <c r="B1969" i="1"/>
  <c r="B1968" i="1"/>
  <c r="B1970" i="1"/>
  <c r="B1962" i="1"/>
  <c r="B1971" i="1"/>
  <c r="B1972" i="1"/>
  <c r="A211" i="5"/>
  <c r="C211" i="1" s="1"/>
  <c r="C110" i="7" s="1"/>
  <c r="A212" i="5"/>
  <c r="A371" i="5"/>
  <c r="A280" i="1" s="1"/>
  <c r="A206" i="5"/>
  <c r="A204" i="1" s="1"/>
  <c r="A103" i="7" s="1"/>
  <c r="B207" i="5"/>
  <c r="A207" i="5" s="1"/>
  <c r="A209" i="5"/>
  <c r="A205" i="5"/>
  <c r="A203" i="1" s="1"/>
  <c r="A102" i="7" s="1"/>
  <c r="A222" i="5"/>
  <c r="AE1987" i="1"/>
  <c r="A180" i="5"/>
  <c r="A162" i="1" s="1"/>
  <c r="A61" i="7" s="1"/>
  <c r="A166" i="5"/>
  <c r="A147" i="1" s="1"/>
  <c r="A46" i="7" s="1"/>
  <c r="B1966" i="1"/>
  <c r="A553" i="5"/>
  <c r="A552" i="5"/>
  <c r="A652" i="5"/>
  <c r="A1087" i="1" s="1"/>
  <c r="A39" i="5"/>
  <c r="A152" i="5"/>
  <c r="A130" i="1" s="1"/>
  <c r="A29" i="7" s="1"/>
  <c r="A185" i="5"/>
  <c r="A194" i="1" s="1"/>
  <c r="A93" i="7" s="1"/>
  <c r="A221" i="5"/>
  <c r="AE180" i="1"/>
  <c r="AE79" i="7" s="1"/>
  <c r="A522" i="5"/>
  <c r="A1070" i="1" s="1"/>
  <c r="A521" i="5"/>
  <c r="A1069" i="1" s="1"/>
  <c r="A670" i="5"/>
  <c r="A1118" i="1" s="1"/>
  <c r="A293" i="5"/>
  <c r="A605" i="5"/>
  <c r="A974" i="1" s="1"/>
  <c r="A580" i="5"/>
  <c r="A581" i="5"/>
  <c r="A583" i="5"/>
  <c r="A866" i="1" s="1"/>
  <c r="A592" i="5"/>
  <c r="C898" i="1" s="1"/>
  <c r="A110" i="5"/>
  <c r="A84" i="1" s="1"/>
  <c r="A292" i="5"/>
  <c r="A286" i="5"/>
  <c r="A273" i="5"/>
  <c r="A262" i="5"/>
  <c r="A245" i="5"/>
  <c r="A578" i="5"/>
  <c r="A554" i="5"/>
  <c r="A551" i="5"/>
  <c r="A550" i="5"/>
  <c r="A545" i="5"/>
  <c r="A710" i="1" s="1"/>
  <c r="A173" i="7" s="1"/>
  <c r="A584" i="5"/>
  <c r="A905" i="1" s="1"/>
  <c r="A151" i="5"/>
  <c r="A129" i="1" s="1"/>
  <c r="A28" i="7" s="1"/>
  <c r="A136" i="5"/>
  <c r="C114" i="1" s="1"/>
  <c r="C13" i="7" s="1"/>
  <c r="A77" i="5"/>
  <c r="A542" i="1" s="1"/>
  <c r="A78" i="5"/>
  <c r="A47" i="1" s="1"/>
  <c r="A79" i="5"/>
  <c r="A544" i="1" s="1"/>
  <c r="A76" i="5"/>
  <c r="A40" i="1" s="1"/>
  <c r="A85" i="5"/>
  <c r="A53" i="1" s="1"/>
  <c r="A84" i="5"/>
  <c r="A52" i="1" s="1"/>
  <c r="A83" i="5"/>
  <c r="A51" i="1" s="1"/>
  <c r="A82" i="5"/>
  <c r="A50" i="1" s="1"/>
  <c r="AE274" i="1"/>
  <c r="A213" i="5"/>
  <c r="A211" i="1" s="1"/>
  <c r="A110" i="7" s="1"/>
  <c r="A210" i="5"/>
  <c r="A209" i="1" s="1"/>
  <c r="A108" i="7" s="1"/>
  <c r="A201" i="5"/>
  <c r="A197" i="1" s="1"/>
  <c r="A96" i="7" s="1"/>
  <c r="A203" i="5"/>
  <c r="A199" i="1" s="1"/>
  <c r="A98" i="7" s="1"/>
  <c r="A204" i="5"/>
  <c r="A202" i="1" s="1"/>
  <c r="A101" i="7" s="1"/>
  <c r="A200" i="5"/>
  <c r="A196" i="1" s="1"/>
  <c r="A95" i="7" s="1"/>
  <c r="A199" i="5"/>
  <c r="A200" i="1" s="1"/>
  <c r="A99" i="7" s="1"/>
  <c r="A196" i="5"/>
  <c r="A190" i="1" s="1"/>
  <c r="A89" i="7" s="1"/>
  <c r="A197" i="5"/>
  <c r="A192" i="1" s="1"/>
  <c r="A91" i="7" s="1"/>
  <c r="A126" i="5"/>
  <c r="C104" i="1" s="1"/>
  <c r="C3" i="7" s="1"/>
  <c r="A127" i="5"/>
  <c r="A128" i="5"/>
  <c r="A125" i="5"/>
  <c r="A104" i="1" s="1"/>
  <c r="A3" i="7" s="1"/>
  <c r="A129" i="5"/>
  <c r="A107" i="1" s="1"/>
  <c r="A6" i="7" s="1"/>
  <c r="A132" i="5"/>
  <c r="A111" i="1" s="1"/>
  <c r="A10" i="7" s="1"/>
  <c r="A531" i="5"/>
  <c r="A529" i="5"/>
  <c r="B663" i="1" s="1"/>
  <c r="A99" i="5"/>
  <c r="A68" i="1" s="1"/>
  <c r="A374" i="5"/>
  <c r="C397" i="1" s="1"/>
  <c r="AE384" i="1"/>
  <c r="AE472" i="1"/>
  <c r="AE461" i="1"/>
  <c r="AE455" i="1"/>
  <c r="AE294" i="1"/>
  <c r="AE284" i="1"/>
  <c r="A37" i="5"/>
  <c r="A35" i="5"/>
  <c r="B11" i="1" s="1"/>
  <c r="A373" i="5"/>
  <c r="AE316" i="1"/>
  <c r="AE258" i="1"/>
  <c r="AE249" i="1"/>
  <c r="AE234" i="1"/>
  <c r="AE240" i="1"/>
  <c r="A87" i="5"/>
  <c r="A55" i="1" s="1"/>
  <c r="A89" i="5"/>
  <c r="A80" i="5"/>
  <c r="A43" i="1" s="1"/>
  <c r="A81" i="5"/>
  <c r="A49" i="1" s="1"/>
  <c r="D49" i="1"/>
  <c r="D62" i="1"/>
  <c r="D61" i="1"/>
  <c r="A93" i="5"/>
  <c r="A62" i="1" s="1"/>
  <c r="A770" i="5"/>
  <c r="A1459" i="1" s="1"/>
  <c r="AE1083" i="1"/>
  <c r="A689" i="5"/>
  <c r="A1106" i="1" s="1"/>
  <c r="D69" i="1"/>
  <c r="D67" i="1"/>
  <c r="D66" i="1"/>
  <c r="D65" i="1"/>
  <c r="D63" i="1"/>
  <c r="D57" i="1"/>
  <c r="D58" i="1"/>
  <c r="D55" i="1"/>
  <c r="D53" i="1"/>
  <c r="D52" i="1"/>
  <c r="D50" i="1"/>
  <c r="D48" i="1"/>
  <c r="D47" i="1"/>
  <c r="D45" i="1"/>
  <c r="D46" i="1"/>
  <c r="D43" i="1"/>
  <c r="D42" i="1"/>
  <c r="D41" i="1"/>
  <c r="D39" i="1"/>
  <c r="D40" i="1"/>
  <c r="D37" i="1"/>
  <c r="A671" i="5"/>
  <c r="A1119" i="1" s="1"/>
  <c r="A669" i="5"/>
  <c r="AE1100" i="1"/>
  <c r="A664" i="5"/>
  <c r="A1100" i="1" s="1"/>
  <c r="A661" i="5"/>
  <c r="A1110" i="1" s="1"/>
  <c r="A680" i="5"/>
  <c r="A1131" i="1" s="1"/>
  <c r="A678" i="5"/>
  <c r="A1129" i="1" s="1"/>
  <c r="A675" i="5"/>
  <c r="A1126" i="1" s="1"/>
  <c r="A676" i="5"/>
  <c r="A1124" i="1" s="1"/>
  <c r="A674" i="5"/>
  <c r="A1123" i="1" s="1"/>
  <c r="A673" i="5"/>
  <c r="A1122" i="1" s="1"/>
  <c r="A681" i="5"/>
  <c r="A682" i="5"/>
  <c r="C1108" i="1" s="1"/>
  <c r="A683" i="5"/>
  <c r="A684" i="5"/>
  <c r="A672" i="5"/>
  <c r="A662" i="5"/>
  <c r="A1111" i="1" s="1"/>
  <c r="A660" i="5"/>
  <c r="A1109" i="1" s="1"/>
  <c r="A659" i="5"/>
  <c r="A1108" i="1" s="1"/>
  <c r="A677" i="5"/>
  <c r="A658" i="5"/>
  <c r="A1096" i="1" s="1"/>
  <c r="A647" i="5"/>
  <c r="A1078" i="1" s="1"/>
  <c r="A648" i="5"/>
  <c r="A1079" i="1" s="1"/>
  <c r="A649" i="5"/>
  <c r="A1080" i="1" s="1"/>
  <c r="A650" i="5"/>
  <c r="A1081" i="1" s="1"/>
  <c r="A646" i="5"/>
  <c r="A1077" i="1" s="1"/>
  <c r="AE1077" i="1"/>
  <c r="AE1078" i="1"/>
  <c r="AE1079" i="1"/>
  <c r="AE1080" i="1"/>
  <c r="AE1081" i="1"/>
  <c r="A644" i="5"/>
  <c r="A1073" i="1" s="1"/>
  <c r="A218" i="5"/>
  <c r="A227" i="1" s="1"/>
  <c r="A126" i="7" s="1"/>
  <c r="A220" i="5"/>
  <c r="A190" i="5"/>
  <c r="A178" i="1" s="1"/>
  <c r="A77" i="7" s="1"/>
  <c r="A191" i="5"/>
  <c r="A180" i="1" s="1"/>
  <c r="A79" i="7" s="1"/>
  <c r="A176" i="5"/>
  <c r="A158" i="1" s="1"/>
  <c r="A57" i="7" s="1"/>
  <c r="A177" i="5"/>
  <c r="A159" i="1" s="1"/>
  <c r="A58" i="7" s="1"/>
  <c r="A178" i="5"/>
  <c r="A160" i="1" s="1"/>
  <c r="A59" i="7" s="1"/>
  <c r="A179" i="5"/>
  <c r="A161" i="1" s="1"/>
  <c r="A60" i="7" s="1"/>
  <c r="A175" i="5"/>
  <c r="A157" i="1" s="1"/>
  <c r="A56" i="7" s="1"/>
  <c r="A174" i="5"/>
  <c r="A163" i="5"/>
  <c r="A144" i="1" s="1"/>
  <c r="A43" i="7" s="1"/>
  <c r="A164" i="5"/>
  <c r="A145" i="1" s="1"/>
  <c r="A44" i="7" s="1"/>
  <c r="A165" i="5"/>
  <c r="A146" i="1" s="1"/>
  <c r="A45" i="7" s="1"/>
  <c r="A167" i="5"/>
  <c r="A148" i="1" s="1"/>
  <c r="A47" i="7" s="1"/>
  <c r="A168" i="5"/>
  <c r="A149" i="1" s="1"/>
  <c r="A48" i="7" s="1"/>
  <c r="A169" i="5"/>
  <c r="A150" i="1" s="1"/>
  <c r="A49" i="7" s="1"/>
  <c r="A162" i="5"/>
  <c r="A143" i="1" s="1"/>
  <c r="A42" i="7" s="1"/>
  <c r="A161" i="5"/>
  <c r="A142" i="1" s="1"/>
  <c r="A41" i="7" s="1"/>
  <c r="A156" i="5"/>
  <c r="A137" i="1" s="1"/>
  <c r="A36" i="7" s="1"/>
  <c r="A157" i="5"/>
  <c r="A138" i="1" s="1"/>
  <c r="A37" i="7" s="1"/>
  <c r="A158" i="5"/>
  <c r="A139" i="1" s="1"/>
  <c r="A38" i="7" s="1"/>
  <c r="A159" i="5"/>
  <c r="A140" i="1" s="1"/>
  <c r="A39" i="7" s="1"/>
  <c r="A160" i="5"/>
  <c r="A141" i="1" s="1"/>
  <c r="A40" i="7" s="1"/>
  <c r="A155" i="5"/>
  <c r="A136" i="1" s="1"/>
  <c r="A35" i="7" s="1"/>
  <c r="A154" i="5"/>
  <c r="A134" i="1" s="1"/>
  <c r="A33" i="7" s="1"/>
  <c r="A150" i="5"/>
  <c r="A128" i="1" s="1"/>
  <c r="A27" i="7" s="1"/>
  <c r="A153" i="5"/>
  <c r="A131" i="1" s="1"/>
  <c r="A30" i="7" s="1"/>
  <c r="A133" i="5"/>
  <c r="A112" i="1" s="1"/>
  <c r="A11" i="7" s="1"/>
  <c r="A134" i="5"/>
  <c r="A113" i="1" s="1"/>
  <c r="A12" i="7" s="1"/>
  <c r="A135" i="5"/>
  <c r="A114" i="1" s="1"/>
  <c r="A13" i="7" s="1"/>
  <c r="A137" i="5"/>
  <c r="A115" i="1" s="1"/>
  <c r="A14" i="7" s="1"/>
  <c r="A138" i="5"/>
  <c r="A116" i="1" s="1"/>
  <c r="A15" i="7" s="1"/>
  <c r="A139" i="5"/>
  <c r="A117" i="1" s="1"/>
  <c r="A16" i="7" s="1"/>
  <c r="A140" i="5"/>
  <c r="A118" i="1" s="1"/>
  <c r="A17" i="7" s="1"/>
  <c r="A141" i="5"/>
  <c r="A119" i="1" s="1"/>
  <c r="A18" i="7" s="1"/>
  <c r="A142" i="5"/>
  <c r="A120" i="1" s="1"/>
  <c r="A19" i="7" s="1"/>
  <c r="A143" i="5"/>
  <c r="A121" i="1" s="1"/>
  <c r="A20" i="7" s="1"/>
  <c r="A145" i="5"/>
  <c r="A123" i="1" s="1"/>
  <c r="A22" i="7" s="1"/>
  <c r="A147" i="5"/>
  <c r="A125" i="1" s="1"/>
  <c r="A24" i="7" s="1"/>
  <c r="A148" i="5"/>
  <c r="A126" i="1" s="1"/>
  <c r="A25" i="7" s="1"/>
  <c r="A149" i="5"/>
  <c r="A127" i="1" s="1"/>
  <c r="A26" i="7" s="1"/>
  <c r="A131" i="5"/>
  <c r="A110" i="1" s="1"/>
  <c r="A9" i="7" s="1"/>
  <c r="A130" i="5"/>
  <c r="A108" i="1" s="1"/>
  <c r="A7" i="7" s="1"/>
  <c r="A124" i="5"/>
  <c r="A102" i="1" s="1"/>
  <c r="A1" i="7" s="1"/>
  <c r="A625" i="5"/>
  <c r="A982" i="1" s="1"/>
  <c r="A579" i="5"/>
  <c r="A585" i="5"/>
  <c r="A906" i="1" s="1"/>
  <c r="A577" i="5"/>
  <c r="A820" i="1" s="1"/>
  <c r="A630" i="5"/>
  <c r="A986" i="1" s="1"/>
  <c r="A624" i="5"/>
  <c r="A981" i="1" s="1"/>
  <c r="A623" i="5"/>
  <c r="A980" i="1" s="1"/>
  <c r="A622" i="5"/>
  <c r="A996" i="1" s="1"/>
  <c r="A621" i="5"/>
  <c r="A944" i="1" s="1"/>
  <c r="A619" i="5"/>
  <c r="A960" i="1" s="1"/>
  <c r="A610" i="5"/>
  <c r="A618" i="5"/>
  <c r="A959" i="1" s="1"/>
  <c r="A614" i="5"/>
  <c r="A942" i="1" s="1"/>
  <c r="A557" i="5"/>
  <c r="A611" i="5"/>
  <c r="A925" i="1" s="1"/>
  <c r="A643" i="5"/>
  <c r="A994" i="1" s="1"/>
  <c r="A642" i="5"/>
  <c r="A992" i="1" s="1"/>
  <c r="A639" i="5"/>
  <c r="A1005" i="1" s="1"/>
  <c r="A638" i="5"/>
  <c r="A1001" i="1" s="1"/>
  <c r="A641" i="5"/>
  <c r="A1003" i="1" s="1"/>
  <c r="A640" i="5"/>
  <c r="A1000" i="1" s="1"/>
  <c r="A637" i="5"/>
  <c r="A997" i="1" s="1"/>
  <c r="A635" i="5"/>
  <c r="A991" i="1" s="1"/>
  <c r="A633" i="5"/>
  <c r="A989" i="1" s="1"/>
  <c r="A634" i="5"/>
  <c r="A990" i="1" s="1"/>
  <c r="A631" i="5"/>
  <c r="A987" i="1" s="1"/>
  <c r="A632" i="5"/>
  <c r="A988" i="1" s="1"/>
  <c r="A617" i="5"/>
  <c r="A971" i="1" s="1"/>
  <c r="A616" i="5"/>
  <c r="A970" i="1" s="1"/>
  <c r="A604" i="5"/>
  <c r="A968" i="1" s="1"/>
  <c r="A603" i="5"/>
  <c r="A957" i="1" s="1"/>
  <c r="A615" i="5"/>
  <c r="A943" i="1" s="1"/>
  <c r="A602" i="5"/>
  <c r="A940" i="1" s="1"/>
  <c r="A613" i="5"/>
  <c r="A928" i="1" s="1"/>
  <c r="A601" i="5"/>
  <c r="A923" i="1" s="1"/>
  <c r="A606" i="5"/>
  <c r="A607" i="5"/>
  <c r="A608" i="5"/>
  <c r="A609" i="5"/>
  <c r="A588" i="5"/>
  <c r="A918" i="1" s="1"/>
  <c r="A598" i="5"/>
  <c r="A916" i="1" s="1"/>
  <c r="A594" i="5"/>
  <c r="A911" i="1" s="1"/>
  <c r="A595" i="5"/>
  <c r="A912" i="1" s="1"/>
  <c r="A596" i="5"/>
  <c r="A913" i="1" s="1"/>
  <c r="A597" i="5"/>
  <c r="A914" i="1" s="1"/>
  <c r="A586" i="5"/>
  <c r="A886" i="1" s="1"/>
  <c r="A587" i="5"/>
  <c r="A908" i="1" s="1"/>
  <c r="A539" i="5"/>
  <c r="A538" i="5"/>
  <c r="A537" i="5"/>
  <c r="A536" i="5"/>
  <c r="A535" i="5"/>
  <c r="A534" i="5"/>
  <c r="A546" i="5"/>
  <c r="A544" i="5"/>
  <c r="A543" i="5"/>
  <c r="A542" i="5"/>
  <c r="A541" i="5"/>
  <c r="A590" i="5"/>
  <c r="A871" i="1" s="1"/>
  <c r="A589" i="5"/>
  <c r="A872" i="1" s="1"/>
  <c r="A116" i="5"/>
  <c r="A92" i="1" s="1"/>
  <c r="A114" i="5"/>
  <c r="A90" i="1" s="1"/>
  <c r="A92" i="5"/>
  <c r="A61" i="1" s="1"/>
  <c r="A94" i="5"/>
  <c r="A63" i="1" s="1"/>
  <c r="A591" i="5"/>
  <c r="A40" i="5"/>
  <c r="A562" i="5"/>
  <c r="A768" i="1" s="1"/>
  <c r="A558" i="5"/>
  <c r="A748" i="1" s="1"/>
  <c r="A555" i="5"/>
  <c r="A738" i="1" s="1"/>
  <c r="A540" i="5"/>
  <c r="A695" i="1" s="1"/>
  <c r="A158" i="7" s="1"/>
  <c r="A533" i="5"/>
  <c r="A676" i="1" s="1"/>
  <c r="A138" i="7" s="1"/>
  <c r="A532" i="5"/>
  <c r="A669" i="1" s="1"/>
  <c r="A130" i="7" s="1"/>
  <c r="A527" i="5"/>
  <c r="A661" i="1" s="1"/>
  <c r="A525" i="5"/>
  <c r="A526" i="5"/>
  <c r="C1061" i="1" s="1"/>
  <c r="B1038" i="1"/>
  <c r="A524" i="5"/>
  <c r="C1025" i="1" s="1"/>
  <c r="A523" i="5"/>
  <c r="B1026" i="1"/>
  <c r="A518" i="5"/>
  <c r="A1066" i="1" s="1"/>
  <c r="A519" i="5"/>
  <c r="A1067" i="1" s="1"/>
  <c r="A520" i="5"/>
  <c r="A1068" i="1" s="1"/>
  <c r="A516" i="5"/>
  <c r="A1062" i="1" s="1"/>
  <c r="A515" i="5"/>
  <c r="A1061" i="1" s="1"/>
  <c r="A513" i="5"/>
  <c r="A1059" i="1" s="1"/>
  <c r="A512" i="5"/>
  <c r="A1057" i="1" s="1"/>
  <c r="A511" i="5"/>
  <c r="A1056" i="1" s="1"/>
  <c r="A510" i="5"/>
  <c r="A1055" i="1" s="1"/>
  <c r="A506" i="5"/>
  <c r="A1050" i="1" s="1"/>
  <c r="A507" i="5"/>
  <c r="A1051" i="1" s="1"/>
  <c r="A508" i="5"/>
  <c r="A1052" i="1" s="1"/>
  <c r="A509" i="5"/>
  <c r="A1053" i="1" s="1"/>
  <c r="A25" i="5"/>
  <c r="F77" i="1" s="1"/>
  <c r="A26" i="5"/>
  <c r="A24" i="5"/>
  <c r="A77" i="1" s="1"/>
  <c r="AE299" i="1"/>
  <c r="A103" i="5"/>
  <c r="A75" i="1" s="1"/>
  <c r="G99" i="1"/>
  <c r="H99" i="1" s="1"/>
  <c r="I99" i="1" s="1"/>
  <c r="J99" i="1" s="1"/>
  <c r="K99" i="1" s="1"/>
  <c r="L99" i="1" s="1"/>
  <c r="M99" i="1" s="1"/>
  <c r="N99" i="1" s="1"/>
  <c r="O99" i="1" s="1"/>
  <c r="P99" i="1" s="1"/>
  <c r="Q99" i="1" s="1"/>
  <c r="R99" i="1" s="1"/>
  <c r="S99" i="1" s="1"/>
  <c r="T99" i="1" s="1"/>
  <c r="U99" i="1" s="1"/>
  <c r="V99" i="1" s="1"/>
  <c r="W99" i="1" s="1"/>
  <c r="X99" i="1" s="1"/>
  <c r="Y99" i="1" s="1"/>
  <c r="Z99" i="1" s="1"/>
  <c r="AA99" i="1" s="1"/>
  <c r="AB99" i="1" s="1"/>
  <c r="AC99" i="1" s="1"/>
  <c r="G91" i="1"/>
  <c r="H91" i="1" s="1"/>
  <c r="G87" i="1"/>
  <c r="H87" i="1" s="1"/>
  <c r="I87" i="1" s="1"/>
  <c r="J87" i="1" s="1"/>
  <c r="K87" i="1" s="1"/>
  <c r="L87" i="1" s="1"/>
  <c r="M87" i="1" s="1"/>
  <c r="N87" i="1" s="1"/>
  <c r="O87" i="1" s="1"/>
  <c r="P87" i="1" s="1"/>
  <c r="Q87" i="1" s="1"/>
  <c r="R87" i="1" s="1"/>
  <c r="S87" i="1" s="1"/>
  <c r="T87" i="1" s="1"/>
  <c r="U87" i="1" s="1"/>
  <c r="V87" i="1" s="1"/>
  <c r="W87" i="1" s="1"/>
  <c r="X87" i="1" s="1"/>
  <c r="Y87" i="1" s="1"/>
  <c r="Z87" i="1" s="1"/>
  <c r="AA87" i="1" s="1"/>
  <c r="AB87" i="1" s="1"/>
  <c r="AC87" i="1" s="1"/>
  <c r="A113" i="5"/>
  <c r="A120" i="5"/>
  <c r="A96" i="1" s="1"/>
  <c r="A121" i="5"/>
  <c r="A97" i="1" s="1"/>
  <c r="A122" i="5"/>
  <c r="A98" i="1" s="1"/>
  <c r="A123" i="5"/>
  <c r="A99" i="1" s="1"/>
  <c r="A119" i="5"/>
  <c r="A95" i="1" s="1"/>
  <c r="A115" i="5"/>
  <c r="A91" i="1" s="1"/>
  <c r="A112" i="5"/>
  <c r="A87" i="1" s="1"/>
  <c r="A111" i="5"/>
  <c r="A86" i="1" s="1"/>
  <c r="F70" i="1"/>
  <c r="A90" i="5"/>
  <c r="A57" i="1" s="1"/>
  <c r="A102" i="5"/>
  <c r="A72" i="1" s="1"/>
  <c r="A95" i="5"/>
  <c r="A64" i="1" s="1"/>
  <c r="A96" i="5"/>
  <c r="A65" i="1" s="1"/>
  <c r="A97" i="5"/>
  <c r="A66" i="1" s="1"/>
  <c r="A98" i="5"/>
  <c r="A67" i="1" s="1"/>
  <c r="A100" i="5"/>
  <c r="A101" i="5"/>
  <c r="A70" i="1" s="1"/>
  <c r="A74" i="5"/>
  <c r="A37" i="1" s="1"/>
  <c r="A27" i="5"/>
  <c r="A20" i="1" s="1"/>
  <c r="A68" i="5"/>
  <c r="A70" i="5"/>
  <c r="A28" i="5"/>
  <c r="A21" i="1" s="1"/>
  <c r="A29" i="5"/>
  <c r="A22" i="1" s="1"/>
  <c r="A63" i="5"/>
  <c r="A28" i="1" s="1"/>
  <c r="A64" i="5"/>
  <c r="A29" i="1" s="1"/>
  <c r="A65" i="5"/>
  <c r="A30" i="1" s="1"/>
  <c r="A66" i="5"/>
  <c r="A31" i="1" s="1"/>
  <c r="A67" i="5"/>
  <c r="A32" i="1" s="1"/>
  <c r="A62" i="5"/>
  <c r="A27" i="1" s="1"/>
  <c r="A61" i="5"/>
  <c r="A59" i="5"/>
  <c r="B21" i="1" s="1"/>
  <c r="A58" i="5"/>
  <c r="A57" i="5"/>
  <c r="B20" i="1" s="1"/>
  <c r="A13" i="5"/>
  <c r="A2" i="1" s="1"/>
  <c r="A15" i="5"/>
  <c r="A6" i="1" s="1"/>
  <c r="A17" i="5"/>
  <c r="A9" i="1" s="1"/>
  <c r="A18" i="5"/>
  <c r="A10" i="1" s="1"/>
  <c r="A19" i="5"/>
  <c r="A11" i="1" s="1"/>
  <c r="A20" i="5"/>
  <c r="A12" i="1" s="1"/>
  <c r="A21" i="5"/>
  <c r="A13" i="1" s="1"/>
  <c r="A22" i="5"/>
  <c r="A14" i="1" s="1"/>
  <c r="A23" i="5"/>
  <c r="A15" i="1" s="1"/>
  <c r="A30" i="5"/>
  <c r="A32" i="5"/>
  <c r="A34" i="5"/>
  <c r="A36" i="5"/>
  <c r="A41" i="5"/>
  <c r="A42" i="5"/>
  <c r="A43" i="5"/>
  <c r="A44" i="5"/>
  <c r="A48" i="5"/>
  <c r="A49" i="5"/>
  <c r="A50" i="5"/>
  <c r="A51" i="5"/>
  <c r="A52" i="5"/>
  <c r="A54" i="5"/>
  <c r="A55" i="5"/>
  <c r="A56" i="5"/>
  <c r="B17" i="4"/>
  <c r="A6" i="5"/>
  <c r="A7" i="5"/>
  <c r="A8" i="5"/>
  <c r="A9" i="5"/>
  <c r="A10" i="5"/>
  <c r="A11" i="5"/>
  <c r="A12" i="5"/>
  <c r="AE1279" i="1"/>
  <c r="AE273" i="7" s="1"/>
  <c r="AE1277" i="1"/>
  <c r="AE271" i="7" s="1"/>
  <c r="G882" i="1"/>
  <c r="G883" i="1" s="1"/>
  <c r="F1984" i="1"/>
  <c r="F1985" i="1"/>
  <c r="AE235" i="1"/>
  <c r="G1989" i="1"/>
  <c r="F1989" i="1"/>
  <c r="B1902" i="1"/>
  <c r="F642" i="1"/>
  <c r="G1985" i="1"/>
  <c r="AE253" i="1"/>
  <c r="G1983" i="1"/>
  <c r="G1990" i="1"/>
  <c r="B1903" i="1"/>
  <c r="G891" i="1"/>
  <c r="G892" i="1"/>
  <c r="G826" i="1"/>
  <c r="G827" i="1"/>
  <c r="F167" i="8"/>
  <c r="F166" i="8" s="1"/>
  <c r="G679" i="1"/>
  <c r="F59" i="1"/>
  <c r="F72" i="1" s="1"/>
  <c r="B72" i="1" s="1"/>
  <c r="AE262" i="1"/>
  <c r="F1990" i="1"/>
  <c r="F1988" i="1"/>
  <c r="G1984" i="1"/>
  <c r="F1983" i="1"/>
  <c r="G1988" i="1"/>
  <c r="G900" i="1"/>
  <c r="G931" i="1"/>
  <c r="G873" i="1"/>
  <c r="G975" i="1"/>
  <c r="G963" i="1"/>
  <c r="AE236" i="1"/>
  <c r="AE1084" i="1"/>
  <c r="F827" i="1"/>
  <c r="F55" i="8"/>
  <c r="AE1180" i="1"/>
  <c r="B1830" i="1"/>
  <c r="H931" i="1"/>
  <c r="H932" i="1" s="1"/>
  <c r="H948" i="1"/>
  <c r="H873" i="1"/>
  <c r="H874" i="1" s="1"/>
  <c r="H891" i="1"/>
  <c r="H900" i="1"/>
  <c r="H901" i="1" s="1"/>
  <c r="I963" i="1"/>
  <c r="I679" i="1"/>
  <c r="I948" i="1"/>
  <c r="H975" i="1"/>
  <c r="H976" i="1" s="1"/>
  <c r="F1179" i="1"/>
  <c r="F90" i="8" s="1"/>
  <c r="F89" i="8" s="1"/>
  <c r="I975" i="1"/>
  <c r="I976" i="1" s="1"/>
  <c r="I873" i="1"/>
  <c r="I891" i="1"/>
  <c r="I892" i="1" s="1"/>
  <c r="I826" i="1"/>
  <c r="I900" i="1"/>
  <c r="I901" i="1" s="1"/>
  <c r="H963" i="1"/>
  <c r="H964" i="1" s="1"/>
  <c r="H882" i="1"/>
  <c r="F496" i="8"/>
  <c r="F495" i="8" s="1"/>
  <c r="G948" i="1"/>
  <c r="A771" i="1"/>
  <c r="H679" i="1"/>
  <c r="H141" i="7" s="1"/>
  <c r="I882" i="1"/>
  <c r="I883" i="1" s="1"/>
  <c r="I931" i="1"/>
  <c r="H826" i="1"/>
  <c r="H827" i="1" s="1"/>
  <c r="J891" i="1"/>
  <c r="J963" i="1"/>
  <c r="J948" i="1"/>
  <c r="J949" i="1" s="1"/>
  <c r="J975" i="1"/>
  <c r="J882" i="1"/>
  <c r="J883" i="1" s="1"/>
  <c r="J900" i="1"/>
  <c r="J826" i="1"/>
  <c r="J827" i="1" s="1"/>
  <c r="J873" i="1"/>
  <c r="J931" i="1"/>
  <c r="J932" i="1" s="1"/>
  <c r="AE728" i="1"/>
  <c r="AE727" i="1"/>
  <c r="B717" i="8"/>
  <c r="B718" i="8"/>
  <c r="B868" i="8"/>
  <c r="B867" i="8"/>
  <c r="B794" i="8"/>
  <c r="B793" i="8"/>
  <c r="F161" i="8"/>
  <c r="F160" i="8" s="1"/>
  <c r="AE1089" i="1"/>
  <c r="F1182" i="1"/>
  <c r="F96" i="8" s="1"/>
  <c r="F95" i="8" s="1"/>
  <c r="K768" i="8"/>
  <c r="P768" i="8"/>
  <c r="F768" i="8"/>
  <c r="P1799" i="1"/>
  <c r="P1871" i="1"/>
  <c r="R692" i="8"/>
  <c r="N692" i="8"/>
  <c r="I692" i="8"/>
  <c r="R768" i="8"/>
  <c r="L768" i="8"/>
  <c r="G768" i="8"/>
  <c r="S692" i="8"/>
  <c r="O692" i="8"/>
  <c r="J692" i="8"/>
  <c r="S768" i="8"/>
  <c r="N768" i="8"/>
  <c r="H768" i="8"/>
  <c r="AE287" i="1"/>
  <c r="B288" i="1" s="1"/>
  <c r="F673" i="8"/>
  <c r="F678" i="8" s="1"/>
  <c r="G679" i="8" s="1"/>
  <c r="F898" i="8"/>
  <c r="F899" i="8" s="1"/>
  <c r="F902" i="8" s="1"/>
  <c r="F904" i="8" s="1"/>
  <c r="Q768" i="8"/>
  <c r="M768" i="8"/>
  <c r="F748" i="8"/>
  <c r="F749" i="8" s="1"/>
  <c r="F754" i="8" s="1"/>
  <c r="G755" i="8" s="1"/>
  <c r="F824" i="8"/>
  <c r="F825" i="8" s="1"/>
  <c r="G529" i="1"/>
  <c r="G1182" i="1"/>
  <c r="H1182" i="1"/>
  <c r="I1182" i="1"/>
  <c r="H1790" i="1"/>
  <c r="J1182" i="1"/>
  <c r="G753" i="8"/>
  <c r="H753" i="8" s="1"/>
  <c r="G1862" i="1"/>
  <c r="G901" i="8"/>
  <c r="K692" i="8"/>
  <c r="G692" i="8"/>
  <c r="H672" i="8"/>
  <c r="G898" i="8"/>
  <c r="G899" i="8" s="1"/>
  <c r="H692" i="8"/>
  <c r="AE1216" i="1"/>
  <c r="AE207" i="7" s="1"/>
  <c r="A750" i="1"/>
  <c r="A671" i="1"/>
  <c r="A132" i="7" s="1"/>
  <c r="I91" i="1"/>
  <c r="J91" i="1" s="1"/>
  <c r="G673" i="8"/>
  <c r="G709" i="8" s="1"/>
  <c r="G748" i="8"/>
  <c r="G749" i="8" s="1"/>
  <c r="G785" i="8" s="1"/>
  <c r="G824" i="8"/>
  <c r="G825" i="8" s="1"/>
  <c r="G859" i="8" s="1"/>
  <c r="H677" i="8"/>
  <c r="T1871" i="1"/>
  <c r="T1799" i="1"/>
  <c r="L1799" i="1"/>
  <c r="L1871" i="1"/>
  <c r="F313" i="8"/>
  <c r="F312" i="8" s="1"/>
  <c r="F835" i="8" s="1"/>
  <c r="F1870" i="1"/>
  <c r="L1982" i="1"/>
  <c r="K1182" i="1"/>
  <c r="AE1114" i="1"/>
  <c r="S952" i="1"/>
  <c r="S81" i="1"/>
  <c r="G1075" i="1"/>
  <c r="G1179" i="1" s="1"/>
  <c r="E1066" i="1"/>
  <c r="H29" i="1"/>
  <c r="F825" i="1"/>
  <c r="F822" i="1" s="1"/>
  <c r="G824" i="1"/>
  <c r="H824" i="1" s="1"/>
  <c r="H825" i="1" s="1"/>
  <c r="F251" i="1"/>
  <c r="F252" i="1" s="1"/>
  <c r="F248" i="1" s="1"/>
  <c r="G251" i="1" s="1"/>
  <c r="G252" i="1" s="1"/>
  <c r="G248" i="1" s="1"/>
  <c r="G631" i="1"/>
  <c r="G641" i="1"/>
  <c r="G644" i="1" s="1"/>
  <c r="I677" i="8"/>
  <c r="J677" i="8" s="1"/>
  <c r="K677" i="8" s="1"/>
  <c r="L677" i="8" s="1"/>
  <c r="M677" i="8" s="1"/>
  <c r="N677" i="8" s="1"/>
  <c r="O677" i="8" s="1"/>
  <c r="P677" i="8" s="1"/>
  <c r="Q677" i="8" s="1"/>
  <c r="R677" i="8" s="1"/>
  <c r="S677" i="8" s="1"/>
  <c r="T677" i="8" s="1"/>
  <c r="U677" i="8" s="1"/>
  <c r="H631" i="1"/>
  <c r="H640" i="1"/>
  <c r="F12" i="8"/>
  <c r="G221" i="1" l="1"/>
  <c r="G120" i="7" s="1"/>
  <c r="B111" i="7"/>
  <c r="Y221" i="1"/>
  <c r="Y120" i="7" s="1"/>
  <c r="AA221" i="1"/>
  <c r="AA120" i="7" s="1"/>
  <c r="AB221" i="1"/>
  <c r="AB120" i="7" s="1"/>
  <c r="AC221" i="1"/>
  <c r="AC120" i="7" s="1"/>
  <c r="Z221" i="1"/>
  <c r="Z120" i="7" s="1"/>
  <c r="AB595" i="1"/>
  <c r="AC595" i="1"/>
  <c r="Y595" i="1"/>
  <c r="AA595" i="1"/>
  <c r="Z595" i="1"/>
  <c r="AA596" i="1"/>
  <c r="AB596" i="1"/>
  <c r="Z596" i="1"/>
  <c r="AC596" i="1"/>
  <c r="Y596" i="1"/>
  <c r="J680" i="1"/>
  <c r="J142" i="7" s="1"/>
  <c r="B146" i="1"/>
  <c r="B45" i="7" s="1"/>
  <c r="F223" i="1"/>
  <c r="B122" i="7"/>
  <c r="Q1182" i="1"/>
  <c r="T1182" i="1"/>
  <c r="H196" i="1"/>
  <c r="H95" i="7" s="1"/>
  <c r="G95" i="7"/>
  <c r="F204" i="1"/>
  <c r="B103" i="7"/>
  <c r="I680" i="1"/>
  <c r="I142" i="7" s="1"/>
  <c r="I141" i="7"/>
  <c r="AA557" i="1"/>
  <c r="Z557" i="1"/>
  <c r="AB557" i="1"/>
  <c r="AC557" i="1"/>
  <c r="Y557" i="1"/>
  <c r="Z552" i="1"/>
  <c r="Z558" i="1"/>
  <c r="AC558" i="1"/>
  <c r="AA558" i="1"/>
  <c r="AA552" i="1"/>
  <c r="AC552" i="1"/>
  <c r="Y552" i="1"/>
  <c r="AB552" i="1"/>
  <c r="Y558" i="1"/>
  <c r="AB558" i="1"/>
  <c r="G520" i="1"/>
  <c r="G519" i="1"/>
  <c r="G518" i="1"/>
  <c r="G524" i="1"/>
  <c r="G403" i="1"/>
  <c r="G401" i="1"/>
  <c r="G407" i="1"/>
  <c r="AB583" i="1"/>
  <c r="Y583" i="1"/>
  <c r="AC583" i="1"/>
  <c r="Z583" i="1"/>
  <c r="AA583" i="1"/>
  <c r="AB582" i="1"/>
  <c r="AB584" i="1"/>
  <c r="Z584" i="1"/>
  <c r="AA584" i="1"/>
  <c r="Z582" i="1"/>
  <c r="AC582" i="1"/>
  <c r="AC584" i="1"/>
  <c r="Y582" i="1"/>
  <c r="Y584" i="1"/>
  <c r="AA582" i="1"/>
  <c r="H518" i="1"/>
  <c r="H524" i="1"/>
  <c r="H520" i="1"/>
  <c r="H519" i="1"/>
  <c r="H403" i="1"/>
  <c r="H401" i="1"/>
  <c r="H407" i="1"/>
  <c r="G680" i="1"/>
  <c r="G142" i="7" s="1"/>
  <c r="G141" i="7"/>
  <c r="N1182" i="1"/>
  <c r="F194" i="1"/>
  <c r="B93" i="7"/>
  <c r="F36" i="8"/>
  <c r="F746" i="8" s="1"/>
  <c r="T80" i="1"/>
  <c r="T931" i="1" s="1"/>
  <c r="T932" i="1" s="1"/>
  <c r="S935" i="1"/>
  <c r="S686" i="1"/>
  <c r="S148" i="7" s="1"/>
  <c r="S842" i="1"/>
  <c r="S843" i="1" s="1"/>
  <c r="H149" i="1"/>
  <c r="G48" i="7"/>
  <c r="AC606" i="1"/>
  <c r="AB606" i="1"/>
  <c r="Y606" i="1"/>
  <c r="AA606" i="1"/>
  <c r="Z606" i="1"/>
  <c r="Y607" i="1"/>
  <c r="Z608" i="1"/>
  <c r="AA608" i="1"/>
  <c r="AC607" i="1"/>
  <c r="Y608" i="1"/>
  <c r="AA607" i="1"/>
  <c r="AB608" i="1"/>
  <c r="AC608" i="1"/>
  <c r="Z599" i="1"/>
  <c r="AA599" i="1"/>
  <c r="AB607" i="1"/>
  <c r="Y599" i="1"/>
  <c r="Z607" i="1"/>
  <c r="AB599" i="1"/>
  <c r="AC599" i="1"/>
  <c r="AB604" i="1"/>
  <c r="AA604" i="1"/>
  <c r="AC604" i="1"/>
  <c r="Y604" i="1"/>
  <c r="Z604" i="1"/>
  <c r="A497" i="1"/>
  <c r="A513" i="1"/>
  <c r="A503" i="1"/>
  <c r="A519" i="1"/>
  <c r="A498" i="1"/>
  <c r="A514" i="1"/>
  <c r="C497" i="1"/>
  <c r="C513" i="1"/>
  <c r="B493" i="1"/>
  <c r="B509" i="1"/>
  <c r="F513" i="1"/>
  <c r="A399" i="1"/>
  <c r="A500" i="1"/>
  <c r="A401" i="1"/>
  <c r="A502" i="1"/>
  <c r="C390" i="1"/>
  <c r="C496" i="1"/>
  <c r="A388" i="1"/>
  <c r="A494" i="1"/>
  <c r="A389" i="1"/>
  <c r="A495" i="1"/>
  <c r="A390" i="1"/>
  <c r="A496" i="1"/>
  <c r="A400" i="1"/>
  <c r="A501" i="1"/>
  <c r="A404" i="1"/>
  <c r="A505" i="1"/>
  <c r="A398" i="1"/>
  <c r="A499" i="1"/>
  <c r="A403" i="1"/>
  <c r="A504" i="1"/>
  <c r="A405" i="1"/>
  <c r="A506" i="1"/>
  <c r="A407" i="1"/>
  <c r="A508" i="1"/>
  <c r="A406" i="1"/>
  <c r="A507" i="1"/>
  <c r="H145" i="1"/>
  <c r="H44" i="7" s="1"/>
  <c r="A977" i="1"/>
  <c r="A937" i="1"/>
  <c r="S936" i="1"/>
  <c r="Q936" i="1"/>
  <c r="O936" i="1"/>
  <c r="M936" i="1"/>
  <c r="K936" i="1"/>
  <c r="I936" i="1"/>
  <c r="G936" i="1"/>
  <c r="H936" i="1"/>
  <c r="L936" i="1"/>
  <c r="P936" i="1"/>
  <c r="F936" i="1"/>
  <c r="J936" i="1"/>
  <c r="N936" i="1"/>
  <c r="R936" i="1"/>
  <c r="A698" i="1"/>
  <c r="A161" i="7" s="1"/>
  <c r="A706" i="1"/>
  <c r="A169" i="7" s="1"/>
  <c r="A717" i="1"/>
  <c r="A180" i="7" s="1"/>
  <c r="A708" i="1"/>
  <c r="A171" i="7" s="1"/>
  <c r="A720" i="1"/>
  <c r="A183" i="7" s="1"/>
  <c r="A711" i="1"/>
  <c r="A174" i="7" s="1"/>
  <c r="A682" i="1"/>
  <c r="A144" i="7" s="1"/>
  <c r="A689" i="1"/>
  <c r="A151" i="7" s="1"/>
  <c r="A684" i="1"/>
  <c r="A146" i="7" s="1"/>
  <c r="A691" i="1"/>
  <c r="A153" i="7" s="1"/>
  <c r="C681" i="1"/>
  <c r="C143" i="7" s="1"/>
  <c r="C688" i="1"/>
  <c r="C150" i="7" s="1"/>
  <c r="B740" i="1"/>
  <c r="B743" i="1"/>
  <c r="A828" i="1"/>
  <c r="A844" i="1"/>
  <c r="A728" i="1"/>
  <c r="A732" i="1"/>
  <c r="A823" i="1"/>
  <c r="A839" i="1"/>
  <c r="A824" i="1"/>
  <c r="A840" i="1"/>
  <c r="A729" i="1"/>
  <c r="A733" i="1"/>
  <c r="A830" i="1"/>
  <c r="A846" i="1"/>
  <c r="A1668" i="1"/>
  <c r="A552" i="7" s="1"/>
  <c r="A1692" i="1"/>
  <c r="A576" i="7" s="1"/>
  <c r="A1672" i="1"/>
  <c r="A556" i="7" s="1"/>
  <c r="A1696" i="1"/>
  <c r="A580" i="7" s="1"/>
  <c r="A1669" i="1"/>
  <c r="A553" i="7" s="1"/>
  <c r="A1693" i="1"/>
  <c r="A577" i="7" s="1"/>
  <c r="A1676" i="1"/>
  <c r="A560" i="7" s="1"/>
  <c r="A1700" i="1"/>
  <c r="A584" i="7" s="1"/>
  <c r="A1674" i="1"/>
  <c r="A558" i="7" s="1"/>
  <c r="A1698" i="1"/>
  <c r="A582" i="7" s="1"/>
  <c r="A1680" i="1"/>
  <c r="A564" i="7" s="1"/>
  <c r="A1705" i="1"/>
  <c r="A589" i="7" s="1"/>
  <c r="A1704" i="1"/>
  <c r="A588" i="7" s="1"/>
  <c r="A1664" i="1"/>
  <c r="A548" i="7" s="1"/>
  <c r="A1688" i="1"/>
  <c r="A572" i="7" s="1"/>
  <c r="B387" i="1"/>
  <c r="B838" i="1"/>
  <c r="B758" i="1"/>
  <c r="A577" i="8"/>
  <c r="A1706" i="1"/>
  <c r="A590" i="7" s="1"/>
  <c r="A756" i="1"/>
  <c r="A845" i="1"/>
  <c r="A764" i="1"/>
  <c r="A808" i="1"/>
  <c r="A794" i="1"/>
  <c r="A813" i="1"/>
  <c r="A848" i="1"/>
  <c r="A798" i="1"/>
  <c r="A815" i="1"/>
  <c r="A850" i="1"/>
  <c r="A800" i="1"/>
  <c r="A863" i="1"/>
  <c r="A852" i="1"/>
  <c r="A802" i="1"/>
  <c r="A843" i="1"/>
  <c r="A761" i="1"/>
  <c r="A687" i="1"/>
  <c r="A149" i="7" s="1"/>
  <c r="A699" i="1"/>
  <c r="A162" i="7" s="1"/>
  <c r="A707" i="1"/>
  <c r="A170" i="7" s="1"/>
  <c r="A718" i="1"/>
  <c r="A181" i="7" s="1"/>
  <c r="A709" i="1"/>
  <c r="A172" i="7" s="1"/>
  <c r="A681" i="1"/>
  <c r="A143" i="7" s="1"/>
  <c r="A688" i="1"/>
  <c r="A150" i="7" s="1"/>
  <c r="A683" i="1"/>
  <c r="A145" i="7" s="1"/>
  <c r="A690" i="1"/>
  <c r="A152" i="7" s="1"/>
  <c r="B681" i="1"/>
  <c r="B143" i="7" s="1"/>
  <c r="B688" i="1"/>
  <c r="B150" i="7" s="1"/>
  <c r="A727" i="1"/>
  <c r="A731" i="1"/>
  <c r="A825" i="1"/>
  <c r="A841" i="1"/>
  <c r="A704" i="1"/>
  <c r="A167" i="7" s="1"/>
  <c r="A712" i="1"/>
  <c r="A175" i="7" s="1"/>
  <c r="A1666" i="1"/>
  <c r="A550" i="7" s="1"/>
  <c r="A1690" i="1"/>
  <c r="A574" i="7" s="1"/>
  <c r="A1667" i="1"/>
  <c r="A551" i="7" s="1"/>
  <c r="A1691" i="1"/>
  <c r="A575" i="7" s="1"/>
  <c r="A1671" i="1"/>
  <c r="A555" i="7" s="1"/>
  <c r="A1695" i="1"/>
  <c r="A579" i="7" s="1"/>
  <c r="A1673" i="1"/>
  <c r="A557" i="7" s="1"/>
  <c r="A1697" i="1"/>
  <c r="A581" i="7" s="1"/>
  <c r="A1670" i="1"/>
  <c r="A554" i="7" s="1"/>
  <c r="A1694" i="1"/>
  <c r="A578" i="7" s="1"/>
  <c r="A1677" i="1"/>
  <c r="A561" i="7" s="1"/>
  <c r="A1701" i="1"/>
  <c r="A585" i="7" s="1"/>
  <c r="A1675" i="1"/>
  <c r="A559" i="7" s="1"/>
  <c r="A1699" i="1"/>
  <c r="A583" i="7" s="1"/>
  <c r="A1679" i="1"/>
  <c r="A563" i="7" s="1"/>
  <c r="A1703" i="1"/>
  <c r="A587" i="7" s="1"/>
  <c r="A1678" i="1"/>
  <c r="A562" i="7" s="1"/>
  <c r="A1702" i="1"/>
  <c r="A586" i="7" s="1"/>
  <c r="A1663" i="1"/>
  <c r="A547" i="7" s="1"/>
  <c r="A1687" i="1"/>
  <c r="A571" i="7" s="1"/>
  <c r="A1665" i="1"/>
  <c r="A549" i="7" s="1"/>
  <c r="A1689" i="1"/>
  <c r="A573" i="7" s="1"/>
  <c r="A1683" i="1"/>
  <c r="A567" i="7" s="1"/>
  <c r="A1707" i="1"/>
  <c r="A591" i="7" s="1"/>
  <c r="AE473" i="1"/>
  <c r="C744" i="1"/>
  <c r="C665" i="1"/>
  <c r="A772" i="1"/>
  <c r="A789" i="1"/>
  <c r="A806" i="1"/>
  <c r="A791" i="1"/>
  <c r="A811" i="1"/>
  <c r="A793" i="1"/>
  <c r="A778" i="1"/>
  <c r="A795" i="1"/>
  <c r="A831" i="1"/>
  <c r="A847" i="1"/>
  <c r="A797" i="1"/>
  <c r="A833" i="1"/>
  <c r="A849" i="1"/>
  <c r="A799" i="1"/>
  <c r="A851" i="1"/>
  <c r="A801" i="1"/>
  <c r="C1012" i="1"/>
  <c r="C852" i="1"/>
  <c r="C802" i="1"/>
  <c r="C789" i="1"/>
  <c r="A900" i="1"/>
  <c r="A842" i="1"/>
  <c r="A760" i="1"/>
  <c r="A686" i="1"/>
  <c r="A148" i="7" s="1"/>
  <c r="Q843" i="1"/>
  <c r="O843" i="1"/>
  <c r="M843" i="1"/>
  <c r="K843" i="1"/>
  <c r="I843" i="1"/>
  <c r="G843" i="1"/>
  <c r="R687" i="1"/>
  <c r="R149" i="7" s="1"/>
  <c r="P687" i="1"/>
  <c r="P149" i="7" s="1"/>
  <c r="N687" i="1"/>
  <c r="N149" i="7" s="1"/>
  <c r="L687" i="1"/>
  <c r="L149" i="7" s="1"/>
  <c r="J687" i="1"/>
  <c r="J149" i="7" s="1"/>
  <c r="H687" i="1"/>
  <c r="H149" i="7" s="1"/>
  <c r="F687" i="1"/>
  <c r="F149" i="7" s="1"/>
  <c r="G687" i="1"/>
  <c r="G149" i="7" s="1"/>
  <c r="K687" i="1"/>
  <c r="K149" i="7" s="1"/>
  <c r="O687" i="1"/>
  <c r="O149" i="7" s="1"/>
  <c r="Q687" i="1"/>
  <c r="Q149" i="7" s="1"/>
  <c r="H843" i="1"/>
  <c r="L843" i="1"/>
  <c r="P843" i="1"/>
  <c r="F843" i="1"/>
  <c r="N843" i="1"/>
  <c r="R843" i="1"/>
  <c r="I687" i="1"/>
  <c r="I149" i="7" s="1"/>
  <c r="M687" i="1"/>
  <c r="M149" i="7" s="1"/>
  <c r="S687" i="1"/>
  <c r="S149" i="7" s="1"/>
  <c r="J843" i="1"/>
  <c r="C113" i="1"/>
  <c r="C12" i="7" s="1"/>
  <c r="AE456" i="1"/>
  <c r="H141" i="1"/>
  <c r="H40" i="7" s="1"/>
  <c r="F402" i="1"/>
  <c r="G400" i="1"/>
  <c r="AE338" i="1"/>
  <c r="AE359" i="1"/>
  <c r="AE275" i="1"/>
  <c r="AE244" i="1"/>
  <c r="AE317" i="1"/>
  <c r="AE474" i="1"/>
  <c r="AE465" i="1"/>
  <c r="B466" i="1" s="1"/>
  <c r="AE441" i="1"/>
  <c r="B195" i="1"/>
  <c r="B94" i="7" s="1"/>
  <c r="B161" i="1"/>
  <c r="B60" i="7" s="1"/>
  <c r="B224" i="1"/>
  <c r="B123" i="7" s="1"/>
  <c r="B166" i="1"/>
  <c r="B65" i="7" s="1"/>
  <c r="G81" i="1"/>
  <c r="H81" i="1"/>
  <c r="I81" i="1"/>
  <c r="J81" i="1"/>
  <c r="K81" i="1"/>
  <c r="L81" i="1"/>
  <c r="O81" i="1"/>
  <c r="P81" i="1"/>
  <c r="Q81" i="1"/>
  <c r="R81" i="1"/>
  <c r="F92" i="1"/>
  <c r="F883" i="1"/>
  <c r="F976" i="1"/>
  <c r="F901" i="1"/>
  <c r="F680" i="1"/>
  <c r="F142" i="7" s="1"/>
  <c r="I92" i="1"/>
  <c r="S953" i="1"/>
  <c r="J92" i="1"/>
  <c r="J874" i="1"/>
  <c r="J901" i="1"/>
  <c r="J976" i="1"/>
  <c r="J964" i="1"/>
  <c r="J892" i="1"/>
  <c r="I932" i="1"/>
  <c r="H680" i="1"/>
  <c r="H142" i="7" s="1"/>
  <c r="G949" i="1"/>
  <c r="H883" i="1"/>
  <c r="AE1731" i="1"/>
  <c r="AE616" i="7" s="1"/>
  <c r="I827" i="1"/>
  <c r="I874" i="1"/>
  <c r="I949" i="1"/>
  <c r="I964" i="1"/>
  <c r="G964" i="1"/>
  <c r="G874" i="1"/>
  <c r="G901" i="1"/>
  <c r="F949" i="1"/>
  <c r="H92" i="1"/>
  <c r="F874" i="1"/>
  <c r="F892" i="1"/>
  <c r="F932" i="1"/>
  <c r="F964" i="1"/>
  <c r="K827" i="1"/>
  <c r="K883" i="1"/>
  <c r="K901" i="1"/>
  <c r="K949" i="1"/>
  <c r="K976" i="1"/>
  <c r="L680" i="1"/>
  <c r="L142" i="7" s="1"/>
  <c r="L874" i="1"/>
  <c r="L892" i="1"/>
  <c r="L932" i="1"/>
  <c r="L949" i="1"/>
  <c r="L976" i="1"/>
  <c r="M680" i="1"/>
  <c r="M142" i="7" s="1"/>
  <c r="M874" i="1"/>
  <c r="M883" i="1"/>
  <c r="M901" i="1"/>
  <c r="M949" i="1"/>
  <c r="M976" i="1"/>
  <c r="N680" i="1"/>
  <c r="N142" i="7" s="1"/>
  <c r="N874" i="1"/>
  <c r="N892" i="1"/>
  <c r="N932" i="1"/>
  <c r="N949" i="1"/>
  <c r="N976" i="1"/>
  <c r="O680" i="1"/>
  <c r="O142" i="7" s="1"/>
  <c r="O874" i="1"/>
  <c r="O892" i="1"/>
  <c r="O932" i="1"/>
  <c r="O964" i="1"/>
  <c r="P827" i="1"/>
  <c r="P883" i="1"/>
  <c r="P901" i="1"/>
  <c r="P949" i="1"/>
  <c r="P976" i="1"/>
  <c r="Q827" i="1"/>
  <c r="Q883" i="1"/>
  <c r="Q901" i="1"/>
  <c r="Q949" i="1"/>
  <c r="Q976" i="1"/>
  <c r="R827" i="1"/>
  <c r="R883" i="1"/>
  <c r="R901" i="1"/>
  <c r="R949" i="1"/>
  <c r="R976" i="1"/>
  <c r="S827" i="1"/>
  <c r="S883" i="1"/>
  <c r="S901" i="1"/>
  <c r="S949" i="1"/>
  <c r="S976" i="1"/>
  <c r="AE1805" i="1"/>
  <c r="F81" i="1"/>
  <c r="F53" i="8"/>
  <c r="F52" i="8" s="1"/>
  <c r="AE181" i="1"/>
  <c r="AE80" i="7" s="1"/>
  <c r="F35" i="1"/>
  <c r="N81" i="1"/>
  <c r="M81" i="1"/>
  <c r="B205" i="1"/>
  <c r="B104" i="7" s="1"/>
  <c r="B213" i="1"/>
  <c r="B112" i="7" s="1"/>
  <c r="H892" i="1"/>
  <c r="H949" i="1"/>
  <c r="G976" i="1"/>
  <c r="G932" i="1"/>
  <c r="K680" i="1"/>
  <c r="K142" i="7" s="1"/>
  <c r="K874" i="1"/>
  <c r="K892" i="1"/>
  <c r="K932" i="1"/>
  <c r="K964" i="1"/>
  <c r="L827" i="1"/>
  <c r="L883" i="1"/>
  <c r="L901" i="1"/>
  <c r="L964" i="1"/>
  <c r="M827" i="1"/>
  <c r="M892" i="1"/>
  <c r="M932" i="1"/>
  <c r="M964" i="1"/>
  <c r="N827" i="1"/>
  <c r="N883" i="1"/>
  <c r="N901" i="1"/>
  <c r="N964" i="1"/>
  <c r="O827" i="1"/>
  <c r="O883" i="1"/>
  <c r="O901" i="1"/>
  <c r="O949" i="1"/>
  <c r="O976" i="1"/>
  <c r="P680" i="1"/>
  <c r="P142" i="7" s="1"/>
  <c r="P874" i="1"/>
  <c r="P892" i="1"/>
  <c r="P932" i="1"/>
  <c r="P964" i="1"/>
  <c r="Q680" i="1"/>
  <c r="Q142" i="7" s="1"/>
  <c r="Q874" i="1"/>
  <c r="Q892" i="1"/>
  <c r="Q932" i="1"/>
  <c r="Q964" i="1"/>
  <c r="R680" i="1"/>
  <c r="R142" i="7" s="1"/>
  <c r="R874" i="1"/>
  <c r="R892" i="1"/>
  <c r="R932" i="1"/>
  <c r="R964" i="1"/>
  <c r="S680" i="1"/>
  <c r="S142" i="7" s="1"/>
  <c r="S874" i="1"/>
  <c r="S892" i="1"/>
  <c r="S932" i="1"/>
  <c r="S964" i="1"/>
  <c r="F273" i="1"/>
  <c r="G953" i="1"/>
  <c r="I953" i="1"/>
  <c r="K953" i="1"/>
  <c r="M953" i="1"/>
  <c r="O953" i="1"/>
  <c r="Q953" i="1"/>
  <c r="G199" i="1"/>
  <c r="G98" i="7" s="1"/>
  <c r="G197" i="1"/>
  <c r="G96" i="7" s="1"/>
  <c r="F151" i="1"/>
  <c r="F50" i="7" s="1"/>
  <c r="F394" i="1"/>
  <c r="A419" i="1"/>
  <c r="A395" i="1"/>
  <c r="A418" i="1"/>
  <c r="A394" i="1"/>
  <c r="A417" i="1"/>
  <c r="A393" i="1"/>
  <c r="A420" i="1"/>
  <c r="A396" i="1"/>
  <c r="C395" i="1"/>
  <c r="C394" i="1"/>
  <c r="I165" i="1"/>
  <c r="I64" i="7" s="1"/>
  <c r="H198" i="1"/>
  <c r="H97" i="7" s="1"/>
  <c r="H144" i="1"/>
  <c r="H43" i="7" s="1"/>
  <c r="H160" i="1"/>
  <c r="H59" i="7" s="1"/>
  <c r="G171" i="1"/>
  <c r="G70" i="7" s="1"/>
  <c r="F163" i="1"/>
  <c r="F62" i="7" s="1"/>
  <c r="A1969" i="1"/>
  <c r="A1970" i="1"/>
  <c r="F656" i="1"/>
  <c r="G1469" i="1"/>
  <c r="F1355" i="1"/>
  <c r="F351" i="7" s="1"/>
  <c r="AC570" i="1"/>
  <c r="AC1215" i="1" s="1"/>
  <c r="AC206" i="7" s="1"/>
  <c r="AC569" i="1"/>
  <c r="AB569" i="1"/>
  <c r="AB570" i="1"/>
  <c r="AA569" i="1"/>
  <c r="AA570" i="1"/>
  <c r="AA1215" i="1" s="1"/>
  <c r="AA206" i="7" s="1"/>
  <c r="Z569" i="1"/>
  <c r="Z570" i="1"/>
  <c r="Y569" i="1"/>
  <c r="Y570" i="1"/>
  <c r="G526" i="1"/>
  <c r="G431" i="1"/>
  <c r="G427" i="1"/>
  <c r="G425" i="1"/>
  <c r="G426" i="1"/>
  <c r="AC245" i="1"/>
  <c r="AB245" i="1"/>
  <c r="AA245" i="1"/>
  <c r="Z245" i="1"/>
  <c r="Y245" i="1"/>
  <c r="M483" i="1"/>
  <c r="M482" i="1" s="1"/>
  <c r="AC483" i="1"/>
  <c r="AB483" i="1"/>
  <c r="AA483" i="1"/>
  <c r="Z483" i="1"/>
  <c r="Y483" i="1"/>
  <c r="H641" i="1"/>
  <c r="H642" i="1" s="1"/>
  <c r="H425" i="1"/>
  <c r="H431" i="1"/>
  <c r="H427" i="1"/>
  <c r="H426" i="1"/>
  <c r="H529" i="1"/>
  <c r="H526" i="1"/>
  <c r="G825" i="1"/>
  <c r="G823" i="1" s="1"/>
  <c r="G1490" i="1"/>
  <c r="Z250" i="1"/>
  <c r="B1803" i="1"/>
  <c r="A92" i="8"/>
  <c r="A93" i="1"/>
  <c r="G658" i="1"/>
  <c r="A69" i="8"/>
  <c r="A110" i="8"/>
  <c r="A1896" i="1"/>
  <c r="A619" i="8"/>
  <c r="A74" i="8"/>
  <c r="A506" i="8"/>
  <c r="G32" i="1"/>
  <c r="G75" i="1" s="1"/>
  <c r="G1008" i="1" s="1"/>
  <c r="G754" i="8"/>
  <c r="H755" i="8" s="1"/>
  <c r="C444" i="1"/>
  <c r="C421" i="1"/>
  <c r="A368" i="1"/>
  <c r="A416" i="1"/>
  <c r="A307" i="1"/>
  <c r="A423" i="1"/>
  <c r="A249" i="1"/>
  <c r="A432" i="1"/>
  <c r="A457" i="1"/>
  <c r="A434" i="1"/>
  <c r="A588" i="1"/>
  <c r="A425" i="1"/>
  <c r="C238" i="1"/>
  <c r="C418" i="1"/>
  <c r="C419" i="1"/>
  <c r="C527" i="1"/>
  <c r="C414" i="1"/>
  <c r="A320" i="1"/>
  <c r="A412" i="1"/>
  <c r="B1082" i="1"/>
  <c r="B411" i="1"/>
  <c r="A342" i="1"/>
  <c r="A413" i="1"/>
  <c r="G289" i="1"/>
  <c r="H289" i="1" s="1"/>
  <c r="I289" i="1" s="1"/>
  <c r="J289" i="1" s="1"/>
  <c r="K289" i="1" s="1"/>
  <c r="L289" i="1" s="1"/>
  <c r="M289" i="1" s="1"/>
  <c r="N289" i="1" s="1"/>
  <c r="O289" i="1" s="1"/>
  <c r="P289" i="1" s="1"/>
  <c r="Q289" i="1" s="1"/>
  <c r="R289" i="1" s="1"/>
  <c r="S289" i="1" s="1"/>
  <c r="T289" i="1" s="1"/>
  <c r="U289" i="1" s="1"/>
  <c r="V289" i="1" s="1"/>
  <c r="W289" i="1" s="1"/>
  <c r="X289" i="1" s="1"/>
  <c r="Y289" i="1" s="1"/>
  <c r="Z289" i="1" s="1"/>
  <c r="AA289" i="1" s="1"/>
  <c r="AB289" i="1" s="1"/>
  <c r="AC289" i="1" s="1"/>
  <c r="C368" i="1"/>
  <c r="C416" i="1"/>
  <c r="A367" i="1"/>
  <c r="A415" i="1"/>
  <c r="A326" i="1"/>
  <c r="A421" i="1"/>
  <c r="A322" i="1"/>
  <c r="A414" i="1"/>
  <c r="A467" i="1"/>
  <c r="A424" i="1"/>
  <c r="A380" i="1"/>
  <c r="A428" i="1"/>
  <c r="A244" i="1"/>
  <c r="A433" i="1"/>
  <c r="A287" i="1"/>
  <c r="A422" i="1"/>
  <c r="A470" i="1"/>
  <c r="A427" i="1"/>
  <c r="A452" i="1"/>
  <c r="A429" i="1"/>
  <c r="A383" i="1"/>
  <c r="A431" i="1"/>
  <c r="C367" i="1"/>
  <c r="C415" i="1"/>
  <c r="A589" i="1"/>
  <c r="A426" i="1"/>
  <c r="A356" i="1"/>
  <c r="A430" i="1"/>
  <c r="F418" i="1"/>
  <c r="A167" i="8"/>
  <c r="A498" i="8"/>
  <c r="A462" i="8"/>
  <c r="A147" i="8"/>
  <c r="F32" i="1"/>
  <c r="F75" i="1" s="1"/>
  <c r="F1275" i="1" s="1"/>
  <c r="F269" i="7" s="1"/>
  <c r="B764" i="8"/>
  <c r="T768" i="8"/>
  <c r="B138" i="1"/>
  <c r="B37" i="7" s="1"/>
  <c r="C13" i="15"/>
  <c r="G13" i="15"/>
  <c r="I13" i="15"/>
  <c r="K13" i="15"/>
  <c r="M13" i="15"/>
  <c r="O13" i="15"/>
  <c r="D13" i="15"/>
  <c r="F13" i="15"/>
  <c r="H13" i="15"/>
  <c r="J13" i="15"/>
  <c r="L13" i="15"/>
  <c r="N13" i="15"/>
  <c r="F657" i="1"/>
  <c r="T221" i="1"/>
  <c r="T120" i="7" s="1"/>
  <c r="P221" i="1"/>
  <c r="P120" i="7" s="1"/>
  <c r="O221" i="1"/>
  <c r="O120" i="7" s="1"/>
  <c r="N221" i="1"/>
  <c r="N120" i="7" s="1"/>
  <c r="L221" i="1"/>
  <c r="L120" i="7" s="1"/>
  <c r="K221" i="1"/>
  <c r="K120" i="7" s="1"/>
  <c r="H221" i="1"/>
  <c r="H120" i="7" s="1"/>
  <c r="A305" i="1"/>
  <c r="A350" i="1"/>
  <c r="A355" i="1"/>
  <c r="F655" i="1"/>
  <c r="F658" i="1"/>
  <c r="A451" i="8"/>
  <c r="A455" i="8"/>
  <c r="A62" i="8"/>
  <c r="A315" i="8"/>
  <c r="A466" i="8"/>
  <c r="A961" i="8"/>
  <c r="A768" i="8"/>
  <c r="A161" i="8"/>
  <c r="A116" i="8"/>
  <c r="A453" i="8"/>
  <c r="A290" i="8"/>
  <c r="B758" i="8"/>
  <c r="A489" i="1"/>
  <c r="A718" i="8"/>
  <c r="A481" i="8"/>
  <c r="G30" i="1"/>
  <c r="A1877" i="1"/>
  <c r="A600" i="1"/>
  <c r="A566" i="1"/>
  <c r="A186" i="8"/>
  <c r="A459" i="8"/>
  <c r="A333" i="8"/>
  <c r="A119" i="8"/>
  <c r="A101" i="8"/>
  <c r="A275" i="8"/>
  <c r="A323" i="8"/>
  <c r="A155" i="8"/>
  <c r="A113" i="8"/>
  <c r="A190" i="8"/>
  <c r="A382" i="1"/>
  <c r="A1818" i="1"/>
  <c r="A615" i="1"/>
  <c r="A468" i="8"/>
  <c r="A443" i="8"/>
  <c r="A449" i="8"/>
  <c r="A173" i="8"/>
  <c r="A106" i="8"/>
  <c r="A149" i="8"/>
  <c r="A464" i="8"/>
  <c r="B765" i="8"/>
  <c r="B1875" i="1"/>
  <c r="F34" i="8"/>
  <c r="B691" i="8"/>
  <c r="A1355" i="1"/>
  <c r="A351" i="7" s="1"/>
  <c r="A330" i="1"/>
  <c r="A486" i="1"/>
  <c r="A710" i="8"/>
  <c r="A530" i="1"/>
  <c r="A783" i="1"/>
  <c r="A78" i="8"/>
  <c r="A141" i="8"/>
  <c r="A335" i="8"/>
  <c r="A295" i="8"/>
  <c r="A331" i="8"/>
  <c r="A447" i="8"/>
  <c r="A94" i="8"/>
  <c r="A301" i="8"/>
  <c r="A277" i="8"/>
  <c r="A80" i="8"/>
  <c r="A486" i="8"/>
  <c r="A104" i="8"/>
  <c r="A157" i="8"/>
  <c r="A28" i="8"/>
  <c r="A470" i="8"/>
  <c r="A310" i="8"/>
  <c r="A45" i="8"/>
  <c r="A441" i="8"/>
  <c r="A484" i="8"/>
  <c r="A494" i="8"/>
  <c r="A562" i="1"/>
  <c r="A163" i="1"/>
  <c r="A62" i="7" s="1"/>
  <c r="A1901" i="1"/>
  <c r="A1287" i="1"/>
  <c r="A281" i="7" s="1"/>
  <c r="A253" i="1"/>
  <c r="A716" i="8"/>
  <c r="A504" i="8"/>
  <c r="A325" i="8"/>
  <c r="A90" i="8"/>
  <c r="A299" i="8"/>
  <c r="A153" i="8"/>
  <c r="A145" i="8"/>
  <c r="A184" i="8"/>
  <c r="A445" i="8"/>
  <c r="A457" i="8"/>
  <c r="A283" i="8"/>
  <c r="A137" i="8"/>
  <c r="A317" i="8"/>
  <c r="A328" i="8"/>
  <c r="A472" i="8"/>
  <c r="A482" i="8"/>
  <c r="A1209" i="1"/>
  <c r="A200" i="7" s="1"/>
  <c r="B1867" i="1"/>
  <c r="B1721" i="1"/>
  <c r="B606" i="7" s="1"/>
  <c r="B1723" i="1"/>
  <c r="B608" i="7" s="1"/>
  <c r="A679" i="8"/>
  <c r="A150" i="8"/>
  <c r="A1934" i="1"/>
  <c r="A459" i="1"/>
  <c r="B1797" i="1"/>
  <c r="A848" i="8"/>
  <c r="A2038" i="1"/>
  <c r="AE369" i="1"/>
  <c r="A712" i="8"/>
  <c r="A1825" i="1"/>
  <c r="A1014" i="1"/>
  <c r="A1018" i="1"/>
  <c r="A835" i="1"/>
  <c r="A862" i="1"/>
  <c r="B833" i="8"/>
  <c r="B832" i="8"/>
  <c r="B839" i="8"/>
  <c r="B1874" i="1"/>
  <c r="B1869" i="1"/>
  <c r="B834" i="8"/>
  <c r="B1804" i="1"/>
  <c r="B1868" i="1"/>
  <c r="B689" i="8"/>
  <c r="B836" i="8"/>
  <c r="B760" i="8"/>
  <c r="B763" i="8"/>
  <c r="B1730" i="1"/>
  <c r="B615" i="7" s="1"/>
  <c r="A1091" i="1"/>
  <c r="A1135" i="1"/>
  <c r="A1208" i="1"/>
  <c r="A199" i="7" s="1"/>
  <c r="A144" i="8"/>
  <c r="A335" i="1"/>
  <c r="A453" i="1"/>
  <c r="A303" i="8"/>
  <c r="A496" i="8"/>
  <c r="A151" i="8"/>
  <c r="A510" i="8"/>
  <c r="A159" i="8"/>
  <c r="A285" i="8"/>
  <c r="A297" i="8"/>
  <c r="A82" i="8"/>
  <c r="A287" i="8"/>
  <c r="A508" i="8"/>
  <c r="A476" i="8"/>
  <c r="A98" i="8"/>
  <c r="A130" i="8"/>
  <c r="A84" i="8"/>
  <c r="A273" i="8"/>
  <c r="A51" i="8"/>
  <c r="A169" i="8"/>
  <c r="A133" i="8"/>
  <c r="A181" i="8"/>
  <c r="A488" i="8"/>
  <c r="A59" i="8"/>
  <c r="A271" i="8"/>
  <c r="A135" i="8"/>
  <c r="A72" i="8"/>
  <c r="A177" i="8"/>
  <c r="A281" i="8"/>
  <c r="A293" i="8"/>
  <c r="A492" i="8"/>
  <c r="A139" i="8"/>
  <c r="A55" i="8"/>
  <c r="A279" i="8"/>
  <c r="A76" i="8"/>
  <c r="A163" i="8"/>
  <c r="A321" i="8"/>
  <c r="A128" i="8"/>
  <c r="A313" i="8"/>
  <c r="A479" i="8"/>
  <c r="A307" i="8"/>
  <c r="A490" i="8"/>
  <c r="A143" i="8"/>
  <c r="A87" i="8"/>
  <c r="A165" i="8"/>
  <c r="A53" i="8"/>
  <c r="A305" i="8"/>
  <c r="A319" i="8"/>
  <c r="A513" i="8"/>
  <c r="A57" i="8"/>
  <c r="A501" i="8"/>
  <c r="A49" i="8"/>
  <c r="A171" i="8"/>
  <c r="A96" i="8"/>
  <c r="A47" i="8"/>
  <c r="A179" i="8"/>
  <c r="A188" i="8"/>
  <c r="A108" i="8"/>
  <c r="A1477" i="1"/>
  <c r="A682" i="8"/>
  <c r="A1788" i="1"/>
  <c r="A376" i="1"/>
  <c r="A250" i="1"/>
  <c r="A309" i="1"/>
  <c r="A857" i="8"/>
  <c r="A154" i="8"/>
  <c r="A781" i="8"/>
  <c r="A1481" i="1"/>
  <c r="A2031" i="1"/>
  <c r="A685" i="8"/>
  <c r="A289" i="1"/>
  <c r="A603" i="1"/>
  <c r="A485" i="1"/>
  <c r="A97" i="8"/>
  <c r="A1989" i="1"/>
  <c r="A774" i="8"/>
  <c r="A377" i="1"/>
  <c r="A580" i="8"/>
  <c r="A1811" i="1"/>
  <c r="A168" i="8"/>
  <c r="A2045" i="1"/>
  <c r="A692" i="8"/>
  <c r="A1573" i="1"/>
  <c r="A453" i="7" s="1"/>
  <c r="A1757" i="1"/>
  <c r="A642" i="7" s="1"/>
  <c r="A1210" i="1"/>
  <c r="A201" i="7" s="1"/>
  <c r="A866" i="8"/>
  <c r="A785" i="8"/>
  <c r="A564" i="1"/>
  <c r="A1214" i="1"/>
  <c r="A205" i="7" s="1"/>
  <c r="A327" i="8"/>
  <c r="A448" i="1"/>
  <c r="A351" i="1"/>
  <c r="A1892" i="1"/>
  <c r="A2040" i="1"/>
  <c r="A454" i="8"/>
  <c r="A956" i="8"/>
  <c r="A1890" i="1"/>
  <c r="A792" i="8"/>
  <c r="A1805" i="1"/>
  <c r="A1557" i="1"/>
  <c r="A437" i="7" s="1"/>
  <c r="A705" i="8"/>
  <c r="A558" i="1"/>
  <c r="A594" i="1"/>
  <c r="A313" i="1"/>
  <c r="A465" i="1"/>
  <c r="A584" i="1"/>
  <c r="A301" i="1"/>
  <c r="A322" i="8"/>
  <c r="A1739" i="1"/>
  <c r="A624" i="7" s="1"/>
  <c r="A677" i="8"/>
  <c r="A863" i="8"/>
  <c r="A831" i="8"/>
  <c r="A553" i="1"/>
  <c r="A2014" i="1"/>
  <c r="A500" i="8"/>
  <c r="A921" i="8"/>
  <c r="A2012" i="1"/>
  <c r="A1746" i="1"/>
  <c r="A631" i="7" s="1"/>
  <c r="A827" i="8"/>
  <c r="A789" i="8"/>
  <c r="A1570" i="1"/>
  <c r="A450" i="7" s="1"/>
  <c r="A935" i="8"/>
  <c r="A752" i="1"/>
  <c r="A575" i="8"/>
  <c r="A912" i="8"/>
  <c r="A1824" i="1"/>
  <c r="A787" i="8"/>
  <c r="A1017" i="1"/>
  <c r="A2025" i="1"/>
  <c r="A1579" i="1"/>
  <c r="A459" i="7" s="1"/>
  <c r="A2032" i="1"/>
  <c r="A575" i="1"/>
  <c r="A910" i="8"/>
  <c r="A948" i="8"/>
  <c r="A1829" i="1"/>
  <c r="A776" i="8"/>
  <c r="A79" i="8"/>
  <c r="A1101" i="1"/>
  <c r="A243" i="1"/>
  <c r="A1335" i="1"/>
  <c r="A331" i="7" s="1"/>
  <c r="A1347" i="1"/>
  <c r="A343" i="7" s="1"/>
  <c r="A1189" i="1"/>
  <c r="A333" i="1"/>
  <c r="A332" i="1"/>
  <c r="A327" i="1"/>
  <c r="A445" i="1"/>
  <c r="A312" i="1"/>
  <c r="A1325" i="1"/>
  <c r="A321" i="7" s="1"/>
  <c r="A1167" i="1"/>
  <c r="A596" i="1"/>
  <c r="A552" i="1"/>
  <c r="A379" i="1"/>
  <c r="A447" i="1"/>
  <c r="F317" i="8"/>
  <c r="F316" i="8" s="1"/>
  <c r="H30" i="1"/>
  <c r="I29" i="1"/>
  <c r="G643" i="1"/>
  <c r="G657" i="1" s="1"/>
  <c r="AE1182" i="1"/>
  <c r="G92" i="1"/>
  <c r="F241" i="1"/>
  <c r="G241" i="1" s="1"/>
  <c r="H241" i="1" s="1"/>
  <c r="I241" i="1" s="1"/>
  <c r="J241" i="1" s="1"/>
  <c r="K241" i="1" s="1"/>
  <c r="L241" i="1" s="1"/>
  <c r="M241" i="1" s="1"/>
  <c r="N241" i="1" s="1"/>
  <c r="O241" i="1" s="1"/>
  <c r="P241" i="1" s="1"/>
  <c r="Q241" i="1" s="1"/>
  <c r="R241" i="1" s="1"/>
  <c r="S241" i="1" s="1"/>
  <c r="T241" i="1" s="1"/>
  <c r="U241" i="1" s="1"/>
  <c r="V241" i="1" s="1"/>
  <c r="W241" i="1" s="1"/>
  <c r="X241" i="1" s="1"/>
  <c r="Y241" i="1" s="1"/>
  <c r="Z241" i="1" s="1"/>
  <c r="AA241" i="1" s="1"/>
  <c r="AB241" i="1" s="1"/>
  <c r="AC241" i="1" s="1"/>
  <c r="G163" i="1"/>
  <c r="G62" i="7" s="1"/>
  <c r="Q1799" i="1"/>
  <c r="Q1871" i="1"/>
  <c r="F202" i="1"/>
  <c r="F101" i="7" s="1"/>
  <c r="F1123" i="1"/>
  <c r="F42" i="7"/>
  <c r="F267" i="1"/>
  <c r="F259" i="1"/>
  <c r="H42" i="7"/>
  <c r="G151" i="1"/>
  <c r="G50" i="7" s="1"/>
  <c r="F221" i="1"/>
  <c r="F120" i="7" s="1"/>
  <c r="X221" i="1"/>
  <c r="X120" i="7" s="1"/>
  <c r="W221" i="1"/>
  <c r="W120" i="7" s="1"/>
  <c r="V221" i="1"/>
  <c r="V120" i="7" s="1"/>
  <c r="U221" i="1"/>
  <c r="U120" i="7" s="1"/>
  <c r="F242" i="1"/>
  <c r="F243" i="1" s="1"/>
  <c r="F239" i="1" s="1"/>
  <c r="G242" i="1" s="1"/>
  <c r="G243" i="1" s="1"/>
  <c r="G239" i="1" s="1"/>
  <c r="H242" i="1" s="1"/>
  <c r="H243" i="1" s="1"/>
  <c r="G729" i="1"/>
  <c r="G726" i="1" s="1"/>
  <c r="F726" i="1"/>
  <c r="A341" i="1"/>
  <c r="A2035" i="1"/>
  <c r="A919" i="8"/>
  <c r="A764" i="8"/>
  <c r="A302" i="8"/>
  <c r="A316" i="8"/>
  <c r="B688" i="8"/>
  <c r="A321" i="1"/>
  <c r="A779" i="1"/>
  <c r="AA39" i="8"/>
  <c r="A873" i="1"/>
  <c r="A859" i="1"/>
  <c r="A858" i="1"/>
  <c r="AA822" i="8"/>
  <c r="A812" i="1"/>
  <c r="A898" i="8"/>
  <c r="A164" i="8"/>
  <c r="A816" i="1"/>
  <c r="C1057" i="1"/>
  <c r="A233" i="1"/>
  <c r="A236" i="1"/>
  <c r="A460" i="1"/>
  <c r="A364" i="1"/>
  <c r="A1733" i="1"/>
  <c r="A618" i="7" s="1"/>
  <c r="A2041" i="1"/>
  <c r="A2027" i="1"/>
  <c r="A788" i="8"/>
  <c r="A1867" i="1"/>
  <c r="A1714" i="1"/>
  <c r="A599" i="7" s="1"/>
  <c r="A670" i="8"/>
  <c r="A1089" i="1"/>
  <c r="A1334" i="1"/>
  <c r="A330" i="7" s="1"/>
  <c r="A294" i="8"/>
  <c r="C344" i="1"/>
  <c r="A339" i="1"/>
  <c r="C322" i="1"/>
  <c r="A337" i="1"/>
  <c r="C324" i="1"/>
  <c r="A948" i="1"/>
  <c r="AA670" i="8"/>
  <c r="AA746" i="8"/>
  <c r="A882" i="1"/>
  <c r="A672" i="8"/>
  <c r="A684" i="8"/>
  <c r="A1681" i="1"/>
  <c r="A565" i="7" s="1"/>
  <c r="B2099" i="1"/>
  <c r="A856" i="1"/>
  <c r="A829" i="1"/>
  <c r="A975" i="1"/>
  <c r="A1484" i="1"/>
  <c r="A1060" i="1"/>
  <c r="C1016" i="1"/>
  <c r="C1062" i="1"/>
  <c r="C785" i="1"/>
  <c r="A860" i="1"/>
  <c r="B541" i="1"/>
  <c r="A46" i="1"/>
  <c r="A539" i="1"/>
  <c r="A1114" i="1"/>
  <c r="X595" i="1"/>
  <c r="V595" i="1"/>
  <c r="W595" i="1"/>
  <c r="U595" i="1"/>
  <c r="U596" i="1"/>
  <c r="W596" i="1"/>
  <c r="V596" i="1"/>
  <c r="X596" i="1"/>
  <c r="B543" i="1"/>
  <c r="X557" i="1"/>
  <c r="V557" i="1"/>
  <c r="W557" i="1"/>
  <c r="U557" i="1"/>
  <c r="U558" i="1"/>
  <c r="X558" i="1"/>
  <c r="V552" i="1"/>
  <c r="W558" i="1"/>
  <c r="X552" i="1"/>
  <c r="U552" i="1"/>
  <c r="V558" i="1"/>
  <c r="W552" i="1"/>
  <c r="W606" i="1"/>
  <c r="X606" i="1"/>
  <c r="V606" i="1"/>
  <c r="U606" i="1"/>
  <c r="U608" i="1"/>
  <c r="U607" i="1"/>
  <c r="V608" i="1"/>
  <c r="W607" i="1"/>
  <c r="X608" i="1"/>
  <c r="U599" i="1"/>
  <c r="V607" i="1"/>
  <c r="W608" i="1"/>
  <c r="X607" i="1"/>
  <c r="V599" i="1"/>
  <c r="X599" i="1"/>
  <c r="W599" i="1"/>
  <c r="X604" i="1"/>
  <c r="U604" i="1"/>
  <c r="W604" i="1"/>
  <c r="V604" i="1"/>
  <c r="W583" i="1"/>
  <c r="U583" i="1"/>
  <c r="X583" i="1"/>
  <c r="V583" i="1"/>
  <c r="U584" i="1"/>
  <c r="V582" i="1"/>
  <c r="W584" i="1"/>
  <c r="X582" i="1"/>
  <c r="V584" i="1"/>
  <c r="W582" i="1"/>
  <c r="X584" i="1"/>
  <c r="U582" i="1"/>
  <c r="A1291" i="1"/>
  <c r="A285" i="7" s="1"/>
  <c r="A592" i="1"/>
  <c r="A490" i="1"/>
  <c r="A293" i="1"/>
  <c r="A282" i="8"/>
  <c r="A881" i="1"/>
  <c r="A267" i="1"/>
  <c r="A1462" i="1"/>
  <c r="A1501" i="1"/>
  <c r="A835" i="8"/>
  <c r="A1880" i="1"/>
  <c r="A1475" i="1"/>
  <c r="A1870" i="1"/>
  <c r="A1339" i="1"/>
  <c r="A335" i="7" s="1"/>
  <c r="A590" i="1"/>
  <c r="A1323" i="1"/>
  <c r="A319" i="7" s="1"/>
  <c r="A1280" i="1"/>
  <c r="A274" i="7" s="1"/>
  <c r="A492" i="1"/>
  <c r="A381" i="1"/>
  <c r="A577" i="1"/>
  <c r="A353" i="1"/>
  <c r="A385" i="1"/>
  <c r="A295" i="1"/>
  <c r="A545" i="1"/>
  <c r="A308" i="1"/>
  <c r="A343" i="1"/>
  <c r="A1043" i="1"/>
  <c r="A186" i="1"/>
  <c r="A85" i="7" s="1"/>
  <c r="A83" i="8"/>
  <c r="A73" i="8"/>
  <c r="A274" i="8"/>
  <c r="A1177" i="1"/>
  <c r="A765" i="8"/>
  <c r="A488" i="1"/>
  <c r="A269" i="1"/>
  <c r="A300" i="8"/>
  <c r="A354" i="1"/>
  <c r="A329" i="1"/>
  <c r="A1872" i="1"/>
  <c r="A1866" i="1"/>
  <c r="A560" i="1"/>
  <c r="A1199" i="1"/>
  <c r="A190" i="7" s="1"/>
  <c r="A850" i="8"/>
  <c r="A617" i="1"/>
  <c r="A454" i="1"/>
  <c r="A1498" i="1"/>
  <c r="B24" i="8"/>
  <c r="A1004" i="1"/>
  <c r="A889" i="1"/>
  <c r="A715" i="1"/>
  <c r="A178" i="7" s="1"/>
  <c r="A999" i="1"/>
  <c r="A1" i="1"/>
  <c r="A82" i="1"/>
  <c r="A709" i="8"/>
  <c r="A466" i="1"/>
  <c r="A484" i="1"/>
  <c r="A375" i="1"/>
  <c r="A441" i="1"/>
  <c r="A323" i="1"/>
  <c r="A294" i="1"/>
  <c r="A606" i="1"/>
  <c r="A569" i="1"/>
  <c r="A384" i="1"/>
  <c r="A482" i="1"/>
  <c r="A325" i="1"/>
  <c r="A346" i="1"/>
  <c r="A1500" i="1"/>
  <c r="A512" i="8"/>
  <c r="A854" i="1"/>
  <c r="A904" i="1"/>
  <c r="A1797" i="1"/>
  <c r="A1869" i="1"/>
  <c r="A840" i="8"/>
  <c r="A1729" i="1"/>
  <c r="A614" i="7" s="1"/>
  <c r="A846" i="8"/>
  <c r="A1809" i="1"/>
  <c r="A1891" i="1"/>
  <c r="A1745" i="1"/>
  <c r="A630" i="7" s="1"/>
  <c r="A1756" i="1"/>
  <c r="A641" i="7" s="1"/>
  <c r="A717" i="8"/>
  <c r="A906" i="8"/>
  <c r="A1939" i="1"/>
  <c r="AE1275" i="1"/>
  <c r="AE269" i="7" s="1"/>
  <c r="AA896" i="8"/>
  <c r="AA924" i="8"/>
  <c r="AE661" i="1"/>
  <c r="AE1008" i="1"/>
  <c r="AE280" i="1"/>
  <c r="AE1319" i="1"/>
  <c r="AE315" i="7" s="1"/>
  <c r="AE1096" i="1"/>
  <c r="AE820" i="1"/>
  <c r="AE724" i="1"/>
  <c r="AE1957" i="1"/>
  <c r="AE921" i="1"/>
  <c r="AE1165" i="1"/>
  <c r="A940" i="8"/>
  <c r="A2024" i="1"/>
  <c r="A2037" i="1"/>
  <c r="A953" i="8"/>
  <c r="A581" i="8"/>
  <c r="A1568" i="1"/>
  <c r="A448" i="7" s="1"/>
  <c r="A644" i="8"/>
  <c r="A1631" i="1"/>
  <c r="A2050" i="1"/>
  <c r="A2099" i="1"/>
  <c r="A829" i="8"/>
  <c r="A1718" i="1"/>
  <c r="A603" i="7" s="1"/>
  <c r="A1864" i="1"/>
  <c r="A576" i="1"/>
  <c r="A331" i="1"/>
  <c r="A352" i="1"/>
  <c r="A476" i="1"/>
  <c r="A265" i="1"/>
  <c r="B255" i="1"/>
  <c r="B237" i="1"/>
  <c r="A678" i="1"/>
  <c r="A140" i="7" s="1"/>
  <c r="A697" i="1"/>
  <c r="A160" i="7" s="1"/>
  <c r="A726" i="1"/>
  <c r="A822" i="1"/>
  <c r="A770" i="1"/>
  <c r="C592" i="8"/>
  <c r="C1895" i="1"/>
  <c r="A136" i="8"/>
  <c r="A1204" i="1"/>
  <c r="A195" i="7" s="1"/>
  <c r="B1085" i="1"/>
  <c r="B1276" i="1"/>
  <c r="B270" i="7" s="1"/>
  <c r="B887" i="1"/>
  <c r="A624" i="1"/>
  <c r="B460" i="1"/>
  <c r="B319" i="1"/>
  <c r="A176" i="1"/>
  <c r="A75" i="7" s="1"/>
  <c r="A48" i="8"/>
  <c r="B1805" i="1"/>
  <c r="B1876" i="1"/>
  <c r="A774" i="1"/>
  <c r="A753" i="1"/>
  <c r="A901" i="1"/>
  <c r="A949" i="1"/>
  <c r="A932" i="1"/>
  <c r="C373" i="1"/>
  <c r="A245" i="1"/>
  <c r="C1037" i="1"/>
  <c r="C305" i="1"/>
  <c r="A554" i="1"/>
  <c r="A299" i="1"/>
  <c r="A755" i="8"/>
  <c r="A1792" i="1"/>
  <c r="A694" i="8"/>
  <c r="A957" i="8"/>
  <c r="A1823" i="1"/>
  <c r="A943" i="8"/>
  <c r="A1354" i="1"/>
  <c r="A350" i="7" s="1"/>
  <c r="A862" i="8"/>
  <c r="A1881" i="1"/>
  <c r="A1873" i="1"/>
  <c r="A758" i="8"/>
  <c r="A676" i="8"/>
  <c r="A714" i="1"/>
  <c r="A177" i="7" s="1"/>
  <c r="A378" i="1"/>
  <c r="A291" i="1"/>
  <c r="A284" i="8"/>
  <c r="A1336" i="1"/>
  <c r="A332" i="7" s="1"/>
  <c r="C366" i="1"/>
  <c r="C676" i="8"/>
  <c r="C462" i="1"/>
  <c r="A48" i="1"/>
  <c r="C286" i="1"/>
  <c r="B1873" i="1"/>
  <c r="A740" i="1"/>
  <c r="A1661" i="1"/>
  <c r="A545" i="7" s="1"/>
  <c r="A360" i="1"/>
  <c r="C347" i="1"/>
  <c r="A328" i="1"/>
  <c r="C323" i="1"/>
  <c r="A1830" i="1"/>
  <c r="A856" i="8"/>
  <c r="A690" i="8"/>
  <c r="AE2008" i="1"/>
  <c r="C440" i="1"/>
  <c r="AE738" i="1"/>
  <c r="AE102" i="1"/>
  <c r="AE1" i="7" s="1"/>
  <c r="A1785" i="1"/>
  <c r="B961" i="1"/>
  <c r="B822" i="1"/>
  <c r="C707" i="8"/>
  <c r="C950" i="8" s="1"/>
  <c r="B246" i="1"/>
  <c r="A909" i="8"/>
  <c r="A1727" i="1"/>
  <c r="A612" i="7" s="1"/>
  <c r="A225" i="1"/>
  <c r="A124" i="7" s="1"/>
  <c r="A288" i="1"/>
  <c r="A1950" i="1"/>
  <c r="AE768" i="1"/>
  <c r="A1875" i="1"/>
  <c r="A452" i="8"/>
  <c r="A1990" i="1"/>
  <c r="A933" i="1"/>
  <c r="A1465" i="1"/>
  <c r="B946" i="1"/>
  <c r="A1021" i="1"/>
  <c r="A883" i="1"/>
  <c r="B283" i="1"/>
  <c r="A892" i="1"/>
  <c r="A680" i="1"/>
  <c r="A142" i="7" s="1"/>
  <c r="A588" i="8"/>
  <c r="C528" i="1"/>
  <c r="C251" i="1"/>
  <c r="A442" i="1"/>
  <c r="A324" i="1"/>
  <c r="A345" i="1"/>
  <c r="A1461" i="1"/>
  <c r="A440" i="8"/>
  <c r="A469" i="8"/>
  <c r="A1476" i="1"/>
  <c r="A1491" i="1"/>
  <c r="A497" i="8"/>
  <c r="A1497" i="1"/>
  <c r="A507" i="8"/>
  <c r="A849" i="8"/>
  <c r="A775" i="8"/>
  <c r="A284" i="1"/>
  <c r="A461" i="1"/>
  <c r="A528" i="1"/>
  <c r="A370" i="1"/>
  <c r="A572" i="1"/>
  <c r="A318" i="1"/>
  <c r="A469" i="1"/>
  <c r="A487" i="1"/>
  <c r="A593" i="1"/>
  <c r="A463" i="1"/>
  <c r="A129" i="8"/>
  <c r="A1200" i="1"/>
  <c r="A191" i="7" s="1"/>
  <c r="A187" i="8"/>
  <c r="A1290" i="1"/>
  <c r="A284" i="7" s="1"/>
  <c r="A444" i="8"/>
  <c r="A1463" i="1"/>
  <c r="A463" i="8"/>
  <c r="A1473" i="1"/>
  <c r="A475" i="8"/>
  <c r="A1479" i="1"/>
  <c r="A487" i="8"/>
  <c r="A1486" i="1"/>
  <c r="A1495" i="1"/>
  <c r="A503" i="8"/>
  <c r="A832" i="8"/>
  <c r="A1795" i="1"/>
  <c r="A834" i="8"/>
  <c r="A1723" i="1"/>
  <c r="A608" i="7" s="1"/>
  <c r="A1725" i="1"/>
  <c r="A610" i="7" s="1"/>
  <c r="A762" i="8"/>
  <c r="A1803" i="1"/>
  <c r="A766" i="8"/>
  <c r="A851" i="8"/>
  <c r="A701" i="8"/>
  <c r="A1751" i="1"/>
  <c r="A636" i="7" s="1"/>
  <c r="A1897" i="1"/>
  <c r="A867" i="8"/>
  <c r="A1902" i="1"/>
  <c r="A793" i="8"/>
  <c r="A1715" i="1"/>
  <c r="A600" i="7" s="1"/>
  <c r="A1861" i="1"/>
  <c r="A904" i="8"/>
  <c r="A1937" i="1"/>
  <c r="AE230" i="1"/>
  <c r="AE1785" i="1"/>
  <c r="AA125" i="8"/>
  <c r="AE621" i="1"/>
  <c r="AE1197" i="1"/>
  <c r="AE188" i="7" s="1"/>
  <c r="AA66" i="8"/>
  <c r="AA268" i="8"/>
  <c r="AE866" i="1"/>
  <c r="AE1711" i="1"/>
  <c r="AE596" i="7" s="1"/>
  <c r="AE695" i="1"/>
  <c r="AE158" i="7" s="1"/>
  <c r="A927" i="8"/>
  <c r="A2011" i="1"/>
  <c r="A951" i="8"/>
  <c r="A1895" i="1"/>
  <c r="A594" i="8"/>
  <c r="A1581" i="1"/>
  <c r="A2107" i="1"/>
  <c r="A2058" i="1"/>
  <c r="A167" i="1"/>
  <c r="A66" i="7" s="1"/>
  <c r="A155" i="1"/>
  <c r="A54" i="7" s="1"/>
  <c r="A675" i="8"/>
  <c r="A1713" i="1"/>
  <c r="A598" i="7" s="1"/>
  <c r="A1787" i="1"/>
  <c r="A751" i="8"/>
  <c r="C442" i="1"/>
  <c r="C370" i="1"/>
  <c r="C481" i="1"/>
  <c r="A272" i="1"/>
  <c r="A239" i="1"/>
  <c r="C343" i="1"/>
  <c r="C480" i="1"/>
  <c r="C301" i="1"/>
  <c r="A1201" i="1"/>
  <c r="A192" i="7" s="1"/>
  <c r="A131" i="8"/>
  <c r="A1563" i="1"/>
  <c r="A443" i="7" s="1"/>
  <c r="A576" i="8"/>
  <c r="A1120" i="1"/>
  <c r="A118" i="8"/>
  <c r="B477" i="1"/>
  <c r="B36" i="1"/>
  <c r="B750" i="1"/>
  <c r="A479" i="1"/>
  <c r="A300" i="1"/>
  <c r="A46" i="8"/>
  <c r="A175" i="1"/>
  <c r="A74" i="7" s="1"/>
  <c r="A836" i="1"/>
  <c r="A1107" i="1"/>
  <c r="A870" i="1"/>
  <c r="A888" i="1"/>
  <c r="A859" i="8"/>
  <c r="F896" i="8"/>
  <c r="A373" i="1"/>
  <c r="A219" i="1"/>
  <c r="A118" i="7" s="1"/>
  <c r="A292" i="8"/>
  <c r="A700" i="1"/>
  <c r="A163" i="7" s="1"/>
  <c r="A241" i="1"/>
  <c r="A1217" i="1"/>
  <c r="A208" i="7" s="1"/>
  <c r="A1219" i="1"/>
  <c r="A210" i="7" s="1"/>
  <c r="A579" i="1"/>
  <c r="A538" i="1"/>
  <c r="A311" i="1"/>
  <c r="A366" i="1"/>
  <c r="A541" i="1"/>
  <c r="C880" i="1"/>
  <c r="A605" i="1"/>
  <c r="A568" i="1"/>
  <c r="A357" i="1"/>
  <c r="A556" i="1"/>
  <c r="A531" i="1"/>
  <c r="A292" i="1"/>
  <c r="A555" i="1"/>
  <c r="A483" i="1"/>
  <c r="A348" i="1"/>
  <c r="A473" i="1"/>
  <c r="A607" i="1"/>
  <c r="A235" i="1"/>
  <c r="A275" i="1"/>
  <c r="A462" i="1"/>
  <c r="A440" i="1"/>
  <c r="A444" i="1"/>
  <c r="A252" i="1"/>
  <c r="A1175" i="1"/>
  <c r="A1173" i="1"/>
  <c r="A1170" i="1"/>
  <c r="A926" i="1"/>
  <c r="A1183" i="1"/>
  <c r="A1125" i="1"/>
  <c r="A890" i="1"/>
  <c r="A1215" i="1"/>
  <c r="A206" i="7" s="1"/>
  <c r="A41" i="1"/>
  <c r="A1321" i="1"/>
  <c r="A317" i="7" s="1"/>
  <c r="A286" i="8"/>
  <c r="A1084" i="1"/>
  <c r="A91" i="8"/>
  <c r="A347" i="1"/>
  <c r="A359" i="1"/>
  <c r="A338" i="1"/>
  <c r="A334" i="1"/>
  <c r="A336" i="1"/>
  <c r="A601" i="1"/>
  <c r="A1478" i="1"/>
  <c r="A713" i="8"/>
  <c r="A1720" i="1"/>
  <c r="A605" i="7" s="1"/>
  <c r="A306" i="1"/>
  <c r="A599" i="1"/>
  <c r="A1576" i="1"/>
  <c r="A456" i="7" s="1"/>
  <c r="A1115" i="1"/>
  <c r="A928" i="8"/>
  <c r="A1220" i="1"/>
  <c r="A211" i="7" s="1"/>
  <c r="A1285" i="1"/>
  <c r="A279" i="7" s="1"/>
  <c r="A374" i="1"/>
  <c r="A1752" i="1"/>
  <c r="A637" i="7" s="1"/>
  <c r="A822" i="8"/>
  <c r="A451" i="1"/>
  <c r="A1820" i="1"/>
  <c r="A950" i="8"/>
  <c r="A1790" i="1"/>
  <c r="A842" i="8"/>
  <c r="A1826" i="1"/>
  <c r="A1885" i="1"/>
  <c r="A1813" i="1"/>
  <c r="A581" i="1"/>
  <c r="B840" i="8"/>
  <c r="B835" i="8"/>
  <c r="B767" i="8"/>
  <c r="B683" i="8"/>
  <c r="B1802" i="1"/>
  <c r="B1795" i="1"/>
  <c r="B1870" i="1"/>
  <c r="C1713" i="1"/>
  <c r="C598" i="7" s="1"/>
  <c r="B1728" i="1"/>
  <c r="B613" i="7" s="1"/>
  <c r="B1799" i="1"/>
  <c r="A314" i="8"/>
  <c r="A1606" i="1"/>
  <c r="A896" i="8"/>
  <c r="A489" i="8"/>
  <c r="A587" i="1"/>
  <c r="A610" i="1"/>
  <c r="A905" i="8"/>
  <c r="A2043" i="1"/>
  <c r="A574" i="1"/>
  <c r="A561" i="1"/>
  <c r="A779" i="8"/>
  <c r="A926" i="8"/>
  <c r="A1742" i="1"/>
  <c r="A627" i="7" s="1"/>
  <c r="A915" i="8"/>
  <c r="A1559" i="1"/>
  <c r="A439" i="7" s="1"/>
  <c r="A1744" i="1"/>
  <c r="A629" i="7" s="1"/>
  <c r="B1037" i="1"/>
  <c r="B1025" i="1"/>
  <c r="A480" i="1"/>
  <c r="A286" i="1"/>
  <c r="A317" i="1"/>
  <c r="A456" i="1"/>
  <c r="A262" i="1"/>
  <c r="A570" i="1"/>
  <c r="A450" i="1"/>
  <c r="A613" i="1"/>
  <c r="A315" i="1"/>
  <c r="A471" i="1"/>
  <c r="A1472" i="1"/>
  <c r="A461" i="8"/>
  <c r="A1489" i="1"/>
  <c r="A493" i="8"/>
  <c r="A1737" i="1"/>
  <c r="A622" i="7" s="1"/>
  <c r="A698" i="8"/>
  <c r="A711" i="8"/>
  <c r="A861" i="8"/>
  <c r="A1903" i="1"/>
  <c r="A868" i="8"/>
  <c r="A794" i="8"/>
  <c r="A753" i="8"/>
  <c r="A1862" i="1"/>
  <c r="A1716" i="1"/>
  <c r="A601" i="7" s="1"/>
  <c r="A903" i="8"/>
  <c r="A1936" i="1"/>
  <c r="A1941" i="1"/>
  <c r="A908" i="8"/>
  <c r="A1951" i="1"/>
  <c r="A918" i="8"/>
  <c r="A932" i="8"/>
  <c r="A185" i="8"/>
  <c r="A2016" i="1"/>
  <c r="A2023" i="1"/>
  <c r="A939" i="8"/>
  <c r="A944" i="8"/>
  <c r="A332" i="8"/>
  <c r="A703" i="8"/>
  <c r="A853" i="8"/>
  <c r="A1816" i="1"/>
  <c r="A1888" i="1"/>
  <c r="A707" i="8"/>
  <c r="A783" i="8"/>
  <c r="A611" i="1"/>
  <c r="A468" i="1"/>
  <c r="A290" i="1"/>
  <c r="B682" i="8"/>
  <c r="B1800" i="1"/>
  <c r="B762" i="8"/>
  <c r="B1722" i="1"/>
  <c r="B607" i="7" s="1"/>
  <c r="C751" i="8"/>
  <c r="C1787" i="1"/>
  <c r="B1871" i="1"/>
  <c r="B1801" i="1"/>
  <c r="C675" i="8"/>
  <c r="A1490" i="1"/>
  <c r="A69" i="1"/>
  <c r="A138" i="8"/>
  <c r="A1205" i="1"/>
  <c r="A196" i="7" s="1"/>
  <c r="A132" i="8"/>
  <c r="A1202" i="1"/>
  <c r="A193" i="7" s="1"/>
  <c r="A181" i="1"/>
  <c r="A80" i="7" s="1"/>
  <c r="A215" i="1"/>
  <c r="A114" i="7" s="1"/>
  <c r="A58" i="1"/>
  <c r="A456" i="8"/>
  <c r="F30" i="1"/>
  <c r="G34" i="8"/>
  <c r="A773" i="1"/>
  <c r="A805" i="1"/>
  <c r="A776" i="1"/>
  <c r="A777" i="1"/>
  <c r="A809" i="1"/>
  <c r="A1013" i="1"/>
  <c r="A623" i="1"/>
  <c r="A897" i="1"/>
  <c r="A953" i="1"/>
  <c r="A81" i="1"/>
  <c r="A976" i="1"/>
  <c r="A874" i="1"/>
  <c r="A827" i="1"/>
  <c r="A673" i="8"/>
  <c r="A825" i="8"/>
  <c r="A899" i="8"/>
  <c r="A749" i="8"/>
  <c r="A543" i="1"/>
  <c r="A171" i="1"/>
  <c r="A70" i="7" s="1"/>
  <c r="A52" i="8"/>
  <c r="C918" i="1"/>
  <c r="A1103" i="1"/>
  <c r="C889" i="1"/>
  <c r="A536" i="1"/>
  <c r="C871" i="1"/>
  <c r="A1172" i="1"/>
  <c r="A77" i="8"/>
  <c r="A320" i="8"/>
  <c r="A1348" i="1"/>
  <c r="A344" i="7" s="1"/>
  <c r="A1983" i="1"/>
  <c r="A1988" i="1"/>
  <c r="A1207" i="1"/>
  <c r="A198" i="7" s="1"/>
  <c r="A142" i="8"/>
  <c r="A170" i="8"/>
  <c r="A1221" i="1"/>
  <c r="A212" i="7" s="1"/>
  <c r="A1470" i="1"/>
  <c r="A458" i="8"/>
  <c r="A491" i="8"/>
  <c r="A1488" i="1"/>
  <c r="A1871" i="1"/>
  <c r="A836" i="8"/>
  <c r="A1799" i="1"/>
  <c r="A688" i="8"/>
  <c r="A1801" i="1"/>
  <c r="A1735" i="1"/>
  <c r="A620" i="7" s="1"/>
  <c r="A772" i="8"/>
  <c r="A1884" i="1"/>
  <c r="A699" i="8"/>
  <c r="A1812" i="1"/>
  <c r="A1738" i="1"/>
  <c r="A623" i="7" s="1"/>
  <c r="A1946" i="1"/>
  <c r="A913" i="8"/>
  <c r="A2018" i="1"/>
  <c r="A934" i="8"/>
  <c r="A1747" i="1"/>
  <c r="A632" i="7" s="1"/>
  <c r="A858" i="8"/>
  <c r="A784" i="8"/>
  <c r="C345" i="1"/>
  <c r="C268" i="1"/>
  <c r="C242" i="1"/>
  <c r="C302" i="1"/>
  <c r="C247" i="1"/>
  <c r="C260" i="1"/>
  <c r="C265" i="1"/>
  <c r="C441" i="1"/>
  <c r="C256" i="1"/>
  <c r="C371" i="1"/>
  <c r="C303" i="1"/>
  <c r="A257" i="1"/>
  <c r="A266" i="1"/>
  <c r="A1894" i="1"/>
  <c r="A1748" i="1"/>
  <c r="A633" i="7" s="1"/>
  <c r="C1133" i="1"/>
  <c r="C1134" i="1"/>
  <c r="B340" i="1"/>
  <c r="B363" i="1"/>
  <c r="B437" i="1"/>
  <c r="B869" i="1"/>
  <c r="B1076" i="1"/>
  <c r="B878" i="1"/>
  <c r="B972" i="1"/>
  <c r="B929" i="1"/>
  <c r="B896" i="1"/>
  <c r="B298" i="1"/>
  <c r="B677" i="1"/>
  <c r="B139" i="7" s="1"/>
  <c r="A285" i="1"/>
  <c r="A365" i="1"/>
  <c r="A439" i="1"/>
  <c r="A1564" i="1"/>
  <c r="A444" i="7" s="1"/>
  <c r="A1682" i="1"/>
  <c r="A566" i="7" s="1"/>
  <c r="A754" i="1"/>
  <c r="A1022" i="1"/>
  <c r="A810" i="1"/>
  <c r="A780" i="1"/>
  <c r="A832" i="1"/>
  <c r="A781" i="1"/>
  <c r="A814" i="1"/>
  <c r="A861" i="1"/>
  <c r="A784" i="1"/>
  <c r="C1020" i="1"/>
  <c r="C772" i="1"/>
  <c r="B12" i="1"/>
  <c r="C836" i="1"/>
  <c r="A824" i="8"/>
  <c r="F567" i="8"/>
  <c r="F66" i="8"/>
  <c r="A964" i="1"/>
  <c r="F125" i="8"/>
  <c r="F39" i="8"/>
  <c r="A880" i="1"/>
  <c r="A716" i="1"/>
  <c r="A179" i="7" s="1"/>
  <c r="A895" i="1"/>
  <c r="A1099" i="1"/>
  <c r="A877" i="1"/>
  <c r="A868" i="1"/>
  <c r="A280" i="8"/>
  <c r="A614" i="1"/>
  <c r="A224" i="1"/>
  <c r="A123" i="7" s="1"/>
  <c r="A1344" i="1"/>
  <c r="A340" i="7" s="1"/>
  <c r="A1216" i="1"/>
  <c r="A207" i="7" s="1"/>
  <c r="A1002" i="1"/>
  <c r="A899" i="1"/>
  <c r="A907" i="1"/>
  <c r="C326" i="1"/>
  <c r="A222" i="1"/>
  <c r="A121" i="7" s="1"/>
  <c r="A1194" i="1"/>
  <c r="A103" i="8"/>
  <c r="A42" i="1"/>
  <c r="A1083" i="1"/>
  <c r="A50" i="8"/>
  <c r="A56" i="8"/>
  <c r="AE1859" i="1"/>
  <c r="F903" i="8"/>
  <c r="I824" i="1"/>
  <c r="I825" i="1" s="1"/>
  <c r="I823" i="1" s="1"/>
  <c r="G1344" i="1"/>
  <c r="G340" i="7" s="1"/>
  <c r="H251" i="1"/>
  <c r="H252" i="1" s="1"/>
  <c r="H248" i="1" s="1"/>
  <c r="I251" i="1" s="1"/>
  <c r="H643" i="1"/>
  <c r="H645" i="1"/>
  <c r="R1799" i="1"/>
  <c r="R1871" i="1"/>
  <c r="G467" i="1"/>
  <c r="T952" i="1"/>
  <c r="T953" i="1" s="1"/>
  <c r="U80" i="1"/>
  <c r="T900" i="1"/>
  <c r="T901" i="1" s="1"/>
  <c r="T975" i="1"/>
  <c r="T976" i="1" s="1"/>
  <c r="T963" i="1"/>
  <c r="T964" i="1" s="1"/>
  <c r="T873" i="1"/>
  <c r="T874" i="1" s="1"/>
  <c r="T81" i="1"/>
  <c r="T882" i="1"/>
  <c r="T883" i="1" s="1"/>
  <c r="T948" i="1"/>
  <c r="T949" i="1" s="1"/>
  <c r="T826" i="1"/>
  <c r="T827" i="1" s="1"/>
  <c r="T679" i="1"/>
  <c r="H272" i="1"/>
  <c r="F1104" i="1"/>
  <c r="F1101" i="1" s="1"/>
  <c r="F1130" i="1"/>
  <c r="F1489" i="1" s="1"/>
  <c r="G1102" i="1"/>
  <c r="G1103" i="1" s="1"/>
  <c r="X569" i="1"/>
  <c r="W569" i="1"/>
  <c r="V569" i="1"/>
  <c r="U569" i="1"/>
  <c r="W570" i="1"/>
  <c r="V570" i="1"/>
  <c r="X570" i="1"/>
  <c r="U570" i="1"/>
  <c r="V677" i="8"/>
  <c r="V881" i="1"/>
  <c r="V974" i="1"/>
  <c r="I31" i="1"/>
  <c r="H32" i="1"/>
  <c r="H75" i="1" s="1"/>
  <c r="H33" i="8"/>
  <c r="G496" i="8"/>
  <c r="G495" i="8" s="1"/>
  <c r="G457" i="8"/>
  <c r="G456" i="8" s="1"/>
  <c r="G161" i="8"/>
  <c r="G160" i="8" s="1"/>
  <c r="G116" i="8"/>
  <c r="G115" i="8" s="1"/>
  <c r="G96" i="8"/>
  <c r="G95" i="8" s="1"/>
  <c r="G92" i="8"/>
  <c r="G91" i="8" s="1"/>
  <c r="G317" i="8"/>
  <c r="G167" i="8"/>
  <c r="G166" i="8" s="1"/>
  <c r="G113" i="8"/>
  <c r="G112" i="8" s="1"/>
  <c r="G90" i="8"/>
  <c r="G89" i="8" s="1"/>
  <c r="G53" i="8"/>
  <c r="G52" i="8" s="1"/>
  <c r="Y768" i="8"/>
  <c r="X768" i="8"/>
  <c r="W768" i="8"/>
  <c r="V768" i="8"/>
  <c r="U768" i="8"/>
  <c r="V899" i="1"/>
  <c r="H729" i="1"/>
  <c r="X771" i="1"/>
  <c r="W771" i="1"/>
  <c r="V771" i="1"/>
  <c r="U771" i="1"/>
  <c r="I245" i="1"/>
  <c r="W245" i="1"/>
  <c r="X245" i="1"/>
  <c r="V245" i="1"/>
  <c r="U245" i="1"/>
  <c r="X483" i="1"/>
  <c r="W483" i="1"/>
  <c r="V483" i="1"/>
  <c r="U483" i="1"/>
  <c r="H644" i="1"/>
  <c r="I30" i="1"/>
  <c r="K91" i="1"/>
  <c r="G645" i="1"/>
  <c r="G652" i="1" s="1"/>
  <c r="G124" i="1" s="1"/>
  <c r="G23" i="7" s="1"/>
  <c r="G678" i="8"/>
  <c r="H679" i="8" s="1"/>
  <c r="L692" i="8"/>
  <c r="Y692" i="8"/>
  <c r="X692" i="8"/>
  <c r="W692" i="8"/>
  <c r="V692" i="8"/>
  <c r="U692" i="8"/>
  <c r="O768" i="8"/>
  <c r="I768" i="8"/>
  <c r="V890" i="1"/>
  <c r="I1099" i="1"/>
  <c r="I152" i="1"/>
  <c r="I51" i="7" s="1"/>
  <c r="H95" i="1"/>
  <c r="H153" i="1"/>
  <c r="H52" i="7" s="1"/>
  <c r="G42" i="7"/>
  <c r="I681" i="1"/>
  <c r="I143" i="7" s="1"/>
  <c r="A945" i="1"/>
  <c r="A306" i="8"/>
  <c r="A276" i="8"/>
  <c r="A223" i="1"/>
  <c r="A122" i="7" s="1"/>
  <c r="G642" i="1"/>
  <c r="G656" i="1" s="1"/>
  <c r="F645" i="1"/>
  <c r="F652" i="1" s="1"/>
  <c r="F124" i="1" s="1"/>
  <c r="F23" i="7" s="1"/>
  <c r="H823" i="1"/>
  <c r="F823" i="1"/>
  <c r="T692" i="8"/>
  <c r="S1345" i="1"/>
  <c r="S341" i="7" s="1"/>
  <c r="S1982" i="1"/>
  <c r="F692" i="8"/>
  <c r="M692" i="8"/>
  <c r="Q692" i="8"/>
  <c r="O1345" i="1"/>
  <c r="O341" i="7" s="1"/>
  <c r="O1982" i="1"/>
  <c r="N1345" i="1"/>
  <c r="N341" i="7" s="1"/>
  <c r="N1982" i="1"/>
  <c r="M1345" i="1"/>
  <c r="M341" i="7" s="1"/>
  <c r="M1982" i="1"/>
  <c r="AE1219" i="1"/>
  <c r="AE210" i="7" s="1"/>
  <c r="AE295" i="1"/>
  <c r="AE385" i="1"/>
  <c r="A834" i="1"/>
  <c r="A782" i="1"/>
  <c r="S245" i="1"/>
  <c r="R245" i="1"/>
  <c r="Q245" i="1"/>
  <c r="P245" i="1"/>
  <c r="M245" i="1"/>
  <c r="L245" i="1"/>
  <c r="K245" i="1"/>
  <c r="J245" i="1"/>
  <c r="B1278" i="1"/>
  <c r="B272" i="7" s="1"/>
  <c r="B339" i="1"/>
  <c r="B965" i="1"/>
  <c r="Q483" i="1"/>
  <c r="Q482" i="1" s="1"/>
  <c r="Q616" i="1" s="1"/>
  <c r="B304" i="1"/>
  <c r="F245" i="1"/>
  <c r="G245" i="1"/>
  <c r="H245" i="1"/>
  <c r="N245" i="1"/>
  <c r="F681" i="1"/>
  <c r="F143" i="7" s="1"/>
  <c r="H681" i="1"/>
  <c r="H143" i="7" s="1"/>
  <c r="G681" i="1"/>
  <c r="G143" i="7" s="1"/>
  <c r="F483" i="1"/>
  <c r="F610" i="1" s="1"/>
  <c r="H483" i="1"/>
  <c r="H482" i="1" s="1"/>
  <c r="H616" i="1" s="1"/>
  <c r="J483" i="1"/>
  <c r="J482" i="1" s="1"/>
  <c r="L483" i="1"/>
  <c r="L482" i="1" s="1"/>
  <c r="L616" i="1" s="1"/>
  <c r="N483" i="1"/>
  <c r="N482" i="1" s="1"/>
  <c r="P483" i="1"/>
  <c r="P482" i="1" s="1"/>
  <c r="P616" i="1" s="1"/>
  <c r="R483" i="1"/>
  <c r="R482" i="1" s="1"/>
  <c r="R616" i="1" s="1"/>
  <c r="T483" i="1"/>
  <c r="T482" i="1" s="1"/>
  <c r="T616" i="1" s="1"/>
  <c r="B491" i="1"/>
  <c r="G483" i="1"/>
  <c r="G482" i="1" s="1"/>
  <c r="K483" i="1"/>
  <c r="K482" i="1" s="1"/>
  <c r="O483" i="1"/>
  <c r="O482" i="1" s="1"/>
  <c r="S483" i="1"/>
  <c r="S482" i="1" s="1"/>
  <c r="S616" i="1" s="1"/>
  <c r="H88" i="1"/>
  <c r="G655" i="1"/>
  <c r="G1123" i="1"/>
  <c r="B756" i="1"/>
  <c r="H773" i="1" s="1"/>
  <c r="B635" i="1"/>
  <c r="E628" i="1" s="1"/>
  <c r="B325" i="1"/>
  <c r="B950" i="1"/>
  <c r="B318" i="1"/>
  <c r="B360" i="1"/>
  <c r="B386" i="1"/>
  <c r="B254" i="1"/>
  <c r="B276" i="1"/>
  <c r="B1280" i="1"/>
  <c r="B274" i="7" s="1"/>
  <c r="B829" i="1"/>
  <c r="B346" i="1"/>
  <c r="B954" i="1"/>
  <c r="B977" i="1"/>
  <c r="B457" i="1"/>
  <c r="B263" i="1"/>
  <c r="AE463" i="1"/>
  <c r="B534" i="1"/>
  <c r="M773" i="1"/>
  <c r="I773" i="1"/>
  <c r="H467" i="1"/>
  <c r="I467" i="1" s="1"/>
  <c r="J467" i="1" s="1"/>
  <c r="K467" i="1" s="1"/>
  <c r="L467" i="1" s="1"/>
  <c r="M467" i="1" s="1"/>
  <c r="N467" i="1" s="1"/>
  <c r="O467" i="1" s="1"/>
  <c r="P467" i="1" s="1"/>
  <c r="Q467" i="1" s="1"/>
  <c r="R467" i="1" s="1"/>
  <c r="S467" i="1" s="1"/>
  <c r="T467" i="1" s="1"/>
  <c r="L773" i="1"/>
  <c r="A1876" i="1"/>
  <c r="A1804" i="1"/>
  <c r="A841" i="8"/>
  <c r="A438" i="1"/>
  <c r="A478" i="1"/>
  <c r="C1892" i="1"/>
  <c r="C2045" i="1" s="1"/>
  <c r="C857" i="8"/>
  <c r="C961" i="8" s="1"/>
  <c r="C783" i="8"/>
  <c r="C956" i="8" s="1"/>
  <c r="C1746" i="1"/>
  <c r="C631" i="7" s="1"/>
  <c r="A44" i="1"/>
  <c r="A38" i="1"/>
  <c r="C1575" i="1"/>
  <c r="C455" i="7" s="1"/>
  <c r="C591" i="8"/>
  <c r="C198" i="1"/>
  <c r="C97" i="7" s="1"/>
  <c r="C786" i="8"/>
  <c r="C957" i="8" s="1"/>
  <c r="C1578" i="1"/>
  <c r="C458" i="7" s="1"/>
  <c r="C588" i="8"/>
  <c r="C1579" i="1"/>
  <c r="C459" i="7" s="1"/>
  <c r="C1576" i="1"/>
  <c r="C456" i="7" s="1"/>
  <c r="C1823" i="1"/>
  <c r="C2041" i="1" s="1"/>
  <c r="C1675" i="1"/>
  <c r="C559" i="7" s="1"/>
  <c r="A314" i="1"/>
  <c r="A491" i="1"/>
  <c r="A703" i="1"/>
  <c r="A166" i="7" s="1"/>
  <c r="A721" i="1"/>
  <c r="A184" i="7" s="1"/>
  <c r="B13" i="1"/>
  <c r="B14" i="1"/>
  <c r="B25" i="8"/>
  <c r="A100" i="8"/>
  <c r="A1185" i="1"/>
  <c r="A109" i="8"/>
  <c r="A1190" i="1"/>
  <c r="A272" i="8"/>
  <c r="A1322" i="1"/>
  <c r="A318" i="7" s="1"/>
  <c r="A240" i="1"/>
  <c r="A557" i="1"/>
  <c r="A316" i="1"/>
  <c r="A472" i="1"/>
  <c r="A604" i="1"/>
  <c r="A372" i="1"/>
  <c r="A567" i="1"/>
  <c r="A775" i="1"/>
  <c r="A446" i="8"/>
  <c r="A1464" i="1"/>
  <c r="A465" i="8"/>
  <c r="A1474" i="1"/>
  <c r="A1796" i="1"/>
  <c r="A833" i="8"/>
  <c r="A837" i="8"/>
  <c r="A1726" i="1"/>
  <c r="A611" i="7" s="1"/>
  <c r="A1819" i="1"/>
  <c r="A706" i="8"/>
  <c r="A782" i="8"/>
  <c r="A1899" i="1"/>
  <c r="A864" i="8"/>
  <c r="A1791" i="1"/>
  <c r="A902" i="8"/>
  <c r="A1717" i="1"/>
  <c r="A602" i="7" s="1"/>
  <c r="A678" i="8"/>
  <c r="A1863" i="1"/>
  <c r="A931" i="8"/>
  <c r="A172" i="8"/>
  <c r="A1222" i="1"/>
  <c r="A213" i="7" s="1"/>
  <c r="A2015" i="1"/>
  <c r="A1817" i="1"/>
  <c r="A704" i="8"/>
  <c r="A1743" i="1"/>
  <c r="A628" i="7" s="1"/>
  <c r="A1889" i="1"/>
  <c r="A571" i="8"/>
  <c r="A1558" i="1"/>
  <c r="A438" i="7" s="1"/>
  <c r="A1572" i="1"/>
  <c r="A452" i="7" s="1"/>
  <c r="A585" i="8"/>
  <c r="C224" i="1"/>
  <c r="C123" i="7" s="1"/>
  <c r="C161" i="1"/>
  <c r="C60" i="7" s="1"/>
  <c r="C108" i="1"/>
  <c r="C7" i="7" s="1"/>
  <c r="C150" i="1"/>
  <c r="C49" i="7" s="1"/>
  <c r="C154" i="1"/>
  <c r="C53" i="7" s="1"/>
  <c r="C205" i="1"/>
  <c r="C104" i="7" s="1"/>
  <c r="A88" i="1"/>
  <c r="A1822" i="1"/>
  <c r="A1987" i="1"/>
  <c r="A1982" i="1"/>
  <c r="B841" i="8"/>
  <c r="B690" i="8"/>
  <c r="B1729" i="1"/>
  <c r="B614" i="7" s="1"/>
  <c r="B1872" i="1"/>
  <c r="B759" i="8"/>
  <c r="B692" i="8"/>
  <c r="B766" i="8"/>
  <c r="B1726" i="1"/>
  <c r="B611" i="7" s="1"/>
  <c r="B1725" i="1"/>
  <c r="B610" i="7" s="1"/>
  <c r="B768" i="8"/>
  <c r="C1788" i="1"/>
  <c r="C752" i="8"/>
  <c r="B761" i="8"/>
  <c r="B685" i="8"/>
  <c r="B837" i="8"/>
  <c r="B1798" i="1"/>
  <c r="C1714" i="1"/>
  <c r="C599" i="7" s="1"/>
  <c r="B838" i="8"/>
  <c r="B687" i="8"/>
  <c r="B686" i="8"/>
  <c r="B1727" i="1"/>
  <c r="B612" i="7" s="1"/>
  <c r="B1877" i="1"/>
  <c r="F268" i="8"/>
  <c r="F924" i="8"/>
  <c r="F822" i="8"/>
  <c r="A212" i="1"/>
  <c r="A111" i="7" s="1"/>
  <c r="B1731" i="1"/>
  <c r="B616" i="7" s="1"/>
  <c r="B1796" i="1"/>
  <c r="F670" i="8"/>
  <c r="F438" i="8"/>
  <c r="B842" i="8"/>
  <c r="C196" i="1"/>
  <c r="C95" i="7" s="1"/>
  <c r="C664" i="1"/>
  <c r="C729" i="1" s="1"/>
  <c r="C741" i="1"/>
  <c r="A755" i="1"/>
  <c r="A898" i="1"/>
  <c r="A998" i="1"/>
  <c r="A213" i="1"/>
  <c r="A112" i="7" s="1"/>
  <c r="A583" i="1"/>
  <c r="A616" i="1"/>
  <c r="A580" i="1"/>
  <c r="A754" i="8"/>
  <c r="A93" i="8"/>
  <c r="A590" i="8"/>
  <c r="C166" i="1"/>
  <c r="C65" i="7" s="1"/>
  <c r="A324" i="8"/>
  <c r="A2021" i="1"/>
  <c r="A450" i="8"/>
  <c r="A780" i="8"/>
  <c r="A1933" i="1"/>
  <c r="A949" i="8"/>
  <c r="A807" i="1"/>
  <c r="A45" i="1"/>
  <c r="A39" i="1"/>
  <c r="A719" i="1"/>
  <c r="A182" i="7" s="1"/>
  <c r="A702" i="1"/>
  <c r="A165" i="7" s="1"/>
  <c r="A1331" i="1"/>
  <c r="A327" i="7" s="1"/>
  <c r="A289" i="8"/>
  <c r="A1174" i="1"/>
  <c r="A81" i="8"/>
  <c r="A268" i="1"/>
  <c r="A242" i="1"/>
  <c r="A371" i="1"/>
  <c r="A303" i="1"/>
  <c r="A349" i="1"/>
  <c r="A446" i="1"/>
  <c r="A344" i="1"/>
  <c r="A481" i="1"/>
  <c r="A474" i="1"/>
  <c r="A608" i="1"/>
  <c r="A386" i="1"/>
  <c r="A578" i="1"/>
  <c r="A591" i="1"/>
  <c r="A183" i="8"/>
  <c r="A1283" i="1"/>
  <c r="A277" i="7" s="1"/>
  <c r="A1794" i="1"/>
  <c r="A757" i="8"/>
  <c r="A761" i="8"/>
  <c r="A1724" i="1"/>
  <c r="A609" i="7" s="1"/>
  <c r="A839" i="8"/>
  <c r="A1802" i="1"/>
  <c r="A1874" i="1"/>
  <c r="A689" i="8"/>
  <c r="A1886" i="1"/>
  <c r="A777" i="8"/>
  <c r="A1814" i="1"/>
  <c r="AE1073" i="1"/>
  <c r="AE669" i="1"/>
  <c r="AE130" i="7" s="1"/>
  <c r="A929" i="8"/>
  <c r="A2013" i="1"/>
  <c r="A178" i="8"/>
  <c r="A945" i="8"/>
  <c r="A1356" i="1"/>
  <c r="A352" i="7" s="1"/>
  <c r="A334" i="8"/>
  <c r="A860" i="8"/>
  <c r="A1749" i="1"/>
  <c r="A634" i="7" s="1"/>
  <c r="A569" i="8"/>
  <c r="A1556" i="1"/>
  <c r="A436" i="7" s="1"/>
  <c r="A573" i="8"/>
  <c r="A1560" i="1"/>
  <c r="A440" i="7" s="1"/>
  <c r="A844" i="8"/>
  <c r="A1893" i="1"/>
  <c r="A708" i="8"/>
  <c r="A1879" i="1"/>
  <c r="A1807" i="1"/>
  <c r="A1821" i="1"/>
  <c r="A166" i="1"/>
  <c r="A65" i="7" s="1"/>
  <c r="A205" i="1"/>
  <c r="A104" i="7" s="1"/>
  <c r="B23" i="8"/>
  <c r="E23" i="8"/>
  <c r="E11" i="1"/>
  <c r="A1116" i="1"/>
  <c r="A1102" i="1"/>
  <c r="A1193" i="1"/>
  <c r="A1136" i="1"/>
  <c r="A1578" i="1"/>
  <c r="A458" i="7" s="1"/>
  <c r="A591" i="8"/>
  <c r="A134" i="8"/>
  <c r="A1203" i="1"/>
  <c r="A194" i="7" s="1"/>
  <c r="A2101" i="1"/>
  <c r="A1662" i="1"/>
  <c r="A546" i="7" s="1"/>
  <c r="A179" i="1"/>
  <c r="A78" i="7" s="1"/>
  <c r="A201" i="1"/>
  <c r="A100" i="7" s="1"/>
  <c r="A187" i="1"/>
  <c r="A86" i="7" s="1"/>
  <c r="A549" i="1"/>
  <c r="A1127" i="1"/>
  <c r="A174" i="1"/>
  <c r="A73" i="7" s="1"/>
  <c r="A185" i="1"/>
  <c r="A84" i="7" s="1"/>
  <c r="A177" i="1"/>
  <c r="A76" i="7" s="1"/>
  <c r="A1063" i="1"/>
  <c r="A817" i="1"/>
  <c r="A785" i="1"/>
  <c r="A952" i="1"/>
  <c r="A891" i="1"/>
  <c r="A963" i="1"/>
  <c r="A826" i="1"/>
  <c r="A679" i="1"/>
  <c r="A141" i="7" s="1"/>
  <c r="A931" i="1"/>
  <c r="A748" i="8"/>
  <c r="A79" i="1"/>
  <c r="A71" i="8"/>
  <c r="A172" i="1"/>
  <c r="A71" i="7" s="1"/>
  <c r="A1188" i="1"/>
  <c r="A537" i="1"/>
  <c r="A251" i="1"/>
  <c r="A302" i="1"/>
  <c r="A857" i="1"/>
  <c r="A585" i="1"/>
  <c r="A597" i="1"/>
  <c r="A1181" i="1"/>
  <c r="A182" i="1"/>
  <c r="A81" i="7" s="1"/>
  <c r="A54" i="8"/>
  <c r="A89" i="8"/>
  <c r="A1179" i="1"/>
  <c r="A1342" i="1"/>
  <c r="A338" i="7" s="1"/>
  <c r="A309" i="8"/>
  <c r="A75" i="8"/>
  <c r="A298" i="8"/>
  <c r="A95" i="8"/>
  <c r="A1182" i="1"/>
  <c r="A254" i="1"/>
  <c r="A276" i="1"/>
  <c r="A582" i="1"/>
  <c r="A369" i="1"/>
  <c r="A358" i="1"/>
  <c r="A455" i="1"/>
  <c r="A274" i="1"/>
  <c r="A258" i="1"/>
  <c r="A595" i="1"/>
  <c r="A234" i="1"/>
  <c r="A602" i="1"/>
  <c r="A612" i="1"/>
  <c r="A304" i="1"/>
  <c r="A443" i="1"/>
  <c r="A485" i="8"/>
  <c r="A1485" i="1"/>
  <c r="A1496" i="1"/>
  <c r="A505" i="8"/>
  <c r="A1722" i="1"/>
  <c r="A607" i="7" s="1"/>
  <c r="A1868" i="1"/>
  <c r="A683" i="8"/>
  <c r="A1800" i="1"/>
  <c r="A687" i="8"/>
  <c r="A1808" i="1"/>
  <c r="A771" i="8"/>
  <c r="A845" i="8"/>
  <c r="A1734" i="1"/>
  <c r="A619" i="7" s="1"/>
  <c r="A1827" i="1"/>
  <c r="A1753" i="1"/>
  <c r="A638" i="7" s="1"/>
  <c r="A790" i="8"/>
  <c r="A1935" i="1"/>
  <c r="A828" i="8"/>
  <c r="A1944" i="1"/>
  <c r="A911" i="8"/>
  <c r="A44" i="8"/>
  <c r="A173" i="1"/>
  <c r="A72" i="7" s="1"/>
  <c r="A960" i="8"/>
  <c r="A955" i="8"/>
  <c r="A2039" i="1"/>
  <c r="A854" i="8"/>
  <c r="A2044" i="1"/>
  <c r="A2033" i="1"/>
  <c r="A579" i="8"/>
  <c r="A1566" i="1"/>
  <c r="A446" i="7" s="1"/>
  <c r="A1" i="8"/>
  <c r="C146" i="1"/>
  <c r="C45" i="7" s="1"/>
  <c r="C107" i="1"/>
  <c r="C6" i="7" s="1"/>
  <c r="C195" i="1"/>
  <c r="C94" i="7" s="1"/>
  <c r="C142" i="1"/>
  <c r="C41" i="7" s="1"/>
  <c r="C139" i="1"/>
  <c r="C38" i="7" s="1"/>
  <c r="C172" i="1"/>
  <c r="C71" i="7" s="1"/>
  <c r="C213" i="1"/>
  <c r="C112" i="7" s="1"/>
  <c r="C112" i="1"/>
  <c r="C11" i="7" s="1"/>
  <c r="A449" i="1"/>
  <c r="A529" i="1"/>
  <c r="A310" i="1"/>
  <c r="A1730" i="1"/>
  <c r="A615" i="7" s="1"/>
  <c r="A691" i="8"/>
  <c r="A767" i="8"/>
  <c r="A1092" i="1"/>
  <c r="A121" i="8"/>
  <c r="A1212" i="1"/>
  <c r="A203" i="7" s="1"/>
  <c r="A152" i="8"/>
  <c r="A1206" i="1"/>
  <c r="A197" i="7" s="1"/>
  <c r="A140" i="8"/>
  <c r="C589" i="8"/>
  <c r="C1749" i="1"/>
  <c r="C634" i="7" s="1"/>
  <c r="C710" i="8"/>
  <c r="C951" i="8" s="1"/>
  <c r="C585" i="8"/>
  <c r="C1572" i="1"/>
  <c r="C452" i="7" s="1"/>
  <c r="C199" i="1"/>
  <c r="C98" i="7" s="1"/>
  <c r="C860" i="8"/>
  <c r="A954" i="1"/>
  <c r="A950" i="1"/>
  <c r="A965" i="1"/>
  <c r="D82" i="8"/>
  <c r="D297" i="8"/>
  <c r="D451" i="8"/>
  <c r="D90" i="8"/>
  <c r="D78" i="8"/>
  <c r="D143" i="8"/>
  <c r="D80" i="8"/>
  <c r="D155" i="8"/>
  <c r="D279" i="8"/>
  <c r="D472" i="8"/>
  <c r="D457" i="8"/>
  <c r="D147" i="8"/>
  <c r="D151" i="8"/>
  <c r="D74" i="8"/>
  <c r="D335" i="8"/>
  <c r="D501" i="8"/>
  <c r="D106" i="8"/>
  <c r="D321" i="8"/>
  <c r="D453" i="8"/>
  <c r="D108" i="8"/>
  <c r="D273" i="8"/>
  <c r="D325" i="8"/>
  <c r="D128" i="8"/>
  <c r="D305" i="8"/>
  <c r="D190" i="8"/>
  <c r="D464" i="8"/>
  <c r="D299" i="8"/>
  <c r="D508" i="8"/>
  <c r="D169" i="8"/>
  <c r="D317" i="8"/>
  <c r="D167" i="8"/>
  <c r="D313" i="8"/>
  <c r="D301" i="8"/>
  <c r="D153" i="8"/>
  <c r="D293" i="8"/>
  <c r="D181" i="8"/>
  <c r="D449" i="8"/>
  <c r="D141" i="8"/>
  <c r="D315" i="8"/>
  <c r="D443" i="8"/>
  <c r="D462" i="8"/>
  <c r="D498" i="8"/>
  <c r="D323" i="8"/>
  <c r="D186" i="8"/>
  <c r="D441" i="8"/>
  <c r="D59" i="8"/>
  <c r="D57" i="8"/>
  <c r="D157" i="8"/>
  <c r="D163" i="8"/>
  <c r="D53" i="8"/>
  <c r="D455" i="8"/>
  <c r="D490" i="8"/>
  <c r="D479" i="8"/>
  <c r="D287" i="8"/>
  <c r="D104" i="8"/>
  <c r="D295" i="8"/>
  <c r="D72" i="8"/>
  <c r="D45" i="8"/>
  <c r="D133" i="8"/>
  <c r="D139" i="8"/>
  <c r="D69" i="8"/>
  <c r="D145" i="8"/>
  <c r="D101" i="8"/>
  <c r="D92" i="8"/>
  <c r="D459" i="8"/>
  <c r="D506" i="8"/>
  <c r="D281" i="8"/>
  <c r="D110" i="8"/>
  <c r="D333" i="8"/>
  <c r="D328" i="8"/>
  <c r="D49" i="8"/>
  <c r="D285" i="8"/>
  <c r="D303" i="8"/>
  <c r="D188" i="8"/>
  <c r="D484" i="8"/>
  <c r="D84" i="8"/>
  <c r="D47" i="8"/>
  <c r="D482" i="8"/>
  <c r="D184" i="8"/>
  <c r="D55" i="8"/>
  <c r="D135" i="8"/>
  <c r="D159" i="8"/>
  <c r="D496" i="8"/>
  <c r="D275" i="8"/>
  <c r="D179" i="8"/>
  <c r="D488" i="8"/>
  <c r="D513" i="8"/>
  <c r="D310" i="8"/>
  <c r="D468" i="8"/>
  <c r="D51" i="8"/>
  <c r="D494" i="8"/>
  <c r="D486" i="8"/>
  <c r="D283" i="8"/>
  <c r="D119" i="8"/>
  <c r="D319" i="8"/>
  <c r="D171" i="8"/>
  <c r="D149" i="8"/>
  <c r="D165" i="8"/>
  <c r="D177" i="8"/>
  <c r="D96" i="8"/>
  <c r="D504" i="8"/>
  <c r="D161" i="8"/>
  <c r="D510" i="8"/>
  <c r="D113" i="8"/>
  <c r="D445" i="8"/>
  <c r="D271" i="8"/>
  <c r="D116" i="8"/>
  <c r="D94" i="8"/>
  <c r="D62" i="8"/>
  <c r="D476" i="8"/>
  <c r="D137" i="8"/>
  <c r="D76" i="8"/>
  <c r="D173" i="8"/>
  <c r="D492" i="8"/>
  <c r="D290" i="8"/>
  <c r="D331" i="8"/>
  <c r="D130" i="8"/>
  <c r="D447" i="8"/>
  <c r="D277" i="8"/>
  <c r="D470" i="8"/>
  <c r="D474" i="8"/>
  <c r="D98" i="8"/>
  <c r="D466" i="8"/>
  <c r="D307" i="8"/>
  <c r="D87" i="8"/>
  <c r="P872" i="1"/>
  <c r="I753" i="8"/>
  <c r="H824" i="8"/>
  <c r="H825" i="8" s="1"/>
  <c r="H859" i="8" s="1"/>
  <c r="H673" i="8"/>
  <c r="H678" i="8" s="1"/>
  <c r="H898" i="8"/>
  <c r="H899" i="8" s="1"/>
  <c r="H748" i="8"/>
  <c r="H749" i="8" s="1"/>
  <c r="H785" i="8" s="1"/>
  <c r="G902" i="8"/>
  <c r="H901" i="8"/>
  <c r="H1791" i="1"/>
  <c r="I1790" i="1"/>
  <c r="F828" i="8"/>
  <c r="G829" i="8" s="1"/>
  <c r="G827" i="8"/>
  <c r="I672" i="8"/>
  <c r="G1863" i="1"/>
  <c r="H1862" i="1"/>
  <c r="H34" i="8"/>
  <c r="G35" i="8"/>
  <c r="F1495" i="1"/>
  <c r="G162" i="1"/>
  <c r="G61" i="7" s="1"/>
  <c r="H167" i="1"/>
  <c r="H66" i="7" s="1"/>
  <c r="B546" i="1"/>
  <c r="B547" i="1" s="1"/>
  <c r="E1065" i="1"/>
  <c r="E1067" i="1" s="1"/>
  <c r="S558" i="1"/>
  <c r="O558" i="1"/>
  <c r="K558" i="1"/>
  <c r="G558" i="1"/>
  <c r="T557" i="1"/>
  <c r="P557" i="1"/>
  <c r="L557" i="1"/>
  <c r="H557" i="1"/>
  <c r="Q552" i="1"/>
  <c r="M552" i="1"/>
  <c r="I552" i="1"/>
  <c r="F551" i="1"/>
  <c r="R558" i="1"/>
  <c r="N558" i="1"/>
  <c r="J558" i="1"/>
  <c r="F558" i="1"/>
  <c r="S557" i="1"/>
  <c r="O557" i="1"/>
  <c r="K557" i="1"/>
  <c r="G557" i="1"/>
  <c r="T552" i="1"/>
  <c r="P552" i="1"/>
  <c r="L552" i="1"/>
  <c r="H552" i="1"/>
  <c r="Q558" i="1"/>
  <c r="M558" i="1"/>
  <c r="I558" i="1"/>
  <c r="R557" i="1"/>
  <c r="N557" i="1"/>
  <c r="J557" i="1"/>
  <c r="F557" i="1"/>
  <c r="S552" i="1"/>
  <c r="O552" i="1"/>
  <c r="K552" i="1"/>
  <c r="G552" i="1"/>
  <c r="T558" i="1"/>
  <c r="P558" i="1"/>
  <c r="L558" i="1"/>
  <c r="H558" i="1"/>
  <c r="Q557" i="1"/>
  <c r="M557" i="1"/>
  <c r="I557" i="1"/>
  <c r="R552" i="1"/>
  <c r="N552" i="1"/>
  <c r="J552" i="1"/>
  <c r="F552" i="1"/>
  <c r="Q584" i="1"/>
  <c r="M584" i="1"/>
  <c r="I584" i="1"/>
  <c r="R583" i="1"/>
  <c r="N583" i="1"/>
  <c r="J583" i="1"/>
  <c r="F583" i="1"/>
  <c r="S582" i="1"/>
  <c r="O582" i="1"/>
  <c r="K582" i="1"/>
  <c r="G582" i="1"/>
  <c r="T584" i="1"/>
  <c r="P584" i="1"/>
  <c r="L584" i="1"/>
  <c r="H584" i="1"/>
  <c r="Q583" i="1"/>
  <c r="M583" i="1"/>
  <c r="I583" i="1"/>
  <c r="R582" i="1"/>
  <c r="N582" i="1"/>
  <c r="J582" i="1"/>
  <c r="F582" i="1"/>
  <c r="S584" i="1"/>
  <c r="O584" i="1"/>
  <c r="K584" i="1"/>
  <c r="G584" i="1"/>
  <c r="T583" i="1"/>
  <c r="P583" i="1"/>
  <c r="L583" i="1"/>
  <c r="H583" i="1"/>
  <c r="Q582" i="1"/>
  <c r="M582" i="1"/>
  <c r="I582" i="1"/>
  <c r="R584" i="1"/>
  <c r="N584" i="1"/>
  <c r="J584" i="1"/>
  <c r="F584" i="1"/>
  <c r="S583" i="1"/>
  <c r="O583" i="1"/>
  <c r="K583" i="1"/>
  <c r="G583" i="1"/>
  <c r="T582" i="1"/>
  <c r="P582" i="1"/>
  <c r="L582" i="1"/>
  <c r="H582" i="1"/>
  <c r="F1103" i="1"/>
  <c r="M616" i="1"/>
  <c r="N610" i="1"/>
  <c r="Q610" i="1"/>
  <c r="M610" i="1"/>
  <c r="F609" i="1"/>
  <c r="O616" i="1"/>
  <c r="G616" i="1"/>
  <c r="N616" i="1"/>
  <c r="H164" i="1"/>
  <c r="H63" i="7" s="1"/>
  <c r="T608" i="1"/>
  <c r="P608" i="1"/>
  <c r="L608" i="1"/>
  <c r="H608" i="1"/>
  <c r="Q607" i="1"/>
  <c r="M607" i="1"/>
  <c r="I607" i="1"/>
  <c r="R606" i="1"/>
  <c r="N606" i="1"/>
  <c r="J606" i="1"/>
  <c r="F606" i="1"/>
  <c r="S604" i="1"/>
  <c r="O604" i="1"/>
  <c r="K604" i="1"/>
  <c r="G604" i="1"/>
  <c r="T599" i="1"/>
  <c r="P599" i="1"/>
  <c r="L599" i="1"/>
  <c r="H599" i="1"/>
  <c r="S608" i="1"/>
  <c r="O608" i="1"/>
  <c r="K608" i="1"/>
  <c r="G608" i="1"/>
  <c r="T607" i="1"/>
  <c r="P607" i="1"/>
  <c r="L607" i="1"/>
  <c r="H607" i="1"/>
  <c r="Q606" i="1"/>
  <c r="M606" i="1"/>
  <c r="I606" i="1"/>
  <c r="R604" i="1"/>
  <c r="N604" i="1"/>
  <c r="J604" i="1"/>
  <c r="F604" i="1"/>
  <c r="S599" i="1"/>
  <c r="O599" i="1"/>
  <c r="K599" i="1"/>
  <c r="G599" i="1"/>
  <c r="R608" i="1"/>
  <c r="N608" i="1"/>
  <c r="J608" i="1"/>
  <c r="F608" i="1"/>
  <c r="S607" i="1"/>
  <c r="O607" i="1"/>
  <c r="K607" i="1"/>
  <c r="G607" i="1"/>
  <c r="T606" i="1"/>
  <c r="P606" i="1"/>
  <c r="L606" i="1"/>
  <c r="H606" i="1"/>
  <c r="Q604" i="1"/>
  <c r="M604" i="1"/>
  <c r="I604" i="1"/>
  <c r="R599" i="1"/>
  <c r="N599" i="1"/>
  <c r="J599" i="1"/>
  <c r="F599" i="1"/>
  <c r="Q608" i="1"/>
  <c r="M608" i="1"/>
  <c r="I608" i="1"/>
  <c r="R607" i="1"/>
  <c r="N607" i="1"/>
  <c r="J607" i="1"/>
  <c r="F607" i="1"/>
  <c r="S606" i="1"/>
  <c r="O606" i="1"/>
  <c r="K606" i="1"/>
  <c r="G606" i="1"/>
  <c r="T604" i="1"/>
  <c r="P604" i="1"/>
  <c r="L604" i="1"/>
  <c r="H604" i="1"/>
  <c r="Q599" i="1"/>
  <c r="M599" i="1"/>
  <c r="I599" i="1"/>
  <c r="F598" i="1"/>
  <c r="S570" i="1"/>
  <c r="O570" i="1"/>
  <c r="K570" i="1"/>
  <c r="G570" i="1"/>
  <c r="T569" i="1"/>
  <c r="P569" i="1"/>
  <c r="L569" i="1"/>
  <c r="H569" i="1"/>
  <c r="R570" i="1"/>
  <c r="N570" i="1"/>
  <c r="J570" i="1"/>
  <c r="F570" i="1"/>
  <c r="S569" i="1"/>
  <c r="O569" i="1"/>
  <c r="K569" i="1"/>
  <c r="G569" i="1"/>
  <c r="F559" i="1"/>
  <c r="Q570" i="1"/>
  <c r="M570" i="1"/>
  <c r="I570" i="1"/>
  <c r="R569" i="1"/>
  <c r="N569" i="1"/>
  <c r="J569" i="1"/>
  <c r="F569" i="1"/>
  <c r="T570" i="1"/>
  <c r="P570" i="1"/>
  <c r="L570" i="1"/>
  <c r="H570" i="1"/>
  <c r="Q569" i="1"/>
  <c r="M569" i="1"/>
  <c r="I569" i="1"/>
  <c r="S596" i="1"/>
  <c r="O596" i="1"/>
  <c r="K596" i="1"/>
  <c r="G596" i="1"/>
  <c r="T595" i="1"/>
  <c r="P595" i="1"/>
  <c r="L595" i="1"/>
  <c r="H595" i="1"/>
  <c r="R596" i="1"/>
  <c r="N596" i="1"/>
  <c r="J596" i="1"/>
  <c r="F596" i="1"/>
  <c r="S595" i="1"/>
  <c r="O595" i="1"/>
  <c r="K595" i="1"/>
  <c r="G595" i="1"/>
  <c r="F586" i="1"/>
  <c r="Q596" i="1"/>
  <c r="M596" i="1"/>
  <c r="I596" i="1"/>
  <c r="R595" i="1"/>
  <c r="N595" i="1"/>
  <c r="J595" i="1"/>
  <c r="F595" i="1"/>
  <c r="T596" i="1"/>
  <c r="P596" i="1"/>
  <c r="L596" i="1"/>
  <c r="H596" i="1"/>
  <c r="Q595" i="1"/>
  <c r="M595" i="1"/>
  <c r="I595" i="1"/>
  <c r="G551" i="1"/>
  <c r="R306" i="1"/>
  <c r="R304" i="1" s="1"/>
  <c r="N306" i="1"/>
  <c r="N304" i="1" s="1"/>
  <c r="J306" i="1"/>
  <c r="J304" i="1" s="1"/>
  <c r="F306" i="1"/>
  <c r="H598" i="1"/>
  <c r="H586" i="1"/>
  <c r="T306" i="1"/>
  <c r="T304" i="1" s="1"/>
  <c r="P306" i="1"/>
  <c r="P304" i="1" s="1"/>
  <c r="L306" i="1"/>
  <c r="L304" i="1" s="1"/>
  <c r="G609" i="1"/>
  <c r="G598" i="1"/>
  <c r="G559" i="1"/>
  <c r="A701" i="1"/>
  <c r="A164" i="7" s="1"/>
  <c r="A855" i="1"/>
  <c r="I520" i="1" l="1"/>
  <c r="I519" i="1"/>
  <c r="I524" i="1"/>
  <c r="I518" i="1"/>
  <c r="I403" i="1"/>
  <c r="I401" i="1"/>
  <c r="I407" i="1"/>
  <c r="I149" i="1"/>
  <c r="H48" i="7"/>
  <c r="G1104" i="1"/>
  <c r="G1101" i="1" s="1"/>
  <c r="U935" i="1"/>
  <c r="U936" i="1" s="1"/>
  <c r="U686" i="1"/>
  <c r="U842" i="1"/>
  <c r="U843" i="1" s="1"/>
  <c r="G202" i="1"/>
  <c r="G101" i="7" s="1"/>
  <c r="I196" i="1"/>
  <c r="G194" i="1"/>
  <c r="F93" i="7"/>
  <c r="R610" i="1"/>
  <c r="U81" i="1"/>
  <c r="T680" i="1"/>
  <c r="T142" i="7" s="1"/>
  <c r="T141" i="7"/>
  <c r="G155" i="1"/>
  <c r="G54" i="7" s="1"/>
  <c r="Y1215" i="1"/>
  <c r="Y206" i="7" s="1"/>
  <c r="AB1215" i="1"/>
  <c r="AB206" i="7" s="1"/>
  <c r="S610" i="1"/>
  <c r="G313" i="8"/>
  <c r="G312" i="8" s="1"/>
  <c r="G835" i="8" s="1"/>
  <c r="T891" i="1"/>
  <c r="T892" i="1" s="1"/>
  <c r="I631" i="1"/>
  <c r="H155" i="1"/>
  <c r="H54" i="7" s="1"/>
  <c r="F333" i="8"/>
  <c r="F332" i="8" s="1"/>
  <c r="F944" i="8" s="1"/>
  <c r="I529" i="1"/>
  <c r="Z1215" i="1"/>
  <c r="Z206" i="7" s="1"/>
  <c r="T935" i="1"/>
  <c r="T936" i="1" s="1"/>
  <c r="T686" i="1"/>
  <c r="T842" i="1"/>
  <c r="T843" i="1" s="1"/>
  <c r="G204" i="1"/>
  <c r="F103" i="7"/>
  <c r="G223" i="1"/>
  <c r="F122" i="7"/>
  <c r="J29" i="1"/>
  <c r="J529" i="1" s="1"/>
  <c r="H610" i="1"/>
  <c r="C522" i="1"/>
  <c r="C521" i="1"/>
  <c r="C520" i="1"/>
  <c r="C519" i="1"/>
  <c r="C518" i="1"/>
  <c r="C524" i="1"/>
  <c r="C523" i="1"/>
  <c r="C516" i="1"/>
  <c r="C515" i="1"/>
  <c r="C514" i="1"/>
  <c r="C510" i="1"/>
  <c r="C517" i="1"/>
  <c r="C511" i="1"/>
  <c r="F521" i="1"/>
  <c r="C508" i="1"/>
  <c r="C507" i="1"/>
  <c r="C505" i="1"/>
  <c r="C503" i="1"/>
  <c r="C498" i="1"/>
  <c r="C494" i="1"/>
  <c r="C506" i="1"/>
  <c r="C504" i="1"/>
  <c r="C502" i="1"/>
  <c r="C501" i="1"/>
  <c r="C500" i="1"/>
  <c r="C499" i="1"/>
  <c r="C495" i="1"/>
  <c r="AA692" i="8"/>
  <c r="J824" i="1"/>
  <c r="J825" i="1" s="1"/>
  <c r="J823" i="1" s="1"/>
  <c r="C937" i="1"/>
  <c r="C934" i="1"/>
  <c r="I145" i="1"/>
  <c r="I44" i="7" s="1"/>
  <c r="C1703" i="1"/>
  <c r="C587" i="7" s="1"/>
  <c r="C1704" i="1"/>
  <c r="C588" i="7" s="1"/>
  <c r="C1701" i="1"/>
  <c r="C585" i="7" s="1"/>
  <c r="C1700" i="1"/>
  <c r="C584" i="7" s="1"/>
  <c r="C1698" i="1"/>
  <c r="C582" i="7" s="1"/>
  <c r="C1697" i="1"/>
  <c r="C581" i="7" s="1"/>
  <c r="C1696" i="1"/>
  <c r="C580" i="7" s="1"/>
  <c r="C1695" i="1"/>
  <c r="C579" i="7" s="1"/>
  <c r="C1694" i="1"/>
  <c r="C578" i="7" s="1"/>
  <c r="C1693" i="1"/>
  <c r="C577" i="7" s="1"/>
  <c r="C1692" i="1"/>
  <c r="C576" i="7" s="1"/>
  <c r="C1691" i="1"/>
  <c r="C575" i="7" s="1"/>
  <c r="C1690" i="1"/>
  <c r="C574" i="7" s="1"/>
  <c r="C851" i="1"/>
  <c r="C850" i="1"/>
  <c r="C849" i="1"/>
  <c r="C844" i="1"/>
  <c r="C841" i="1"/>
  <c r="C840" i="1"/>
  <c r="C848" i="1"/>
  <c r="C847" i="1"/>
  <c r="C846" i="1"/>
  <c r="C845" i="1"/>
  <c r="C839" i="1"/>
  <c r="C801" i="1"/>
  <c r="C800" i="1"/>
  <c r="C798" i="1"/>
  <c r="C799" i="1"/>
  <c r="C797" i="1"/>
  <c r="C795" i="1"/>
  <c r="C794" i="1"/>
  <c r="C793" i="1"/>
  <c r="C792" i="1"/>
  <c r="C791" i="1"/>
  <c r="C790" i="1"/>
  <c r="C787" i="1"/>
  <c r="C764" i="1"/>
  <c r="C711" i="1"/>
  <c r="C174" i="7" s="1"/>
  <c r="C710" i="1"/>
  <c r="C173" i="7" s="1"/>
  <c r="C709" i="1"/>
  <c r="C172" i="7" s="1"/>
  <c r="C708" i="1"/>
  <c r="C171" i="7" s="1"/>
  <c r="C707" i="1"/>
  <c r="C170" i="7" s="1"/>
  <c r="C706" i="1"/>
  <c r="C169" i="7" s="1"/>
  <c r="C705" i="1"/>
  <c r="C168" i="7" s="1"/>
  <c r="C691" i="1"/>
  <c r="C153" i="7" s="1"/>
  <c r="C796" i="1"/>
  <c r="C788" i="1"/>
  <c r="C763" i="1"/>
  <c r="C762" i="1"/>
  <c r="C759" i="1"/>
  <c r="C712" i="1"/>
  <c r="C175" i="7" s="1"/>
  <c r="C690" i="1"/>
  <c r="C152" i="7" s="1"/>
  <c r="C685" i="1"/>
  <c r="C147" i="7" s="1"/>
  <c r="H658" i="1"/>
  <c r="C732" i="1"/>
  <c r="C733" i="1"/>
  <c r="C731" i="1"/>
  <c r="C672" i="1"/>
  <c r="F138" i="1"/>
  <c r="F37" i="7" s="1"/>
  <c r="I141" i="1"/>
  <c r="I40" i="7" s="1"/>
  <c r="G402" i="1"/>
  <c r="H400" i="1"/>
  <c r="P610" i="1"/>
  <c r="F1863" i="1"/>
  <c r="G1864" i="1" s="1"/>
  <c r="H1864" i="1" s="1"/>
  <c r="F1791" i="1"/>
  <c r="G1792" i="1" s="1"/>
  <c r="G1748" i="1"/>
  <c r="G633" i="7" s="1"/>
  <c r="G1894" i="1"/>
  <c r="H1894" i="1" s="1"/>
  <c r="I1894" i="1" s="1"/>
  <c r="J1894" i="1" s="1"/>
  <c r="K1894" i="1" s="1"/>
  <c r="L1894" i="1" s="1"/>
  <c r="M1894" i="1" s="1"/>
  <c r="N1894" i="1" s="1"/>
  <c r="O1894" i="1" s="1"/>
  <c r="P1894" i="1" s="1"/>
  <c r="Q1894" i="1" s="1"/>
  <c r="R1894" i="1" s="1"/>
  <c r="S1894" i="1" s="1"/>
  <c r="T1894" i="1" s="1"/>
  <c r="G1822" i="1"/>
  <c r="H1822" i="1" s="1"/>
  <c r="I1822" i="1" s="1"/>
  <c r="J1822" i="1" s="1"/>
  <c r="K1822" i="1" s="1"/>
  <c r="L1822" i="1" s="1"/>
  <c r="M1822" i="1" s="1"/>
  <c r="N1822" i="1" s="1"/>
  <c r="O1822" i="1" s="1"/>
  <c r="P1822" i="1" s="1"/>
  <c r="Q1822" i="1" s="1"/>
  <c r="R1822" i="1" s="1"/>
  <c r="S1822" i="1" s="1"/>
  <c r="T1822" i="1" s="1"/>
  <c r="U1822" i="1" s="1"/>
  <c r="H551" i="1"/>
  <c r="H1170" i="1" s="1"/>
  <c r="H609" i="1"/>
  <c r="H1174" i="1" s="1"/>
  <c r="H82" i="8" s="1"/>
  <c r="I88" i="1"/>
  <c r="H559" i="1"/>
  <c r="H1334" i="1" s="1"/>
  <c r="H330" i="7" s="1"/>
  <c r="G610" i="1"/>
  <c r="O610" i="1"/>
  <c r="L610" i="1"/>
  <c r="T610" i="1"/>
  <c r="I679" i="8"/>
  <c r="I252" i="1"/>
  <c r="G822" i="1"/>
  <c r="F2028" i="1"/>
  <c r="G1791" i="1"/>
  <c r="F650" i="1"/>
  <c r="I153" i="1"/>
  <c r="I52" i="7" s="1"/>
  <c r="F404" i="1"/>
  <c r="C408" i="1"/>
  <c r="C405" i="1"/>
  <c r="C404" i="1"/>
  <c r="C403" i="1"/>
  <c r="C402" i="1"/>
  <c r="C401" i="1"/>
  <c r="C400" i="1"/>
  <c r="C399" i="1"/>
  <c r="C410" i="1"/>
  <c r="C406" i="1"/>
  <c r="C396" i="1"/>
  <c r="C393" i="1"/>
  <c r="C388" i="1"/>
  <c r="C409" i="1"/>
  <c r="C407" i="1"/>
  <c r="C398" i="1"/>
  <c r="C389" i="1"/>
  <c r="G167" i="1"/>
  <c r="G66" i="7" s="1"/>
  <c r="F162" i="1"/>
  <c r="F61" i="7" s="1"/>
  <c r="H171" i="1"/>
  <c r="H70" i="7" s="1"/>
  <c r="I160" i="1"/>
  <c r="I59" i="7" s="1"/>
  <c r="I144" i="1"/>
  <c r="I43" i="7" s="1"/>
  <c r="I198" i="1"/>
  <c r="I97" i="7" s="1"/>
  <c r="J165" i="1"/>
  <c r="J64" i="7" s="1"/>
  <c r="H197" i="1"/>
  <c r="H96" i="7" s="1"/>
  <c r="H199" i="1"/>
  <c r="H98" i="7" s="1"/>
  <c r="AC457" i="1"/>
  <c r="AC597" i="1" s="1"/>
  <c r="AB457" i="1"/>
  <c r="AB597" i="1" s="1"/>
  <c r="AA457" i="1"/>
  <c r="AA597" i="1" s="1"/>
  <c r="Z457" i="1"/>
  <c r="Z597" i="1" s="1"/>
  <c r="Y457" i="1"/>
  <c r="Y597" i="1" s="1"/>
  <c r="AC276" i="1"/>
  <c r="AB276" i="1"/>
  <c r="AA276" i="1"/>
  <c r="Z276" i="1"/>
  <c r="Y276" i="1"/>
  <c r="AC386" i="1"/>
  <c r="AC585" i="1" s="1"/>
  <c r="AB386" i="1"/>
  <c r="AB585" i="1" s="1"/>
  <c r="AA386" i="1"/>
  <c r="AA585" i="1" s="1"/>
  <c r="Z386" i="1"/>
  <c r="Z585" i="1" s="1"/>
  <c r="Y386" i="1"/>
  <c r="Y585" i="1" s="1"/>
  <c r="AC318" i="1"/>
  <c r="AB318" i="1"/>
  <c r="AA318" i="1"/>
  <c r="Z318" i="1"/>
  <c r="Y318" i="1"/>
  <c r="B382" i="1"/>
  <c r="AC374" i="1"/>
  <c r="AB374" i="1"/>
  <c r="AA374" i="1"/>
  <c r="Z374" i="1"/>
  <c r="Y374" i="1"/>
  <c r="AC327" i="1"/>
  <c r="AC325" i="1" s="1"/>
  <c r="AB327" i="1"/>
  <c r="AB325" i="1" s="1"/>
  <c r="AA327" i="1"/>
  <c r="AA325" i="1" s="1"/>
  <c r="Z327" i="1"/>
  <c r="Z325" i="1" s="1"/>
  <c r="Y327" i="1"/>
  <c r="Y325" i="1" s="1"/>
  <c r="O773" i="1"/>
  <c r="Z773" i="1"/>
  <c r="AA773" i="1"/>
  <c r="Y773" i="1"/>
  <c r="AB773" i="1"/>
  <c r="AC773" i="1"/>
  <c r="AC306" i="1"/>
  <c r="AB306" i="1"/>
  <c r="AA306" i="1"/>
  <c r="Z306" i="1"/>
  <c r="Y306" i="1"/>
  <c r="AC1278" i="1"/>
  <c r="AB1278" i="1"/>
  <c r="AA1278" i="1"/>
  <c r="Z1278" i="1"/>
  <c r="Y1278" i="1"/>
  <c r="F494" i="8"/>
  <c r="F493" i="8" s="1"/>
  <c r="G1870" i="1"/>
  <c r="I431" i="1"/>
  <c r="I427" i="1"/>
  <c r="I425" i="1"/>
  <c r="AA250" i="1"/>
  <c r="H1490" i="1"/>
  <c r="H496" i="8" s="1"/>
  <c r="H495" i="8" s="1"/>
  <c r="Y482" i="1"/>
  <c r="Y616" i="1" s="1"/>
  <c r="Y610" i="1"/>
  <c r="AA482" i="1"/>
  <c r="AA616" i="1" s="1"/>
  <c r="AA610" i="1"/>
  <c r="AC610" i="1"/>
  <c r="AC482" i="1"/>
  <c r="AC616" i="1" s="1"/>
  <c r="AC263" i="1"/>
  <c r="AB263" i="1"/>
  <c r="AA263" i="1"/>
  <c r="Z263" i="1"/>
  <c r="Y263" i="1"/>
  <c r="AC348" i="1"/>
  <c r="AC346" i="1" s="1"/>
  <c r="AB348" i="1"/>
  <c r="AB346" i="1" s="1"/>
  <c r="AA348" i="1"/>
  <c r="AA346" i="1" s="1"/>
  <c r="Z348" i="1"/>
  <c r="Z346" i="1" s="1"/>
  <c r="Y348" i="1"/>
  <c r="Y346" i="1" s="1"/>
  <c r="AC1280" i="1"/>
  <c r="AC274" i="7" s="1"/>
  <c r="AB1280" i="1"/>
  <c r="AB274" i="7" s="1"/>
  <c r="AA1280" i="1"/>
  <c r="AA274" i="7" s="1"/>
  <c r="Y1280" i="1"/>
  <c r="Y274" i="7" s="1"/>
  <c r="Z1280" i="1"/>
  <c r="Z274" i="7" s="1"/>
  <c r="AC254" i="1"/>
  <c r="AB254" i="1"/>
  <c r="AA254" i="1"/>
  <c r="Z254" i="1"/>
  <c r="Y254" i="1"/>
  <c r="AC360" i="1"/>
  <c r="AB360" i="1"/>
  <c r="AA360" i="1"/>
  <c r="Z360" i="1"/>
  <c r="Y360" i="1"/>
  <c r="AC445" i="1"/>
  <c r="AB445" i="1"/>
  <c r="AA445" i="1"/>
  <c r="Z445" i="1"/>
  <c r="Y445" i="1"/>
  <c r="AC339" i="1"/>
  <c r="AB339" i="1"/>
  <c r="AA339" i="1"/>
  <c r="Z339" i="1"/>
  <c r="Y339" i="1"/>
  <c r="Z482" i="1"/>
  <c r="Z616" i="1" s="1"/>
  <c r="Z610" i="1"/>
  <c r="AB482" i="1"/>
  <c r="AB616" i="1" s="1"/>
  <c r="AB610" i="1"/>
  <c r="H1469" i="1"/>
  <c r="G1197" i="1"/>
  <c r="G188" i="7" s="1"/>
  <c r="G748" i="1"/>
  <c r="G2008" i="1"/>
  <c r="E13" i="15"/>
  <c r="E19" i="15" s="1"/>
  <c r="E22" i="15" s="1"/>
  <c r="E24" i="15" s="1"/>
  <c r="F748" i="1"/>
  <c r="G280" i="1"/>
  <c r="G621" i="1"/>
  <c r="G669" i="1"/>
  <c r="G130" i="7" s="1"/>
  <c r="G1554" i="1"/>
  <c r="G434" i="7" s="1"/>
  <c r="G1931" i="1"/>
  <c r="G1711" i="1"/>
  <c r="G596" i="7" s="1"/>
  <c r="G1785" i="1"/>
  <c r="G866" i="1"/>
  <c r="G1165" i="1"/>
  <c r="G1957" i="1"/>
  <c r="G1275" i="1"/>
  <c r="G269" i="7" s="1"/>
  <c r="G102" i="1"/>
  <c r="G1" i="7" s="1"/>
  <c r="G921" i="1"/>
  <c r="G1459" i="1"/>
  <c r="G768" i="1"/>
  <c r="G230" i="1"/>
  <c r="G1096" i="1"/>
  <c r="G738" i="1"/>
  <c r="G1859" i="1"/>
  <c r="G820" i="1"/>
  <c r="G695" i="1"/>
  <c r="G158" i="7" s="1"/>
  <c r="G661" i="1"/>
  <c r="F102" i="1"/>
  <c r="F1" i="7" s="1"/>
  <c r="F661" i="1"/>
  <c r="F1459" i="1"/>
  <c r="F1554" i="1"/>
  <c r="F434" i="7" s="1"/>
  <c r="F866" i="1"/>
  <c r="F738" i="1"/>
  <c r="B19" i="15"/>
  <c r="B22" i="15" s="1"/>
  <c r="B21" i="15" s="1"/>
  <c r="L19" i="15"/>
  <c r="L22" i="15" s="1"/>
  <c r="L21" i="15" s="1"/>
  <c r="H19" i="15"/>
  <c r="H22" i="15" s="1"/>
  <c r="H21" i="15" s="1"/>
  <c r="D19" i="15"/>
  <c r="D22" i="15" s="1"/>
  <c r="D21" i="15" s="1"/>
  <c r="M19" i="15"/>
  <c r="M22" i="15" s="1"/>
  <c r="M24" i="15" s="1"/>
  <c r="I19" i="15"/>
  <c r="I22" i="15" s="1"/>
  <c r="I21" i="15" s="1"/>
  <c r="N19" i="15"/>
  <c r="N22" i="15" s="1"/>
  <c r="N21" i="15" s="1"/>
  <c r="J19" i="15"/>
  <c r="J22" i="15" s="1"/>
  <c r="J21" i="15" s="1"/>
  <c r="F19" i="15"/>
  <c r="F22" i="15" s="1"/>
  <c r="O19" i="15"/>
  <c r="O22" i="15" s="1"/>
  <c r="O21" i="15" s="1"/>
  <c r="K19" i="15"/>
  <c r="K22" i="15" s="1"/>
  <c r="K21" i="15" s="1"/>
  <c r="G19" i="15"/>
  <c r="G22" i="15" s="1"/>
  <c r="G21" i="15" s="1"/>
  <c r="C19" i="15"/>
  <c r="C22" i="15" s="1"/>
  <c r="C24" i="15" s="1"/>
  <c r="X1215" i="1"/>
  <c r="X206" i="7" s="1"/>
  <c r="F669" i="1"/>
  <c r="F130" i="7" s="1"/>
  <c r="F1785" i="1"/>
  <c r="F1319" i="1"/>
  <c r="F315" i="7" s="1"/>
  <c r="F724" i="1"/>
  <c r="F1073" i="1"/>
  <c r="F768" i="1"/>
  <c r="F1931" i="1"/>
  <c r="F921" i="1"/>
  <c r="F621" i="1"/>
  <c r="F820" i="1"/>
  <c r="F1859" i="1"/>
  <c r="F230" i="1"/>
  <c r="F1165" i="1"/>
  <c r="F280" i="1"/>
  <c r="F1096" i="1"/>
  <c r="F1657" i="1"/>
  <c r="F541" i="7" s="1"/>
  <c r="F1008" i="1"/>
  <c r="F1711" i="1"/>
  <c r="F596" i="7" s="1"/>
  <c r="F676" i="1"/>
  <c r="F138" i="7" s="1"/>
  <c r="F2008" i="1"/>
  <c r="F1197" i="1"/>
  <c r="F188" i="7" s="1"/>
  <c r="F695" i="1"/>
  <c r="F158" i="7" s="1"/>
  <c r="F1957" i="1"/>
  <c r="C2034" i="1"/>
  <c r="G676" i="1"/>
  <c r="G138" i="7" s="1"/>
  <c r="G1073" i="1"/>
  <c r="G1319" i="1"/>
  <c r="G315" i="7" s="1"/>
  <c r="G1657" i="1"/>
  <c r="G541" i="7" s="1"/>
  <c r="G724" i="1"/>
  <c r="B540" i="1"/>
  <c r="U1215" i="1"/>
  <c r="U206" i="7" s="1"/>
  <c r="W1215" i="1"/>
  <c r="W206" i="7" s="1"/>
  <c r="C432" i="1"/>
  <c r="C429" i="1"/>
  <c r="C428" i="1"/>
  <c r="C427" i="1"/>
  <c r="C426" i="1"/>
  <c r="C425" i="1"/>
  <c r="C424" i="1"/>
  <c r="C423" i="1"/>
  <c r="C422" i="1"/>
  <c r="C434" i="1"/>
  <c r="C433" i="1"/>
  <c r="C431" i="1"/>
  <c r="C430" i="1"/>
  <c r="C413" i="1"/>
  <c r="C420" i="1"/>
  <c r="C417" i="1"/>
  <c r="C412" i="1"/>
  <c r="F428" i="1"/>
  <c r="C197" i="1"/>
  <c r="C96" i="7" s="1"/>
  <c r="J773" i="1"/>
  <c r="J775" i="1" s="1"/>
  <c r="N773" i="1"/>
  <c r="N774" i="1" s="1"/>
  <c r="G773" i="1"/>
  <c r="G775" i="1" s="1"/>
  <c r="K773" i="1"/>
  <c r="K778" i="1" s="1"/>
  <c r="G650" i="1"/>
  <c r="I641" i="1"/>
  <c r="I526" i="1"/>
  <c r="G267" i="1"/>
  <c r="F268" i="1"/>
  <c r="F269" i="1" s="1"/>
  <c r="F266" i="1" s="1"/>
  <c r="F1348" i="1"/>
  <c r="F344" i="7" s="1"/>
  <c r="F1190" i="1"/>
  <c r="F110" i="8" s="1"/>
  <c r="F109" i="8" s="1"/>
  <c r="G259" i="1"/>
  <c r="H259" i="1" s="1"/>
  <c r="I259" i="1" s="1"/>
  <c r="F260" i="1"/>
  <c r="F261" i="1" s="1"/>
  <c r="F257" i="1" s="1"/>
  <c r="V1215" i="1"/>
  <c r="V206" i="7" s="1"/>
  <c r="H273" i="1"/>
  <c r="I272" i="1"/>
  <c r="V80" i="1"/>
  <c r="U975" i="1"/>
  <c r="U976" i="1" s="1"/>
  <c r="U931" i="1"/>
  <c r="U932" i="1" s="1"/>
  <c r="U882" i="1"/>
  <c r="U883" i="1" s="1"/>
  <c r="U948" i="1"/>
  <c r="U949" i="1" s="1"/>
  <c r="U900" i="1"/>
  <c r="U901" i="1" s="1"/>
  <c r="U826" i="1"/>
  <c r="U827" i="1" s="1"/>
  <c r="U679" i="1"/>
  <c r="U873" i="1"/>
  <c r="U874" i="1" s="1"/>
  <c r="U952" i="1"/>
  <c r="U953" i="1" s="1"/>
  <c r="U891" i="1"/>
  <c r="U892" i="1" s="1"/>
  <c r="U963" i="1"/>
  <c r="U964" i="1" s="1"/>
  <c r="G292" i="1"/>
  <c r="G555" i="1" s="1"/>
  <c r="I291" i="1"/>
  <c r="I554" i="1" s="1"/>
  <c r="F291" i="1"/>
  <c r="F554" i="1" s="1"/>
  <c r="H290" i="1"/>
  <c r="F290" i="1"/>
  <c r="F293" i="1" s="1"/>
  <c r="F556" i="1" s="1"/>
  <c r="F1473" i="1" s="1"/>
  <c r="G1130" i="1"/>
  <c r="G1489" i="1" s="1"/>
  <c r="H1102" i="1"/>
  <c r="U467" i="1"/>
  <c r="V467" i="1" s="1"/>
  <c r="W467" i="1" s="1"/>
  <c r="X467" i="1" s="1"/>
  <c r="W263" i="1"/>
  <c r="X263" i="1"/>
  <c r="V263" i="1"/>
  <c r="U263" i="1"/>
  <c r="X348" i="1"/>
  <c r="X346" i="1" s="1"/>
  <c r="V348" i="1"/>
  <c r="V346" i="1" s="1"/>
  <c r="W348" i="1"/>
  <c r="W346" i="1" s="1"/>
  <c r="U348" i="1"/>
  <c r="U346" i="1" s="1"/>
  <c r="X1280" i="1"/>
  <c r="X274" i="7" s="1"/>
  <c r="W1280" i="1"/>
  <c r="W274" i="7" s="1"/>
  <c r="U1280" i="1"/>
  <c r="U274" i="7" s="1"/>
  <c r="V1280" i="1"/>
  <c r="V274" i="7" s="1"/>
  <c r="W254" i="1"/>
  <c r="X254" i="1"/>
  <c r="V254" i="1"/>
  <c r="U254" i="1"/>
  <c r="X360" i="1"/>
  <c r="W360" i="1"/>
  <c r="V360" i="1"/>
  <c r="U360" i="1"/>
  <c r="X445" i="1"/>
  <c r="W445" i="1"/>
  <c r="V445" i="1"/>
  <c r="U445" i="1"/>
  <c r="X306" i="1"/>
  <c r="V306" i="1"/>
  <c r="W306" i="1"/>
  <c r="U306" i="1"/>
  <c r="X1278" i="1"/>
  <c r="X272" i="7" s="1"/>
  <c r="W1278" i="1"/>
  <c r="W272" i="7" s="1"/>
  <c r="V1278" i="1"/>
  <c r="V272" i="7" s="1"/>
  <c r="U1278" i="1"/>
  <c r="U272" i="7" s="1"/>
  <c r="I682" i="1"/>
  <c r="I1662" i="1"/>
  <c r="I546" i="7" s="1"/>
  <c r="I151" i="1"/>
  <c r="I50" i="7" s="1"/>
  <c r="J152" i="1"/>
  <c r="J51" i="7" s="1"/>
  <c r="K92" i="1"/>
  <c r="L91" i="1"/>
  <c r="U610" i="1"/>
  <c r="U482" i="1"/>
  <c r="U616" i="1" s="1"/>
  <c r="W610" i="1"/>
  <c r="W482" i="1"/>
  <c r="W616" i="1" s="1"/>
  <c r="U773" i="1"/>
  <c r="W773" i="1"/>
  <c r="H726" i="1"/>
  <c r="I729" i="1"/>
  <c r="H151" i="1"/>
  <c r="H50" i="7" s="1"/>
  <c r="W899" i="1"/>
  <c r="G767" i="8"/>
  <c r="G691" i="8"/>
  <c r="J31" i="1"/>
  <c r="I32" i="1"/>
  <c r="I75" i="1" s="1"/>
  <c r="W974" i="1"/>
  <c r="W457" i="1"/>
  <c r="W597" i="1" s="1"/>
  <c r="U457" i="1"/>
  <c r="U597" i="1" s="1"/>
  <c r="X457" i="1"/>
  <c r="X597" i="1" s="1"/>
  <c r="V457" i="1"/>
  <c r="V597" i="1" s="1"/>
  <c r="X276" i="1"/>
  <c r="V276" i="1"/>
  <c r="W276" i="1"/>
  <c r="U276" i="1"/>
  <c r="X386" i="1"/>
  <c r="X585" i="1" s="1"/>
  <c r="W386" i="1"/>
  <c r="W585" i="1" s="1"/>
  <c r="V386" i="1"/>
  <c r="V585" i="1" s="1"/>
  <c r="U386" i="1"/>
  <c r="U585" i="1" s="1"/>
  <c r="X318" i="1"/>
  <c r="W318" i="1"/>
  <c r="V318" i="1"/>
  <c r="U318" i="1"/>
  <c r="W374" i="1"/>
  <c r="U374" i="1"/>
  <c r="X374" i="1"/>
  <c r="V374" i="1"/>
  <c r="X327" i="1"/>
  <c r="X325" i="1" s="1"/>
  <c r="W327" i="1"/>
  <c r="W325" i="1" s="1"/>
  <c r="V327" i="1"/>
  <c r="V325" i="1" s="1"/>
  <c r="U327" i="1"/>
  <c r="U325" i="1" s="1"/>
  <c r="X339" i="1"/>
  <c r="V339" i="1"/>
  <c r="W339" i="1"/>
  <c r="U339" i="1"/>
  <c r="H98" i="1"/>
  <c r="H1103" i="1" s="1"/>
  <c r="I95" i="1"/>
  <c r="J1099" i="1"/>
  <c r="W890" i="1"/>
  <c r="AA768" i="8"/>
  <c r="J631" i="1"/>
  <c r="V610" i="1"/>
  <c r="V482" i="1"/>
  <c r="V616" i="1" s="1"/>
  <c r="X610" i="1"/>
  <c r="X482" i="1"/>
  <c r="X616" i="1" s="1"/>
  <c r="V773" i="1"/>
  <c r="X773" i="1"/>
  <c r="H457" i="8"/>
  <c r="H456" i="8" s="1"/>
  <c r="H317" i="8"/>
  <c r="H316" i="8" s="1"/>
  <c r="H167" i="8"/>
  <c r="H166" i="8" s="1"/>
  <c r="H161" i="8"/>
  <c r="H160" i="8" s="1"/>
  <c r="H116" i="8"/>
  <c r="H115" i="8" s="1"/>
  <c r="H113" i="8"/>
  <c r="H112" i="8" s="1"/>
  <c r="H767" i="8" s="1"/>
  <c r="H96" i="8"/>
  <c r="H95" i="8" s="1"/>
  <c r="H92" i="8"/>
  <c r="H91" i="8" s="1"/>
  <c r="H53" i="8"/>
  <c r="H52" i="8" s="1"/>
  <c r="I33" i="8"/>
  <c r="G291" i="1"/>
  <c r="G554" i="1" s="1"/>
  <c r="F292" i="1"/>
  <c r="F555" i="1" s="1"/>
  <c r="H291" i="1"/>
  <c r="H554" i="1" s="1"/>
  <c r="H292" i="1"/>
  <c r="H555" i="1" s="1"/>
  <c r="I290" i="1"/>
  <c r="G290" i="1"/>
  <c r="I292" i="1"/>
  <c r="I555" i="1" s="1"/>
  <c r="J291" i="1"/>
  <c r="J554" i="1" s="1"/>
  <c r="H724" i="1"/>
  <c r="H1785" i="1"/>
  <c r="H1165" i="1"/>
  <c r="H230" i="1"/>
  <c r="H866" i="1"/>
  <c r="H820" i="1"/>
  <c r="H2008" i="1"/>
  <c r="H738" i="1"/>
  <c r="H748" i="1"/>
  <c r="H1554" i="1"/>
  <c r="H434" i="7" s="1"/>
  <c r="H1859" i="1"/>
  <c r="H661" i="1"/>
  <c r="H669" i="1"/>
  <c r="H130" i="7" s="1"/>
  <c r="H1319" i="1"/>
  <c r="H315" i="7" s="1"/>
  <c r="H921" i="1"/>
  <c r="H1657" i="1"/>
  <c r="H541" i="7" s="1"/>
  <c r="H102" i="1"/>
  <c r="H1" i="7" s="1"/>
  <c r="H768" i="1"/>
  <c r="H1711" i="1"/>
  <c r="H596" i="7" s="1"/>
  <c r="H1459" i="1"/>
  <c r="H676" i="1"/>
  <c r="H138" i="7" s="1"/>
  <c r="H1197" i="1"/>
  <c r="H188" i="7" s="1"/>
  <c r="H1008" i="1"/>
  <c r="H1957" i="1"/>
  <c r="H621" i="1"/>
  <c r="H1275" i="1"/>
  <c r="H269" i="7" s="1"/>
  <c r="H280" i="1"/>
  <c r="H1931" i="1"/>
  <c r="H695" i="1"/>
  <c r="H158" i="7" s="1"/>
  <c r="H1073" i="1"/>
  <c r="H1096" i="1"/>
  <c r="W881" i="1"/>
  <c r="W677" i="8"/>
  <c r="C671" i="1"/>
  <c r="AE552" i="1"/>
  <c r="O775" i="1"/>
  <c r="O774" i="1"/>
  <c r="O785" i="1"/>
  <c r="O778" i="1"/>
  <c r="F457" i="1"/>
  <c r="G457" i="1"/>
  <c r="G597" i="1" s="1"/>
  <c r="H457" i="1"/>
  <c r="H597" i="1" s="1"/>
  <c r="N457" i="1"/>
  <c r="N597" i="1" s="1"/>
  <c r="O457" i="1"/>
  <c r="O597" i="1" s="1"/>
  <c r="I457" i="1"/>
  <c r="I597" i="1" s="1"/>
  <c r="J457" i="1"/>
  <c r="J597" i="1" s="1"/>
  <c r="K457" i="1"/>
  <c r="K597" i="1" s="1"/>
  <c r="L457" i="1"/>
  <c r="L597" i="1" s="1"/>
  <c r="M457" i="1"/>
  <c r="M597" i="1" s="1"/>
  <c r="P457" i="1"/>
  <c r="P597" i="1" s="1"/>
  <c r="Q457" i="1"/>
  <c r="Q597" i="1" s="1"/>
  <c r="R457" i="1"/>
  <c r="R597" i="1" s="1"/>
  <c r="S457" i="1"/>
  <c r="S597" i="1" s="1"/>
  <c r="T457" i="1"/>
  <c r="T597" i="1" s="1"/>
  <c r="F828" i="1"/>
  <c r="G828" i="1"/>
  <c r="I828" i="1"/>
  <c r="F276" i="1"/>
  <c r="I276" i="1"/>
  <c r="J276" i="1"/>
  <c r="K276" i="1"/>
  <c r="L276" i="1"/>
  <c r="M276" i="1"/>
  <c r="H276" i="1"/>
  <c r="P276" i="1"/>
  <c r="Q276" i="1"/>
  <c r="G276" i="1"/>
  <c r="N276" i="1"/>
  <c r="O276" i="1"/>
  <c r="T276" i="1"/>
  <c r="R276" i="1"/>
  <c r="S276" i="1"/>
  <c r="F386" i="1"/>
  <c r="I386" i="1"/>
  <c r="I585" i="1" s="1"/>
  <c r="J386" i="1"/>
  <c r="J585" i="1" s="1"/>
  <c r="K386" i="1"/>
  <c r="K585" i="1" s="1"/>
  <c r="L386" i="1"/>
  <c r="L585" i="1" s="1"/>
  <c r="M386" i="1"/>
  <c r="M585" i="1" s="1"/>
  <c r="G386" i="1"/>
  <c r="G585" i="1" s="1"/>
  <c r="N386" i="1"/>
  <c r="N585" i="1" s="1"/>
  <c r="O386" i="1"/>
  <c r="O585" i="1" s="1"/>
  <c r="P386" i="1"/>
  <c r="P585" i="1" s="1"/>
  <c r="Q386" i="1"/>
  <c r="Q585" i="1" s="1"/>
  <c r="H386" i="1"/>
  <c r="H585" i="1" s="1"/>
  <c r="T386" i="1"/>
  <c r="T585" i="1" s="1"/>
  <c r="R386" i="1"/>
  <c r="R585" i="1" s="1"/>
  <c r="S386" i="1"/>
  <c r="S585" i="1" s="1"/>
  <c r="F318" i="1"/>
  <c r="G318" i="1"/>
  <c r="H318" i="1"/>
  <c r="N318" i="1"/>
  <c r="O318" i="1"/>
  <c r="I318" i="1"/>
  <c r="J318" i="1"/>
  <c r="K318" i="1"/>
  <c r="L318" i="1"/>
  <c r="M318" i="1"/>
  <c r="P318" i="1"/>
  <c r="Q318" i="1"/>
  <c r="R318" i="1"/>
  <c r="S318" i="1"/>
  <c r="T318" i="1"/>
  <c r="G374" i="1"/>
  <c r="K374" i="1"/>
  <c r="O374" i="1"/>
  <c r="S374" i="1"/>
  <c r="I374" i="1"/>
  <c r="Q374" i="1"/>
  <c r="M374" i="1"/>
  <c r="H374" i="1"/>
  <c r="L374" i="1"/>
  <c r="P374" i="1"/>
  <c r="T374" i="1"/>
  <c r="F374" i="1"/>
  <c r="J374" i="1"/>
  <c r="N374" i="1"/>
  <c r="R374" i="1"/>
  <c r="G327" i="1"/>
  <c r="G325" i="1" s="1"/>
  <c r="I327" i="1"/>
  <c r="I325" i="1" s="1"/>
  <c r="K327" i="1"/>
  <c r="K325" i="1" s="1"/>
  <c r="M327" i="1"/>
  <c r="M325" i="1" s="1"/>
  <c r="O327" i="1"/>
  <c r="O325" i="1" s="1"/>
  <c r="Q327" i="1"/>
  <c r="Q325" i="1" s="1"/>
  <c r="S327" i="1"/>
  <c r="S325" i="1" s="1"/>
  <c r="B335" i="1"/>
  <c r="F327" i="1"/>
  <c r="J327" i="1"/>
  <c r="J325" i="1" s="1"/>
  <c r="N327" i="1"/>
  <c r="N325" i="1" s="1"/>
  <c r="R327" i="1"/>
  <c r="R325" i="1" s="1"/>
  <c r="H327" i="1"/>
  <c r="H325" i="1" s="1"/>
  <c r="P327" i="1"/>
  <c r="P325" i="1" s="1"/>
  <c r="L327" i="1"/>
  <c r="L325" i="1" s="1"/>
  <c r="T327" i="1"/>
  <c r="T325" i="1" s="1"/>
  <c r="Q773" i="1"/>
  <c r="T773" i="1"/>
  <c r="F482" i="1"/>
  <c r="F616" i="1" s="1"/>
  <c r="F485" i="1"/>
  <c r="G485" i="1" s="1"/>
  <c r="H485" i="1" s="1"/>
  <c r="G682" i="1"/>
  <c r="G1662" i="1"/>
  <c r="G546" i="7" s="1"/>
  <c r="G684" i="1"/>
  <c r="G146" i="7" s="1"/>
  <c r="F1662" i="1"/>
  <c r="F546" i="7" s="1"/>
  <c r="F682" i="1"/>
  <c r="AE245" i="1"/>
  <c r="P773" i="1"/>
  <c r="F339" i="1"/>
  <c r="I339" i="1"/>
  <c r="J339" i="1"/>
  <c r="K339" i="1"/>
  <c r="L339" i="1"/>
  <c r="M339" i="1"/>
  <c r="H339" i="1"/>
  <c r="P339" i="1"/>
  <c r="Q339" i="1"/>
  <c r="G339" i="1"/>
  <c r="N339" i="1"/>
  <c r="O339" i="1"/>
  <c r="T339" i="1"/>
  <c r="R339" i="1"/>
  <c r="S339" i="1"/>
  <c r="R773" i="1"/>
  <c r="S773" i="1"/>
  <c r="M1871" i="1"/>
  <c r="M1799" i="1"/>
  <c r="N1799" i="1"/>
  <c r="N1871" i="1"/>
  <c r="O1799" i="1"/>
  <c r="O1871" i="1"/>
  <c r="H775" i="1"/>
  <c r="H778" i="1"/>
  <c r="H774" i="1"/>
  <c r="H785" i="1"/>
  <c r="L775" i="1"/>
  <c r="L785" i="1"/>
  <c r="L774" i="1"/>
  <c r="L778" i="1"/>
  <c r="I775" i="1"/>
  <c r="I774" i="1"/>
  <c r="I778" i="1"/>
  <c r="I785" i="1"/>
  <c r="M775" i="1"/>
  <c r="M785" i="1"/>
  <c r="M778" i="1"/>
  <c r="M774" i="1"/>
  <c r="F263" i="1"/>
  <c r="G263" i="1"/>
  <c r="H263" i="1"/>
  <c r="N263" i="1"/>
  <c r="I263" i="1"/>
  <c r="J263" i="1"/>
  <c r="K263" i="1"/>
  <c r="L263" i="1"/>
  <c r="M263" i="1"/>
  <c r="O263" i="1"/>
  <c r="P263" i="1"/>
  <c r="Q263" i="1"/>
  <c r="R263" i="1"/>
  <c r="S263" i="1"/>
  <c r="T263" i="1"/>
  <c r="F348" i="1"/>
  <c r="B356" i="1"/>
  <c r="S348" i="1"/>
  <c r="S346" i="1" s="1"/>
  <c r="Q348" i="1"/>
  <c r="Q346" i="1" s="1"/>
  <c r="O348" i="1"/>
  <c r="O346" i="1" s="1"/>
  <c r="M348" i="1"/>
  <c r="M346" i="1" s="1"/>
  <c r="K348" i="1"/>
  <c r="K346" i="1" s="1"/>
  <c r="I348" i="1"/>
  <c r="I346" i="1" s="1"/>
  <c r="G348" i="1"/>
  <c r="G346" i="1" s="1"/>
  <c r="T348" i="1"/>
  <c r="T346" i="1" s="1"/>
  <c r="R348" i="1"/>
  <c r="R346" i="1" s="1"/>
  <c r="P348" i="1"/>
  <c r="P346" i="1" s="1"/>
  <c r="N348" i="1"/>
  <c r="N346" i="1" s="1"/>
  <c r="L348" i="1"/>
  <c r="L346" i="1" s="1"/>
  <c r="J348" i="1"/>
  <c r="J346" i="1" s="1"/>
  <c r="H348" i="1"/>
  <c r="H346" i="1" s="1"/>
  <c r="F1280" i="1"/>
  <c r="F274" i="7" s="1"/>
  <c r="I1280" i="1"/>
  <c r="I274" i="7" s="1"/>
  <c r="J1280" i="1"/>
  <c r="J274" i="7" s="1"/>
  <c r="K1280" i="1"/>
  <c r="K274" i="7" s="1"/>
  <c r="L1280" i="1"/>
  <c r="L274" i="7" s="1"/>
  <c r="M1280" i="1"/>
  <c r="M274" i="7" s="1"/>
  <c r="H1280" i="1"/>
  <c r="H274" i="7" s="1"/>
  <c r="P1280" i="1"/>
  <c r="P274" i="7" s="1"/>
  <c r="Q1280" i="1"/>
  <c r="Q274" i="7" s="1"/>
  <c r="G1280" i="1"/>
  <c r="G274" i="7" s="1"/>
  <c r="N1280" i="1"/>
  <c r="N274" i="7" s="1"/>
  <c r="O1280" i="1"/>
  <c r="O274" i="7" s="1"/>
  <c r="T1280" i="1"/>
  <c r="T274" i="7" s="1"/>
  <c r="R1280" i="1"/>
  <c r="R274" i="7" s="1"/>
  <c r="S1280" i="1"/>
  <c r="S274" i="7" s="1"/>
  <c r="F254" i="1"/>
  <c r="I254" i="1"/>
  <c r="J254" i="1"/>
  <c r="K254" i="1"/>
  <c r="L254" i="1"/>
  <c r="M254" i="1"/>
  <c r="G254" i="1"/>
  <c r="N254" i="1"/>
  <c r="P254" i="1"/>
  <c r="Q254" i="1"/>
  <c r="H254" i="1"/>
  <c r="O254" i="1"/>
  <c r="T254" i="1"/>
  <c r="R254" i="1"/>
  <c r="S254" i="1"/>
  <c r="F360" i="1"/>
  <c r="G360" i="1"/>
  <c r="H360" i="1"/>
  <c r="N360" i="1"/>
  <c r="O360" i="1"/>
  <c r="I360" i="1"/>
  <c r="J360" i="1"/>
  <c r="K360" i="1"/>
  <c r="L360" i="1"/>
  <c r="M360" i="1"/>
  <c r="P360" i="1"/>
  <c r="Q360" i="1"/>
  <c r="R360" i="1"/>
  <c r="S360" i="1"/>
  <c r="T360" i="1"/>
  <c r="F445" i="1"/>
  <c r="T445" i="1"/>
  <c r="R445" i="1"/>
  <c r="P445" i="1"/>
  <c r="N445" i="1"/>
  <c r="L445" i="1"/>
  <c r="J445" i="1"/>
  <c r="H445" i="1"/>
  <c r="S445" i="1"/>
  <c r="Q445" i="1"/>
  <c r="O445" i="1"/>
  <c r="M445" i="1"/>
  <c r="K445" i="1"/>
  <c r="I445" i="1"/>
  <c r="E638" i="1"/>
  <c r="F628" i="1"/>
  <c r="F638" i="1" s="1"/>
  <c r="F629" i="1"/>
  <c r="G628" i="1" s="1"/>
  <c r="G638" i="1" s="1"/>
  <c r="G1348" i="1"/>
  <c r="G344" i="7" s="1"/>
  <c r="G1190" i="1"/>
  <c r="G110" i="8" s="1"/>
  <c r="G109" i="8" s="1"/>
  <c r="H1123" i="1"/>
  <c r="H1989" i="1"/>
  <c r="H1990" i="1"/>
  <c r="H1988" i="1"/>
  <c r="H1075" i="1"/>
  <c r="H1985" i="1"/>
  <c r="H1983" i="1"/>
  <c r="H1984" i="1"/>
  <c r="H1130" i="1"/>
  <c r="H1489" i="1" s="1"/>
  <c r="H655" i="1"/>
  <c r="H652" i="1"/>
  <c r="H124" i="1" s="1"/>
  <c r="H23" i="7" s="1"/>
  <c r="H656" i="1"/>
  <c r="H657" i="1"/>
  <c r="H822" i="1"/>
  <c r="H650" i="1"/>
  <c r="H1662" i="1"/>
  <c r="H546" i="7" s="1"/>
  <c r="H682" i="1"/>
  <c r="H306" i="1"/>
  <c r="G306" i="1"/>
  <c r="K306" i="1"/>
  <c r="O306" i="1"/>
  <c r="S306" i="1"/>
  <c r="I306" i="1"/>
  <c r="Q306" i="1"/>
  <c r="M306" i="1"/>
  <c r="B314" i="1"/>
  <c r="F1278" i="1"/>
  <c r="F272" i="7" s="1"/>
  <c r="H1278" i="1"/>
  <c r="H272" i="7" s="1"/>
  <c r="L1278" i="1"/>
  <c r="L272" i="7" s="1"/>
  <c r="M1278" i="1"/>
  <c r="M272" i="7" s="1"/>
  <c r="N1278" i="1"/>
  <c r="N272" i="7" s="1"/>
  <c r="O1278" i="1"/>
  <c r="O272" i="7" s="1"/>
  <c r="G1278" i="1"/>
  <c r="G272" i="7" s="1"/>
  <c r="I1278" i="1"/>
  <c r="I272" i="7" s="1"/>
  <c r="J1278" i="1"/>
  <c r="J272" i="7" s="1"/>
  <c r="K1278" i="1"/>
  <c r="K272" i="7" s="1"/>
  <c r="P1278" i="1"/>
  <c r="P272" i="7" s="1"/>
  <c r="Q1278" i="1"/>
  <c r="Q272" i="7" s="1"/>
  <c r="T1278" i="1"/>
  <c r="T272" i="7" s="1"/>
  <c r="R1278" i="1"/>
  <c r="R272" i="7" s="1"/>
  <c r="S1278" i="1"/>
  <c r="S272" i="7" s="1"/>
  <c r="B453" i="1"/>
  <c r="S1799" i="1"/>
  <c r="S1871" i="1"/>
  <c r="H828" i="1"/>
  <c r="C323" i="8"/>
  <c r="C915" i="8"/>
  <c r="C110" i="8"/>
  <c r="C272" i="8"/>
  <c r="C455" i="8"/>
  <c r="C81" i="8"/>
  <c r="C275" i="8"/>
  <c r="C95" i="8"/>
  <c r="C104" i="8"/>
  <c r="C188" i="8"/>
  <c r="C943" i="8"/>
  <c r="C177" i="8"/>
  <c r="C469" i="8"/>
  <c r="C168" i="8"/>
  <c r="C501" i="8"/>
  <c r="C157" i="8"/>
  <c r="C142" i="8"/>
  <c r="C53" i="8"/>
  <c r="C158" i="8"/>
  <c r="C948" i="8"/>
  <c r="A242" i="8"/>
  <c r="C853" i="8"/>
  <c r="C910" i="8"/>
  <c r="C173" i="8"/>
  <c r="C166" i="8"/>
  <c r="C303" i="8"/>
  <c r="C121" i="8"/>
  <c r="C836" i="8"/>
  <c r="C146" i="8"/>
  <c r="C845" i="8"/>
  <c r="C495" i="8"/>
  <c r="C760" i="8"/>
  <c r="C861" i="8"/>
  <c r="C683" i="8"/>
  <c r="C685" i="8"/>
  <c r="C513" i="8"/>
  <c r="C179" i="8"/>
  <c r="C510" i="8"/>
  <c r="C682" i="8"/>
  <c r="C279" i="8"/>
  <c r="C69" i="8"/>
  <c r="C921" i="8"/>
  <c r="C320" i="8"/>
  <c r="C127" i="8"/>
  <c r="C190" i="8"/>
  <c r="C325" i="8"/>
  <c r="C691" i="8"/>
  <c r="C100" i="8"/>
  <c r="C443" i="8"/>
  <c r="C107" i="8"/>
  <c r="C761" i="8"/>
  <c r="C482" i="8"/>
  <c r="C444" i="8"/>
  <c r="C287" i="8"/>
  <c r="C304" i="8"/>
  <c r="C128" i="8"/>
  <c r="C118" i="8"/>
  <c r="C293" i="8"/>
  <c r="C80" i="8"/>
  <c r="C498" i="8"/>
  <c r="C500" i="8"/>
  <c r="C156" i="8"/>
  <c r="C846" i="8"/>
  <c r="C44" i="8"/>
  <c r="C313" i="8"/>
  <c r="C503" i="8"/>
  <c r="C476" i="8"/>
  <c r="A387" i="8"/>
  <c r="C93" i="8"/>
  <c r="C764" i="8"/>
  <c r="C92" i="8"/>
  <c r="C73" i="8"/>
  <c r="C75" i="8"/>
  <c r="C507" i="8"/>
  <c r="C844" i="8"/>
  <c r="C49" i="8"/>
  <c r="C109" i="8"/>
  <c r="C479" i="8"/>
  <c r="C489" i="8"/>
  <c r="C187" i="8"/>
  <c r="C834" i="8"/>
  <c r="C497" i="8"/>
  <c r="C152" i="8"/>
  <c r="C694" i="8"/>
  <c r="C154" i="8"/>
  <c r="C484" i="8"/>
  <c r="C771" i="8"/>
  <c r="C714" i="8"/>
  <c r="C78" i="8"/>
  <c r="C690" i="8"/>
  <c r="C79" i="8"/>
  <c r="C328" i="8"/>
  <c r="C297" i="8"/>
  <c r="C94" i="8"/>
  <c r="C491" i="8"/>
  <c r="C161" i="8"/>
  <c r="C789" i="8"/>
  <c r="C913" i="8"/>
  <c r="C474" i="8"/>
  <c r="C178" i="8"/>
  <c r="C770" i="8"/>
  <c r="C153" i="8"/>
  <c r="C270" i="8"/>
  <c r="C481" i="8"/>
  <c r="C930" i="8"/>
  <c r="C164" i="8"/>
  <c r="C440" i="8"/>
  <c r="C935" i="8"/>
  <c r="C505" i="8"/>
  <c r="C446" i="8"/>
  <c r="C464" i="8"/>
  <c r="C586" i="8"/>
  <c r="C506" i="8"/>
  <c r="C917" i="8"/>
  <c r="C71" i="8"/>
  <c r="C281" i="8"/>
  <c r="C68" i="8"/>
  <c r="C274" i="8"/>
  <c r="C151" i="8"/>
  <c r="C762" i="8"/>
  <c r="C929" i="8"/>
  <c r="C689" i="8"/>
  <c r="C687" i="8"/>
  <c r="C45" i="8"/>
  <c r="C322" i="8"/>
  <c r="C294" i="8"/>
  <c r="C312" i="8"/>
  <c r="C159" i="8"/>
  <c r="C171" i="8"/>
  <c r="C140" i="8"/>
  <c r="C492" i="8"/>
  <c r="C713" i="8"/>
  <c r="C333" i="8"/>
  <c r="C838" i="8"/>
  <c r="C180" i="8"/>
  <c r="C909" i="8"/>
  <c r="C919" i="8"/>
  <c r="C448" i="8"/>
  <c r="C833" i="8"/>
  <c r="C478" i="8"/>
  <c r="C170" i="8"/>
  <c r="C768" i="8"/>
  <c r="C62" i="8"/>
  <c r="C473" i="8"/>
  <c r="C321" i="8"/>
  <c r="C788" i="8"/>
  <c r="C284" i="8"/>
  <c r="C189" i="8"/>
  <c r="C273" i="8"/>
  <c r="C934" i="8"/>
  <c r="C459" i="8"/>
  <c r="C96" i="8"/>
  <c r="C494" i="8"/>
  <c r="C77" i="8"/>
  <c r="C445" i="8"/>
  <c r="C759" i="8"/>
  <c r="C453" i="8"/>
  <c r="C87" i="8"/>
  <c r="C82" i="8"/>
  <c r="C918" i="8"/>
  <c r="C165" i="8"/>
  <c r="C692" i="8"/>
  <c r="C141" i="8"/>
  <c r="C941" i="8"/>
  <c r="C839" i="8"/>
  <c r="C467" i="8"/>
  <c r="C185" i="8"/>
  <c r="C119" i="8"/>
  <c r="C442" i="8"/>
  <c r="C58" i="8"/>
  <c r="C56" i="8"/>
  <c r="C686" i="8"/>
  <c r="C314" i="8"/>
  <c r="C840" i="8"/>
  <c r="C466" i="8"/>
  <c r="C457" i="8"/>
  <c r="C144" i="8"/>
  <c r="C145" i="8"/>
  <c r="C133" i="8"/>
  <c r="C283" i="8"/>
  <c r="C292" i="8"/>
  <c r="C282" i="8"/>
  <c r="C485" i="8"/>
  <c r="C456" i="8"/>
  <c r="C276" i="8"/>
  <c r="C462" i="8"/>
  <c r="C926" i="8"/>
  <c r="C150" i="8"/>
  <c r="C101" i="8"/>
  <c r="C472" i="8"/>
  <c r="C130" i="8"/>
  <c r="C470" i="8"/>
  <c r="C134" i="8"/>
  <c r="C90" i="8"/>
  <c r="C447" i="8"/>
  <c r="C696" i="8"/>
  <c r="C139" i="8"/>
  <c r="C105" i="8"/>
  <c r="C84" i="8"/>
  <c r="C309" i="8"/>
  <c r="C48" i="8"/>
  <c r="C143" i="8"/>
  <c r="C319" i="8"/>
  <c r="C684" i="8"/>
  <c r="C927" i="8"/>
  <c r="C97" i="8"/>
  <c r="C944" i="8"/>
  <c r="C61" i="8"/>
  <c r="C135" i="8"/>
  <c r="C911" i="8"/>
  <c r="C334" i="8"/>
  <c r="C147" i="8"/>
  <c r="C787" i="8"/>
  <c r="C317" i="8"/>
  <c r="C832" i="8"/>
  <c r="C330" i="8"/>
  <c r="C488" i="8"/>
  <c r="C299" i="8"/>
  <c r="C289" i="8"/>
  <c r="C307" i="8"/>
  <c r="C300" i="8"/>
  <c r="C763" i="8"/>
  <c r="C695" i="8"/>
  <c r="C928" i="8"/>
  <c r="C302" i="8"/>
  <c r="C122" i="8"/>
  <c r="C116" i="8"/>
  <c r="C837" i="8"/>
  <c r="C52" i="8"/>
  <c r="C772" i="8"/>
  <c r="C176" i="8"/>
  <c r="C55" i="8"/>
  <c r="C162" i="8"/>
  <c r="C83" i="8"/>
  <c r="C51" i="8"/>
  <c r="C841" i="8"/>
  <c r="C451" i="8"/>
  <c r="C106" i="8"/>
  <c r="C327" i="8"/>
  <c r="C277" i="8"/>
  <c r="C471" i="8"/>
  <c r="C305" i="8"/>
  <c r="C167" i="8"/>
  <c r="C486" i="8"/>
  <c r="C148" i="8"/>
  <c r="C295" i="8"/>
  <c r="C59" i="8"/>
  <c r="C301" i="8"/>
  <c r="C765" i="8"/>
  <c r="C703" i="8"/>
  <c r="C711" i="8"/>
  <c r="C129" i="8"/>
  <c r="C512" i="8"/>
  <c r="C54" i="8"/>
  <c r="C332" i="8"/>
  <c r="C912" i="8"/>
  <c r="C493" i="8"/>
  <c r="C483" i="8"/>
  <c r="C298" i="8"/>
  <c r="C458" i="8"/>
  <c r="C688" i="8"/>
  <c r="C315" i="8"/>
  <c r="A192" i="8"/>
  <c r="C108" i="8"/>
  <c r="C862" i="8"/>
  <c r="C939" i="8"/>
  <c r="C468" i="8"/>
  <c r="C842" i="8"/>
  <c r="C181" i="8"/>
  <c r="C74" i="8"/>
  <c r="C441" i="8"/>
  <c r="C296" i="8"/>
  <c r="C835" i="8"/>
  <c r="C278" i="8"/>
  <c r="C954" i="8"/>
  <c r="C169" i="8"/>
  <c r="C465" i="8"/>
  <c r="C285" i="8"/>
  <c r="C113" i="8"/>
  <c r="C932" i="8"/>
  <c r="C450" i="8"/>
  <c r="A337" i="8"/>
  <c r="C89" i="8"/>
  <c r="C138" i="8"/>
  <c r="C509" i="8"/>
  <c r="C46" i="8"/>
  <c r="C863" i="8"/>
  <c r="C758" i="8"/>
  <c r="C508" i="8"/>
  <c r="C112" i="8"/>
  <c r="C576" i="8"/>
  <c r="C316" i="8"/>
  <c r="C779" i="8"/>
  <c r="A362" i="8"/>
  <c r="C504" i="8"/>
  <c r="C160" i="8"/>
  <c r="C790" i="8"/>
  <c r="C335" i="8"/>
  <c r="C331" i="8"/>
  <c r="C475" i="8"/>
  <c r="A412" i="8"/>
  <c r="C487" i="8"/>
  <c r="C864" i="8"/>
  <c r="C463" i="8"/>
  <c r="C449" i="8"/>
  <c r="C115" i="8"/>
  <c r="C767" i="8"/>
  <c r="C496" i="8"/>
  <c r="C766" i="8"/>
  <c r="C76" i="8"/>
  <c r="C91" i="8"/>
  <c r="C137" i="8"/>
  <c r="C132" i="8"/>
  <c r="C931" i="8"/>
  <c r="C72" i="8"/>
  <c r="C136" i="8"/>
  <c r="C318" i="8"/>
  <c r="C310" i="8"/>
  <c r="C50" i="8"/>
  <c r="C98" i="8"/>
  <c r="C155" i="8"/>
  <c r="C452" i="8"/>
  <c r="C286" i="8"/>
  <c r="C280" i="8"/>
  <c r="C163" i="8"/>
  <c r="C172" i="8"/>
  <c r="C271" i="8"/>
  <c r="C186" i="8"/>
  <c r="C184" i="8"/>
  <c r="C454" i="8"/>
  <c r="A217" i="8"/>
  <c r="C490" i="8"/>
  <c r="C461" i="8"/>
  <c r="C290" i="8"/>
  <c r="C945" i="8"/>
  <c r="C937" i="8"/>
  <c r="C940" i="8"/>
  <c r="C183" i="8"/>
  <c r="C324" i="8"/>
  <c r="C306" i="8"/>
  <c r="C103" i="8"/>
  <c r="C149" i="8"/>
  <c r="C86" i="8"/>
  <c r="C47" i="8"/>
  <c r="C712" i="8"/>
  <c r="C908" i="8"/>
  <c r="C57" i="8"/>
  <c r="C751" i="1"/>
  <c r="C144" i="1"/>
  <c r="C43" i="7" s="1"/>
  <c r="C1933" i="1"/>
  <c r="C1946" i="1"/>
  <c r="C122" i="1"/>
  <c r="C21" i="7" s="1"/>
  <c r="C245" i="1"/>
  <c r="C42" i="1"/>
  <c r="C121" i="1"/>
  <c r="C20" i="7" s="1"/>
  <c r="C807" i="1"/>
  <c r="C152" i="1"/>
  <c r="C51" i="7" s="1"/>
  <c r="C965" i="1"/>
  <c r="C1046" i="1"/>
  <c r="C630" i="1"/>
  <c r="C806" i="1"/>
  <c r="C977" i="1"/>
  <c r="C857" i="1"/>
  <c r="C683" i="1"/>
  <c r="C145" i="7" s="1"/>
  <c r="C1669" i="1"/>
  <c r="C553" i="7" s="1"/>
  <c r="C814" i="1"/>
  <c r="C855" i="1"/>
  <c r="C591" i="1"/>
  <c r="C164" i="1"/>
  <c r="C63" i="7" s="1"/>
  <c r="C123" i="1"/>
  <c r="C22" i="7" s="1"/>
  <c r="C1282" i="1"/>
  <c r="C276" i="7" s="1"/>
  <c r="C446" i="1"/>
  <c r="C1103" i="1"/>
  <c r="C944" i="1"/>
  <c r="C202" i="1"/>
  <c r="C101" i="7" s="1"/>
  <c r="C983" i="1"/>
  <c r="C596" i="1"/>
  <c r="C120" i="1"/>
  <c r="C19" i="7" s="1"/>
  <c r="C1120" i="1"/>
  <c r="C45" i="1"/>
  <c r="C1126" i="1"/>
  <c r="C240" i="1"/>
  <c r="C1676" i="1"/>
  <c r="C560" i="7" s="1"/>
  <c r="C43" i="1"/>
  <c r="C714" i="1"/>
  <c r="C177" i="7" s="1"/>
  <c r="C130" i="1"/>
  <c r="C29" i="7" s="1"/>
  <c r="C645" i="1"/>
  <c r="C478" i="1"/>
  <c r="C1789" i="1"/>
  <c r="C293" i="1"/>
  <c r="C655" i="1"/>
  <c r="C565" i="1"/>
  <c r="C1013" i="1"/>
  <c r="C65" i="1"/>
  <c r="C811" i="1"/>
  <c r="C1060" i="1"/>
  <c r="C989" i="1"/>
  <c r="C642" i="1"/>
  <c r="C1976" i="1"/>
  <c r="C291" i="1"/>
  <c r="C612" i="1"/>
  <c r="C997" i="1"/>
  <c r="C1673" i="1"/>
  <c r="C557" i="7" s="1"/>
  <c r="C916" i="1"/>
  <c r="C1075" i="1"/>
  <c r="C548" i="1"/>
  <c r="C37" i="1"/>
  <c r="C70" i="1"/>
  <c r="C829" i="1"/>
  <c r="C572" i="1"/>
  <c r="C982" i="1"/>
  <c r="C124" i="1"/>
  <c r="C23" i="7" s="1"/>
  <c r="C555" i="1"/>
  <c r="C860" i="1"/>
  <c r="C635" i="1"/>
  <c r="C610" i="1"/>
  <c r="C54" i="1"/>
  <c r="C313" i="1"/>
  <c r="C468" i="1"/>
  <c r="C380" i="1"/>
  <c r="C1017" i="1"/>
  <c r="C699" i="1"/>
  <c r="C162" i="7" s="1"/>
  <c r="C1941" i="1"/>
  <c r="C581" i="1"/>
  <c r="C650" i="1"/>
  <c r="C913" i="1"/>
  <c r="C556" i="1"/>
  <c r="C294" i="1"/>
  <c r="C51" i="1"/>
  <c r="C812" i="1"/>
  <c r="C571" i="1"/>
  <c r="C933" i="1"/>
  <c r="C221" i="1"/>
  <c r="C120" i="7" s="1"/>
  <c r="C1951" i="1"/>
  <c r="C1994" i="1"/>
  <c r="C1102" i="1"/>
  <c r="C259" i="1"/>
  <c r="C547" i="1"/>
  <c r="C888" i="1"/>
  <c r="C287" i="1"/>
  <c r="C754" i="1"/>
  <c r="C68" i="1"/>
  <c r="C1065" i="1"/>
  <c r="C600" i="1"/>
  <c r="C543" i="1"/>
  <c r="C374" i="1"/>
  <c r="C950" i="1"/>
  <c r="C314" i="1"/>
  <c r="C861" i="1"/>
  <c r="C584" i="1"/>
  <c r="C970" i="1"/>
  <c r="C580" i="1"/>
  <c r="C485" i="1"/>
  <c r="C835" i="1"/>
  <c r="C582" i="1"/>
  <c r="C858" i="1"/>
  <c r="C1674" i="1"/>
  <c r="C558" i="7" s="1"/>
  <c r="C1093" i="1"/>
  <c r="C698" i="1"/>
  <c r="C161" i="7" s="1"/>
  <c r="C881" i="1"/>
  <c r="C704" i="1"/>
  <c r="C167" i="7" s="1"/>
  <c r="C1671" i="1"/>
  <c r="C555" i="7" s="1"/>
  <c r="C1100" i="1"/>
  <c r="C863" i="1"/>
  <c r="C647" i="1"/>
  <c r="C594" i="1"/>
  <c r="C640" i="1"/>
  <c r="C243" i="1"/>
  <c r="C64" i="1"/>
  <c r="C1114" i="1"/>
  <c r="C273" i="1"/>
  <c r="C52" i="1"/>
  <c r="C1130" i="1"/>
  <c r="C1136" i="1"/>
  <c r="C597" i="1"/>
  <c r="C653" i="1"/>
  <c r="C1079" i="1"/>
  <c r="C828" i="1"/>
  <c r="C56" i="1"/>
  <c r="C372" i="1"/>
  <c r="C466" i="1"/>
  <c r="C453" i="1"/>
  <c r="C443" i="1"/>
  <c r="C1977" i="1"/>
  <c r="C1279" i="1"/>
  <c r="C273" i="7" s="1"/>
  <c r="C720" i="1"/>
  <c r="C183" i="7" s="1"/>
  <c r="C928" i="1"/>
  <c r="C379" i="1"/>
  <c r="C1002" i="1"/>
  <c r="C657" i="1"/>
  <c r="C558" i="1"/>
  <c r="C454" i="1"/>
  <c r="C484" i="1"/>
  <c r="C119" i="1"/>
  <c r="C18" i="7" s="1"/>
  <c r="C1077" i="1"/>
  <c r="C833" i="1"/>
  <c r="C985" i="1"/>
  <c r="C1041" i="1"/>
  <c r="C143" i="1"/>
  <c r="C42" i="7" s="1"/>
  <c r="C618" i="1"/>
  <c r="C1018" i="1"/>
  <c r="C63" i="1"/>
  <c r="C1950" i="1"/>
  <c r="C1861" i="1"/>
  <c r="C926" i="1"/>
  <c r="C47" i="1"/>
  <c r="C1672" i="1"/>
  <c r="C556" i="7" s="1"/>
  <c r="C455" i="1"/>
  <c r="C456" i="1"/>
  <c r="C1944" i="1"/>
  <c r="C824" i="1"/>
  <c r="C464" i="1"/>
  <c r="C261" i="1"/>
  <c r="C274" i="1"/>
  <c r="C1051" i="1"/>
  <c r="C834" i="1"/>
  <c r="C1019" i="1"/>
  <c r="C536" i="1"/>
  <c r="C609" i="1"/>
  <c r="C284" i="1"/>
  <c r="C289" i="1"/>
  <c r="C638" i="1"/>
  <c r="C832" i="1"/>
  <c r="C452" i="1"/>
  <c r="C463" i="1"/>
  <c r="C716" i="1"/>
  <c r="C179" i="7" s="1"/>
  <c r="C825" i="1"/>
  <c r="C598" i="1"/>
  <c r="C879" i="1"/>
  <c r="C136" i="1"/>
  <c r="C35" i="7" s="1"/>
  <c r="C1031" i="1"/>
  <c r="C1053" i="1"/>
  <c r="C312" i="1"/>
  <c r="C1042" i="1"/>
  <c r="C300" i="1"/>
  <c r="C1089" i="1"/>
  <c r="C960" i="1"/>
  <c r="C579" i="1"/>
  <c r="C266" i="1"/>
  <c r="C465" i="1"/>
  <c r="C636" i="1"/>
  <c r="C775" i="1"/>
  <c r="C1985" i="1"/>
  <c r="C1131" i="1"/>
  <c r="C959" i="1"/>
  <c r="C315" i="1"/>
  <c r="C186" i="1"/>
  <c r="C85" i="7" s="1"/>
  <c r="C1280" i="1"/>
  <c r="C274" i="7" s="1"/>
  <c r="C544" i="1"/>
  <c r="C643" i="1"/>
  <c r="C563" i="1"/>
  <c r="C1987" i="1"/>
  <c r="C235" i="1"/>
  <c r="C552" i="1"/>
  <c r="C147" i="1"/>
  <c r="C46" i="7" s="1"/>
  <c r="C182" i="1"/>
  <c r="C81" i="7" s="1"/>
  <c r="C1104" i="1"/>
  <c r="C306" i="1"/>
  <c r="C381" i="1"/>
  <c r="C254" i="1"/>
  <c r="C973" i="1"/>
  <c r="C628" i="1"/>
  <c r="C461" i="1"/>
  <c r="C804" i="1"/>
  <c r="C990" i="1"/>
  <c r="C925" i="1"/>
  <c r="C269" i="1"/>
  <c r="C605" i="1"/>
  <c r="C823" i="1"/>
  <c r="C378" i="1"/>
  <c r="C905" i="1"/>
  <c r="C467" i="1"/>
  <c r="C777" i="1"/>
  <c r="C1003" i="1"/>
  <c r="C131" i="1"/>
  <c r="C30" i="7" s="1"/>
  <c r="C167" i="1"/>
  <c r="C66" i="7" s="1"/>
  <c r="C1081" i="1"/>
  <c r="C1982" i="1"/>
  <c r="C1137" i="1"/>
  <c r="C1119" i="1"/>
  <c r="C376" i="1"/>
  <c r="C58" i="1"/>
  <c r="C945" i="1"/>
  <c r="C815" i="1"/>
  <c r="C534" i="1"/>
  <c r="C526" i="1"/>
  <c r="C592" i="1"/>
  <c r="C564" i="1"/>
  <c r="C942" i="1"/>
  <c r="C906" i="1"/>
  <c r="C561" i="1"/>
  <c r="C1011" i="1"/>
  <c r="C808" i="1"/>
  <c r="C57" i="1"/>
  <c r="C585" i="1"/>
  <c r="C649" i="1"/>
  <c r="C299" i="1"/>
  <c r="C637" i="1"/>
  <c r="C783" i="1"/>
  <c r="C184" i="1"/>
  <c r="C83" i="7" s="1"/>
  <c r="C474" i="1"/>
  <c r="C697" i="1"/>
  <c r="C160" i="7" s="1"/>
  <c r="C1116" i="1"/>
  <c r="C1080" i="1"/>
  <c r="C774" i="1"/>
  <c r="C554" i="1"/>
  <c r="C1670" i="1"/>
  <c r="C554" i="7" s="1"/>
  <c r="C307" i="1"/>
  <c r="C784" i="1"/>
  <c r="C67" i="1"/>
  <c r="C993" i="1"/>
  <c r="C1952" i="1"/>
  <c r="C365" i="1"/>
  <c r="C258" i="1"/>
  <c r="C1278" i="1"/>
  <c r="C272" i="7" s="1"/>
  <c r="C604" i="1"/>
  <c r="C203" i="1"/>
  <c r="C102" i="7" s="1"/>
  <c r="C1029" i="1"/>
  <c r="C252" i="1"/>
  <c r="C127" i="1"/>
  <c r="C26" i="7" s="1"/>
  <c r="C684" i="1"/>
  <c r="C146" i="7" s="1"/>
  <c r="C588" i="1"/>
  <c r="C1122" i="1"/>
  <c r="C859" i="1"/>
  <c r="C125" i="1"/>
  <c r="C24" i="7" s="1"/>
  <c r="C489" i="1"/>
  <c r="C473" i="1"/>
  <c r="C781" i="1"/>
  <c r="C448" i="1"/>
  <c r="C1109" i="1"/>
  <c r="C316" i="1"/>
  <c r="C272" i="1"/>
  <c r="C2005" i="1"/>
  <c r="C46" i="1"/>
  <c r="C1083" i="1"/>
  <c r="C200" i="1"/>
  <c r="C99" i="7" s="1"/>
  <c r="C782" i="1"/>
  <c r="C488" i="1"/>
  <c r="C1069" i="1"/>
  <c r="C538" i="1"/>
  <c r="C1117" i="1"/>
  <c r="C546" i="1"/>
  <c r="C1043" i="1"/>
  <c r="C831" i="1"/>
  <c r="C701" i="1"/>
  <c r="C164" i="7" s="1"/>
  <c r="C128" i="1"/>
  <c r="C27" i="7" s="1"/>
  <c r="C615" i="1"/>
  <c r="C537" i="1"/>
  <c r="C715" i="1"/>
  <c r="C178" i="7" s="1"/>
  <c r="C1032" i="1"/>
  <c r="C566" i="1"/>
  <c r="C587" i="1"/>
  <c r="C603" i="1"/>
  <c r="C385" i="1"/>
  <c r="C308" i="1"/>
  <c r="C634" i="1"/>
  <c r="C173" i="1"/>
  <c r="C72" i="7" s="1"/>
  <c r="C994" i="1"/>
  <c r="C1004" i="1"/>
  <c r="C1974" i="1"/>
  <c r="C557" i="1"/>
  <c r="C560" i="1"/>
  <c r="C445" i="1"/>
  <c r="C471" i="1"/>
  <c r="C914" i="1"/>
  <c r="C214" i="1"/>
  <c r="C113" i="7" s="1"/>
  <c r="C996" i="1"/>
  <c r="C562" i="1"/>
  <c r="C253" i="1"/>
  <c r="C61" i="1"/>
  <c r="C158" i="1"/>
  <c r="C57" i="7" s="1"/>
  <c r="C295" i="1"/>
  <c r="C644" i="1"/>
  <c r="C288" i="1"/>
  <c r="C611" i="1"/>
  <c r="C317" i="1"/>
  <c r="C377" i="1"/>
  <c r="C155" i="1"/>
  <c r="C54" i="7" s="1"/>
  <c r="C1070" i="1"/>
  <c r="C816" i="1"/>
  <c r="C1087" i="1"/>
  <c r="C586" i="1"/>
  <c r="B15" i="1"/>
  <c r="C1125" i="1"/>
  <c r="C535" i="1"/>
  <c r="C49" i="1"/>
  <c r="C383" i="1"/>
  <c r="C1990" i="1"/>
  <c r="C227" i="1"/>
  <c r="C126" i="7" s="1"/>
  <c r="C1983" i="1"/>
  <c r="C486" i="1"/>
  <c r="C59" i="1"/>
  <c r="C854" i="1"/>
  <c r="C163" i="1"/>
  <c r="C62" i="7" s="1"/>
  <c r="C770" i="1"/>
  <c r="C721" i="1"/>
  <c r="C184" i="7" s="1"/>
  <c r="C447" i="1"/>
  <c r="C1943" i="1"/>
  <c r="C773" i="1"/>
  <c r="C48" i="1"/>
  <c r="C632" i="1"/>
  <c r="C756" i="1"/>
  <c r="C118" i="1"/>
  <c r="C17" i="7" s="1"/>
  <c r="C218" i="1"/>
  <c r="C117" i="7" s="1"/>
  <c r="C1086" i="1"/>
  <c r="C1124" i="1"/>
  <c r="C991" i="1"/>
  <c r="C872" i="1"/>
  <c r="C239" i="1"/>
  <c r="C567" i="1"/>
  <c r="C386" i="1"/>
  <c r="C613" i="1"/>
  <c r="C53" i="1"/>
  <c r="C225" i="1"/>
  <c r="C124" i="7" s="1"/>
  <c r="C1066" i="1"/>
  <c r="C778" i="1"/>
  <c r="C589" i="1"/>
  <c r="C988" i="1"/>
  <c r="C595" i="1"/>
  <c r="C216" i="1"/>
  <c r="C115" i="7" s="1"/>
  <c r="C292" i="1"/>
  <c r="C1715" i="1"/>
  <c r="C600" i="7" s="1"/>
  <c r="C482" i="1"/>
  <c r="C995" i="1"/>
  <c r="C776" i="1"/>
  <c r="C779" i="1"/>
  <c r="C1052" i="1"/>
  <c r="C1015" i="1"/>
  <c r="C574" i="1"/>
  <c r="C267" i="1"/>
  <c r="C652" i="1"/>
  <c r="C718" i="1"/>
  <c r="C181" i="7" s="1"/>
  <c r="C39" i="1"/>
  <c r="C570" i="1"/>
  <c r="C1049" i="1"/>
  <c r="C304" i="1"/>
  <c r="C641" i="1"/>
  <c r="C616" i="1"/>
  <c r="C129" i="1"/>
  <c r="C28" i="7" s="1"/>
  <c r="C813" i="1"/>
  <c r="C568" i="1"/>
  <c r="C911" i="1"/>
  <c r="C116" i="1"/>
  <c r="C15" i="7" s="1"/>
  <c r="C310" i="1"/>
  <c r="C703" i="1"/>
  <c r="C166" i="7" s="1"/>
  <c r="C908" i="1"/>
  <c r="C219" i="1"/>
  <c r="C118" i="7" s="1"/>
  <c r="C490" i="1"/>
  <c r="C117" i="1"/>
  <c r="C16" i="7" s="1"/>
  <c r="C162" i="1"/>
  <c r="C61" i="7" s="1"/>
  <c r="C180" i="1"/>
  <c r="C79" i="7" s="1"/>
  <c r="C241" i="1"/>
  <c r="C311" i="1"/>
  <c r="C1948" i="1"/>
  <c r="C332" i="1"/>
  <c r="C338" i="1"/>
  <c r="C320" i="1"/>
  <c r="C349" i="1"/>
  <c r="C358" i="1"/>
  <c r="C342" i="1"/>
  <c r="C359" i="1"/>
  <c r="C1128" i="1"/>
  <c r="C998" i="1"/>
  <c r="C1984" i="1"/>
  <c r="C539" i="1"/>
  <c r="C1677" i="1"/>
  <c r="C561" i="7" s="1"/>
  <c r="C606" i="1"/>
  <c r="C492" i="1"/>
  <c r="C244" i="1"/>
  <c r="C469" i="1"/>
  <c r="C856" i="1"/>
  <c r="C55" i="1"/>
  <c r="C986" i="1"/>
  <c r="C1667" i="1"/>
  <c r="C551" i="7" s="1"/>
  <c r="C577" i="1"/>
  <c r="C1000" i="1"/>
  <c r="C159" i="1"/>
  <c r="C58" i="7" s="1"/>
  <c r="C1680" i="1"/>
  <c r="C564" i="7" s="1"/>
  <c r="C590" i="1"/>
  <c r="C257" i="1"/>
  <c r="C1123" i="1"/>
  <c r="C487" i="1"/>
  <c r="C633" i="1"/>
  <c r="C1135" i="1"/>
  <c r="C1022" i="1"/>
  <c r="C438" i="1"/>
  <c r="C1945" i="1"/>
  <c r="C608" i="1"/>
  <c r="C573" i="1"/>
  <c r="C472" i="1"/>
  <c r="C1084" i="1"/>
  <c r="C1995" i="1"/>
  <c r="C648" i="1"/>
  <c r="C491" i="1"/>
  <c r="C530" i="1"/>
  <c r="C1044" i="1"/>
  <c r="C904" i="1"/>
  <c r="C40" i="1"/>
  <c r="C569" i="1"/>
  <c r="C897" i="1"/>
  <c r="C450" i="1"/>
  <c r="C912" i="1"/>
  <c r="C285" i="1"/>
  <c r="C69" i="1"/>
  <c r="C50" i="1"/>
  <c r="C700" i="1"/>
  <c r="C163" i="7" s="1"/>
  <c r="C551" i="1"/>
  <c r="C439" i="1"/>
  <c r="C553" i="1"/>
  <c r="C151" i="1"/>
  <c r="C50" i="7" s="1"/>
  <c r="C780" i="1"/>
  <c r="C1034" i="1"/>
  <c r="C2004" i="1"/>
  <c r="C890" i="1"/>
  <c r="C658" i="1"/>
  <c r="C327" i="1"/>
  <c r="C334" i="1"/>
  <c r="C325" i="1"/>
  <c r="C339" i="1"/>
  <c r="C329" i="1"/>
  <c r="C336" i="1"/>
  <c r="C351" i="1"/>
  <c r="C346" i="1"/>
  <c r="C360" i="1"/>
  <c r="C350" i="1"/>
  <c r="C1078" i="1"/>
  <c r="C930" i="1"/>
  <c r="C249" i="1"/>
  <c r="C810" i="1"/>
  <c r="C1067" i="1"/>
  <c r="C1050" i="1"/>
  <c r="C617" i="1"/>
  <c r="C206" i="1"/>
  <c r="C105" i="7" s="1"/>
  <c r="C907" i="1"/>
  <c r="C384" i="1"/>
  <c r="C999" i="1"/>
  <c r="C178" i="1"/>
  <c r="C77" i="7" s="1"/>
  <c r="C126" i="1"/>
  <c r="C25" i="7" s="1"/>
  <c r="C540" i="1"/>
  <c r="C1101" i="1"/>
  <c r="C899" i="1"/>
  <c r="C262" i="1"/>
  <c r="C755" i="1"/>
  <c r="C382" i="1"/>
  <c r="C927" i="1"/>
  <c r="C1091" i="1"/>
  <c r="C614" i="1"/>
  <c r="C176" i="1"/>
  <c r="C75" i="7" s="1"/>
  <c r="C1005" i="1"/>
  <c r="C66" i="1"/>
  <c r="C1068" i="1"/>
  <c r="C1033" i="1"/>
  <c r="C1014" i="1"/>
  <c r="C830" i="1"/>
  <c r="C1666" i="1"/>
  <c r="C550" i="7" s="1"/>
  <c r="C529" i="1"/>
  <c r="C678" i="1"/>
  <c r="C140" i="7" s="1"/>
  <c r="C1129" i="1"/>
  <c r="C654" i="1"/>
  <c r="C576" i="1"/>
  <c r="C575" i="1"/>
  <c r="C817" i="1"/>
  <c r="C943" i="1"/>
  <c r="C470" i="1"/>
  <c r="C578" i="1"/>
  <c r="C309" i="1"/>
  <c r="C992" i="1"/>
  <c r="C457" i="1"/>
  <c r="C862" i="1"/>
  <c r="C583" i="1"/>
  <c r="C910" i="1"/>
  <c r="C599" i="1"/>
  <c r="C601" i="1"/>
  <c r="C62" i="1"/>
  <c r="C275" i="1"/>
  <c r="C719" i="1"/>
  <c r="C182" i="7" s="1"/>
  <c r="C545" i="1"/>
  <c r="C483" i="1"/>
  <c r="C1113" i="1"/>
  <c r="C248" i="1"/>
  <c r="C451" i="1"/>
  <c r="C593" i="1"/>
  <c r="C328" i="1"/>
  <c r="C321" i="1"/>
  <c r="C335" i="1"/>
  <c r="C331" i="1"/>
  <c r="C353" i="1"/>
  <c r="C341" i="1"/>
  <c r="C352" i="1"/>
  <c r="C607" i="1"/>
  <c r="C984" i="1"/>
  <c r="C1001" i="1"/>
  <c r="C157" i="1"/>
  <c r="C56" i="7" s="1"/>
  <c r="C809" i="1"/>
  <c r="C987" i="1"/>
  <c r="C1954" i="1"/>
  <c r="C1092" i="1"/>
  <c r="C629" i="1"/>
  <c r="C980" i="1"/>
  <c r="C263" i="1"/>
  <c r="C962" i="1"/>
  <c r="C115" i="1"/>
  <c r="C14" i="7" s="1"/>
  <c r="C702" i="1"/>
  <c r="C165" i="7" s="1"/>
  <c r="C651" i="1"/>
  <c r="C233" i="1"/>
  <c r="C602" i="1"/>
  <c r="C559" i="1"/>
  <c r="C974" i="1"/>
  <c r="C318" i="1"/>
  <c r="C220" i="1"/>
  <c r="C119" i="7" s="1"/>
  <c r="C1668" i="1"/>
  <c r="C552" i="7" s="1"/>
  <c r="C1115" i="1"/>
  <c r="C250" i="1"/>
  <c r="C479" i="1"/>
  <c r="C1277" i="1"/>
  <c r="C271" i="7" s="1"/>
  <c r="C1942" i="1"/>
  <c r="C542" i="1"/>
  <c r="C1988" i="1"/>
  <c r="C276" i="1"/>
  <c r="C1021" i="1"/>
  <c r="C656" i="1"/>
  <c r="C449" i="1"/>
  <c r="C234" i="1"/>
  <c r="C1048" i="1"/>
  <c r="C375" i="1"/>
  <c r="C541" i="1"/>
  <c r="C771" i="1"/>
  <c r="C369" i="1"/>
  <c r="C290" i="1"/>
  <c r="C971" i="1"/>
  <c r="C1679" i="1"/>
  <c r="C563" i="7" s="1"/>
  <c r="C1045" i="1"/>
  <c r="C870" i="1"/>
  <c r="C1030" i="1"/>
  <c r="C531" i="1"/>
  <c r="C1989" i="1"/>
  <c r="C41" i="1"/>
  <c r="C631" i="1"/>
  <c r="C217" i="1"/>
  <c r="C116" i="7" s="1"/>
  <c r="C981" i="1"/>
  <c r="C947" i="1"/>
  <c r="C236" i="1"/>
  <c r="C364" i="1"/>
  <c r="C1056" i="1"/>
  <c r="C639" i="1"/>
  <c r="C805" i="1"/>
  <c r="C717" i="1"/>
  <c r="C180" i="7" s="1"/>
  <c r="C330" i="1"/>
  <c r="C337" i="1"/>
  <c r="C333" i="1"/>
  <c r="C348" i="1"/>
  <c r="C355" i="1"/>
  <c r="C356" i="1"/>
  <c r="C354" i="1"/>
  <c r="C954" i="1"/>
  <c r="C357" i="1"/>
  <c r="C951" i="1"/>
  <c r="C727" i="1"/>
  <c r="C728" i="1"/>
  <c r="F553" i="1"/>
  <c r="C1111" i="1"/>
  <c r="C627" i="1"/>
  <c r="H1337" i="1"/>
  <c r="H333" i="7" s="1"/>
  <c r="H1172" i="1"/>
  <c r="H78" i="8" s="1"/>
  <c r="F771" i="1"/>
  <c r="AE741" i="1"/>
  <c r="H770" i="1"/>
  <c r="L1215" i="1"/>
  <c r="L206" i="7" s="1"/>
  <c r="M1215" i="1"/>
  <c r="M206" i="7" s="1"/>
  <c r="AE570" i="1"/>
  <c r="F1215" i="1"/>
  <c r="F206" i="7" s="1"/>
  <c r="G1215" i="1"/>
  <c r="G206" i="7" s="1"/>
  <c r="F1337" i="1"/>
  <c r="F333" i="7" s="1"/>
  <c r="F1172" i="1"/>
  <c r="AE582" i="1"/>
  <c r="AE583" i="1"/>
  <c r="AE557" i="1"/>
  <c r="AE558" i="1"/>
  <c r="F1333" i="1"/>
  <c r="F329" i="7" s="1"/>
  <c r="F1170" i="1"/>
  <c r="H827" i="8"/>
  <c r="G828" i="8"/>
  <c r="H829" i="8" s="1"/>
  <c r="I901" i="8"/>
  <c r="H902" i="8"/>
  <c r="G1338" i="1"/>
  <c r="G334" i="7" s="1"/>
  <c r="G1174" i="1"/>
  <c r="AE595" i="1"/>
  <c r="F1336" i="1"/>
  <c r="F332" i="7" s="1"/>
  <c r="F1171" i="1"/>
  <c r="P1215" i="1"/>
  <c r="P206" i="7" s="1"/>
  <c r="Q1215" i="1"/>
  <c r="Q206" i="7" s="1"/>
  <c r="J1215" i="1"/>
  <c r="J206" i="7" s="1"/>
  <c r="K1215" i="1"/>
  <c r="K206" i="7" s="1"/>
  <c r="AE607" i="1"/>
  <c r="AE599" i="1"/>
  <c r="AE608" i="1"/>
  <c r="AE604" i="1"/>
  <c r="AE606" i="1"/>
  <c r="I164" i="1"/>
  <c r="I63" i="7" s="1"/>
  <c r="H163" i="1"/>
  <c r="H62" i="7" s="1"/>
  <c r="AE584" i="1"/>
  <c r="F504" i="8"/>
  <c r="F503" i="8" s="1"/>
  <c r="G1495" i="1"/>
  <c r="H35" i="8"/>
  <c r="G36" i="8"/>
  <c r="I898" i="8"/>
  <c r="I899" i="8" s="1"/>
  <c r="I673" i="8"/>
  <c r="I678" i="8" s="1"/>
  <c r="I748" i="8"/>
  <c r="I749" i="8" s="1"/>
  <c r="I785" i="8" s="1"/>
  <c r="I824" i="8"/>
  <c r="I825" i="8" s="1"/>
  <c r="I859" i="8" s="1"/>
  <c r="J672" i="8"/>
  <c r="G903" i="8"/>
  <c r="G904" i="8"/>
  <c r="G316" i="8"/>
  <c r="H754" i="8"/>
  <c r="I755" i="8" s="1"/>
  <c r="H239" i="1"/>
  <c r="I242" i="1" s="1"/>
  <c r="I243" i="1" s="1"/>
  <c r="G1334" i="1"/>
  <c r="G330" i="7" s="1"/>
  <c r="G1169" i="1"/>
  <c r="H1336" i="1"/>
  <c r="H332" i="7" s="1"/>
  <c r="H1171" i="1"/>
  <c r="I598" i="1"/>
  <c r="I586" i="1"/>
  <c r="J88" i="1"/>
  <c r="I551" i="1"/>
  <c r="I559" i="1"/>
  <c r="I1123" i="1"/>
  <c r="I1990" i="1"/>
  <c r="I1984" i="1"/>
  <c r="I1983" i="1"/>
  <c r="I1989" i="1"/>
  <c r="I1988" i="1"/>
  <c r="I770" i="1"/>
  <c r="I1985" i="1"/>
  <c r="I1075" i="1"/>
  <c r="I822" i="1"/>
  <c r="AE596" i="1"/>
  <c r="T1215" i="1"/>
  <c r="T206" i="7" s="1"/>
  <c r="N1215" i="1"/>
  <c r="N206" i="7" s="1"/>
  <c r="N560" i="1"/>
  <c r="O1215" i="1"/>
  <c r="O206" i="7" s="1"/>
  <c r="F1338" i="1"/>
  <c r="F334" i="7" s="1"/>
  <c r="F1174" i="1"/>
  <c r="I1862" i="1"/>
  <c r="H1863" i="1"/>
  <c r="I1791" i="1"/>
  <c r="J1790" i="1"/>
  <c r="J753" i="8"/>
  <c r="I248" i="1"/>
  <c r="J251" i="1" s="1"/>
  <c r="Q872" i="1"/>
  <c r="G1337" i="1"/>
  <c r="G333" i="7" s="1"/>
  <c r="G1172" i="1"/>
  <c r="H1338" i="1"/>
  <c r="H334" i="7" s="1"/>
  <c r="F304" i="1"/>
  <c r="F308" i="1"/>
  <c r="G1333" i="1"/>
  <c r="G329" i="7" s="1"/>
  <c r="G1170" i="1"/>
  <c r="H1215" i="1"/>
  <c r="H206" i="7" s="1"/>
  <c r="AE569" i="1"/>
  <c r="I1215" i="1"/>
  <c r="I206" i="7" s="1"/>
  <c r="F1334" i="1"/>
  <c r="F330" i="7" s="1"/>
  <c r="F1169" i="1"/>
  <c r="R1215" i="1"/>
  <c r="R206" i="7" s="1"/>
  <c r="S1215" i="1"/>
  <c r="S206" i="7" s="1"/>
  <c r="H709" i="8"/>
  <c r="I709" i="8" s="1"/>
  <c r="J679" i="8" l="1"/>
  <c r="F121" i="8"/>
  <c r="R567" i="1"/>
  <c r="J290" i="1"/>
  <c r="K29" i="1"/>
  <c r="V935" i="1"/>
  <c r="V936" i="1" s="1"/>
  <c r="V686" i="1"/>
  <c r="V842" i="1"/>
  <c r="V843" i="1" s="1"/>
  <c r="AB118" i="1"/>
  <c r="AB17" i="7" s="1"/>
  <c r="AB272" i="7"/>
  <c r="U148" i="7"/>
  <c r="U687" i="1"/>
  <c r="U149" i="7" s="1"/>
  <c r="J828" i="1"/>
  <c r="J292" i="1"/>
  <c r="J555" i="1" s="1"/>
  <c r="H194" i="1"/>
  <c r="G93" i="7"/>
  <c r="AC118" i="1"/>
  <c r="AC17" i="7" s="1"/>
  <c r="AC272" i="7"/>
  <c r="J426" i="1"/>
  <c r="J519" i="1"/>
  <c r="J524" i="1"/>
  <c r="J518" i="1"/>
  <c r="J520" i="1"/>
  <c r="J402" i="1"/>
  <c r="T148" i="7"/>
  <c r="T687" i="1"/>
  <c r="T149" i="7" s="1"/>
  <c r="H1333" i="1"/>
  <c r="H329" i="7" s="1"/>
  <c r="J639" i="1"/>
  <c r="Y118" i="1"/>
  <c r="Y17" i="7" s="1"/>
  <c r="Y272" i="7"/>
  <c r="U1894" i="1"/>
  <c r="H223" i="1"/>
  <c r="G122" i="7"/>
  <c r="I95" i="7"/>
  <c r="J196" i="1"/>
  <c r="J526" i="1"/>
  <c r="K824" i="1"/>
  <c r="Z118" i="1"/>
  <c r="Z17" i="7" s="1"/>
  <c r="Z272" i="7"/>
  <c r="J149" i="1"/>
  <c r="I48" i="7"/>
  <c r="J30" i="1"/>
  <c r="J630" i="1"/>
  <c r="U680" i="1"/>
  <c r="U142" i="7" s="1"/>
  <c r="U141" i="7"/>
  <c r="AA118" i="1"/>
  <c r="AA17" i="7" s="1"/>
  <c r="AA272" i="7"/>
  <c r="H204" i="1"/>
  <c r="G103" i="7"/>
  <c r="H683" i="1"/>
  <c r="H144" i="7"/>
  <c r="I683" i="1"/>
  <c r="I144" i="7"/>
  <c r="F683" i="1"/>
  <c r="F145" i="7" s="1"/>
  <c r="F144" i="7"/>
  <c r="G683" i="1"/>
  <c r="G145" i="7" s="1"/>
  <c r="G144" i="7"/>
  <c r="J567" i="1"/>
  <c r="A243" i="7"/>
  <c r="A217" i="7"/>
  <c r="A382" i="7"/>
  <c r="A646" i="7"/>
  <c r="A356" i="7"/>
  <c r="A289" i="7"/>
  <c r="A408" i="7"/>
  <c r="C1664" i="1"/>
  <c r="C548" i="7" s="1"/>
  <c r="C132" i="7"/>
  <c r="C1705" i="1"/>
  <c r="C589" i="7" s="1"/>
  <c r="C133" i="7"/>
  <c r="F522" i="1"/>
  <c r="G513" i="1" s="1"/>
  <c r="J145" i="1"/>
  <c r="J44" i="7" s="1"/>
  <c r="H904" i="8"/>
  <c r="C1687" i="1"/>
  <c r="C571" i="7" s="1"/>
  <c r="C1689" i="1"/>
  <c r="C573" i="7" s="1"/>
  <c r="C1686" i="1"/>
  <c r="C570" i="7" s="1"/>
  <c r="C1688" i="1"/>
  <c r="C572" i="7" s="1"/>
  <c r="P560" i="1"/>
  <c r="H1169" i="1"/>
  <c r="J141" i="1"/>
  <c r="J40" i="7" s="1"/>
  <c r="G138" i="1"/>
  <c r="G37" i="7" s="1"/>
  <c r="H402" i="1"/>
  <c r="H1748" i="1"/>
  <c r="H633" i="7" s="1"/>
  <c r="G308" i="1"/>
  <c r="H308" i="1" s="1"/>
  <c r="I308" i="1" s="1"/>
  <c r="J308" i="1" s="1"/>
  <c r="K308" i="1" s="1"/>
  <c r="L308" i="1" s="1"/>
  <c r="M308" i="1" s="1"/>
  <c r="N308" i="1" s="1"/>
  <c r="O308" i="1" s="1"/>
  <c r="P308" i="1" s="1"/>
  <c r="Q308" i="1" s="1"/>
  <c r="R308" i="1" s="1"/>
  <c r="S308" i="1" s="1"/>
  <c r="T308" i="1" s="1"/>
  <c r="I754" i="8"/>
  <c r="I1864" i="1"/>
  <c r="H1792" i="1"/>
  <c r="I1792" i="1" s="1"/>
  <c r="J1792" i="1" s="1"/>
  <c r="J155" i="1"/>
  <c r="J54" i="7" s="1"/>
  <c r="J160" i="1"/>
  <c r="J59" i="7" s="1"/>
  <c r="F405" i="1"/>
  <c r="J153" i="1"/>
  <c r="J52" i="7" s="1"/>
  <c r="I155" i="1"/>
  <c r="I54" i="7" s="1"/>
  <c r="I199" i="1"/>
  <c r="I98" i="7" s="1"/>
  <c r="H202" i="1"/>
  <c r="H101" i="7" s="1"/>
  <c r="I197" i="1"/>
  <c r="I96" i="7" s="1"/>
  <c r="K165" i="1"/>
  <c r="K64" i="7" s="1"/>
  <c r="J198" i="1"/>
  <c r="J97" i="7" s="1"/>
  <c r="I42" i="7"/>
  <c r="J144" i="1"/>
  <c r="J43" i="7" s="1"/>
  <c r="I171" i="1"/>
  <c r="I70" i="7" s="1"/>
  <c r="G504" i="8"/>
  <c r="G503" i="8" s="1"/>
  <c r="G321" i="8"/>
  <c r="G320" i="8" s="1"/>
  <c r="I1469" i="1"/>
  <c r="Y587" i="1"/>
  <c r="Y443" i="1"/>
  <c r="Y593" i="1" s="1"/>
  <c r="AA587" i="1"/>
  <c r="AA443" i="1"/>
  <c r="AA593" i="1" s="1"/>
  <c r="AC587" i="1"/>
  <c r="AC443" i="1"/>
  <c r="AC593" i="1" s="1"/>
  <c r="Z122" i="1"/>
  <c r="Z21" i="7" s="1"/>
  <c r="Z1329" i="1"/>
  <c r="Z325" i="7" s="1"/>
  <c r="AA1329" i="1"/>
  <c r="AA325" i="7" s="1"/>
  <c r="AA122" i="1"/>
  <c r="AA21" i="7" s="1"/>
  <c r="AC1329" i="1"/>
  <c r="AC325" i="7" s="1"/>
  <c r="AC122" i="1"/>
  <c r="AC21" i="7" s="1"/>
  <c r="Z304" i="1"/>
  <c r="Z567" i="1" s="1"/>
  <c r="Z560" i="1"/>
  <c r="AB304" i="1"/>
  <c r="AB567" i="1" s="1"/>
  <c r="AB560" i="1"/>
  <c r="AC778" i="1"/>
  <c r="AC774" i="1"/>
  <c r="AC785" i="1"/>
  <c r="AC775" i="1"/>
  <c r="Y785" i="1"/>
  <c r="Y775" i="1"/>
  <c r="Y778" i="1"/>
  <c r="Y774" i="1"/>
  <c r="Z785" i="1"/>
  <c r="Z775" i="1"/>
  <c r="Z778" i="1"/>
  <c r="Z774" i="1"/>
  <c r="Z574" i="1"/>
  <c r="Z372" i="1"/>
  <c r="Z580" i="1" s="1"/>
  <c r="AB574" i="1"/>
  <c r="AB372" i="1"/>
  <c r="AB580" i="1" s="1"/>
  <c r="Z572" i="1"/>
  <c r="AB572" i="1"/>
  <c r="K431" i="1"/>
  <c r="K426" i="1"/>
  <c r="Y467" i="1"/>
  <c r="Z467" i="1" s="1"/>
  <c r="AA467" i="1" s="1"/>
  <c r="AB467" i="1" s="1"/>
  <c r="AC467" i="1" s="1"/>
  <c r="B462" i="1" s="1"/>
  <c r="G494" i="8"/>
  <c r="G493" i="8" s="1"/>
  <c r="G268" i="1"/>
  <c r="G269" i="1" s="1"/>
  <c r="Z587" i="1"/>
  <c r="Z443" i="1"/>
  <c r="Z593" i="1" s="1"/>
  <c r="AB587" i="1"/>
  <c r="AB443" i="1"/>
  <c r="AB593" i="1" s="1"/>
  <c r="Y1329" i="1"/>
  <c r="Y325" i="7" s="1"/>
  <c r="Y122" i="1"/>
  <c r="Y21" i="7" s="1"/>
  <c r="AB1329" i="1"/>
  <c r="AB325" i="7" s="1"/>
  <c r="AB122" i="1"/>
  <c r="AB21" i="7" s="1"/>
  <c r="I1490" i="1"/>
  <c r="I496" i="8" s="1"/>
  <c r="I495" i="8" s="1"/>
  <c r="AB250" i="1"/>
  <c r="Y304" i="1"/>
  <c r="Y567" i="1" s="1"/>
  <c r="Y560" i="1"/>
  <c r="AA304" i="1"/>
  <c r="AA567" i="1" s="1"/>
  <c r="AA560" i="1"/>
  <c r="AC304" i="1"/>
  <c r="AC567" i="1" s="1"/>
  <c r="AC560" i="1"/>
  <c r="AB785" i="1"/>
  <c r="AB775" i="1"/>
  <c r="AB778" i="1"/>
  <c r="AB774" i="1"/>
  <c r="AA785" i="1"/>
  <c r="AA775" i="1"/>
  <c r="AA778" i="1"/>
  <c r="AA774" i="1"/>
  <c r="Y574" i="1"/>
  <c r="Y372" i="1"/>
  <c r="Y580" i="1" s="1"/>
  <c r="AA574" i="1"/>
  <c r="AA372" i="1"/>
  <c r="AA580" i="1" s="1"/>
  <c r="AC574" i="1"/>
  <c r="AC372" i="1"/>
  <c r="AC580" i="1" s="1"/>
  <c r="Y572" i="1"/>
  <c r="AA572" i="1"/>
  <c r="AC572" i="1"/>
  <c r="N775" i="1"/>
  <c r="N776" i="1" s="1"/>
  <c r="N780" i="1" s="1"/>
  <c r="N778" i="1"/>
  <c r="K774" i="1"/>
  <c r="K775" i="1"/>
  <c r="K777" i="1" s="1"/>
  <c r="N24" i="15"/>
  <c r="G778" i="1"/>
  <c r="J778" i="1"/>
  <c r="D24" i="15"/>
  <c r="B24" i="15"/>
  <c r="I24" i="15"/>
  <c r="H24" i="15"/>
  <c r="G24" i="15"/>
  <c r="G785" i="1"/>
  <c r="J774" i="1"/>
  <c r="G293" i="8"/>
  <c r="G292" i="8" s="1"/>
  <c r="H293" i="8"/>
  <c r="H292" i="8" s="1"/>
  <c r="O24" i="15"/>
  <c r="K785" i="1"/>
  <c r="N785" i="1"/>
  <c r="E21" i="15"/>
  <c r="M21" i="15"/>
  <c r="L24" i="15"/>
  <c r="C21" i="15"/>
  <c r="K24" i="15"/>
  <c r="F21" i="15"/>
  <c r="J24" i="15"/>
  <c r="G774" i="1"/>
  <c r="J785" i="1"/>
  <c r="F24" i="15"/>
  <c r="T560" i="1"/>
  <c r="S118" i="1"/>
  <c r="S17" i="7" s="1"/>
  <c r="T118" i="1"/>
  <c r="T17" i="7" s="1"/>
  <c r="P118" i="1"/>
  <c r="P17" i="7" s="1"/>
  <c r="J118" i="1"/>
  <c r="J17" i="7" s="1"/>
  <c r="G118" i="1"/>
  <c r="G17" i="7" s="1"/>
  <c r="N118" i="1"/>
  <c r="N17" i="7" s="1"/>
  <c r="L118" i="1"/>
  <c r="L17" i="7" s="1"/>
  <c r="U118" i="1"/>
  <c r="U17" i="7" s="1"/>
  <c r="W118" i="1"/>
  <c r="W17" i="7" s="1"/>
  <c r="F464" i="8"/>
  <c r="F463" i="8" s="1"/>
  <c r="R118" i="1"/>
  <c r="R17" i="7" s="1"/>
  <c r="Q118" i="1"/>
  <c r="Q17" i="7" s="1"/>
  <c r="K118" i="1"/>
  <c r="K17" i="7" s="1"/>
  <c r="I118" i="1"/>
  <c r="I17" i="7" s="1"/>
  <c r="O118" i="1"/>
  <c r="O17" i="7" s="1"/>
  <c r="M118" i="1"/>
  <c r="M17" i="7" s="1"/>
  <c r="H118" i="1"/>
  <c r="H17" i="7" s="1"/>
  <c r="V118" i="1"/>
  <c r="V17" i="7" s="1"/>
  <c r="X118" i="1"/>
  <c r="X17" i="7" s="1"/>
  <c r="F429" i="1"/>
  <c r="E8" i="10"/>
  <c r="F8" i="10" s="1"/>
  <c r="E16" i="10"/>
  <c r="F16" i="10" s="1"/>
  <c r="E6" i="10"/>
  <c r="F6" i="10" s="1"/>
  <c r="G260" i="1"/>
  <c r="G261" i="1" s="1"/>
  <c r="G257" i="1" s="1"/>
  <c r="H260" i="1" s="1"/>
  <c r="H261" i="1" s="1"/>
  <c r="H257" i="1" s="1"/>
  <c r="I260" i="1" s="1"/>
  <c r="I261" i="1" s="1"/>
  <c r="I643" i="1"/>
  <c r="I642" i="1"/>
  <c r="I656" i="1" s="1"/>
  <c r="I645" i="1"/>
  <c r="I644" i="1"/>
  <c r="I658" i="1" s="1"/>
  <c r="J259" i="1"/>
  <c r="I257" i="1"/>
  <c r="F321" i="8"/>
  <c r="F320" i="8" s="1"/>
  <c r="F2024" i="1"/>
  <c r="F1801" i="1"/>
  <c r="H267" i="1"/>
  <c r="I267" i="1" s="1"/>
  <c r="J267" i="1" s="1"/>
  <c r="K267" i="1" s="1"/>
  <c r="L267" i="1" s="1"/>
  <c r="M267" i="1" s="1"/>
  <c r="N267" i="1" s="1"/>
  <c r="O267" i="1" s="1"/>
  <c r="P267" i="1" s="1"/>
  <c r="Q267" i="1" s="1"/>
  <c r="R267" i="1" s="1"/>
  <c r="S267" i="1" s="1"/>
  <c r="T267" i="1" s="1"/>
  <c r="U267" i="1" s="1"/>
  <c r="V267" i="1" s="1"/>
  <c r="W267" i="1" s="1"/>
  <c r="G266" i="1"/>
  <c r="H691" i="8"/>
  <c r="L560" i="1"/>
  <c r="L567" i="1"/>
  <c r="C1662" i="1"/>
  <c r="C546" i="7" s="1"/>
  <c r="AE306" i="1"/>
  <c r="B307" i="1" s="1"/>
  <c r="C1663" i="1"/>
  <c r="C547" i="7" s="1"/>
  <c r="C1665" i="1"/>
  <c r="C549" i="7" s="1"/>
  <c r="R560" i="1"/>
  <c r="H903" i="8"/>
  <c r="J560" i="1"/>
  <c r="T567" i="1"/>
  <c r="W572" i="1"/>
  <c r="W1340" i="1" s="1"/>
  <c r="W336" i="7" s="1"/>
  <c r="I273" i="1"/>
  <c r="J272" i="1"/>
  <c r="V963" i="1"/>
  <c r="V964" i="1" s="1"/>
  <c r="V891" i="1"/>
  <c r="V892" i="1" s="1"/>
  <c r="V882" i="1"/>
  <c r="V883" i="1" s="1"/>
  <c r="V975" i="1"/>
  <c r="V976" i="1" s="1"/>
  <c r="V931" i="1"/>
  <c r="V932" i="1" s="1"/>
  <c r="V826" i="1"/>
  <c r="V827" i="1" s="1"/>
  <c r="W80" i="1"/>
  <c r="V952" i="1"/>
  <c r="V953" i="1" s="1"/>
  <c r="V873" i="1"/>
  <c r="V874" i="1" s="1"/>
  <c r="V948" i="1"/>
  <c r="V949" i="1" s="1"/>
  <c r="V900" i="1"/>
  <c r="V901" i="1" s="1"/>
  <c r="V679" i="1"/>
  <c r="V81" i="1"/>
  <c r="H553" i="1"/>
  <c r="H293" i="1"/>
  <c r="H556" i="1" s="1"/>
  <c r="H1473" i="1" s="1"/>
  <c r="I1102" i="1"/>
  <c r="H1104" i="1"/>
  <c r="H1101" i="1" s="1"/>
  <c r="G78" i="8"/>
  <c r="G77" i="8" s="1"/>
  <c r="G295" i="8"/>
  <c r="G294" i="8" s="1"/>
  <c r="G82" i="8"/>
  <c r="G81" i="8" s="1"/>
  <c r="G159" i="8"/>
  <c r="G158" i="8" s="1"/>
  <c r="H698" i="1"/>
  <c r="H161" i="7" s="1"/>
  <c r="P567" i="1"/>
  <c r="X677" i="8"/>
  <c r="X881" i="1"/>
  <c r="Y881" i="1" s="1"/>
  <c r="G293" i="1"/>
  <c r="G556" i="1" s="1"/>
  <c r="G1473" i="1" s="1"/>
  <c r="G553" i="1"/>
  <c r="I553" i="1"/>
  <c r="I293" i="1"/>
  <c r="I556" i="1" s="1"/>
  <c r="I1473" i="1" s="1"/>
  <c r="I317" i="8"/>
  <c r="I316" i="8" s="1"/>
  <c r="I167" i="8"/>
  <c r="I166" i="8" s="1"/>
  <c r="I159" i="8"/>
  <c r="I158" i="8" s="1"/>
  <c r="I113" i="8"/>
  <c r="I112" i="8" s="1"/>
  <c r="I53" i="8"/>
  <c r="I52" i="8" s="1"/>
  <c r="I116" i="8"/>
  <c r="I115" i="8" s="1"/>
  <c r="I457" i="8"/>
  <c r="I456" i="8" s="1"/>
  <c r="I161" i="8"/>
  <c r="I160" i="8" s="1"/>
  <c r="I92" i="8"/>
  <c r="I91" i="8" s="1"/>
  <c r="I96" i="8"/>
  <c r="I95" i="8" s="1"/>
  <c r="I34" i="8"/>
  <c r="J33" i="8"/>
  <c r="H74" i="8"/>
  <c r="H73" i="8" s="1"/>
  <c r="H301" i="8"/>
  <c r="H300" i="8" s="1"/>
  <c r="X778" i="1"/>
  <c r="X774" i="1"/>
  <c r="X785" i="1"/>
  <c r="X775" i="1"/>
  <c r="K526" i="1"/>
  <c r="K631" i="1"/>
  <c r="L29" i="1"/>
  <c r="K30" i="1"/>
  <c r="K630" i="1"/>
  <c r="K641" i="1"/>
  <c r="K645" i="1" s="1"/>
  <c r="K639" i="1"/>
  <c r="K529" i="1"/>
  <c r="K291" i="1"/>
  <c r="K554" i="1" s="1"/>
  <c r="X890" i="1"/>
  <c r="Y890" i="1" s="1"/>
  <c r="I98" i="1"/>
  <c r="J95" i="1"/>
  <c r="X574" i="1"/>
  <c r="X372" i="1"/>
  <c r="X580" i="1" s="1"/>
  <c r="W574" i="1"/>
  <c r="W372" i="1"/>
  <c r="W580" i="1" s="1"/>
  <c r="U572" i="1"/>
  <c r="I230" i="1"/>
  <c r="I866" i="1"/>
  <c r="I921" i="1"/>
  <c r="I1785" i="1"/>
  <c r="I1957" i="1"/>
  <c r="I820" i="1"/>
  <c r="I1096" i="1"/>
  <c r="I2008" i="1"/>
  <c r="I1931" i="1"/>
  <c r="I1319" i="1"/>
  <c r="I315" i="7" s="1"/>
  <c r="I768" i="1"/>
  <c r="I738" i="1"/>
  <c r="I669" i="1"/>
  <c r="I130" i="7" s="1"/>
  <c r="I1711" i="1"/>
  <c r="I596" i="7" s="1"/>
  <c r="I1197" i="1"/>
  <c r="I188" i="7" s="1"/>
  <c r="I1859" i="1"/>
  <c r="I1275" i="1"/>
  <c r="I269" i="7" s="1"/>
  <c r="I621" i="1"/>
  <c r="I1657" i="1"/>
  <c r="I541" i="7" s="1"/>
  <c r="I724" i="1"/>
  <c r="I102" i="1"/>
  <c r="I1" i="7" s="1"/>
  <c r="I748" i="1"/>
  <c r="I1008" i="1"/>
  <c r="I1073" i="1"/>
  <c r="I695" i="1"/>
  <c r="I158" i="7" s="1"/>
  <c r="I661" i="1"/>
  <c r="I1165" i="1"/>
  <c r="I1459" i="1"/>
  <c r="I676" i="1"/>
  <c r="I138" i="7" s="1"/>
  <c r="I1554" i="1"/>
  <c r="I434" i="7" s="1"/>
  <c r="I280" i="1"/>
  <c r="X899" i="1"/>
  <c r="Y899" i="1" s="1"/>
  <c r="J729" i="1"/>
  <c r="I726" i="1"/>
  <c r="U778" i="1"/>
  <c r="U774" i="1"/>
  <c r="U775" i="1"/>
  <c r="U785" i="1"/>
  <c r="U560" i="1"/>
  <c r="U304" i="1"/>
  <c r="U567" i="1" s="1"/>
  <c r="V560" i="1"/>
  <c r="V304" i="1"/>
  <c r="V567" i="1" s="1"/>
  <c r="V587" i="1"/>
  <c r="V443" i="1"/>
  <c r="V593" i="1" s="1"/>
  <c r="X587" i="1"/>
  <c r="X443" i="1"/>
  <c r="X593" i="1" s="1"/>
  <c r="V1329" i="1"/>
  <c r="V325" i="7" s="1"/>
  <c r="V122" i="1"/>
  <c r="V21" i="7" s="1"/>
  <c r="W122" i="1"/>
  <c r="W21" i="7" s="1"/>
  <c r="W1329" i="1"/>
  <c r="W325" i="7" s="1"/>
  <c r="H81" i="8"/>
  <c r="G74" i="8"/>
  <c r="G73" i="8" s="1"/>
  <c r="U308" i="1"/>
  <c r="V308" i="1" s="1"/>
  <c r="W308" i="1" s="1"/>
  <c r="X308" i="1" s="1"/>
  <c r="Y308" i="1" s="1"/>
  <c r="Z308" i="1" s="1"/>
  <c r="AA308" i="1" s="1"/>
  <c r="AB308" i="1" s="1"/>
  <c r="AC308" i="1" s="1"/>
  <c r="G301" i="8"/>
  <c r="G300" i="8" s="1"/>
  <c r="G72" i="8"/>
  <c r="G71" i="8" s="1"/>
  <c r="G303" i="8"/>
  <c r="G302" i="8" s="1"/>
  <c r="H77" i="8"/>
  <c r="N567" i="1"/>
  <c r="J293" i="1"/>
  <c r="J556" i="1" s="1"/>
  <c r="J1473" i="1" s="1"/>
  <c r="J553" i="1"/>
  <c r="H72" i="8"/>
  <c r="H71" i="8" s="1"/>
  <c r="H76" i="8"/>
  <c r="H75" i="8" s="1"/>
  <c r="H159" i="8"/>
  <c r="H158" i="8" s="1"/>
  <c r="H295" i="8"/>
  <c r="H294" i="8" s="1"/>
  <c r="H299" i="8"/>
  <c r="H298" i="8" s="1"/>
  <c r="H303" i="8"/>
  <c r="H302" i="8" s="1"/>
  <c r="H494" i="8"/>
  <c r="H493" i="8" s="1"/>
  <c r="X267" i="1"/>
  <c r="Y267" i="1" s="1"/>
  <c r="V778" i="1"/>
  <c r="V774" i="1"/>
  <c r="V785" i="1"/>
  <c r="V775" i="1"/>
  <c r="K1099" i="1"/>
  <c r="V574" i="1"/>
  <c r="V372" i="1"/>
  <c r="V580" i="1" s="1"/>
  <c r="U574" i="1"/>
  <c r="U372" i="1"/>
  <c r="U580" i="1" s="1"/>
  <c r="V572" i="1"/>
  <c r="X572" i="1"/>
  <c r="X974" i="1"/>
  <c r="Y974" i="1" s="1"/>
  <c r="Z974" i="1" s="1"/>
  <c r="AA974" i="1" s="1"/>
  <c r="AB974" i="1" s="1"/>
  <c r="AC974" i="1" s="1"/>
  <c r="K31" i="1"/>
  <c r="J32" i="1"/>
  <c r="J75" i="1" s="1"/>
  <c r="W778" i="1"/>
  <c r="W774" i="1"/>
  <c r="W775" i="1"/>
  <c r="W785" i="1"/>
  <c r="M91" i="1"/>
  <c r="L92" i="1"/>
  <c r="J151" i="1"/>
  <c r="J50" i="7" s="1"/>
  <c r="K152" i="1"/>
  <c r="K51" i="7" s="1"/>
  <c r="I698" i="1"/>
  <c r="I161" i="7" s="1"/>
  <c r="I684" i="1"/>
  <c r="I146" i="7" s="1"/>
  <c r="W560" i="1"/>
  <c r="W304" i="1"/>
  <c r="W567" i="1" s="1"/>
  <c r="X560" i="1"/>
  <c r="X304" i="1"/>
  <c r="X567" i="1" s="1"/>
  <c r="U587" i="1"/>
  <c r="U443" i="1"/>
  <c r="U593" i="1" s="1"/>
  <c r="W587" i="1"/>
  <c r="W443" i="1"/>
  <c r="W593" i="1" s="1"/>
  <c r="U1329" i="1"/>
  <c r="U325" i="7" s="1"/>
  <c r="U122" i="1"/>
  <c r="U21" i="7" s="1"/>
  <c r="X1329" i="1"/>
  <c r="X325" i="7" s="1"/>
  <c r="X122" i="1"/>
  <c r="X21" i="7" s="1"/>
  <c r="C1681" i="1"/>
  <c r="C565" i="7" s="1"/>
  <c r="H684" i="1"/>
  <c r="H146" i="7" s="1"/>
  <c r="G698" i="1"/>
  <c r="G161" i="7" s="1"/>
  <c r="F118" i="1"/>
  <c r="F17" i="7" s="1"/>
  <c r="AE1278" i="1"/>
  <c r="AE272" i="7" s="1"/>
  <c r="B545" i="1"/>
  <c r="Q304" i="1"/>
  <c r="Q567" i="1" s="1"/>
  <c r="Q560" i="1"/>
  <c r="S304" i="1"/>
  <c r="S567" i="1" s="1"/>
  <c r="S560" i="1"/>
  <c r="K304" i="1"/>
  <c r="K567" i="1" s="1"/>
  <c r="K560" i="1"/>
  <c r="H304" i="1"/>
  <c r="H567" i="1" s="1"/>
  <c r="H560" i="1"/>
  <c r="G1801" i="1"/>
  <c r="G2024" i="1"/>
  <c r="G639" i="1"/>
  <c r="G654" i="1" s="1"/>
  <c r="G630" i="1"/>
  <c r="H629" i="1"/>
  <c r="G629" i="1"/>
  <c r="F630" i="1"/>
  <c r="F639" i="1"/>
  <c r="F654" i="1" s="1"/>
  <c r="K443" i="1"/>
  <c r="K593" i="1" s="1"/>
  <c r="K587" i="1"/>
  <c r="O443" i="1"/>
  <c r="O593" i="1" s="1"/>
  <c r="O587" i="1"/>
  <c r="S443" i="1"/>
  <c r="S593" i="1" s="1"/>
  <c r="S587" i="1"/>
  <c r="H443" i="1"/>
  <c r="H593" i="1" s="1"/>
  <c r="H587" i="1"/>
  <c r="L443" i="1"/>
  <c r="L593" i="1" s="1"/>
  <c r="L587" i="1"/>
  <c r="P443" i="1"/>
  <c r="P593" i="1" s="1"/>
  <c r="P587" i="1"/>
  <c r="T443" i="1"/>
  <c r="T593" i="1" s="1"/>
  <c r="T587" i="1"/>
  <c r="S122" i="1"/>
  <c r="S21" i="7" s="1"/>
  <c r="S1329" i="1"/>
  <c r="S325" i="7" s="1"/>
  <c r="O122" i="1"/>
  <c r="O21" i="7" s="1"/>
  <c r="O1329" i="1"/>
  <c r="O325" i="7" s="1"/>
  <c r="G122" i="1"/>
  <c r="G21" i="7" s="1"/>
  <c r="G1329" i="1"/>
  <c r="G325" i="7" s="1"/>
  <c r="P1329" i="1"/>
  <c r="P325" i="7" s="1"/>
  <c r="P122" i="1"/>
  <c r="P21" i="7" s="1"/>
  <c r="M1329" i="1"/>
  <c r="M325" i="7" s="1"/>
  <c r="M122" i="1"/>
  <c r="M21" i="7" s="1"/>
  <c r="K122" i="1"/>
  <c r="K21" i="7" s="1"/>
  <c r="K1329" i="1"/>
  <c r="K325" i="7" s="1"/>
  <c r="I122" i="1"/>
  <c r="I21" i="7" s="1"/>
  <c r="I1329" i="1"/>
  <c r="I325" i="7" s="1"/>
  <c r="F346" i="1"/>
  <c r="AE346" i="1" s="1"/>
  <c r="F350" i="1"/>
  <c r="G350" i="1" s="1"/>
  <c r="H350" i="1" s="1"/>
  <c r="I350" i="1" s="1"/>
  <c r="J350" i="1" s="1"/>
  <c r="K350" i="1" s="1"/>
  <c r="L350" i="1" s="1"/>
  <c r="M350" i="1" s="1"/>
  <c r="N350" i="1" s="1"/>
  <c r="O350" i="1" s="1"/>
  <c r="P350" i="1" s="1"/>
  <c r="Q350" i="1" s="1"/>
  <c r="R350" i="1" s="1"/>
  <c r="S350" i="1" s="1"/>
  <c r="T350" i="1" s="1"/>
  <c r="AE348" i="1"/>
  <c r="B349" i="1" s="1"/>
  <c r="AE263" i="1"/>
  <c r="M776" i="1"/>
  <c r="M780" i="1" s="1"/>
  <c r="M777" i="1"/>
  <c r="I776" i="1"/>
  <c r="I780" i="1" s="1"/>
  <c r="I777" i="1"/>
  <c r="R785" i="1"/>
  <c r="R774" i="1"/>
  <c r="R778" i="1"/>
  <c r="R775" i="1"/>
  <c r="F699" i="1"/>
  <c r="F162" i="7" s="1"/>
  <c r="G701" i="1"/>
  <c r="G164" i="7" s="1"/>
  <c r="Q775" i="1"/>
  <c r="Q774" i="1"/>
  <c r="Q785" i="1"/>
  <c r="Q778" i="1"/>
  <c r="F329" i="1"/>
  <c r="G329" i="1" s="1"/>
  <c r="H329" i="1" s="1"/>
  <c r="I329" i="1" s="1"/>
  <c r="J329" i="1" s="1"/>
  <c r="K329" i="1" s="1"/>
  <c r="L329" i="1" s="1"/>
  <c r="M329" i="1" s="1"/>
  <c r="N329" i="1" s="1"/>
  <c r="O329" i="1" s="1"/>
  <c r="P329" i="1" s="1"/>
  <c r="Q329" i="1" s="1"/>
  <c r="R329" i="1" s="1"/>
  <c r="S329" i="1" s="1"/>
  <c r="T329" i="1" s="1"/>
  <c r="F325" i="1"/>
  <c r="AE325" i="1" s="1"/>
  <c r="AE327" i="1"/>
  <c r="B328" i="1" s="1"/>
  <c r="R372" i="1"/>
  <c r="R580" i="1" s="1"/>
  <c r="R574" i="1"/>
  <c r="J372" i="1"/>
  <c r="J580" i="1" s="1"/>
  <c r="J574" i="1"/>
  <c r="T372" i="1"/>
  <c r="T580" i="1" s="1"/>
  <c r="T574" i="1"/>
  <c r="L372" i="1"/>
  <c r="L580" i="1" s="1"/>
  <c r="L574" i="1"/>
  <c r="M372" i="1"/>
  <c r="M580" i="1" s="1"/>
  <c r="M574" i="1"/>
  <c r="Q372" i="1"/>
  <c r="Q580" i="1" s="1"/>
  <c r="Q574" i="1"/>
  <c r="S372" i="1"/>
  <c r="S580" i="1" s="1"/>
  <c r="S574" i="1"/>
  <c r="K372" i="1"/>
  <c r="K580" i="1" s="1"/>
  <c r="K574" i="1"/>
  <c r="T572" i="1"/>
  <c r="S572" i="1"/>
  <c r="Q572" i="1"/>
  <c r="M572" i="1"/>
  <c r="K572" i="1"/>
  <c r="I572" i="1"/>
  <c r="N572" i="1"/>
  <c r="G572" i="1"/>
  <c r="I829" i="1"/>
  <c r="I830" i="1"/>
  <c r="I836" i="1"/>
  <c r="F836" i="1"/>
  <c r="F830" i="1"/>
  <c r="F834" i="1"/>
  <c r="F835" i="1" s="1"/>
  <c r="G834" i="1" s="1"/>
  <c r="F829" i="1"/>
  <c r="AE457" i="1"/>
  <c r="F597" i="1"/>
  <c r="AE597" i="1" s="1"/>
  <c r="O777" i="1"/>
  <c r="O776" i="1"/>
  <c r="O780" i="1" s="1"/>
  <c r="K776" i="1"/>
  <c r="K780" i="1" s="1"/>
  <c r="G776" i="1"/>
  <c r="G780" i="1" s="1"/>
  <c r="G777" i="1"/>
  <c r="F560" i="1"/>
  <c r="H830" i="1"/>
  <c r="H836" i="1"/>
  <c r="H829" i="1"/>
  <c r="M304" i="1"/>
  <c r="M567" i="1" s="1"/>
  <c r="M560" i="1"/>
  <c r="I304" i="1"/>
  <c r="I567" i="1" s="1"/>
  <c r="I560" i="1"/>
  <c r="O304" i="1"/>
  <c r="O567" i="1" s="1"/>
  <c r="O560" i="1"/>
  <c r="G304" i="1"/>
  <c r="G567" i="1" s="1"/>
  <c r="G560" i="1"/>
  <c r="H697" i="1"/>
  <c r="H160" i="7" s="1"/>
  <c r="H1344" i="1"/>
  <c r="H340" i="7" s="1"/>
  <c r="H1179" i="1"/>
  <c r="H1348" i="1"/>
  <c r="H344" i="7" s="1"/>
  <c r="H1190" i="1"/>
  <c r="I443" i="1"/>
  <c r="I593" i="1" s="1"/>
  <c r="I587" i="1"/>
  <c r="M443" i="1"/>
  <c r="M593" i="1" s="1"/>
  <c r="M587" i="1"/>
  <c r="Q443" i="1"/>
  <c r="Q593" i="1" s="1"/>
  <c r="Q587" i="1"/>
  <c r="J443" i="1"/>
  <c r="J593" i="1" s="1"/>
  <c r="J587" i="1"/>
  <c r="N443" i="1"/>
  <c r="N593" i="1" s="1"/>
  <c r="N587" i="1"/>
  <c r="R443" i="1"/>
  <c r="R593" i="1" s="1"/>
  <c r="R587" i="1"/>
  <c r="F443" i="1"/>
  <c r="F447" i="1"/>
  <c r="F587" i="1"/>
  <c r="AE360" i="1"/>
  <c r="AE254" i="1"/>
  <c r="R122" i="1"/>
  <c r="R21" i="7" s="1"/>
  <c r="R1329" i="1"/>
  <c r="R325" i="7" s="1"/>
  <c r="T122" i="1"/>
  <c r="T21" i="7" s="1"/>
  <c r="T1329" i="1"/>
  <c r="T325" i="7" s="1"/>
  <c r="N122" i="1"/>
  <c r="N21" i="7" s="1"/>
  <c r="N1329" i="1"/>
  <c r="N325" i="7" s="1"/>
  <c r="Q122" i="1"/>
  <c r="Q21" i="7" s="1"/>
  <c r="Q1329" i="1"/>
  <c r="Q325" i="7" s="1"/>
  <c r="H1329" i="1"/>
  <c r="H325" i="7" s="1"/>
  <c r="H122" i="1"/>
  <c r="H21" i="7" s="1"/>
  <c r="L1329" i="1"/>
  <c r="L325" i="7" s="1"/>
  <c r="L122" i="1"/>
  <c r="L21" i="7" s="1"/>
  <c r="J1329" i="1"/>
  <c r="J325" i="7" s="1"/>
  <c r="J122" i="1"/>
  <c r="J21" i="7" s="1"/>
  <c r="F122" i="1"/>
  <c r="F21" i="7" s="1"/>
  <c r="F1329" i="1"/>
  <c r="F325" i="7" s="1"/>
  <c r="AE1280" i="1"/>
  <c r="AE274" i="7" s="1"/>
  <c r="L777" i="1"/>
  <c r="L776" i="1"/>
  <c r="L780" i="1" s="1"/>
  <c r="H777" i="1"/>
  <c r="H776" i="1"/>
  <c r="H780" i="1" s="1"/>
  <c r="S775" i="1"/>
  <c r="S785" i="1"/>
  <c r="S774" i="1"/>
  <c r="S778" i="1"/>
  <c r="AE339" i="1"/>
  <c r="P785" i="1"/>
  <c r="P775" i="1"/>
  <c r="P774" i="1"/>
  <c r="P778" i="1"/>
  <c r="F698" i="1"/>
  <c r="F161" i="7" s="1"/>
  <c r="F684" i="1"/>
  <c r="F146" i="7" s="1"/>
  <c r="G699" i="1"/>
  <c r="G162" i="7" s="1"/>
  <c r="T775" i="1"/>
  <c r="T785" i="1"/>
  <c r="T778" i="1"/>
  <c r="T774" i="1"/>
  <c r="N372" i="1"/>
  <c r="N580" i="1" s="1"/>
  <c r="N574" i="1"/>
  <c r="F372" i="1"/>
  <c r="F376" i="1"/>
  <c r="G376" i="1" s="1"/>
  <c r="H376" i="1" s="1"/>
  <c r="I376" i="1" s="1"/>
  <c r="J376" i="1" s="1"/>
  <c r="K376" i="1" s="1"/>
  <c r="L376" i="1" s="1"/>
  <c r="M376" i="1" s="1"/>
  <c r="N376" i="1" s="1"/>
  <c r="O376" i="1" s="1"/>
  <c r="P376" i="1" s="1"/>
  <c r="Q376" i="1" s="1"/>
  <c r="R376" i="1" s="1"/>
  <c r="S376" i="1" s="1"/>
  <c r="T376" i="1" s="1"/>
  <c r="AE374" i="1"/>
  <c r="B375" i="1" s="1"/>
  <c r="F574" i="1"/>
  <c r="P372" i="1"/>
  <c r="P580" i="1" s="1"/>
  <c r="P574" i="1"/>
  <c r="H372" i="1"/>
  <c r="H580" i="1" s="1"/>
  <c r="H574" i="1"/>
  <c r="I372" i="1"/>
  <c r="O372" i="1"/>
  <c r="O580" i="1" s="1"/>
  <c r="O574" i="1"/>
  <c r="G372" i="1"/>
  <c r="G580" i="1" s="1"/>
  <c r="G574" i="1"/>
  <c r="R572" i="1"/>
  <c r="P572" i="1"/>
  <c r="L572" i="1"/>
  <c r="J572" i="1"/>
  <c r="O572" i="1"/>
  <c r="H572" i="1"/>
  <c r="AE318" i="1"/>
  <c r="F572" i="1"/>
  <c r="AE386" i="1"/>
  <c r="F585" i="1"/>
  <c r="AE585" i="1" s="1"/>
  <c r="AE276" i="1"/>
  <c r="J829" i="1"/>
  <c r="J830" i="1"/>
  <c r="J831" i="1" s="1"/>
  <c r="J836" i="1"/>
  <c r="G829" i="1"/>
  <c r="G836" i="1"/>
  <c r="G830" i="1"/>
  <c r="N777" i="1"/>
  <c r="J776" i="1"/>
  <c r="J780" i="1" s="1"/>
  <c r="J777" i="1"/>
  <c r="C1875" i="1"/>
  <c r="C1899" i="1"/>
  <c r="C1870" i="1"/>
  <c r="C1876" i="1"/>
  <c r="C1871" i="1"/>
  <c r="C1872" i="1"/>
  <c r="C1868" i="1"/>
  <c r="C1877" i="1"/>
  <c r="C1869" i="1"/>
  <c r="C1896" i="1"/>
  <c r="C1867" i="1"/>
  <c r="C1897" i="1"/>
  <c r="C1881" i="1"/>
  <c r="C1879" i="1"/>
  <c r="C1880" i="1"/>
  <c r="C1874" i="1"/>
  <c r="C1898" i="1"/>
  <c r="C1873" i="1"/>
  <c r="C1888" i="1"/>
  <c r="C1183" i="1"/>
  <c r="C1192" i="1"/>
  <c r="C1490" i="1"/>
  <c r="C1203" i="1"/>
  <c r="C194" i="7" s="1"/>
  <c r="C1204" i="1"/>
  <c r="C195" i="7" s="1"/>
  <c r="C1213" i="1"/>
  <c r="C204" i="7" s="1"/>
  <c r="C174" i="1"/>
  <c r="C73" i="7" s="1"/>
  <c r="C1181" i="1"/>
  <c r="C1472" i="1"/>
  <c r="C1189" i="1"/>
  <c r="C1465" i="1"/>
  <c r="C181" i="1"/>
  <c r="C80" i="7" s="1"/>
  <c r="C1199" i="1"/>
  <c r="C190" i="7" s="1"/>
  <c r="C215" i="1"/>
  <c r="C114" i="7" s="1"/>
  <c r="C1212" i="1"/>
  <c r="C203" i="7" s="1"/>
  <c r="C1210" i="1"/>
  <c r="C201" i="7" s="1"/>
  <c r="C2011" i="1"/>
  <c r="C1354" i="1"/>
  <c r="C350" i="7" s="1"/>
  <c r="C1331" i="1"/>
  <c r="C327" i="7" s="1"/>
  <c r="C1466" i="1"/>
  <c r="C201" i="1"/>
  <c r="C100" i="7" s="1"/>
  <c r="C1063" i="1"/>
  <c r="C1321" i="1"/>
  <c r="C317" i="7" s="1"/>
  <c r="C1187" i="1"/>
  <c r="C185" i="1"/>
  <c r="C84" i="7" s="1"/>
  <c r="C1497" i="1"/>
  <c r="C1286" i="1"/>
  <c r="C280" i="7" s="1"/>
  <c r="C1287" i="1"/>
  <c r="C281" i="7" s="1"/>
  <c r="C1167" i="1"/>
  <c r="C1464" i="1"/>
  <c r="C1342" i="1"/>
  <c r="C338" i="7" s="1"/>
  <c r="A1139" i="1"/>
  <c r="C1170" i="1"/>
  <c r="C1202" i="1"/>
  <c r="C193" i="7" s="1"/>
  <c r="C1340" i="1"/>
  <c r="C336" i="7" s="1"/>
  <c r="C1291" i="1"/>
  <c r="C285" i="7" s="1"/>
  <c r="C1209" i="1"/>
  <c r="C200" i="7" s="1"/>
  <c r="C1347" i="1"/>
  <c r="C343" i="7" s="1"/>
  <c r="C1218" i="1"/>
  <c r="C209" i="7" s="1"/>
  <c r="C187" i="1"/>
  <c r="C86" i="7" s="1"/>
  <c r="C1356" i="1"/>
  <c r="C352" i="7" s="1"/>
  <c r="C2023" i="1"/>
  <c r="C1326" i="1"/>
  <c r="C322" i="7" s="1"/>
  <c r="C1217" i="1"/>
  <c r="C208" i="7" s="1"/>
  <c r="C1335" i="1"/>
  <c r="C331" i="7" s="1"/>
  <c r="C1489" i="1"/>
  <c r="C1346" i="1"/>
  <c r="C342" i="7" s="1"/>
  <c r="C1350" i="1"/>
  <c r="C346" i="7" s="1"/>
  <c r="C1485" i="1"/>
  <c r="A1905" i="1"/>
  <c r="C1463" i="1"/>
  <c r="C1182" i="1"/>
  <c r="C2013" i="1"/>
  <c r="C1496" i="1"/>
  <c r="C2025" i="1"/>
  <c r="C1172" i="1"/>
  <c r="C1215" i="1"/>
  <c r="C206" i="7" s="1"/>
  <c r="A1833" i="1"/>
  <c r="C1177" i="1"/>
  <c r="C1127" i="1"/>
  <c r="C1498" i="1"/>
  <c r="C1220" i="1"/>
  <c r="C211" i="7" s="1"/>
  <c r="C1216" i="1"/>
  <c r="C207" i="7" s="1"/>
  <c r="C1473" i="1"/>
  <c r="A1759" i="1"/>
  <c r="C1180" i="1"/>
  <c r="A1433" i="1"/>
  <c r="C2015" i="1"/>
  <c r="C1207" i="1"/>
  <c r="C198" i="7" s="1"/>
  <c r="A1249" i="1"/>
  <c r="C1495" i="1"/>
  <c r="C1478" i="1"/>
  <c r="C1322" i="1"/>
  <c r="C318" i="7" s="1"/>
  <c r="C1492" i="1"/>
  <c r="C1222" i="1"/>
  <c r="C213" i="7" s="1"/>
  <c r="A1293" i="1"/>
  <c r="C1329" i="1"/>
  <c r="C325" i="7" s="1"/>
  <c r="C1483" i="1"/>
  <c r="C1173" i="1"/>
  <c r="C1474" i="1"/>
  <c r="C1175" i="1"/>
  <c r="C1206" i="1"/>
  <c r="C197" i="7" s="1"/>
  <c r="C1336" i="1"/>
  <c r="C332" i="7" s="1"/>
  <c r="C1487" i="1"/>
  <c r="C549" i="1"/>
  <c r="C1171" i="1"/>
  <c r="C1477" i="1"/>
  <c r="C1500" i="1"/>
  <c r="C1355" i="1"/>
  <c r="C351" i="7" s="1"/>
  <c r="C1193" i="1"/>
  <c r="A1224" i="1"/>
  <c r="C1344" i="1"/>
  <c r="C340" i="7" s="1"/>
  <c r="C2019" i="1"/>
  <c r="C1333" i="1"/>
  <c r="C329" i="7" s="1"/>
  <c r="C1327" i="1"/>
  <c r="C323" i="7" s="1"/>
  <c r="C1211" i="1"/>
  <c r="C202" i="7" s="1"/>
  <c r="C1194" i="1"/>
  <c r="C2024" i="1"/>
  <c r="C1349" i="1"/>
  <c r="C345" i="7" s="1"/>
  <c r="C1337" i="1"/>
  <c r="C333" i="7" s="1"/>
  <c r="C1467" i="1"/>
  <c r="C1334" i="1"/>
  <c r="C330" i="7" s="1"/>
  <c r="C1573" i="1"/>
  <c r="C453" i="7" s="1"/>
  <c r="A1408" i="1"/>
  <c r="C2028" i="1"/>
  <c r="C1479" i="1"/>
  <c r="C1283" i="1"/>
  <c r="C277" i="7" s="1"/>
  <c r="C1491" i="1"/>
  <c r="A1358" i="1"/>
  <c r="A1528" i="1"/>
  <c r="C1325" i="1"/>
  <c r="C321" i="7" s="1"/>
  <c r="C1484" i="1"/>
  <c r="C175" i="1"/>
  <c r="C74" i="7" s="1"/>
  <c r="C1475" i="1"/>
  <c r="C179" i="1"/>
  <c r="C78" i="7" s="1"/>
  <c r="C1219" i="1"/>
  <c r="C210" i="7" s="1"/>
  <c r="C2027" i="1"/>
  <c r="C1345" i="1"/>
  <c r="C341" i="7" s="1"/>
  <c r="C1462" i="1"/>
  <c r="C1221" i="1"/>
  <c r="C212" i="7" s="1"/>
  <c r="C2012" i="1"/>
  <c r="C1290" i="1"/>
  <c r="C284" i="7" s="1"/>
  <c r="C1285" i="1"/>
  <c r="C279" i="7" s="1"/>
  <c r="C1214" i="1"/>
  <c r="C205" i="7" s="1"/>
  <c r="C1205" i="1"/>
  <c r="C196" i="7" s="1"/>
  <c r="C2029" i="1"/>
  <c r="C183" i="1"/>
  <c r="C82" i="7" s="1"/>
  <c r="C1486" i="1"/>
  <c r="C1493" i="1"/>
  <c r="C1185" i="1"/>
  <c r="C1339" i="1"/>
  <c r="C335" i="7" s="1"/>
  <c r="C1169" i="1"/>
  <c r="C1461" i="1"/>
  <c r="C1488" i="1"/>
  <c r="C1190" i="1"/>
  <c r="C2014" i="1"/>
  <c r="C1188" i="1"/>
  <c r="C1323" i="1"/>
  <c r="C319" i="7" s="1"/>
  <c r="C1470" i="1"/>
  <c r="C2021" i="1"/>
  <c r="C1208" i="1"/>
  <c r="C199" i="7" s="1"/>
  <c r="A1383" i="1"/>
  <c r="C1200" i="1"/>
  <c r="C191" i="7" s="1"/>
  <c r="C1179" i="1"/>
  <c r="A1503" i="1"/>
  <c r="C1324" i="1"/>
  <c r="C320" i="7" s="1"/>
  <c r="C177" i="1"/>
  <c r="C76" i="7" s="1"/>
  <c r="C1563" i="1"/>
  <c r="C443" i="7" s="1"/>
  <c r="C1348" i="1"/>
  <c r="C344" i="7" s="1"/>
  <c r="C1338" i="1"/>
  <c r="C334" i="7" s="1"/>
  <c r="C1289" i="1"/>
  <c r="C283" i="7" s="1"/>
  <c r="C1476" i="1"/>
  <c r="C1481" i="1"/>
  <c r="C2018" i="1"/>
  <c r="C1352" i="1"/>
  <c r="C348" i="7" s="1"/>
  <c r="C1174" i="1"/>
  <c r="C2016" i="1"/>
  <c r="C1328" i="1"/>
  <c r="C324" i="7" s="1"/>
  <c r="C2010" i="1"/>
  <c r="C1469" i="1"/>
  <c r="C1468" i="1"/>
  <c r="C1722" i="1"/>
  <c r="C607" i="7" s="1"/>
  <c r="C1723" i="1"/>
  <c r="C608" i="7" s="1"/>
  <c r="C1752" i="1"/>
  <c r="C637" i="7" s="1"/>
  <c r="C1751" i="1"/>
  <c r="C636" i="7" s="1"/>
  <c r="C1733" i="1"/>
  <c r="C618" i="7" s="1"/>
  <c r="C1724" i="1"/>
  <c r="C609" i="7" s="1"/>
  <c r="C1750" i="1"/>
  <c r="C635" i="7" s="1"/>
  <c r="C1721" i="1"/>
  <c r="C606" i="7" s="1"/>
  <c r="C1735" i="1"/>
  <c r="C620" i="7" s="1"/>
  <c r="C1725" i="1"/>
  <c r="C610" i="7" s="1"/>
  <c r="C1727" i="1"/>
  <c r="C612" i="7" s="1"/>
  <c r="C1728" i="1"/>
  <c r="C613" i="7" s="1"/>
  <c r="C1730" i="1"/>
  <c r="C615" i="7" s="1"/>
  <c r="C1729" i="1"/>
  <c r="C614" i="7" s="1"/>
  <c r="C1742" i="1"/>
  <c r="C627" i="7" s="1"/>
  <c r="C1731" i="1"/>
  <c r="C616" i="7" s="1"/>
  <c r="C1753" i="1"/>
  <c r="C638" i="7" s="1"/>
  <c r="C1734" i="1"/>
  <c r="C619" i="7" s="1"/>
  <c r="C1726" i="1"/>
  <c r="C611" i="7" s="1"/>
  <c r="C1808" i="1"/>
  <c r="C1807" i="1"/>
  <c r="C1799" i="1"/>
  <c r="C1825" i="1"/>
  <c r="C1797" i="1"/>
  <c r="C1796" i="1"/>
  <c r="C1804" i="1"/>
  <c r="C1805" i="1"/>
  <c r="C1800" i="1"/>
  <c r="C1798" i="1"/>
  <c r="C1809" i="1"/>
  <c r="C1802" i="1"/>
  <c r="C1827" i="1"/>
  <c r="C1803" i="1"/>
  <c r="C1795" i="1"/>
  <c r="C1826" i="1"/>
  <c r="C1801" i="1"/>
  <c r="C1824" i="1"/>
  <c r="C1816" i="1"/>
  <c r="C2038" i="1" s="1"/>
  <c r="F72" i="8"/>
  <c r="J252" i="1"/>
  <c r="F82" i="8"/>
  <c r="I1333" i="1"/>
  <c r="I329" i="7" s="1"/>
  <c r="I1170" i="1"/>
  <c r="I1337" i="1"/>
  <c r="I333" i="7" s="1"/>
  <c r="I1172" i="1"/>
  <c r="H162" i="1"/>
  <c r="H61" i="7" s="1"/>
  <c r="I167" i="1"/>
  <c r="I66" i="7" s="1"/>
  <c r="F76" i="8"/>
  <c r="F295" i="8"/>
  <c r="G770" i="1"/>
  <c r="I1348" i="1"/>
  <c r="I344" i="7" s="1"/>
  <c r="I1190" i="1"/>
  <c r="I110" i="8" s="1"/>
  <c r="J586" i="1"/>
  <c r="J598" i="1"/>
  <c r="J551" i="1"/>
  <c r="J559" i="1"/>
  <c r="K88" i="1"/>
  <c r="J1123" i="1"/>
  <c r="J1985" i="1"/>
  <c r="J1983" i="1"/>
  <c r="J1984" i="1"/>
  <c r="J1989" i="1"/>
  <c r="J770" i="1"/>
  <c r="J1990" i="1"/>
  <c r="J1988" i="1"/>
  <c r="J1075" i="1"/>
  <c r="J654" i="1"/>
  <c r="J822" i="1"/>
  <c r="J755" i="8"/>
  <c r="J824" i="8"/>
  <c r="J825" i="8" s="1"/>
  <c r="J859" i="8" s="1"/>
  <c r="J673" i="8"/>
  <c r="J678" i="8" s="1"/>
  <c r="K679" i="8" s="1"/>
  <c r="J898" i="8"/>
  <c r="J899" i="8" s="1"/>
  <c r="K672" i="8"/>
  <c r="J748" i="8"/>
  <c r="J749" i="8" s="1"/>
  <c r="J785" i="8" s="1"/>
  <c r="G896" i="8"/>
  <c r="G567" i="8"/>
  <c r="G268" i="8"/>
  <c r="G438" i="8"/>
  <c r="G670" i="8"/>
  <c r="G822" i="8"/>
  <c r="G125" i="8"/>
  <c r="G39" i="8"/>
  <c r="G66" i="8"/>
  <c r="G924" i="8"/>
  <c r="G746" i="8"/>
  <c r="J164" i="1"/>
  <c r="J63" i="7" s="1"/>
  <c r="I163" i="1"/>
  <c r="I62" i="7" s="1"/>
  <c r="F299" i="8"/>
  <c r="I902" i="8"/>
  <c r="I903" i="8" s="1"/>
  <c r="J901" i="8"/>
  <c r="F74" i="8"/>
  <c r="F773" i="1"/>
  <c r="F770" i="1"/>
  <c r="AE771" i="1"/>
  <c r="I1863" i="1"/>
  <c r="J1864" i="1" s="1"/>
  <c r="J1862" i="1"/>
  <c r="F303" i="8"/>
  <c r="K1790" i="1"/>
  <c r="J1791" i="1"/>
  <c r="I1179" i="1"/>
  <c r="I90" i="8" s="1"/>
  <c r="I1344" i="1"/>
  <c r="I340" i="7" s="1"/>
  <c r="I1336" i="1"/>
  <c r="I332" i="7" s="1"/>
  <c r="I1171" i="1"/>
  <c r="H36" i="8"/>
  <c r="I35" i="8"/>
  <c r="F293" i="8"/>
  <c r="F78" i="8"/>
  <c r="F1290" i="1"/>
  <c r="F284" i="7" s="1"/>
  <c r="F159" i="8"/>
  <c r="AE1215" i="1"/>
  <c r="AE206" i="7" s="1"/>
  <c r="R872" i="1"/>
  <c r="K753" i="8"/>
  <c r="I1334" i="1"/>
  <c r="I330" i="7" s="1"/>
  <c r="I1169" i="1"/>
  <c r="I239" i="1"/>
  <c r="J242" i="1" s="1"/>
  <c r="H1495" i="1"/>
  <c r="I827" i="8"/>
  <c r="H828" i="8"/>
  <c r="I829" i="8" s="1"/>
  <c r="F301" i="8"/>
  <c r="I223" i="1" l="1"/>
  <c r="H122" i="7"/>
  <c r="K825" i="1"/>
  <c r="L824" i="1"/>
  <c r="V148" i="7"/>
  <c r="V687" i="1"/>
  <c r="V149" i="7" s="1"/>
  <c r="I204" i="1"/>
  <c r="H103" i="7"/>
  <c r="J95" i="7"/>
  <c r="K196" i="1"/>
  <c r="K524" i="1"/>
  <c r="K519" i="1"/>
  <c r="K518" i="1"/>
  <c r="K520" i="1"/>
  <c r="K402" i="1"/>
  <c r="K407" i="1"/>
  <c r="K292" i="1"/>
  <c r="K555" i="1" s="1"/>
  <c r="K290" i="1"/>
  <c r="W935" i="1"/>
  <c r="W936" i="1" s="1"/>
  <c r="W686" i="1"/>
  <c r="W842" i="1"/>
  <c r="W843" i="1" s="1"/>
  <c r="K149" i="1"/>
  <c r="J48" i="7"/>
  <c r="L524" i="1"/>
  <c r="L520" i="1"/>
  <c r="L518" i="1"/>
  <c r="L519" i="1"/>
  <c r="L407" i="1"/>
  <c r="L402" i="1"/>
  <c r="V680" i="1"/>
  <c r="V142" i="7" s="1"/>
  <c r="V141" i="7"/>
  <c r="I194" i="1"/>
  <c r="H93" i="7"/>
  <c r="I699" i="1"/>
  <c r="I145" i="7"/>
  <c r="H699" i="1"/>
  <c r="H145" i="7"/>
  <c r="G521" i="1"/>
  <c r="K145" i="1"/>
  <c r="K44" i="7" s="1"/>
  <c r="G697" i="1"/>
  <c r="G160" i="7" s="1"/>
  <c r="X46" i="9"/>
  <c r="V46" i="9"/>
  <c r="Y46" i="9"/>
  <c r="W46" i="9"/>
  <c r="R46" i="9"/>
  <c r="U46" i="9"/>
  <c r="S46" i="9"/>
  <c r="Q46" i="9"/>
  <c r="O46" i="9"/>
  <c r="M46" i="9"/>
  <c r="K46" i="9"/>
  <c r="I46" i="9"/>
  <c r="G46" i="9"/>
  <c r="E46" i="9"/>
  <c r="C46" i="9"/>
  <c r="B46" i="9"/>
  <c r="T46" i="9"/>
  <c r="P46" i="9"/>
  <c r="N46" i="9"/>
  <c r="L46" i="9"/>
  <c r="J46" i="9"/>
  <c r="H46" i="9"/>
  <c r="F46" i="9"/>
  <c r="D46" i="9"/>
  <c r="X36" i="9"/>
  <c r="V36" i="9"/>
  <c r="Y36" i="9"/>
  <c r="W36" i="9"/>
  <c r="B36" i="9"/>
  <c r="U36" i="9"/>
  <c r="S36" i="9"/>
  <c r="Q36" i="9"/>
  <c r="O36" i="9"/>
  <c r="M36" i="9"/>
  <c r="K36" i="9"/>
  <c r="I36" i="9"/>
  <c r="G36" i="9"/>
  <c r="E36" i="9"/>
  <c r="C36" i="9"/>
  <c r="T36" i="9"/>
  <c r="R36" i="9"/>
  <c r="P36" i="9"/>
  <c r="N36" i="9"/>
  <c r="L36" i="9"/>
  <c r="J36" i="9"/>
  <c r="H36" i="9"/>
  <c r="F36" i="9"/>
  <c r="D36" i="9"/>
  <c r="X38" i="9"/>
  <c r="V38" i="9"/>
  <c r="Y38" i="9"/>
  <c r="W38" i="9"/>
  <c r="U38" i="9"/>
  <c r="S38" i="9"/>
  <c r="Q38" i="9"/>
  <c r="O38" i="9"/>
  <c r="M38" i="9"/>
  <c r="K38" i="9"/>
  <c r="I38" i="9"/>
  <c r="G38" i="9"/>
  <c r="E38" i="9"/>
  <c r="C38" i="9"/>
  <c r="B38" i="9"/>
  <c r="T38" i="9"/>
  <c r="R38" i="9"/>
  <c r="P38" i="9"/>
  <c r="N38" i="9"/>
  <c r="L38" i="9"/>
  <c r="J38" i="9"/>
  <c r="H38" i="9"/>
  <c r="F38" i="9"/>
  <c r="D38" i="9"/>
  <c r="W117" i="1"/>
  <c r="W16" i="7" s="1"/>
  <c r="H138" i="1"/>
  <c r="H37" i="7" s="1"/>
  <c r="K141" i="1"/>
  <c r="K40" i="7" s="1"/>
  <c r="K1792" i="1"/>
  <c r="I1748" i="1"/>
  <c r="I633" i="7" s="1"/>
  <c r="AE118" i="1"/>
  <c r="AE17" i="7" s="1"/>
  <c r="K144" i="1"/>
  <c r="K43" i="7" s="1"/>
  <c r="J42" i="7"/>
  <c r="K198" i="1"/>
  <c r="K97" i="7" s="1"/>
  <c r="L165" i="1"/>
  <c r="L64" i="7" s="1"/>
  <c r="G395" i="1"/>
  <c r="G394" i="1"/>
  <c r="K155" i="1"/>
  <c r="K54" i="7" s="1"/>
  <c r="J171" i="1"/>
  <c r="J70" i="7" s="1"/>
  <c r="J197" i="1"/>
  <c r="J96" i="7" s="1"/>
  <c r="I202" i="1"/>
  <c r="I101" i="7" s="1"/>
  <c r="J199" i="1"/>
  <c r="J98" i="7" s="1"/>
  <c r="K153" i="1"/>
  <c r="K52" i="7" s="1"/>
  <c r="K160" i="1"/>
  <c r="K59" i="7" s="1"/>
  <c r="E10" i="10"/>
  <c r="F10" i="10" s="1"/>
  <c r="E7" i="10"/>
  <c r="F7" i="10" s="1"/>
  <c r="E15" i="10"/>
  <c r="F15" i="10" s="1"/>
  <c r="E18" i="10"/>
  <c r="F18" i="10" s="1"/>
  <c r="E11" i="10"/>
  <c r="F11" i="10" s="1"/>
  <c r="AE304" i="1"/>
  <c r="J315" i="1" s="1"/>
  <c r="G469" i="1"/>
  <c r="G602" i="1" s="1"/>
  <c r="F469" i="1"/>
  <c r="F602" i="1" s="1"/>
  <c r="H470" i="1"/>
  <c r="H603" i="1" s="1"/>
  <c r="H471" i="1"/>
  <c r="H605" i="1" s="1"/>
  <c r="K468" i="1"/>
  <c r="K464" i="1" s="1"/>
  <c r="K601" i="1" s="1"/>
  <c r="K471" i="1"/>
  <c r="K605" i="1" s="1"/>
  <c r="F470" i="1"/>
  <c r="F603" i="1" s="1"/>
  <c r="I469" i="1"/>
  <c r="I602" i="1" s="1"/>
  <c r="J471" i="1"/>
  <c r="J605" i="1" s="1"/>
  <c r="H468" i="1"/>
  <c r="H600" i="1" s="1"/>
  <c r="H1477" i="1" s="1"/>
  <c r="H472" i="8" s="1"/>
  <c r="H471" i="8" s="1"/>
  <c r="I470" i="1"/>
  <c r="I603" i="1" s="1"/>
  <c r="K469" i="1"/>
  <c r="K602" i="1" s="1"/>
  <c r="K470" i="1"/>
  <c r="K603" i="1" s="1"/>
  <c r="F468" i="1"/>
  <c r="F464" i="1" s="1"/>
  <c r="F601" i="1" s="1"/>
  <c r="F1218" i="1" s="1"/>
  <c r="F209" i="7" s="1"/>
  <c r="F471" i="1"/>
  <c r="F605" i="1" s="1"/>
  <c r="I468" i="1"/>
  <c r="I600" i="1" s="1"/>
  <c r="I1477" i="1" s="1"/>
  <c r="J470" i="1"/>
  <c r="J603" i="1" s="1"/>
  <c r="J469" i="1"/>
  <c r="J602" i="1" s="1"/>
  <c r="G470" i="1"/>
  <c r="G603" i="1" s="1"/>
  <c r="G471" i="1"/>
  <c r="G605" i="1" s="1"/>
  <c r="J468" i="1"/>
  <c r="J464" i="1" s="1"/>
  <c r="J601" i="1" s="1"/>
  <c r="G468" i="1"/>
  <c r="G464" i="1" s="1"/>
  <c r="G601" i="1" s="1"/>
  <c r="G1328" i="1" s="1"/>
  <c r="G324" i="7" s="1"/>
  <c r="I471" i="1"/>
  <c r="I605" i="1" s="1"/>
  <c r="H469" i="1"/>
  <c r="H602" i="1" s="1"/>
  <c r="I321" i="8"/>
  <c r="I301" i="8"/>
  <c r="I300" i="8" s="1"/>
  <c r="H321" i="8"/>
  <c r="H320" i="8" s="1"/>
  <c r="H313" i="8"/>
  <c r="H312" i="8" s="1"/>
  <c r="Z267" i="1"/>
  <c r="Z899" i="1"/>
  <c r="L431" i="1"/>
  <c r="L426" i="1"/>
  <c r="Z881" i="1"/>
  <c r="AA117" i="1"/>
  <c r="AA16" i="7" s="1"/>
  <c r="AA1340" i="1"/>
  <c r="AA336" i="7" s="1"/>
  <c r="AA777" i="1"/>
  <c r="AA776" i="1"/>
  <c r="AA780" i="1" s="1"/>
  <c r="AB777" i="1"/>
  <c r="AB776" i="1"/>
  <c r="AB780" i="1" s="1"/>
  <c r="AC250" i="1"/>
  <c r="J1490" i="1"/>
  <c r="AB117" i="1"/>
  <c r="AB16" i="7" s="1"/>
  <c r="AB1340" i="1"/>
  <c r="AB336" i="7" s="1"/>
  <c r="Z777" i="1"/>
  <c r="Z776" i="1"/>
  <c r="Z780" i="1" s="1"/>
  <c r="Y777" i="1"/>
  <c r="Y776" i="1"/>
  <c r="Y780" i="1" s="1"/>
  <c r="AC776" i="1"/>
  <c r="AC780" i="1" s="1"/>
  <c r="AC777" i="1"/>
  <c r="J1469" i="1"/>
  <c r="H504" i="8"/>
  <c r="H503" i="8" s="1"/>
  <c r="I313" i="8"/>
  <c r="Z890" i="1"/>
  <c r="AC117" i="1"/>
  <c r="AC16" i="7" s="1"/>
  <c r="AC1340" i="1"/>
  <c r="AC336" i="7" s="1"/>
  <c r="Y117" i="1"/>
  <c r="Y16" i="7" s="1"/>
  <c r="Y1340" i="1"/>
  <c r="Y336" i="7" s="1"/>
  <c r="AC573" i="1"/>
  <c r="AC1173" i="1" s="1"/>
  <c r="AA573" i="1"/>
  <c r="AA1173" i="1" s="1"/>
  <c r="Y573" i="1"/>
  <c r="Y1173" i="1" s="1"/>
  <c r="AC125" i="1"/>
  <c r="AC24" i="7" s="1"/>
  <c r="AA125" i="1"/>
  <c r="AA24" i="7" s="1"/>
  <c r="Y125" i="1"/>
  <c r="Y24" i="7" s="1"/>
  <c r="Z117" i="1"/>
  <c r="Z16" i="7" s="1"/>
  <c r="Z1340" i="1"/>
  <c r="Z336" i="7" s="1"/>
  <c r="AB573" i="1"/>
  <c r="AB1173" i="1" s="1"/>
  <c r="Z573" i="1"/>
  <c r="Z1173" i="1" s="1"/>
  <c r="AB125" i="1"/>
  <c r="AB24" i="7" s="1"/>
  <c r="Z125" i="1"/>
  <c r="Z24" i="7" s="1"/>
  <c r="E5" i="10"/>
  <c r="F5" i="10" s="1"/>
  <c r="E17" i="10"/>
  <c r="F17" i="10" s="1"/>
  <c r="H701" i="1"/>
  <c r="H164" i="7" s="1"/>
  <c r="E13" i="10"/>
  <c r="F13" i="10" s="1"/>
  <c r="E12" i="10"/>
  <c r="F12" i="10" s="1"/>
  <c r="E9" i="10"/>
  <c r="F9" i="10" s="1"/>
  <c r="E14" i="10"/>
  <c r="F14" i="10" s="1"/>
  <c r="I293" i="8"/>
  <c r="I292" i="8" s="1"/>
  <c r="F188" i="8"/>
  <c r="F187" i="8" s="1"/>
  <c r="C2032" i="1"/>
  <c r="I464" i="8"/>
  <c r="I463" i="8" s="1"/>
  <c r="H464" i="8"/>
  <c r="H463" i="8" s="1"/>
  <c r="J754" i="8"/>
  <c r="K755" i="8" s="1"/>
  <c r="I904" i="8"/>
  <c r="G419" i="1"/>
  <c r="G418" i="1"/>
  <c r="X125" i="1"/>
  <c r="X24" i="7" s="1"/>
  <c r="I1103" i="1"/>
  <c r="H268" i="1"/>
  <c r="H269" i="1" s="1"/>
  <c r="H266" i="1" s="1"/>
  <c r="I268" i="1" s="1"/>
  <c r="I269" i="1" s="1"/>
  <c r="I650" i="1"/>
  <c r="I652" i="1"/>
  <c r="I124" i="1" s="1"/>
  <c r="I23" i="7" s="1"/>
  <c r="I640" i="1"/>
  <c r="I655" i="1" s="1"/>
  <c r="I657" i="1"/>
  <c r="J260" i="1"/>
  <c r="J261" i="1" s="1"/>
  <c r="F940" i="8"/>
  <c r="F764" i="8"/>
  <c r="K259" i="1"/>
  <c r="L259" i="1" s="1"/>
  <c r="M259" i="1" s="1"/>
  <c r="N259" i="1" s="1"/>
  <c r="O259" i="1" s="1"/>
  <c r="P259" i="1" s="1"/>
  <c r="Q259" i="1" s="1"/>
  <c r="R259" i="1" s="1"/>
  <c r="S259" i="1" s="1"/>
  <c r="T259" i="1" s="1"/>
  <c r="U259" i="1" s="1"/>
  <c r="V259" i="1" s="1"/>
  <c r="W259" i="1" s="1"/>
  <c r="X259" i="1" s="1"/>
  <c r="Y259" i="1" s="1"/>
  <c r="Z259" i="1" s="1"/>
  <c r="AA259" i="1" s="1"/>
  <c r="AB259" i="1" s="1"/>
  <c r="AC259" i="1" s="1"/>
  <c r="J257" i="1"/>
  <c r="F567" i="1"/>
  <c r="R125" i="1"/>
  <c r="R24" i="7" s="1"/>
  <c r="I309" i="1"/>
  <c r="J310" i="1"/>
  <c r="J311" i="1"/>
  <c r="K315" i="1"/>
  <c r="J309" i="1"/>
  <c r="K310" i="1"/>
  <c r="L309" i="1"/>
  <c r="L311" i="1"/>
  <c r="I311" i="1"/>
  <c r="H309" i="1"/>
  <c r="F315" i="1"/>
  <c r="G309" i="1"/>
  <c r="G311" i="1"/>
  <c r="H310" i="1"/>
  <c r="K311" i="1"/>
  <c r="I310" i="1"/>
  <c r="I315" i="1"/>
  <c r="K309" i="1"/>
  <c r="L315" i="1"/>
  <c r="L310" i="1"/>
  <c r="H315" i="1"/>
  <c r="G310" i="1"/>
  <c r="F311" i="1"/>
  <c r="F310" i="1"/>
  <c r="F309" i="1"/>
  <c r="F303" i="1" s="1"/>
  <c r="H311" i="1"/>
  <c r="K573" i="1"/>
  <c r="K1173" i="1" s="1"/>
  <c r="S573" i="1"/>
  <c r="S1173" i="1" s="1"/>
  <c r="Q573" i="1"/>
  <c r="Q1173" i="1" s="1"/>
  <c r="M573" i="1"/>
  <c r="M1173" i="1" s="1"/>
  <c r="L573" i="1"/>
  <c r="L1173" i="1" s="1"/>
  <c r="T573" i="1"/>
  <c r="T1173" i="1" s="1"/>
  <c r="J573" i="1"/>
  <c r="J1173" i="1" s="1"/>
  <c r="R573" i="1"/>
  <c r="R1173" i="1" s="1"/>
  <c r="G315" i="1"/>
  <c r="V1822" i="1"/>
  <c r="V1894" i="1"/>
  <c r="K272" i="1"/>
  <c r="J273" i="1"/>
  <c r="X80" i="1"/>
  <c r="W952" i="1"/>
  <c r="W953" i="1" s="1"/>
  <c r="W873" i="1"/>
  <c r="W874" i="1" s="1"/>
  <c r="W948" i="1"/>
  <c r="W949" i="1" s="1"/>
  <c r="W900" i="1"/>
  <c r="W901" i="1" s="1"/>
  <c r="W679" i="1"/>
  <c r="W963" i="1"/>
  <c r="W964" i="1" s="1"/>
  <c r="W891" i="1"/>
  <c r="W892" i="1" s="1"/>
  <c r="W975" i="1"/>
  <c r="W976" i="1" s="1"/>
  <c r="W931" i="1"/>
  <c r="W932" i="1" s="1"/>
  <c r="W826" i="1"/>
  <c r="W827" i="1" s="1"/>
  <c r="W882" i="1"/>
  <c r="W883" i="1" s="1"/>
  <c r="W81" i="1"/>
  <c r="O573" i="1"/>
  <c r="O1173" i="1" s="1"/>
  <c r="P573" i="1"/>
  <c r="P1173" i="1" s="1"/>
  <c r="N573" i="1"/>
  <c r="N1173" i="1" s="1"/>
  <c r="N125" i="1"/>
  <c r="N24" i="7" s="1"/>
  <c r="J1102" i="1"/>
  <c r="I1104" i="1"/>
  <c r="I1101" i="1" s="1"/>
  <c r="I1130" i="1"/>
  <c r="I1489" i="1" s="1"/>
  <c r="H110" i="8"/>
  <c r="H109" i="8" s="1"/>
  <c r="H90" i="8"/>
  <c r="H89" i="8" s="1"/>
  <c r="AE560" i="1"/>
  <c r="T125" i="1"/>
  <c r="T24" i="7" s="1"/>
  <c r="P125" i="1"/>
  <c r="P24" i="7" s="1"/>
  <c r="L125" i="1"/>
  <c r="L24" i="7" s="1"/>
  <c r="W125" i="1"/>
  <c r="W24" i="7" s="1"/>
  <c r="I701" i="1"/>
  <c r="I164" i="7" s="1"/>
  <c r="I697" i="1"/>
  <c r="I160" i="7" s="1"/>
  <c r="N91" i="1"/>
  <c r="M92" i="1"/>
  <c r="W776" i="1"/>
  <c r="W780" i="1" s="1"/>
  <c r="W777" i="1"/>
  <c r="L31" i="1"/>
  <c r="K32" i="1"/>
  <c r="K75" i="1" s="1"/>
  <c r="V117" i="1"/>
  <c r="V16" i="7" s="1"/>
  <c r="V1340" i="1"/>
  <c r="V336" i="7" s="1"/>
  <c r="U573" i="1"/>
  <c r="U1173" i="1" s="1"/>
  <c r="V573" i="1"/>
  <c r="V1173" i="1" s="1"/>
  <c r="L1099" i="1"/>
  <c r="V125" i="1"/>
  <c r="V24" i="7" s="1"/>
  <c r="U125" i="1"/>
  <c r="U24" i="7" s="1"/>
  <c r="U776" i="1"/>
  <c r="U780" i="1" s="1"/>
  <c r="U777" i="1"/>
  <c r="J726" i="1"/>
  <c r="K729" i="1"/>
  <c r="J98" i="1"/>
  <c r="J1103" i="1" s="1"/>
  <c r="K95" i="1"/>
  <c r="L630" i="1"/>
  <c r="L641" i="1"/>
  <c r="L645" i="1" s="1"/>
  <c r="M29" i="1"/>
  <c r="L639" i="1"/>
  <c r="L631" i="1"/>
  <c r="L526" i="1"/>
  <c r="L529" i="1"/>
  <c r="L30" i="1"/>
  <c r="L291" i="1"/>
  <c r="L554" i="1" s="1"/>
  <c r="L292" i="1"/>
  <c r="L555" i="1" s="1"/>
  <c r="L470" i="1"/>
  <c r="L603" i="1" s="1"/>
  <c r="L290" i="1"/>
  <c r="L468" i="1"/>
  <c r="L469" i="1"/>
  <c r="L602" i="1" s="1"/>
  <c r="L471" i="1"/>
  <c r="L605" i="1" s="1"/>
  <c r="I78" i="8"/>
  <c r="I77" i="8" s="1"/>
  <c r="I74" i="8"/>
  <c r="I73" i="8" s="1"/>
  <c r="I76" i="8"/>
  <c r="I75" i="8" s="1"/>
  <c r="I767" i="8"/>
  <c r="I691" i="8"/>
  <c r="I295" i="8"/>
  <c r="I294" i="8" s="1"/>
  <c r="U376" i="1"/>
  <c r="V376" i="1" s="1"/>
  <c r="W376" i="1" s="1"/>
  <c r="X376" i="1" s="1"/>
  <c r="Y376" i="1" s="1"/>
  <c r="Z376" i="1" s="1"/>
  <c r="AA376" i="1" s="1"/>
  <c r="AB376" i="1" s="1"/>
  <c r="AC376" i="1" s="1"/>
  <c r="H287" i="8"/>
  <c r="H286" i="8" s="1"/>
  <c r="U329" i="1"/>
  <c r="V329" i="1" s="1"/>
  <c r="W329" i="1" s="1"/>
  <c r="X329" i="1" s="1"/>
  <c r="U350" i="1"/>
  <c r="V350" i="1" s="1"/>
  <c r="W350" i="1" s="1"/>
  <c r="X350" i="1" s="1"/>
  <c r="G287" i="8"/>
  <c r="G286" i="8" s="1"/>
  <c r="L152" i="1"/>
  <c r="L51" i="7" s="1"/>
  <c r="K151" i="1"/>
  <c r="K50" i="7" s="1"/>
  <c r="J1073" i="1"/>
  <c r="J1008" i="1"/>
  <c r="J280" i="1"/>
  <c r="J1275" i="1"/>
  <c r="J269" i="7" s="1"/>
  <c r="J2008" i="1"/>
  <c r="J1785" i="1"/>
  <c r="J1931" i="1"/>
  <c r="J866" i="1"/>
  <c r="J724" i="1"/>
  <c r="J1319" i="1"/>
  <c r="J315" i="7" s="1"/>
  <c r="J1096" i="1"/>
  <c r="J768" i="1"/>
  <c r="J661" i="1"/>
  <c r="J1957" i="1"/>
  <c r="J669" i="1"/>
  <c r="J130" i="7" s="1"/>
  <c r="J1657" i="1"/>
  <c r="J541" i="7" s="1"/>
  <c r="J1459" i="1"/>
  <c r="J1197" i="1"/>
  <c r="J188" i="7" s="1"/>
  <c r="J1859" i="1"/>
  <c r="J621" i="1"/>
  <c r="J102" i="1"/>
  <c r="J1" i="7" s="1"/>
  <c r="J1711" i="1"/>
  <c r="J596" i="7" s="1"/>
  <c r="J820" i="1"/>
  <c r="J748" i="1"/>
  <c r="J1554" i="1"/>
  <c r="J434" i="7" s="1"/>
  <c r="J1165" i="1"/>
  <c r="J695" i="1"/>
  <c r="J158" i="7" s="1"/>
  <c r="J676" i="1"/>
  <c r="J138" i="7" s="1"/>
  <c r="J230" i="1"/>
  <c r="J921" i="1"/>
  <c r="J738" i="1"/>
  <c r="X117" i="1"/>
  <c r="X16" i="7" s="1"/>
  <c r="X1340" i="1"/>
  <c r="X336" i="7" s="1"/>
  <c r="V776" i="1"/>
  <c r="V780" i="1" s="1"/>
  <c r="V777" i="1"/>
  <c r="U117" i="1"/>
  <c r="U16" i="7" s="1"/>
  <c r="U1340" i="1"/>
  <c r="U336" i="7" s="1"/>
  <c r="W573" i="1"/>
  <c r="W1173" i="1" s="1"/>
  <c r="X573" i="1"/>
  <c r="X1173" i="1" s="1"/>
  <c r="X776" i="1"/>
  <c r="X780" i="1" s="1"/>
  <c r="X777" i="1"/>
  <c r="J496" i="8"/>
  <c r="J495" i="8" s="1"/>
  <c r="J464" i="8"/>
  <c r="J463" i="8" s="1"/>
  <c r="J457" i="8"/>
  <c r="J456" i="8" s="1"/>
  <c r="J317" i="8"/>
  <c r="J316" i="8" s="1"/>
  <c r="J287" i="8"/>
  <c r="J286" i="8" s="1"/>
  <c r="J167" i="8"/>
  <c r="J166" i="8" s="1"/>
  <c r="J161" i="8"/>
  <c r="J160" i="8" s="1"/>
  <c r="J159" i="8"/>
  <c r="J158" i="8" s="1"/>
  <c r="J116" i="8"/>
  <c r="J115" i="8" s="1"/>
  <c r="J113" i="8"/>
  <c r="J112" i="8" s="1"/>
  <c r="J96" i="8"/>
  <c r="J95" i="8" s="1"/>
  <c r="J92" i="8"/>
  <c r="J91" i="8" s="1"/>
  <c r="J80" i="8"/>
  <c r="J79" i="8" s="1"/>
  <c r="J53" i="8"/>
  <c r="J52" i="8" s="1"/>
  <c r="J34" i="8"/>
  <c r="K33" i="8"/>
  <c r="I287" i="8"/>
  <c r="I286" i="8" s="1"/>
  <c r="I72" i="8"/>
  <c r="I71" i="8" s="1"/>
  <c r="I299" i="8"/>
  <c r="I298" i="8" s="1"/>
  <c r="G464" i="8"/>
  <c r="G463" i="8" s="1"/>
  <c r="Y677" i="8"/>
  <c r="AE572" i="1"/>
  <c r="F1340" i="1"/>
  <c r="F336" i="7" s="1"/>
  <c r="F117" i="1"/>
  <c r="F16" i="7" s="1"/>
  <c r="H117" i="1"/>
  <c r="H16" i="7" s="1"/>
  <c r="H1340" i="1"/>
  <c r="H336" i="7" s="1"/>
  <c r="J1340" i="1"/>
  <c r="J336" i="7" s="1"/>
  <c r="J117" i="1"/>
  <c r="J16" i="7" s="1"/>
  <c r="P117" i="1"/>
  <c r="P16" i="7" s="1"/>
  <c r="P1340" i="1"/>
  <c r="P336" i="7" s="1"/>
  <c r="AE372" i="1"/>
  <c r="F580" i="1"/>
  <c r="P776" i="1"/>
  <c r="P780" i="1" s="1"/>
  <c r="P777" i="1"/>
  <c r="S777" i="1"/>
  <c r="S776" i="1"/>
  <c r="S780" i="1" s="1"/>
  <c r="F287" i="8"/>
  <c r="F286" i="8" s="1"/>
  <c r="AE1329" i="1"/>
  <c r="AE325" i="7" s="1"/>
  <c r="H702" i="1"/>
  <c r="H165" i="7" s="1"/>
  <c r="H831" i="1"/>
  <c r="F1668" i="1"/>
  <c r="F552" i="7" s="1"/>
  <c r="G835" i="1"/>
  <c r="H834" i="1" s="1"/>
  <c r="H835" i="1" s="1"/>
  <c r="I834" i="1" s="1"/>
  <c r="N1340" i="1"/>
  <c r="N336" i="7" s="1"/>
  <c r="N117" i="1"/>
  <c r="N16" i="7" s="1"/>
  <c r="K117" i="1"/>
  <c r="K16" i="7" s="1"/>
  <c r="K1340" i="1"/>
  <c r="K336" i="7" s="1"/>
  <c r="Q1340" i="1"/>
  <c r="Q336" i="7" s="1"/>
  <c r="Q117" i="1"/>
  <c r="Q16" i="7" s="1"/>
  <c r="T117" i="1"/>
  <c r="T16" i="7" s="1"/>
  <c r="T1340" i="1"/>
  <c r="T336" i="7" s="1"/>
  <c r="G702" i="1"/>
  <c r="G165" i="7" s="1"/>
  <c r="R776" i="1"/>
  <c r="R780" i="1" s="1"/>
  <c r="R777" i="1"/>
  <c r="G940" i="8"/>
  <c r="G764" i="8"/>
  <c r="H125" i="1"/>
  <c r="H24" i="7" s="1"/>
  <c r="S125" i="1"/>
  <c r="S24" i="7" s="1"/>
  <c r="Q125" i="1"/>
  <c r="Q24" i="7" s="1"/>
  <c r="G831" i="1"/>
  <c r="O117" i="1"/>
  <c r="O16" i="7" s="1"/>
  <c r="O1340" i="1"/>
  <c r="O336" i="7" s="1"/>
  <c r="L1340" i="1"/>
  <c r="L336" i="7" s="1"/>
  <c r="L117" i="1"/>
  <c r="L16" i="7" s="1"/>
  <c r="R117" i="1"/>
  <c r="R16" i="7" s="1"/>
  <c r="R1340" i="1"/>
  <c r="R336" i="7" s="1"/>
  <c r="G1335" i="1"/>
  <c r="G331" i="7" s="1"/>
  <c r="G573" i="1"/>
  <c r="H573" i="1"/>
  <c r="H1335" i="1"/>
  <c r="H331" i="7" s="1"/>
  <c r="T776" i="1"/>
  <c r="T780" i="1" s="1"/>
  <c r="T777" i="1"/>
  <c r="F701" i="1"/>
  <c r="F164" i="7" s="1"/>
  <c r="F697" i="1"/>
  <c r="F160" i="7" s="1"/>
  <c r="F593" i="1"/>
  <c r="H2024" i="1"/>
  <c r="H1801" i="1"/>
  <c r="H1870" i="1"/>
  <c r="O125" i="1"/>
  <c r="O24" i="7" s="1"/>
  <c r="M125" i="1"/>
  <c r="M24" i="7" s="1"/>
  <c r="F831" i="1"/>
  <c r="G1668" i="1"/>
  <c r="G552" i="7" s="1"/>
  <c r="I831" i="1"/>
  <c r="G1340" i="1"/>
  <c r="G336" i="7" s="1"/>
  <c r="G117" i="1"/>
  <c r="G16" i="7" s="1"/>
  <c r="I1340" i="1"/>
  <c r="I336" i="7" s="1"/>
  <c r="I117" i="1"/>
  <c r="I16" i="7" s="1"/>
  <c r="M117" i="1"/>
  <c r="M16" i="7" s="1"/>
  <c r="M1340" i="1"/>
  <c r="M336" i="7" s="1"/>
  <c r="S1340" i="1"/>
  <c r="S336" i="7" s="1"/>
  <c r="S117" i="1"/>
  <c r="S16" i="7" s="1"/>
  <c r="Q776" i="1"/>
  <c r="Q780" i="1" s="1"/>
  <c r="Q777" i="1"/>
  <c r="H628" i="1"/>
  <c r="H638" i="1" s="1"/>
  <c r="I628" i="1"/>
  <c r="I638" i="1" s="1"/>
  <c r="B548" i="1"/>
  <c r="I266" i="1"/>
  <c r="J268" i="1" s="1"/>
  <c r="J269" i="1" s="1"/>
  <c r="S872" i="1"/>
  <c r="F77" i="8"/>
  <c r="F292" i="8"/>
  <c r="F302" i="8"/>
  <c r="I162" i="1"/>
  <c r="I61" i="7" s="1"/>
  <c r="J167" i="1"/>
  <c r="J66" i="7" s="1"/>
  <c r="J1344" i="1"/>
  <c r="J340" i="7" s="1"/>
  <c r="J1179" i="1"/>
  <c r="J1337" i="1"/>
  <c r="J333" i="7" s="1"/>
  <c r="J1172" i="1"/>
  <c r="J78" i="8" s="1"/>
  <c r="F294" i="8"/>
  <c r="F75" i="8"/>
  <c r="I828" i="8"/>
  <c r="J829" i="8" s="1"/>
  <c r="J827" i="8"/>
  <c r="J243" i="1"/>
  <c r="F158" i="8"/>
  <c r="I1870" i="1"/>
  <c r="K164" i="1"/>
  <c r="K63" i="7" s="1"/>
  <c r="J163" i="1"/>
  <c r="J62" i="7" s="1"/>
  <c r="K586" i="1"/>
  <c r="K598" i="1"/>
  <c r="K559" i="1"/>
  <c r="L88" i="1"/>
  <c r="K551" i="1"/>
  <c r="K1123" i="1"/>
  <c r="K1988" i="1"/>
  <c r="K1989" i="1"/>
  <c r="K1984" i="1"/>
  <c r="K1983" i="1"/>
  <c r="K770" i="1"/>
  <c r="K1990" i="1"/>
  <c r="K1985" i="1"/>
  <c r="K1075" i="1"/>
  <c r="K654" i="1"/>
  <c r="K652" i="1"/>
  <c r="K124" i="1" s="1"/>
  <c r="K23" i="7" s="1"/>
  <c r="K650" i="1"/>
  <c r="K1335" i="1" s="1"/>
  <c r="K331" i="7" s="1"/>
  <c r="K822" i="1"/>
  <c r="J1336" i="1"/>
  <c r="J332" i="7" s="1"/>
  <c r="J1171" i="1"/>
  <c r="I1801" i="1"/>
  <c r="I2024" i="1"/>
  <c r="J248" i="1"/>
  <c r="K251" i="1" s="1"/>
  <c r="K252" i="1" s="1"/>
  <c r="F302" i="1"/>
  <c r="J1863" i="1"/>
  <c r="K1864" i="1" s="1"/>
  <c r="K1862" i="1"/>
  <c r="J902" i="8"/>
  <c r="J904" i="8" s="1"/>
  <c r="K901" i="8"/>
  <c r="J1334" i="1"/>
  <c r="J330" i="7" s="1"/>
  <c r="J1169" i="1"/>
  <c r="F81" i="8"/>
  <c r="F71" i="8"/>
  <c r="F300" i="8"/>
  <c r="J35" i="8"/>
  <c r="I36" i="8"/>
  <c r="I1495" i="1"/>
  <c r="L753" i="8"/>
  <c r="H66" i="8"/>
  <c r="H924" i="8"/>
  <c r="H39" i="8"/>
  <c r="H670" i="8"/>
  <c r="H438" i="8"/>
  <c r="H268" i="8"/>
  <c r="H822" i="8"/>
  <c r="H896" i="8"/>
  <c r="H746" i="8"/>
  <c r="H567" i="8"/>
  <c r="H125" i="8"/>
  <c r="K1791" i="1"/>
  <c r="L1792" i="1" s="1"/>
  <c r="L1790" i="1"/>
  <c r="AE567" i="1"/>
  <c r="F775" i="1"/>
  <c r="F778" i="1"/>
  <c r="F785" i="1"/>
  <c r="AE773" i="1"/>
  <c r="F783" i="1"/>
  <c r="F774" i="1"/>
  <c r="F73" i="8"/>
  <c r="F298" i="8"/>
  <c r="K824" i="8"/>
  <c r="K825" i="8" s="1"/>
  <c r="K859" i="8" s="1"/>
  <c r="K673" i="8"/>
  <c r="K678" i="8" s="1"/>
  <c r="L679" i="8" s="1"/>
  <c r="K748" i="8"/>
  <c r="K749" i="8" s="1"/>
  <c r="K785" i="8" s="1"/>
  <c r="K898" i="8"/>
  <c r="K899" i="8" s="1"/>
  <c r="L672" i="8"/>
  <c r="J1348" i="1"/>
  <c r="J344" i="7" s="1"/>
  <c r="J1190" i="1"/>
  <c r="J1333" i="1"/>
  <c r="J329" i="7" s="1"/>
  <c r="J1170" i="1"/>
  <c r="J74" i="8" s="1"/>
  <c r="J709" i="8"/>
  <c r="M519" i="1" l="1"/>
  <c r="M524" i="1"/>
  <c r="M520" i="1"/>
  <c r="M518" i="1"/>
  <c r="M407" i="1"/>
  <c r="M402" i="1"/>
  <c r="K553" i="1"/>
  <c r="K293" i="1"/>
  <c r="K556" i="1" s="1"/>
  <c r="K1473" i="1" s="1"/>
  <c r="Y80" i="1"/>
  <c r="X935" i="1"/>
  <c r="X936" i="1" s="1"/>
  <c r="X842" i="1"/>
  <c r="X843" i="1" s="1"/>
  <c r="X686" i="1"/>
  <c r="L149" i="1"/>
  <c r="K48" i="7"/>
  <c r="K95" i="7"/>
  <c r="L196" i="1"/>
  <c r="M824" i="1"/>
  <c r="L825" i="1"/>
  <c r="W680" i="1"/>
  <c r="W142" i="7" s="1"/>
  <c r="W141" i="7"/>
  <c r="J194" i="1"/>
  <c r="I93" i="7"/>
  <c r="K823" i="1"/>
  <c r="K828" i="1"/>
  <c r="W148" i="7"/>
  <c r="W687" i="1"/>
  <c r="W149" i="7" s="1"/>
  <c r="J204" i="1"/>
  <c r="I103" i="7"/>
  <c r="J223" i="1"/>
  <c r="I122" i="7"/>
  <c r="H162" i="7"/>
  <c r="I162" i="7"/>
  <c r="I499" i="1"/>
  <c r="G522" i="1"/>
  <c r="H513" i="1" s="1"/>
  <c r="J937" i="1"/>
  <c r="K937" i="1"/>
  <c r="L145" i="1"/>
  <c r="L44" i="7" s="1"/>
  <c r="X39" i="9"/>
  <c r="V39" i="9"/>
  <c r="Y39" i="9"/>
  <c r="W39" i="9"/>
  <c r="B39" i="9"/>
  <c r="T39" i="9"/>
  <c r="R39" i="9"/>
  <c r="P39" i="9"/>
  <c r="N39" i="9"/>
  <c r="L39" i="9"/>
  <c r="J39" i="9"/>
  <c r="H39" i="9"/>
  <c r="F39" i="9"/>
  <c r="D39" i="9"/>
  <c r="U39" i="9"/>
  <c r="S39" i="9"/>
  <c r="Q39" i="9"/>
  <c r="O39" i="9"/>
  <c r="M39" i="9"/>
  <c r="K39" i="9"/>
  <c r="I39" i="9"/>
  <c r="G39" i="9"/>
  <c r="E39" i="9"/>
  <c r="C39" i="9"/>
  <c r="X43" i="9"/>
  <c r="V43" i="9"/>
  <c r="Y43" i="9"/>
  <c r="W43" i="9"/>
  <c r="B43" i="9"/>
  <c r="T43" i="9"/>
  <c r="R43" i="9"/>
  <c r="P43" i="9"/>
  <c r="N43" i="9"/>
  <c r="L43" i="9"/>
  <c r="J43" i="9"/>
  <c r="H43" i="9"/>
  <c r="F43" i="9"/>
  <c r="D43" i="9"/>
  <c r="U43" i="9"/>
  <c r="S43" i="9"/>
  <c r="Q43" i="9"/>
  <c r="O43" i="9"/>
  <c r="M43" i="9"/>
  <c r="K43" i="9"/>
  <c r="I43" i="9"/>
  <c r="G43" i="9"/>
  <c r="E43" i="9"/>
  <c r="C43" i="9"/>
  <c r="X35" i="9"/>
  <c r="V35" i="9"/>
  <c r="Y35" i="9"/>
  <c r="W35" i="9"/>
  <c r="U35" i="9"/>
  <c r="B35" i="9"/>
  <c r="T35" i="9"/>
  <c r="R35" i="9"/>
  <c r="P35" i="9"/>
  <c r="N35" i="9"/>
  <c r="L35" i="9"/>
  <c r="J35" i="9"/>
  <c r="H35" i="9"/>
  <c r="F35" i="9"/>
  <c r="D35" i="9"/>
  <c r="S35" i="9"/>
  <c r="Q35" i="9"/>
  <c r="O35" i="9"/>
  <c r="M35" i="9"/>
  <c r="K35" i="9"/>
  <c r="I35" i="9"/>
  <c r="G35" i="9"/>
  <c r="E35" i="9"/>
  <c r="C35" i="9"/>
  <c r="X44" i="9"/>
  <c r="V44" i="9"/>
  <c r="Y44" i="9"/>
  <c r="W44" i="9"/>
  <c r="B44" i="9"/>
  <c r="U44" i="9"/>
  <c r="S44" i="9"/>
  <c r="Q44" i="9"/>
  <c r="O44" i="9"/>
  <c r="M44" i="9"/>
  <c r="K44" i="9"/>
  <c r="I44" i="9"/>
  <c r="G44" i="9"/>
  <c r="E44" i="9"/>
  <c r="C44" i="9"/>
  <c r="T44" i="9"/>
  <c r="R44" i="9"/>
  <c r="P44" i="9"/>
  <c r="N44" i="9"/>
  <c r="L44" i="9"/>
  <c r="J44" i="9"/>
  <c r="H44" i="9"/>
  <c r="F44" i="9"/>
  <c r="D44" i="9"/>
  <c r="X42" i="9"/>
  <c r="V42" i="9"/>
  <c r="Y42" i="9"/>
  <c r="W42" i="9"/>
  <c r="U42" i="9"/>
  <c r="S42" i="9"/>
  <c r="Q42" i="9"/>
  <c r="O42" i="9"/>
  <c r="M42" i="9"/>
  <c r="K42" i="9"/>
  <c r="I42" i="9"/>
  <c r="G42" i="9"/>
  <c r="E42" i="9"/>
  <c r="C42" i="9"/>
  <c r="B42" i="9"/>
  <c r="T42" i="9"/>
  <c r="R42" i="9"/>
  <c r="P42" i="9"/>
  <c r="N42" i="9"/>
  <c r="L42" i="9"/>
  <c r="J42" i="9"/>
  <c r="H42" i="9"/>
  <c r="F42" i="9"/>
  <c r="D42" i="9"/>
  <c r="X47" i="9"/>
  <c r="V47" i="9"/>
  <c r="Y47" i="9"/>
  <c r="W47" i="9"/>
  <c r="S47" i="9"/>
  <c r="O47" i="9"/>
  <c r="K47" i="9"/>
  <c r="G47" i="9"/>
  <c r="C47" i="9"/>
  <c r="B47" i="9"/>
  <c r="T47" i="9"/>
  <c r="R47" i="9"/>
  <c r="P47" i="9"/>
  <c r="N47" i="9"/>
  <c r="L47" i="9"/>
  <c r="J47" i="9"/>
  <c r="H47" i="9"/>
  <c r="F47" i="9"/>
  <c r="D47" i="9"/>
  <c r="U47" i="9"/>
  <c r="Q47" i="9"/>
  <c r="M47" i="9"/>
  <c r="I47" i="9"/>
  <c r="E47" i="9"/>
  <c r="X41" i="9"/>
  <c r="V41" i="9"/>
  <c r="Y41" i="9"/>
  <c r="W41" i="9"/>
  <c r="B41" i="9"/>
  <c r="T41" i="9"/>
  <c r="R41" i="9"/>
  <c r="P41" i="9"/>
  <c r="N41" i="9"/>
  <c r="L41" i="9"/>
  <c r="J41" i="9"/>
  <c r="H41" i="9"/>
  <c r="F41" i="9"/>
  <c r="D41" i="9"/>
  <c r="U41" i="9"/>
  <c r="S41" i="9"/>
  <c r="Q41" i="9"/>
  <c r="O41" i="9"/>
  <c r="M41" i="9"/>
  <c r="K41" i="9"/>
  <c r="I41" i="9"/>
  <c r="G41" i="9"/>
  <c r="E41" i="9"/>
  <c r="C41" i="9"/>
  <c r="X48" i="9"/>
  <c r="V48" i="9"/>
  <c r="Y48" i="9"/>
  <c r="W48" i="9"/>
  <c r="B48" i="9"/>
  <c r="R48" i="9"/>
  <c r="N48" i="9"/>
  <c r="J48" i="9"/>
  <c r="H48" i="9"/>
  <c r="D48" i="9"/>
  <c r="U48" i="9"/>
  <c r="S48" i="9"/>
  <c r="Q48" i="9"/>
  <c r="O48" i="9"/>
  <c r="M48" i="9"/>
  <c r="K48" i="9"/>
  <c r="I48" i="9"/>
  <c r="G48" i="9"/>
  <c r="E48" i="9"/>
  <c r="C48" i="9"/>
  <c r="T48" i="9"/>
  <c r="P48" i="9"/>
  <c r="L48" i="9"/>
  <c r="F48" i="9"/>
  <c r="X45" i="9"/>
  <c r="V45" i="9"/>
  <c r="Y45" i="9"/>
  <c r="W45" i="9"/>
  <c r="B45" i="9"/>
  <c r="T45" i="9"/>
  <c r="R45" i="9"/>
  <c r="P45" i="9"/>
  <c r="N45" i="9"/>
  <c r="L45" i="9"/>
  <c r="J45" i="9"/>
  <c r="H45" i="9"/>
  <c r="F45" i="9"/>
  <c r="D45" i="9"/>
  <c r="U45" i="9"/>
  <c r="S45" i="9"/>
  <c r="Q45" i="9"/>
  <c r="O45" i="9"/>
  <c r="M45" i="9"/>
  <c r="K45" i="9"/>
  <c r="I45" i="9"/>
  <c r="G45" i="9"/>
  <c r="E45" i="9"/>
  <c r="C45" i="9"/>
  <c r="X37" i="9"/>
  <c r="V37" i="9"/>
  <c r="Y37" i="9"/>
  <c r="W37" i="9"/>
  <c r="B37" i="9"/>
  <c r="T37" i="9"/>
  <c r="R37" i="9"/>
  <c r="P37" i="9"/>
  <c r="N37" i="9"/>
  <c r="L37" i="9"/>
  <c r="J37" i="9"/>
  <c r="H37" i="9"/>
  <c r="F37" i="9"/>
  <c r="D37" i="9"/>
  <c r="U37" i="9"/>
  <c r="S37" i="9"/>
  <c r="Q37" i="9"/>
  <c r="O37" i="9"/>
  <c r="M37" i="9"/>
  <c r="K37" i="9"/>
  <c r="I37" i="9"/>
  <c r="G37" i="9"/>
  <c r="E37" i="9"/>
  <c r="C37" i="9"/>
  <c r="X40" i="9"/>
  <c r="V40" i="9"/>
  <c r="Y40" i="9"/>
  <c r="W40" i="9"/>
  <c r="B40" i="9"/>
  <c r="U40" i="9"/>
  <c r="S40" i="9"/>
  <c r="Q40" i="9"/>
  <c r="O40" i="9"/>
  <c r="M40" i="9"/>
  <c r="K40" i="9"/>
  <c r="I40" i="9"/>
  <c r="G40" i="9"/>
  <c r="E40" i="9"/>
  <c r="C40" i="9"/>
  <c r="T40" i="9"/>
  <c r="R40" i="9"/>
  <c r="P40" i="9"/>
  <c r="N40" i="9"/>
  <c r="L40" i="9"/>
  <c r="J40" i="9"/>
  <c r="H40" i="9"/>
  <c r="F40" i="9"/>
  <c r="D40" i="9"/>
  <c r="H464" i="1"/>
  <c r="H601" i="1" s="1"/>
  <c r="H1328" i="1" s="1"/>
  <c r="H324" i="7" s="1"/>
  <c r="G600" i="1"/>
  <c r="G1477" i="1" s="1"/>
  <c r="G472" i="8" s="1"/>
  <c r="G471" i="8" s="1"/>
  <c r="I464" i="1"/>
  <c r="I601" i="1" s="1"/>
  <c r="I1218" i="1" s="1"/>
  <c r="I209" i="7" s="1"/>
  <c r="L141" i="1"/>
  <c r="L40" i="7" s="1"/>
  <c r="I138" i="1"/>
  <c r="I37" i="7" s="1"/>
  <c r="G1218" i="1"/>
  <c r="G209" i="7" s="1"/>
  <c r="J1748" i="1"/>
  <c r="J633" i="7" s="1"/>
  <c r="L155" i="1"/>
  <c r="L54" i="7" s="1"/>
  <c r="K197" i="1"/>
  <c r="K96" i="7" s="1"/>
  <c r="J202" i="1"/>
  <c r="J101" i="7" s="1"/>
  <c r="K171" i="1"/>
  <c r="K70" i="7" s="1"/>
  <c r="G404" i="1"/>
  <c r="M165" i="1"/>
  <c r="M64" i="7" s="1"/>
  <c r="L198" i="1"/>
  <c r="L97" i="7" s="1"/>
  <c r="L160" i="1"/>
  <c r="L59" i="7" s="1"/>
  <c r="L153" i="1"/>
  <c r="L52" i="7" s="1"/>
  <c r="K199" i="1"/>
  <c r="K98" i="7" s="1"/>
  <c r="K143" i="1"/>
  <c r="K42" i="7" s="1"/>
  <c r="L144" i="1"/>
  <c r="L43" i="7" s="1"/>
  <c r="J1328" i="1"/>
  <c r="J324" i="7" s="1"/>
  <c r="F1328" i="1"/>
  <c r="F324" i="7" s="1"/>
  <c r="I472" i="8"/>
  <c r="I471" i="8" s="1"/>
  <c r="F600" i="1"/>
  <c r="F1477" i="1" s="1"/>
  <c r="F472" i="8" s="1"/>
  <c r="F471" i="8" s="1"/>
  <c r="J600" i="1"/>
  <c r="J1477" i="1" s="1"/>
  <c r="J472" i="8" s="1"/>
  <c r="J471" i="8" s="1"/>
  <c r="K600" i="1"/>
  <c r="K1477" i="1" s="1"/>
  <c r="Z46" i="9"/>
  <c r="Z36" i="9"/>
  <c r="Z38" i="9"/>
  <c r="J321" i="8"/>
  <c r="J320" i="8" s="1"/>
  <c r="I504" i="8"/>
  <c r="I503" i="8" s="1"/>
  <c r="J313" i="8"/>
  <c r="J312" i="8" s="1"/>
  <c r="Y329" i="1"/>
  <c r="Z329" i="1" s="1"/>
  <c r="AA329" i="1" s="1"/>
  <c r="AB329" i="1" s="1"/>
  <c r="AC329" i="1" s="1"/>
  <c r="B322" i="1" s="1"/>
  <c r="M431" i="1"/>
  <c r="M426" i="1"/>
  <c r="I494" i="8"/>
  <c r="I493" i="8" s="1"/>
  <c r="AA890" i="1"/>
  <c r="K1469" i="1"/>
  <c r="K457" i="8" s="1"/>
  <c r="K456" i="8" s="1"/>
  <c r="K1490" i="1"/>
  <c r="AA267" i="1"/>
  <c r="J301" i="8"/>
  <c r="Y350" i="1"/>
  <c r="Z350" i="1" s="1"/>
  <c r="AA350" i="1" s="1"/>
  <c r="AB350" i="1" s="1"/>
  <c r="AC350" i="1" s="1"/>
  <c r="B343" i="1" s="1"/>
  <c r="L352" i="1" s="1"/>
  <c r="Z80" i="1"/>
  <c r="Y963" i="1"/>
  <c r="Y964" i="1" s="1"/>
  <c r="Y952" i="1"/>
  <c r="Y953" i="1" s="1"/>
  <c r="Y948" i="1"/>
  <c r="Y949" i="1" s="1"/>
  <c r="Y931" i="1"/>
  <c r="Y932" i="1" s="1"/>
  <c r="Y900" i="1"/>
  <c r="Y901" i="1" s="1"/>
  <c r="Y882" i="1"/>
  <c r="Y883" i="1" s="1"/>
  <c r="Y826" i="1"/>
  <c r="Y827" i="1" s="1"/>
  <c r="Y891" i="1"/>
  <c r="Y892" i="1" s="1"/>
  <c r="Y679" i="1"/>
  <c r="Y975" i="1"/>
  <c r="Y976" i="1" s="1"/>
  <c r="Y873" i="1"/>
  <c r="Y874" i="1" s="1"/>
  <c r="Y81" i="1"/>
  <c r="AA881" i="1"/>
  <c r="AA899" i="1"/>
  <c r="J293" i="8"/>
  <c r="J292" i="8" s="1"/>
  <c r="F125" i="1"/>
  <c r="F24" i="7" s="1"/>
  <c r="I704" i="1"/>
  <c r="I167" i="7" s="1"/>
  <c r="H297" i="8"/>
  <c r="H296" i="8" s="1"/>
  <c r="G297" i="8"/>
  <c r="G296" i="8" s="1"/>
  <c r="F165" i="8"/>
  <c r="F164" i="8" s="1"/>
  <c r="I422" i="1"/>
  <c r="AE412" i="1"/>
  <c r="G428" i="1"/>
  <c r="F1335" i="1"/>
  <c r="F331" i="7" s="1"/>
  <c r="F573" i="1"/>
  <c r="F618" i="1" s="1"/>
  <c r="F1086" i="1" s="1"/>
  <c r="K260" i="1"/>
  <c r="K261" i="1" s="1"/>
  <c r="K257" i="1" s="1"/>
  <c r="L260" i="1" s="1"/>
  <c r="L261" i="1" s="1"/>
  <c r="L257" i="1" s="1"/>
  <c r="M260" i="1" s="1"/>
  <c r="M261" i="1" s="1"/>
  <c r="H704" i="1"/>
  <c r="H167" i="7" s="1"/>
  <c r="G704" i="1"/>
  <c r="G167" i="7" s="1"/>
  <c r="X952" i="1"/>
  <c r="X953" i="1" s="1"/>
  <c r="X873" i="1"/>
  <c r="X874" i="1" s="1"/>
  <c r="X948" i="1"/>
  <c r="X949" i="1" s="1"/>
  <c r="X900" i="1"/>
  <c r="X901" i="1" s="1"/>
  <c r="X679" i="1"/>
  <c r="X963" i="1"/>
  <c r="X964" i="1" s="1"/>
  <c r="X891" i="1"/>
  <c r="X892" i="1" s="1"/>
  <c r="X882" i="1"/>
  <c r="X883" i="1" s="1"/>
  <c r="X975" i="1"/>
  <c r="X976" i="1" s="1"/>
  <c r="X931" i="1"/>
  <c r="X932" i="1" s="1"/>
  <c r="X826" i="1"/>
  <c r="X827" i="1" s="1"/>
  <c r="X81" i="1"/>
  <c r="L272" i="1"/>
  <c r="K273" i="1"/>
  <c r="J833" i="1"/>
  <c r="W1894" i="1"/>
  <c r="W1822" i="1"/>
  <c r="X1822" i="1" s="1"/>
  <c r="J1218" i="1"/>
  <c r="J209" i="7" s="1"/>
  <c r="K1102" i="1"/>
  <c r="J1104" i="1"/>
  <c r="J1101" i="1" s="1"/>
  <c r="J1130" i="1"/>
  <c r="J1489" i="1" s="1"/>
  <c r="H378" i="1"/>
  <c r="H576" i="1" s="1"/>
  <c r="K383" i="1"/>
  <c r="K581" i="1" s="1"/>
  <c r="F377" i="1"/>
  <c r="F371" i="1" s="1"/>
  <c r="F378" i="1"/>
  <c r="F576" i="1" s="1"/>
  <c r="G378" i="1"/>
  <c r="G576" i="1" s="1"/>
  <c r="M378" i="1"/>
  <c r="G383" i="1"/>
  <c r="G581" i="1" s="1"/>
  <c r="H383" i="1"/>
  <c r="H581" i="1" s="1"/>
  <c r="J383" i="1"/>
  <c r="K378" i="1"/>
  <c r="K576" i="1" s="1"/>
  <c r="H377" i="1"/>
  <c r="L379" i="1"/>
  <c r="L377" i="1"/>
  <c r="M379" i="1"/>
  <c r="G377" i="1"/>
  <c r="I379" i="1"/>
  <c r="I577" i="1" s="1"/>
  <c r="J377" i="1"/>
  <c r="I377" i="1"/>
  <c r="F383" i="1"/>
  <c r="F581" i="1" s="1"/>
  <c r="M383" i="1"/>
  <c r="M581" i="1" s="1"/>
  <c r="L383" i="1"/>
  <c r="L581" i="1" s="1"/>
  <c r="I378" i="1"/>
  <c r="I383" i="1"/>
  <c r="I581" i="1" s="1"/>
  <c r="F379" i="1"/>
  <c r="F577" i="1" s="1"/>
  <c r="L378" i="1"/>
  <c r="L576" i="1" s="1"/>
  <c r="J378" i="1"/>
  <c r="J576" i="1" s="1"/>
  <c r="H379" i="1"/>
  <c r="H577" i="1" s="1"/>
  <c r="M377" i="1"/>
  <c r="J379" i="1"/>
  <c r="K377" i="1"/>
  <c r="G379" i="1"/>
  <c r="G577" i="1" s="1"/>
  <c r="K379" i="1"/>
  <c r="J110" i="8"/>
  <c r="J109" i="8" s="1"/>
  <c r="L600" i="1"/>
  <c r="L464" i="1"/>
  <c r="L601" i="1" s="1"/>
  <c r="M630" i="1"/>
  <c r="M641" i="1"/>
  <c r="M645" i="1" s="1"/>
  <c r="N29" i="1"/>
  <c r="M639" i="1"/>
  <c r="M631" i="1"/>
  <c r="M526" i="1"/>
  <c r="M529" i="1"/>
  <c r="M30" i="1"/>
  <c r="M292" i="1"/>
  <c r="M555" i="1" s="1"/>
  <c r="M471" i="1"/>
  <c r="M605" i="1" s="1"/>
  <c r="M468" i="1"/>
  <c r="M291" i="1"/>
  <c r="M554" i="1" s="1"/>
  <c r="M290" i="1"/>
  <c r="M469" i="1"/>
  <c r="M602" i="1" s="1"/>
  <c r="M470" i="1"/>
  <c r="M603" i="1" s="1"/>
  <c r="M311" i="1"/>
  <c r="M309" i="1"/>
  <c r="M310" i="1"/>
  <c r="M315" i="1"/>
  <c r="M1099" i="1"/>
  <c r="M31" i="1"/>
  <c r="L32" i="1"/>
  <c r="L75" i="1" s="1"/>
  <c r="N92" i="1"/>
  <c r="O91" i="1"/>
  <c r="I307" i="8"/>
  <c r="I306" i="8" s="1"/>
  <c r="G307" i="8"/>
  <c r="G306" i="8" s="1"/>
  <c r="G285" i="8"/>
  <c r="G284" i="8" s="1"/>
  <c r="H307" i="8"/>
  <c r="H306" i="8" s="1"/>
  <c r="K297" i="8"/>
  <c r="K296" i="8" s="1"/>
  <c r="K287" i="8"/>
  <c r="K286" i="8" s="1"/>
  <c r="K161" i="8"/>
  <c r="K160" i="8" s="1"/>
  <c r="K116" i="8"/>
  <c r="K115" i="8" s="1"/>
  <c r="K96" i="8"/>
  <c r="K95" i="8" s="1"/>
  <c r="K92" i="8"/>
  <c r="K91" i="8" s="1"/>
  <c r="K496" i="8"/>
  <c r="K495" i="8" s="1"/>
  <c r="K464" i="8"/>
  <c r="K463" i="8" s="1"/>
  <c r="K317" i="8"/>
  <c r="K316" i="8" s="1"/>
  <c r="K307" i="8"/>
  <c r="K306" i="8" s="1"/>
  <c r="K167" i="8"/>
  <c r="K166" i="8" s="1"/>
  <c r="K159" i="8"/>
  <c r="K158" i="8" s="1"/>
  <c r="K80" i="8"/>
  <c r="K79" i="8" s="1"/>
  <c r="K113" i="8"/>
  <c r="K112" i="8" s="1"/>
  <c r="K53" i="8"/>
  <c r="K52" i="8" s="1"/>
  <c r="L33" i="8"/>
  <c r="K34" i="8"/>
  <c r="J72" i="8"/>
  <c r="J71" i="8" s="1"/>
  <c r="J76" i="8"/>
  <c r="J75" i="8" s="1"/>
  <c r="J90" i="8"/>
  <c r="J89" i="8" s="1"/>
  <c r="J767" i="8"/>
  <c r="J691" i="8"/>
  <c r="J295" i="8"/>
  <c r="J294" i="8" s="1"/>
  <c r="J299" i="8"/>
  <c r="J298" i="8" s="1"/>
  <c r="J307" i="8"/>
  <c r="J306" i="8" s="1"/>
  <c r="M152" i="1"/>
  <c r="M51" i="7" s="1"/>
  <c r="L151" i="1"/>
  <c r="L50" i="7" s="1"/>
  <c r="L553" i="1"/>
  <c r="L293" i="1"/>
  <c r="L556" i="1" s="1"/>
  <c r="L1473" i="1" s="1"/>
  <c r="L95" i="1"/>
  <c r="K98" i="1"/>
  <c r="K1103" i="1" s="1"/>
  <c r="K726" i="1"/>
  <c r="L729" i="1"/>
  <c r="K1096" i="1"/>
  <c r="K1931" i="1"/>
  <c r="K661" i="1"/>
  <c r="K866" i="1"/>
  <c r="K1785" i="1"/>
  <c r="K621" i="1"/>
  <c r="K1319" i="1"/>
  <c r="K315" i="7" s="1"/>
  <c r="K1859" i="1"/>
  <c r="K230" i="1"/>
  <c r="K695" i="1"/>
  <c r="K158" i="7" s="1"/>
  <c r="K738" i="1"/>
  <c r="K1197" i="1"/>
  <c r="K188" i="7" s="1"/>
  <c r="K1459" i="1"/>
  <c r="K820" i="1"/>
  <c r="K676" i="1"/>
  <c r="K138" i="7" s="1"/>
  <c r="K1657" i="1"/>
  <c r="K541" i="7" s="1"/>
  <c r="K1275" i="1"/>
  <c r="K269" i="7" s="1"/>
  <c r="K1073" i="1"/>
  <c r="K1711" i="1"/>
  <c r="K596" i="7" s="1"/>
  <c r="K1008" i="1"/>
  <c r="K768" i="1"/>
  <c r="K102" i="1"/>
  <c r="K1" i="7" s="1"/>
  <c r="K1165" i="1"/>
  <c r="K2008" i="1"/>
  <c r="K921" i="1"/>
  <c r="K748" i="1"/>
  <c r="K1957" i="1"/>
  <c r="K724" i="1"/>
  <c r="K280" i="1"/>
  <c r="K669" i="1"/>
  <c r="K130" i="7" s="1"/>
  <c r="K1554" i="1"/>
  <c r="K434" i="7" s="1"/>
  <c r="I702" i="1"/>
  <c r="I165" i="7" s="1"/>
  <c r="I835" i="1"/>
  <c r="J834" i="1" s="1"/>
  <c r="I1668" i="1"/>
  <c r="I552" i="7" s="1"/>
  <c r="F549" i="1"/>
  <c r="F113" i="8" s="1"/>
  <c r="F112" i="8" s="1"/>
  <c r="F1804" i="1"/>
  <c r="AE1804" i="1" s="1"/>
  <c r="F1730" i="1"/>
  <c r="F615" i="7" s="1"/>
  <c r="F833" i="1"/>
  <c r="I832" i="1"/>
  <c r="H1173" i="1"/>
  <c r="H618" i="1"/>
  <c r="H1086" i="1" s="1"/>
  <c r="J832" i="1"/>
  <c r="AE1340" i="1"/>
  <c r="AE336" i="7" s="1"/>
  <c r="F307" i="8"/>
  <c r="F306" i="8" s="1"/>
  <c r="H832" i="1"/>
  <c r="J629" i="1"/>
  <c r="I630" i="1"/>
  <c r="I639" i="1"/>
  <c r="I654" i="1" s="1"/>
  <c r="J641" i="1"/>
  <c r="I629" i="1"/>
  <c r="H639" i="1"/>
  <c r="H654" i="1" s="1"/>
  <c r="H630" i="1"/>
  <c r="I833" i="1"/>
  <c r="F832" i="1"/>
  <c r="G832" i="1"/>
  <c r="H835" i="8"/>
  <c r="H764" i="8"/>
  <c r="H940" i="8"/>
  <c r="F702" i="1"/>
  <c r="F165" i="7" s="1"/>
  <c r="F704" i="1"/>
  <c r="F167" i="7" s="1"/>
  <c r="H1945" i="1"/>
  <c r="H2018" i="1"/>
  <c r="G1173" i="1"/>
  <c r="G833" i="1"/>
  <c r="H1668" i="1"/>
  <c r="H552" i="7" s="1"/>
  <c r="AE117" i="1"/>
  <c r="AE16" i="7" s="1"/>
  <c r="H833" i="1"/>
  <c r="F312" i="1"/>
  <c r="F313" i="1" s="1"/>
  <c r="G302" i="1" s="1"/>
  <c r="J266" i="1"/>
  <c r="K268" i="1" s="1"/>
  <c r="AE774" i="1"/>
  <c r="L824" i="8"/>
  <c r="L825" i="8" s="1"/>
  <c r="L859" i="8" s="1"/>
  <c r="L748" i="8"/>
  <c r="L749" i="8" s="1"/>
  <c r="L785" i="8" s="1"/>
  <c r="L898" i="8"/>
  <c r="L899" i="8" s="1"/>
  <c r="M672" i="8"/>
  <c r="L673" i="8"/>
  <c r="L678" i="8" s="1"/>
  <c r="M679" i="8" s="1"/>
  <c r="F1667" i="1"/>
  <c r="K754" i="8"/>
  <c r="L755" i="8" s="1"/>
  <c r="J1495" i="1"/>
  <c r="K35" i="8"/>
  <c r="J36" i="8"/>
  <c r="K1348" i="1"/>
  <c r="K344" i="7" s="1"/>
  <c r="K1190" i="1"/>
  <c r="K110" i="8" s="1"/>
  <c r="K1333" i="1"/>
  <c r="K329" i="7" s="1"/>
  <c r="K1170" i="1"/>
  <c r="K1336" i="1"/>
  <c r="K332" i="7" s="1"/>
  <c r="K1171" i="1"/>
  <c r="K76" i="8" s="1"/>
  <c r="J903" i="8"/>
  <c r="T872" i="1"/>
  <c r="U872" i="1" s="1"/>
  <c r="I109" i="8"/>
  <c r="J2024" i="1"/>
  <c r="J1801" i="1"/>
  <c r="F779" i="1"/>
  <c r="F777" i="1"/>
  <c r="AE775" i="1"/>
  <c r="F776" i="1"/>
  <c r="I320" i="8"/>
  <c r="K1344" i="1"/>
  <c r="K340" i="7" s="1"/>
  <c r="K1179" i="1"/>
  <c r="K90" i="8" s="1"/>
  <c r="L598" i="1"/>
  <c r="L609" i="1"/>
  <c r="L586" i="1"/>
  <c r="L551" i="1"/>
  <c r="L559" i="1"/>
  <c r="M88" i="1"/>
  <c r="L1123" i="1"/>
  <c r="L1984" i="1"/>
  <c r="L770" i="1"/>
  <c r="L1990" i="1"/>
  <c r="L1985" i="1"/>
  <c r="L1988" i="1"/>
  <c r="L1989" i="1"/>
  <c r="L1983" i="1"/>
  <c r="L1075" i="1"/>
  <c r="L822" i="1"/>
  <c r="L654" i="1"/>
  <c r="L650" i="1"/>
  <c r="L1335" i="1" s="1"/>
  <c r="L331" i="7" s="1"/>
  <c r="L652" i="1"/>
  <c r="L124" i="1" s="1"/>
  <c r="L23" i="7" s="1"/>
  <c r="J162" i="1"/>
  <c r="J61" i="7" s="1"/>
  <c r="K167" i="1"/>
  <c r="K66" i="7" s="1"/>
  <c r="L1791" i="1"/>
  <c r="M1792" i="1" s="1"/>
  <c r="M1790" i="1"/>
  <c r="K709" i="8"/>
  <c r="I89" i="8"/>
  <c r="K1863" i="1"/>
  <c r="L1864" i="1" s="1"/>
  <c r="L1862" i="1"/>
  <c r="K1334" i="1"/>
  <c r="K330" i="7" s="1"/>
  <c r="K1169" i="1"/>
  <c r="K72" i="8" s="1"/>
  <c r="K163" i="1"/>
  <c r="K62" i="7" s="1"/>
  <c r="L164" i="1"/>
  <c r="L63" i="7" s="1"/>
  <c r="L754" i="8"/>
  <c r="M753" i="8"/>
  <c r="I670" i="8"/>
  <c r="I125" i="8"/>
  <c r="I438" i="8"/>
  <c r="I567" i="8"/>
  <c r="I822" i="8"/>
  <c r="I924" i="8"/>
  <c r="I66" i="8"/>
  <c r="I896" i="8"/>
  <c r="I746" i="8"/>
  <c r="I268" i="8"/>
  <c r="I39" i="8"/>
  <c r="K902" i="8"/>
  <c r="K904" i="8" s="1"/>
  <c r="L901" i="8"/>
  <c r="K248" i="1"/>
  <c r="L251" i="1" s="1"/>
  <c r="L252" i="1" s="1"/>
  <c r="K1337" i="1"/>
  <c r="K333" i="7" s="1"/>
  <c r="K1172" i="1"/>
  <c r="I312" i="8"/>
  <c r="J239" i="1"/>
  <c r="K242" i="1" s="1"/>
  <c r="K243" i="1" s="1"/>
  <c r="J828" i="8"/>
  <c r="K829" i="8" s="1"/>
  <c r="K827" i="8"/>
  <c r="J1870" i="1"/>
  <c r="L709" i="8" l="1"/>
  <c r="Y680" i="1"/>
  <c r="Y142" i="7" s="1"/>
  <c r="Y141" i="7"/>
  <c r="K223" i="1"/>
  <c r="J122" i="7"/>
  <c r="N824" i="1"/>
  <c r="M825" i="1"/>
  <c r="L95" i="7"/>
  <c r="M196" i="1"/>
  <c r="N520" i="1"/>
  <c r="N519" i="1"/>
  <c r="N518" i="1"/>
  <c r="N524" i="1"/>
  <c r="N402" i="1"/>
  <c r="N407" i="1"/>
  <c r="K204" i="1"/>
  <c r="J103" i="7"/>
  <c r="K194" i="1"/>
  <c r="J93" i="7"/>
  <c r="Y935" i="1"/>
  <c r="Y936" i="1" s="1"/>
  <c r="Y686" i="1"/>
  <c r="Y842" i="1"/>
  <c r="Y843" i="1" s="1"/>
  <c r="F1676" i="1"/>
  <c r="F551" i="7"/>
  <c r="X680" i="1"/>
  <c r="X142" i="7" s="1"/>
  <c r="X141" i="7"/>
  <c r="Z935" i="1"/>
  <c r="Z936" i="1" s="1"/>
  <c r="Z686" i="1"/>
  <c r="Z842" i="1"/>
  <c r="Z843" i="1" s="1"/>
  <c r="M149" i="1"/>
  <c r="L48" i="7"/>
  <c r="K836" i="1"/>
  <c r="K829" i="1"/>
  <c r="K830" i="1"/>
  <c r="L823" i="1"/>
  <c r="L828" i="1"/>
  <c r="X148" i="7"/>
  <c r="X687" i="1"/>
  <c r="X149" i="7" s="1"/>
  <c r="I498" i="1"/>
  <c r="I501" i="1"/>
  <c r="H521" i="1"/>
  <c r="L937" i="1"/>
  <c r="M145" i="1"/>
  <c r="M44" i="7" s="1"/>
  <c r="Z48" i="9"/>
  <c r="Z45" i="9"/>
  <c r="L49" i="9"/>
  <c r="I165" i="8"/>
  <c r="I164" i="8" s="1"/>
  <c r="Z40" i="9"/>
  <c r="J49" i="9"/>
  <c r="N678" i="1" s="1"/>
  <c r="Z37" i="9"/>
  <c r="Z41" i="9"/>
  <c r="P678" i="1"/>
  <c r="L71" i="9"/>
  <c r="L70" i="9"/>
  <c r="L69" i="9"/>
  <c r="L68" i="9"/>
  <c r="L67" i="9"/>
  <c r="L66" i="9"/>
  <c r="L65" i="9"/>
  <c r="L64" i="9"/>
  <c r="L63" i="9"/>
  <c r="L62" i="9"/>
  <c r="J71" i="9"/>
  <c r="J70" i="9"/>
  <c r="J69" i="9"/>
  <c r="J68" i="9"/>
  <c r="J67" i="9"/>
  <c r="J66" i="9"/>
  <c r="J65" i="9"/>
  <c r="J64" i="9"/>
  <c r="J63" i="9"/>
  <c r="J62" i="9"/>
  <c r="H285" i="8"/>
  <c r="H284" i="8" s="1"/>
  <c r="H1218" i="1"/>
  <c r="H209" i="7" s="1"/>
  <c r="I1328" i="1"/>
  <c r="I324" i="7" s="1"/>
  <c r="G165" i="8"/>
  <c r="G164" i="8" s="1"/>
  <c r="Z35" i="9"/>
  <c r="J138" i="1"/>
  <c r="J37" i="7" s="1"/>
  <c r="M141" i="1"/>
  <c r="M40" i="7" s="1"/>
  <c r="F1173" i="1"/>
  <c r="L1477" i="1"/>
  <c r="L472" i="8" s="1"/>
  <c r="L471" i="8" s="1"/>
  <c r="Y1822" i="1"/>
  <c r="K1748" i="1"/>
  <c r="K633" i="7" s="1"/>
  <c r="H352" i="1"/>
  <c r="M155" i="1"/>
  <c r="M54" i="7" s="1"/>
  <c r="L199" i="1"/>
  <c r="L98" i="7" s="1"/>
  <c r="M153" i="1"/>
  <c r="M52" i="7" s="1"/>
  <c r="M160" i="1"/>
  <c r="M59" i="7" s="1"/>
  <c r="M198" i="1"/>
  <c r="M97" i="7" s="1"/>
  <c r="N165" i="1"/>
  <c r="N64" i="7" s="1"/>
  <c r="L171" i="1"/>
  <c r="L70" i="7" s="1"/>
  <c r="L143" i="1"/>
  <c r="L42" i="7" s="1"/>
  <c r="M144" i="1"/>
  <c r="M43" i="7" s="1"/>
  <c r="G405" i="1"/>
  <c r="L197" i="1"/>
  <c r="L96" i="7" s="1"/>
  <c r="K202" i="1"/>
  <c r="K101" i="7" s="1"/>
  <c r="J285" i="8"/>
  <c r="J284" i="8" s="1"/>
  <c r="Y49" i="9"/>
  <c r="X49" i="9"/>
  <c r="AC678" i="1"/>
  <c r="AB678" i="1"/>
  <c r="K352" i="1"/>
  <c r="F297" i="8"/>
  <c r="F296" i="8" s="1"/>
  <c r="F934" i="8" s="1"/>
  <c r="G353" i="1"/>
  <c r="K351" i="1"/>
  <c r="F285" i="8"/>
  <c r="F284" i="8" s="1"/>
  <c r="M353" i="1"/>
  <c r="F353" i="1"/>
  <c r="H357" i="1"/>
  <c r="F357" i="1"/>
  <c r="J352" i="1"/>
  <c r="I357" i="1"/>
  <c r="M352" i="1"/>
  <c r="H353" i="1"/>
  <c r="J353" i="1"/>
  <c r="L351" i="1"/>
  <c r="L353" i="1"/>
  <c r="I351" i="1"/>
  <c r="L357" i="1"/>
  <c r="G351" i="1"/>
  <c r="K357" i="1"/>
  <c r="M351" i="1"/>
  <c r="J357" i="1"/>
  <c r="K353" i="1"/>
  <c r="F351" i="1"/>
  <c r="F344" i="1" s="1"/>
  <c r="M357" i="1"/>
  <c r="G357" i="1"/>
  <c r="H351" i="1"/>
  <c r="F352" i="1"/>
  <c r="I352" i="1"/>
  <c r="J351" i="1"/>
  <c r="G352" i="1"/>
  <c r="I353" i="1"/>
  <c r="Z43" i="9"/>
  <c r="Z42" i="9"/>
  <c r="W49" i="9"/>
  <c r="V49" i="9"/>
  <c r="Z39" i="9"/>
  <c r="Z47" i="9"/>
  <c r="Z44" i="9"/>
  <c r="G331" i="1"/>
  <c r="H331" i="1"/>
  <c r="H332" i="1"/>
  <c r="J330" i="1"/>
  <c r="L330" i="1"/>
  <c r="J331" i="1"/>
  <c r="M330" i="1"/>
  <c r="K336" i="1"/>
  <c r="F330" i="1"/>
  <c r="F323" i="1" s="1"/>
  <c r="I336" i="1"/>
  <c r="I332" i="1"/>
  <c r="K330" i="1"/>
  <c r="M336" i="1"/>
  <c r="K331" i="1"/>
  <c r="K332" i="1"/>
  <c r="H330" i="1"/>
  <c r="F336" i="1"/>
  <c r="F331" i="1"/>
  <c r="I331" i="1"/>
  <c r="I330" i="1"/>
  <c r="L336" i="1"/>
  <c r="M332" i="1"/>
  <c r="L332" i="1"/>
  <c r="G332" i="1"/>
  <c r="F332" i="1"/>
  <c r="G330" i="1"/>
  <c r="H336" i="1"/>
  <c r="J332" i="1"/>
  <c r="L331" i="1"/>
  <c r="L562" i="1" s="1"/>
  <c r="J336" i="1"/>
  <c r="M331" i="1"/>
  <c r="G336" i="1"/>
  <c r="K313" i="8"/>
  <c r="K312" i="8" s="1"/>
  <c r="K321" i="8"/>
  <c r="J504" i="8"/>
  <c r="J503" i="8" s="1"/>
  <c r="N353" i="1"/>
  <c r="N431" i="1"/>
  <c r="N426" i="1"/>
  <c r="J494" i="8"/>
  <c r="J493" i="8" s="1"/>
  <c r="AA80" i="1"/>
  <c r="Z963" i="1"/>
  <c r="Z964" i="1" s="1"/>
  <c r="Z952" i="1"/>
  <c r="Z953" i="1" s="1"/>
  <c r="Z948" i="1"/>
  <c r="Z949" i="1" s="1"/>
  <c r="Z931" i="1"/>
  <c r="Z932" i="1" s="1"/>
  <c r="Z900" i="1"/>
  <c r="Z901" i="1" s="1"/>
  <c r="Z882" i="1"/>
  <c r="Z883" i="1" s="1"/>
  <c r="Z826" i="1"/>
  <c r="Z827" i="1" s="1"/>
  <c r="Z679" i="1"/>
  <c r="Z81" i="1"/>
  <c r="Z1822" i="1" s="1"/>
  <c r="Z975" i="1"/>
  <c r="Z976" i="1" s="1"/>
  <c r="Z891" i="1"/>
  <c r="Z892" i="1" s="1"/>
  <c r="Z873" i="1"/>
  <c r="Z874" i="1" s="1"/>
  <c r="AB267" i="1"/>
  <c r="L1490" i="1"/>
  <c r="L1469" i="1"/>
  <c r="AB899" i="1"/>
  <c r="AB881" i="1"/>
  <c r="AB890" i="1"/>
  <c r="P49" i="9"/>
  <c r="T49" i="9"/>
  <c r="O49" i="9"/>
  <c r="D49" i="9"/>
  <c r="M49" i="9"/>
  <c r="K49" i="9"/>
  <c r="S49" i="9"/>
  <c r="N49" i="9"/>
  <c r="C49" i="9"/>
  <c r="I49" i="9"/>
  <c r="R49" i="9"/>
  <c r="B49" i="9"/>
  <c r="F49" i="9"/>
  <c r="Q49" i="9"/>
  <c r="H49" i="9"/>
  <c r="U49" i="9"/>
  <c r="E49" i="9"/>
  <c r="G49" i="9"/>
  <c r="F2018" i="1"/>
  <c r="K293" i="8"/>
  <c r="K292" i="8" s="1"/>
  <c r="I700" i="1"/>
  <c r="I163" i="7" s="1"/>
  <c r="H700" i="1"/>
  <c r="H163" i="7" s="1"/>
  <c r="F703" i="1"/>
  <c r="F166" i="7" s="1"/>
  <c r="K295" i="8"/>
  <c r="K294" i="8" s="1"/>
  <c r="K299" i="8"/>
  <c r="AE1730" i="1"/>
  <c r="AE615" i="7" s="1"/>
  <c r="F1945" i="1"/>
  <c r="K472" i="8"/>
  <c r="K471" i="8" s="1"/>
  <c r="J165" i="8"/>
  <c r="J164" i="8" s="1"/>
  <c r="AE478" i="1"/>
  <c r="I483" i="1"/>
  <c r="I609" i="1"/>
  <c r="I420" i="1"/>
  <c r="AE422" i="1"/>
  <c r="B423" i="1" s="1"/>
  <c r="I424" i="1"/>
  <c r="G429" i="1"/>
  <c r="H1087" i="1"/>
  <c r="H1181" i="1"/>
  <c r="H94" i="8" s="1"/>
  <c r="H93" i="8" s="1"/>
  <c r="F1181" i="1"/>
  <c r="F1087" i="1"/>
  <c r="G303" i="1"/>
  <c r="G312" i="1" s="1"/>
  <c r="F370" i="1"/>
  <c r="F380" i="1" s="1"/>
  <c r="F381" i="1" s="1"/>
  <c r="X1894" i="1"/>
  <c r="Y1894" i="1" s="1"/>
  <c r="Z1894" i="1" s="1"/>
  <c r="K1328" i="1"/>
  <c r="K324" i="7" s="1"/>
  <c r="K1218" i="1"/>
  <c r="K209" i="7" s="1"/>
  <c r="L273" i="1"/>
  <c r="M272" i="1"/>
  <c r="L1102" i="1"/>
  <c r="K1104" i="1"/>
  <c r="K1101" i="1" s="1"/>
  <c r="K1130" i="1"/>
  <c r="K1489" i="1" s="1"/>
  <c r="V872" i="1"/>
  <c r="G80" i="8"/>
  <c r="G79" i="8" s="1"/>
  <c r="M151" i="1"/>
  <c r="M50" i="7" s="1"/>
  <c r="N152" i="1"/>
  <c r="N51" i="7" s="1"/>
  <c r="L496" i="8"/>
  <c r="L495" i="8" s="1"/>
  <c r="L464" i="8"/>
  <c r="L463" i="8" s="1"/>
  <c r="L457" i="8"/>
  <c r="L456" i="8" s="1"/>
  <c r="L317" i="8"/>
  <c r="L316" i="8" s="1"/>
  <c r="L315" i="8"/>
  <c r="L314" i="8" s="1"/>
  <c r="L307" i="8"/>
  <c r="L306" i="8" s="1"/>
  <c r="L297" i="8"/>
  <c r="L296" i="8" s="1"/>
  <c r="L287" i="8"/>
  <c r="L286" i="8" s="1"/>
  <c r="L167" i="8"/>
  <c r="L166" i="8" s="1"/>
  <c r="L161" i="8"/>
  <c r="L160" i="8" s="1"/>
  <c r="L159" i="8"/>
  <c r="L158" i="8" s="1"/>
  <c r="L116" i="8"/>
  <c r="L115" i="8" s="1"/>
  <c r="L113" i="8"/>
  <c r="L112" i="8" s="1"/>
  <c r="L96" i="8"/>
  <c r="L95" i="8" s="1"/>
  <c r="L94" i="8"/>
  <c r="L93" i="8" s="1"/>
  <c r="L92" i="8"/>
  <c r="L91" i="8" s="1"/>
  <c r="L80" i="8"/>
  <c r="L79" i="8" s="1"/>
  <c r="L53" i="8"/>
  <c r="L52" i="8" s="1"/>
  <c r="M33" i="8"/>
  <c r="L34" i="8"/>
  <c r="K767" i="8"/>
  <c r="K691" i="8"/>
  <c r="K74" i="8"/>
  <c r="K73" i="8" s="1"/>
  <c r="K301" i="8"/>
  <c r="K300" i="8" s="1"/>
  <c r="P91" i="1"/>
  <c r="O92" i="1"/>
  <c r="L768" i="1"/>
  <c r="L820" i="1"/>
  <c r="L2008" i="1"/>
  <c r="L621" i="1"/>
  <c r="L1554" i="1"/>
  <c r="L434" i="7" s="1"/>
  <c r="L724" i="1"/>
  <c r="L1785" i="1"/>
  <c r="L738" i="1"/>
  <c r="L1197" i="1"/>
  <c r="L188" i="7" s="1"/>
  <c r="L748" i="1"/>
  <c r="L1319" i="1"/>
  <c r="L315" i="7" s="1"/>
  <c r="L1957" i="1"/>
  <c r="L1859" i="1"/>
  <c r="L230" i="1"/>
  <c r="L280" i="1"/>
  <c r="L1275" i="1"/>
  <c r="L269" i="7" s="1"/>
  <c r="L661" i="1"/>
  <c r="L866" i="1"/>
  <c r="L695" i="1"/>
  <c r="L158" i="7" s="1"/>
  <c r="L1931" i="1"/>
  <c r="L676" i="1"/>
  <c r="L138" i="7" s="1"/>
  <c r="L921" i="1"/>
  <c r="L669" i="1"/>
  <c r="L130" i="7" s="1"/>
  <c r="L1711" i="1"/>
  <c r="L596" i="7" s="1"/>
  <c r="L1096" i="1"/>
  <c r="L102" i="1"/>
  <c r="L1" i="7" s="1"/>
  <c r="L1165" i="1"/>
  <c r="L1008" i="1"/>
  <c r="L1657" i="1"/>
  <c r="L541" i="7" s="1"/>
  <c r="L1459" i="1"/>
  <c r="L1073" i="1"/>
  <c r="N1099" i="1"/>
  <c r="N383" i="1"/>
  <c r="N581" i="1" s="1"/>
  <c r="N378" i="1"/>
  <c r="H80" i="8"/>
  <c r="H79" i="8" s="1"/>
  <c r="M729" i="1"/>
  <c r="L726" i="1"/>
  <c r="L98" i="1"/>
  <c r="M95" i="1"/>
  <c r="K78" i="8"/>
  <c r="K77" i="8" s="1"/>
  <c r="N31" i="1"/>
  <c r="M32" i="1"/>
  <c r="M75" i="1" s="1"/>
  <c r="M293" i="1"/>
  <c r="M556" i="1" s="1"/>
  <c r="M1473" i="1" s="1"/>
  <c r="M553" i="1"/>
  <c r="M464" i="1"/>
  <c r="M601" i="1" s="1"/>
  <c r="M600" i="1"/>
  <c r="M1477" i="1" s="1"/>
  <c r="N630" i="1"/>
  <c r="N631" i="1"/>
  <c r="N639" i="1"/>
  <c r="N526" i="1"/>
  <c r="N30" i="1"/>
  <c r="N529" i="1"/>
  <c r="N290" i="1"/>
  <c r="N292" i="1"/>
  <c r="N555" i="1" s="1"/>
  <c r="N641" i="1"/>
  <c r="N645" i="1" s="1"/>
  <c r="O29" i="1"/>
  <c r="N291" i="1"/>
  <c r="N554" i="1" s="1"/>
  <c r="N468" i="1"/>
  <c r="N471" i="1"/>
  <c r="N605" i="1" s="1"/>
  <c r="N469" i="1"/>
  <c r="N602" i="1" s="1"/>
  <c r="N470" i="1"/>
  <c r="N603" i="1" s="1"/>
  <c r="N309" i="1"/>
  <c r="N315" i="1"/>
  <c r="N311" i="1"/>
  <c r="N310" i="1"/>
  <c r="N377" i="1"/>
  <c r="N379" i="1"/>
  <c r="M576" i="1"/>
  <c r="N330" i="1"/>
  <c r="N336" i="1"/>
  <c r="N332" i="1"/>
  <c r="N331" i="1"/>
  <c r="N352" i="1"/>
  <c r="N357" i="1"/>
  <c r="N351" i="1"/>
  <c r="H934" i="8"/>
  <c r="H912" i="8"/>
  <c r="F700" i="1"/>
  <c r="F163" i="7" s="1"/>
  <c r="G700" i="1"/>
  <c r="G163" i="7" s="1"/>
  <c r="K643" i="1"/>
  <c r="K642" i="1"/>
  <c r="K656" i="1" s="1"/>
  <c r="J645" i="1"/>
  <c r="M644" i="1"/>
  <c r="L642" i="1"/>
  <c r="L656" i="1" s="1"/>
  <c r="L643" i="1"/>
  <c r="L644" i="1"/>
  <c r="L658" i="1" s="1"/>
  <c r="N643" i="1"/>
  <c r="N640" i="1" s="1"/>
  <c r="K644" i="1"/>
  <c r="K658" i="1" s="1"/>
  <c r="J642" i="1"/>
  <c r="J656" i="1" s="1"/>
  <c r="J643" i="1"/>
  <c r="J644" i="1"/>
  <c r="J658" i="1" s="1"/>
  <c r="M643" i="1"/>
  <c r="M640" i="1" s="1"/>
  <c r="M655" i="1" s="1"/>
  <c r="M642" i="1"/>
  <c r="M656" i="1" s="1"/>
  <c r="F80" i="8"/>
  <c r="F79" i="8" s="1"/>
  <c r="F691" i="8"/>
  <c r="F767" i="8"/>
  <c r="J835" i="1"/>
  <c r="K834" i="1" s="1"/>
  <c r="J1668" i="1"/>
  <c r="J552" i="7" s="1"/>
  <c r="G703" i="1"/>
  <c r="G166" i="7" s="1"/>
  <c r="H703" i="1"/>
  <c r="H166" i="7" s="1"/>
  <c r="I703" i="1"/>
  <c r="I166" i="7" s="1"/>
  <c r="K628" i="1"/>
  <c r="K638" i="1" s="1"/>
  <c r="L629" i="1" s="1"/>
  <c r="J628" i="1"/>
  <c r="J638" i="1" s="1"/>
  <c r="K629" i="1" s="1"/>
  <c r="L628" i="1" s="1"/>
  <c r="L638" i="1" s="1"/>
  <c r="M629" i="1" s="1"/>
  <c r="L248" i="1"/>
  <c r="M251" i="1" s="1"/>
  <c r="M252" i="1" s="1"/>
  <c r="L163" i="1"/>
  <c r="L62" i="7" s="1"/>
  <c r="M164" i="1"/>
  <c r="M63" i="7" s="1"/>
  <c r="N1790" i="1"/>
  <c r="M1791" i="1"/>
  <c r="N1792" i="1" s="1"/>
  <c r="L1348" i="1"/>
  <c r="L344" i="7" s="1"/>
  <c r="L1190" i="1"/>
  <c r="L110" i="8" s="1"/>
  <c r="M598" i="1"/>
  <c r="M609" i="1"/>
  <c r="M586" i="1"/>
  <c r="N88" i="1"/>
  <c r="M551" i="1"/>
  <c r="M559" i="1"/>
  <c r="M1123" i="1"/>
  <c r="M1988" i="1"/>
  <c r="M1989" i="1"/>
  <c r="M1985" i="1"/>
  <c r="M1990" i="1"/>
  <c r="M770" i="1"/>
  <c r="M1983" i="1"/>
  <c r="M1075" i="1"/>
  <c r="M1984" i="1"/>
  <c r="M654" i="1"/>
  <c r="M650" i="1"/>
  <c r="M1335" i="1" s="1"/>
  <c r="M331" i="7" s="1"/>
  <c r="M658" i="1"/>
  <c r="M652" i="1"/>
  <c r="M124" i="1" s="1"/>
  <c r="M23" i="7" s="1"/>
  <c r="L1338" i="1"/>
  <c r="L334" i="7" s="1"/>
  <c r="L1174" i="1"/>
  <c r="L82" i="8" s="1"/>
  <c r="I940" i="8"/>
  <c r="I764" i="8"/>
  <c r="AE777" i="1"/>
  <c r="J764" i="8"/>
  <c r="J940" i="8"/>
  <c r="K1801" i="1"/>
  <c r="K2024" i="1"/>
  <c r="L35" i="8"/>
  <c r="K36" i="8"/>
  <c r="J835" i="8"/>
  <c r="M901" i="8"/>
  <c r="L902" i="8"/>
  <c r="L904" i="8" s="1"/>
  <c r="K162" i="1"/>
  <c r="K61" i="7" s="1"/>
  <c r="L167" i="1"/>
  <c r="L66" i="7" s="1"/>
  <c r="L1179" i="1"/>
  <c r="L1344" i="1"/>
  <c r="L340" i="7" s="1"/>
  <c r="L1334" i="1"/>
  <c r="L330" i="7" s="1"/>
  <c r="L1169" i="1"/>
  <c r="L618" i="1"/>
  <c r="L1337" i="1"/>
  <c r="L333" i="7" s="1"/>
  <c r="L1172" i="1"/>
  <c r="K1870" i="1"/>
  <c r="F780" i="1"/>
  <c r="G781" i="1" s="1"/>
  <c r="AE776" i="1"/>
  <c r="G779" i="1"/>
  <c r="F784" i="1"/>
  <c r="G783" i="1" s="1"/>
  <c r="K903" i="8"/>
  <c r="K269" i="1"/>
  <c r="K239" i="1"/>
  <c r="L242" i="1" s="1"/>
  <c r="L243" i="1" s="1"/>
  <c r="I835" i="8"/>
  <c r="M755" i="8"/>
  <c r="J300" i="8"/>
  <c r="M257" i="1"/>
  <c r="N260" i="1" s="1"/>
  <c r="N261" i="1" s="1"/>
  <c r="L1333" i="1"/>
  <c r="L329" i="7" s="1"/>
  <c r="L1170" i="1"/>
  <c r="L74" i="8" s="1"/>
  <c r="N672" i="8"/>
  <c r="M824" i="8"/>
  <c r="M825" i="8" s="1"/>
  <c r="M859" i="8" s="1"/>
  <c r="M748" i="8"/>
  <c r="M749" i="8" s="1"/>
  <c r="M785" i="8" s="1"/>
  <c r="M673" i="8"/>
  <c r="M678" i="8" s="1"/>
  <c r="N679" i="8" s="1"/>
  <c r="M898" i="8"/>
  <c r="M899" i="8" s="1"/>
  <c r="L827" i="8"/>
  <c r="K828" i="8"/>
  <c r="L829" i="8" s="1"/>
  <c r="N753" i="8"/>
  <c r="L1863" i="1"/>
  <c r="M1864" i="1" s="1"/>
  <c r="M1862" i="1"/>
  <c r="J73" i="8"/>
  <c r="J77" i="8"/>
  <c r="L1336" i="1"/>
  <c r="L332" i="7" s="1"/>
  <c r="L1171" i="1"/>
  <c r="J746" i="8"/>
  <c r="J924" i="8"/>
  <c r="J125" i="8"/>
  <c r="J822" i="8"/>
  <c r="J896" i="8"/>
  <c r="J438" i="8"/>
  <c r="J567" i="8"/>
  <c r="J66" i="8"/>
  <c r="J670" i="8"/>
  <c r="J39" i="8"/>
  <c r="J268" i="8"/>
  <c r="K1495" i="1"/>
  <c r="AA935" i="1" l="1"/>
  <c r="AA936" i="1" s="1"/>
  <c r="AA686" i="1"/>
  <c r="AA842" i="1"/>
  <c r="AA843" i="1" s="1"/>
  <c r="L836" i="1"/>
  <c r="L830" i="1"/>
  <c r="L831" i="1" s="1"/>
  <c r="L829" i="1"/>
  <c r="N149" i="1"/>
  <c r="M48" i="7"/>
  <c r="L194" i="1"/>
  <c r="K93" i="7"/>
  <c r="N825" i="1"/>
  <c r="O824" i="1"/>
  <c r="F1679" i="1"/>
  <c r="F563" i="7" s="1"/>
  <c r="F560" i="7"/>
  <c r="K831" i="1"/>
  <c r="K833" i="1"/>
  <c r="Z148" i="7"/>
  <c r="Z687" i="1"/>
  <c r="Z149" i="7" s="1"/>
  <c r="L204" i="1"/>
  <c r="K103" i="7"/>
  <c r="L223" i="1"/>
  <c r="K122" i="7"/>
  <c r="M823" i="1"/>
  <c r="M828" i="1"/>
  <c r="M822" i="1"/>
  <c r="Z680" i="1"/>
  <c r="Z142" i="7" s="1"/>
  <c r="Z141" i="7"/>
  <c r="K832" i="1"/>
  <c r="Y148" i="7"/>
  <c r="Y687" i="1"/>
  <c r="Y149" i="7" s="1"/>
  <c r="M95" i="7"/>
  <c r="N196" i="1"/>
  <c r="O519" i="1"/>
  <c r="O518" i="1"/>
  <c r="O520" i="1"/>
  <c r="O524" i="1"/>
  <c r="O402" i="1"/>
  <c r="O407" i="1"/>
  <c r="M657" i="1"/>
  <c r="AB681" i="1"/>
  <c r="AB143" i="7" s="1"/>
  <c r="AB140" i="7"/>
  <c r="P681" i="1"/>
  <c r="P682" i="1" s="1"/>
  <c r="P144" i="7" s="1"/>
  <c r="P140" i="7"/>
  <c r="AC681" i="1"/>
  <c r="AC143" i="7" s="1"/>
  <c r="AC140" i="7"/>
  <c r="N681" i="1"/>
  <c r="N682" i="1" s="1"/>
  <c r="N140" i="7"/>
  <c r="J75" i="9"/>
  <c r="J113" i="12"/>
  <c r="J124" i="12" s="1"/>
  <c r="J79" i="9"/>
  <c r="J117" i="12"/>
  <c r="J128" i="12" s="1"/>
  <c r="L76" i="9"/>
  <c r="L114" i="12"/>
  <c r="L125" i="12" s="1"/>
  <c r="L80" i="9"/>
  <c r="L118" i="12"/>
  <c r="L129" i="12" s="1"/>
  <c r="J76" i="9"/>
  <c r="J114" i="12"/>
  <c r="J125" i="12" s="1"/>
  <c r="J80" i="9"/>
  <c r="J118" i="12"/>
  <c r="J129" i="12" s="1"/>
  <c r="L111" i="12"/>
  <c r="L122" i="12" s="1"/>
  <c r="P672" i="1"/>
  <c r="L77" i="9"/>
  <c r="L115" i="12"/>
  <c r="L126" i="12" s="1"/>
  <c r="L81" i="9"/>
  <c r="L119" i="12"/>
  <c r="L130" i="12" s="1"/>
  <c r="J73" i="9"/>
  <c r="J111" i="12"/>
  <c r="J122" i="12" s="1"/>
  <c r="N672" i="1"/>
  <c r="J77" i="9"/>
  <c r="J115" i="12"/>
  <c r="J126" i="12" s="1"/>
  <c r="J81" i="9"/>
  <c r="J119" i="12"/>
  <c r="J130" i="12" s="1"/>
  <c r="L74" i="9"/>
  <c r="L112" i="12"/>
  <c r="L123" i="12" s="1"/>
  <c r="L78" i="9"/>
  <c r="L116" i="12"/>
  <c r="L127" i="12" s="1"/>
  <c r="L82" i="9"/>
  <c r="L120" i="12"/>
  <c r="L131" i="12" s="1"/>
  <c r="J74" i="9"/>
  <c r="J112" i="12"/>
  <c r="J123" i="12" s="1"/>
  <c r="J78" i="9"/>
  <c r="J116" i="12"/>
  <c r="J127" i="12" s="1"/>
  <c r="J82" i="9"/>
  <c r="J120" i="12"/>
  <c r="J131" i="12" s="1"/>
  <c r="L75" i="9"/>
  <c r="L113" i="12"/>
  <c r="L124" i="12" s="1"/>
  <c r="L79" i="9"/>
  <c r="L117" i="12"/>
  <c r="L128" i="12" s="1"/>
  <c r="H165" i="8"/>
  <c r="H164" i="8" s="1"/>
  <c r="H522" i="1"/>
  <c r="I513" i="1" s="1"/>
  <c r="I521" i="1" s="1"/>
  <c r="M937" i="1"/>
  <c r="N642" i="1"/>
  <c r="N644" i="1"/>
  <c r="N145" i="1"/>
  <c r="N44" i="7" s="1"/>
  <c r="L73" i="9"/>
  <c r="K678" i="1"/>
  <c r="G71" i="9"/>
  <c r="G70" i="9"/>
  <c r="G69" i="9"/>
  <c r="G68" i="9"/>
  <c r="G63" i="9"/>
  <c r="G62" i="9"/>
  <c r="G67" i="9"/>
  <c r="G66" i="9"/>
  <c r="G65" i="9"/>
  <c r="G64" i="9"/>
  <c r="U71" i="9"/>
  <c r="U70" i="9"/>
  <c r="U69" i="9"/>
  <c r="U68" i="9"/>
  <c r="U67" i="9"/>
  <c r="U66" i="9"/>
  <c r="U65" i="9"/>
  <c r="U64" i="9"/>
  <c r="U63" i="9"/>
  <c r="U62" i="9"/>
  <c r="U678" i="1"/>
  <c r="Q71" i="9"/>
  <c r="Q70" i="9"/>
  <c r="Q69" i="9"/>
  <c r="Q68" i="9"/>
  <c r="Q67" i="9"/>
  <c r="Q66" i="9"/>
  <c r="Q65" i="9"/>
  <c r="Q64" i="9"/>
  <c r="Q63" i="9"/>
  <c r="Q62" i="9"/>
  <c r="B71" i="9"/>
  <c r="B70" i="9"/>
  <c r="B69" i="9"/>
  <c r="B68" i="9"/>
  <c r="B67" i="9"/>
  <c r="B66" i="9"/>
  <c r="B65" i="9"/>
  <c r="B64" i="9"/>
  <c r="B63" i="9"/>
  <c r="B62" i="9"/>
  <c r="M678" i="1"/>
  <c r="I71" i="9"/>
  <c r="I70" i="9"/>
  <c r="I69" i="9"/>
  <c r="I68" i="9"/>
  <c r="I67" i="9"/>
  <c r="I66" i="9"/>
  <c r="I65" i="9"/>
  <c r="I64" i="9"/>
  <c r="I63" i="9"/>
  <c r="I62" i="9"/>
  <c r="R678" i="1"/>
  <c r="N71" i="9"/>
  <c r="N70" i="9"/>
  <c r="N69" i="9"/>
  <c r="N68" i="9"/>
  <c r="N67" i="9"/>
  <c r="N66" i="9"/>
  <c r="N65" i="9"/>
  <c r="N64" i="9"/>
  <c r="N63" i="9"/>
  <c r="N62" i="9"/>
  <c r="O678" i="1"/>
  <c r="K71" i="9"/>
  <c r="K70" i="9"/>
  <c r="K69" i="9"/>
  <c r="K68" i="9"/>
  <c r="K63" i="9"/>
  <c r="K62" i="9"/>
  <c r="K67" i="9"/>
  <c r="K66" i="9"/>
  <c r="K65" i="9"/>
  <c r="K64" i="9"/>
  <c r="D71" i="9"/>
  <c r="D70" i="9"/>
  <c r="D69" i="9"/>
  <c r="D68" i="9"/>
  <c r="D67" i="9"/>
  <c r="D66" i="9"/>
  <c r="D65" i="9"/>
  <c r="D64" i="9"/>
  <c r="D63" i="9"/>
  <c r="D62" i="9"/>
  <c r="X678" i="1"/>
  <c r="T71" i="9"/>
  <c r="T70" i="9"/>
  <c r="T69" i="9"/>
  <c r="T68" i="9"/>
  <c r="T67" i="9"/>
  <c r="T66" i="9"/>
  <c r="T65" i="9"/>
  <c r="T64" i="9"/>
  <c r="T63" i="9"/>
  <c r="T62" i="9"/>
  <c r="Z678" i="1"/>
  <c r="Z140" i="7" s="1"/>
  <c r="V71" i="9"/>
  <c r="V70" i="9"/>
  <c r="V69" i="9"/>
  <c r="V68" i="9"/>
  <c r="V67" i="9"/>
  <c r="V66" i="9"/>
  <c r="V65" i="9"/>
  <c r="V64" i="9"/>
  <c r="V63" i="9"/>
  <c r="V62" i="9"/>
  <c r="V73" i="9" s="1"/>
  <c r="X71" i="9"/>
  <c r="X70" i="9"/>
  <c r="X69" i="9"/>
  <c r="X68" i="9"/>
  <c r="X67" i="9"/>
  <c r="X66" i="9"/>
  <c r="X65" i="9"/>
  <c r="X64" i="9"/>
  <c r="X63" i="9"/>
  <c r="X62" i="9"/>
  <c r="E71" i="9"/>
  <c r="E70" i="9"/>
  <c r="E69" i="9"/>
  <c r="E68" i="9"/>
  <c r="E67" i="9"/>
  <c r="E66" i="9"/>
  <c r="E65" i="9"/>
  <c r="E64" i="9"/>
  <c r="E63" i="9"/>
  <c r="E62" i="9"/>
  <c r="L678" i="1"/>
  <c r="H71" i="9"/>
  <c r="H70" i="9"/>
  <c r="H69" i="9"/>
  <c r="H68" i="9"/>
  <c r="H67" i="9"/>
  <c r="H66" i="9"/>
  <c r="H65" i="9"/>
  <c r="H64" i="9"/>
  <c r="H63" i="9"/>
  <c r="H62" i="9"/>
  <c r="F71" i="9"/>
  <c r="F70" i="9"/>
  <c r="F69" i="9"/>
  <c r="F68" i="9"/>
  <c r="F67" i="9"/>
  <c r="F66" i="9"/>
  <c r="F65" i="9"/>
  <c r="F64" i="9"/>
  <c r="F63" i="9"/>
  <c r="F62" i="9"/>
  <c r="V678" i="1"/>
  <c r="R71" i="9"/>
  <c r="R70" i="9"/>
  <c r="R69" i="9"/>
  <c r="R68" i="9"/>
  <c r="R67" i="9"/>
  <c r="R66" i="9"/>
  <c r="R65" i="9"/>
  <c r="R64" i="9"/>
  <c r="R63" i="9"/>
  <c r="R62" i="9"/>
  <c r="C71" i="9"/>
  <c r="C70" i="9"/>
  <c r="C69" i="9"/>
  <c r="C63" i="9"/>
  <c r="C62" i="9"/>
  <c r="C68" i="9"/>
  <c r="C67" i="9"/>
  <c r="C66" i="9"/>
  <c r="C65" i="9"/>
  <c r="C64" i="9"/>
  <c r="W678" i="1"/>
  <c r="S71" i="9"/>
  <c r="S70" i="9"/>
  <c r="S69" i="9"/>
  <c r="S68" i="9"/>
  <c r="S63" i="9"/>
  <c r="S62" i="9"/>
  <c r="S67" i="9"/>
  <c r="S66" i="9"/>
  <c r="S65" i="9"/>
  <c r="S64" i="9"/>
  <c r="Q678" i="1"/>
  <c r="M71" i="9"/>
  <c r="M70" i="9"/>
  <c r="M69" i="9"/>
  <c r="M68" i="9"/>
  <c r="M67" i="9"/>
  <c r="M66" i="9"/>
  <c r="M65" i="9"/>
  <c r="M64" i="9"/>
  <c r="M63" i="9"/>
  <c r="M62" i="9"/>
  <c r="S678" i="1"/>
  <c r="O71" i="9"/>
  <c r="O70" i="9"/>
  <c r="O69" i="9"/>
  <c r="O68" i="9"/>
  <c r="O63" i="9"/>
  <c r="O62" i="9"/>
  <c r="O67" i="9"/>
  <c r="O66" i="9"/>
  <c r="O65" i="9"/>
  <c r="O64" i="9"/>
  <c r="T678" i="1"/>
  <c r="P71" i="9"/>
  <c r="P70" i="9"/>
  <c r="P69" i="9"/>
  <c r="P68" i="9"/>
  <c r="P67" i="9"/>
  <c r="P66" i="9"/>
  <c r="P65" i="9"/>
  <c r="P64" i="9"/>
  <c r="P63" i="9"/>
  <c r="P62" i="9"/>
  <c r="W71" i="9"/>
  <c r="W70" i="9"/>
  <c r="W69" i="9"/>
  <c r="W68" i="9"/>
  <c r="W62" i="9"/>
  <c r="W67" i="9"/>
  <c r="W66" i="9"/>
  <c r="W65" i="9"/>
  <c r="W64" i="9"/>
  <c r="W63" i="9"/>
  <c r="Y71" i="9"/>
  <c r="Y70" i="9"/>
  <c r="Y69" i="9"/>
  <c r="Y68" i="9"/>
  <c r="Y67" i="9"/>
  <c r="Y66" i="9"/>
  <c r="Y65" i="9"/>
  <c r="Y64" i="9"/>
  <c r="Y63" i="9"/>
  <c r="Y62" i="9"/>
  <c r="H562" i="1"/>
  <c r="I285" i="8"/>
  <c r="I284" i="8" s="1"/>
  <c r="N141" i="1"/>
  <c r="N40" i="7" s="1"/>
  <c r="K138" i="1"/>
  <c r="K37" i="7" s="1"/>
  <c r="L1748" i="1"/>
  <c r="L633" i="7" s="1"/>
  <c r="H568" i="1"/>
  <c r="I562" i="1"/>
  <c r="K564" i="1"/>
  <c r="M568" i="1"/>
  <c r="M561" i="1"/>
  <c r="L561" i="1"/>
  <c r="H564" i="1"/>
  <c r="F345" i="1"/>
  <c r="F354" i="1" s="1"/>
  <c r="F355" i="1" s="1"/>
  <c r="G568" i="1"/>
  <c r="J568" i="1"/>
  <c r="J564" i="1"/>
  <c r="G564" i="1"/>
  <c r="F562" i="1"/>
  <c r="K568" i="1"/>
  <c r="J562" i="1"/>
  <c r="M197" i="1"/>
  <c r="M96" i="7" s="1"/>
  <c r="L202" i="1"/>
  <c r="L101" i="7" s="1"/>
  <c r="M171" i="1"/>
  <c r="M70" i="7" s="1"/>
  <c r="N155" i="1"/>
  <c r="N54" i="7" s="1"/>
  <c r="H395" i="1"/>
  <c r="H394" i="1"/>
  <c r="M143" i="1"/>
  <c r="M42" i="7" s="1"/>
  <c r="N144" i="1"/>
  <c r="N43" i="7" s="1"/>
  <c r="O165" i="1"/>
  <c r="O64" i="7" s="1"/>
  <c r="N198" i="1"/>
  <c r="N97" i="7" s="1"/>
  <c r="N160" i="1"/>
  <c r="N59" i="7" s="1"/>
  <c r="N153" i="1"/>
  <c r="N52" i="7" s="1"/>
  <c r="M199" i="1"/>
  <c r="M98" i="7" s="1"/>
  <c r="G562" i="1"/>
  <c r="J561" i="1"/>
  <c r="AC682" i="1"/>
  <c r="AC698" i="1" s="1"/>
  <c r="AC161" i="7" s="1"/>
  <c r="AC1662" i="1"/>
  <c r="AC546" i="7" s="1"/>
  <c r="Z49" i="9"/>
  <c r="Y678" i="1"/>
  <c r="AA678" i="1"/>
  <c r="F912" i="8"/>
  <c r="F564" i="1"/>
  <c r="F324" i="1"/>
  <c r="M564" i="1"/>
  <c r="I561" i="1"/>
  <c r="K562" i="1"/>
  <c r="K561" i="1"/>
  <c r="I568" i="1"/>
  <c r="F568" i="1"/>
  <c r="M562" i="1"/>
  <c r="L564" i="1"/>
  <c r="L568" i="1"/>
  <c r="I564" i="1"/>
  <c r="F561" i="1"/>
  <c r="G561" i="1"/>
  <c r="H561" i="1"/>
  <c r="L321" i="8"/>
  <c r="L320" i="8" s="1"/>
  <c r="O431" i="1"/>
  <c r="O426" i="1"/>
  <c r="K494" i="8"/>
  <c r="K493" i="8" s="1"/>
  <c r="Z782" i="1"/>
  <c r="AC881" i="1"/>
  <c r="AC899" i="1"/>
  <c r="K504" i="8"/>
  <c r="K503" i="8" s="1"/>
  <c r="L313" i="8"/>
  <c r="L303" i="8"/>
  <c r="L1103" i="1"/>
  <c r="AC890" i="1"/>
  <c r="AA782" i="1"/>
  <c r="Y782" i="1"/>
  <c r="M1469" i="1"/>
  <c r="M1490" i="1"/>
  <c r="M496" i="8" s="1"/>
  <c r="M495" i="8" s="1"/>
  <c r="AC782" i="1"/>
  <c r="AA781" i="1"/>
  <c r="Y781" i="1"/>
  <c r="AC781" i="1"/>
  <c r="L301" i="8"/>
  <c r="L300" i="8" s="1"/>
  <c r="AC267" i="1"/>
  <c r="AB781" i="1"/>
  <c r="Z781" i="1"/>
  <c r="AB80" i="1"/>
  <c r="AA963" i="1"/>
  <c r="AA964" i="1" s="1"/>
  <c r="AA952" i="1"/>
  <c r="AA953" i="1" s="1"/>
  <c r="AA948" i="1"/>
  <c r="AA949" i="1" s="1"/>
  <c r="AA931" i="1"/>
  <c r="AA932" i="1" s="1"/>
  <c r="AA900" i="1"/>
  <c r="AA901" i="1" s="1"/>
  <c r="AA882" i="1"/>
  <c r="AA883" i="1" s="1"/>
  <c r="AA826" i="1"/>
  <c r="AA827" i="1" s="1"/>
  <c r="AA679" i="1"/>
  <c r="AA975" i="1"/>
  <c r="AA976" i="1" s="1"/>
  <c r="AA891" i="1"/>
  <c r="AA892" i="1" s="1"/>
  <c r="AA873" i="1"/>
  <c r="AA874" i="1" s="1"/>
  <c r="AA81" i="1"/>
  <c r="AA1894" i="1" s="1"/>
  <c r="AB782" i="1"/>
  <c r="L293" i="8"/>
  <c r="L292" i="8" s="1"/>
  <c r="P683" i="1"/>
  <c r="P684" i="1"/>
  <c r="L295" i="8"/>
  <c r="L294" i="8" s="1"/>
  <c r="K165" i="8"/>
  <c r="K164" i="8" s="1"/>
  <c r="K285" i="8"/>
  <c r="K284" i="8" s="1"/>
  <c r="I482" i="1"/>
  <c r="I610" i="1"/>
  <c r="AE483" i="1"/>
  <c r="B484" i="1" s="1"/>
  <c r="I485" i="1"/>
  <c r="J485" i="1" s="1"/>
  <c r="K485" i="1" s="1"/>
  <c r="L485" i="1" s="1"/>
  <c r="M485" i="1" s="1"/>
  <c r="N485" i="1" s="1"/>
  <c r="O485" i="1" s="1"/>
  <c r="P485" i="1" s="1"/>
  <c r="Q485" i="1" s="1"/>
  <c r="R485" i="1" s="1"/>
  <c r="S485" i="1" s="1"/>
  <c r="T485" i="1" s="1"/>
  <c r="U485" i="1" s="1"/>
  <c r="V485" i="1" s="1"/>
  <c r="W485" i="1" s="1"/>
  <c r="X485" i="1" s="1"/>
  <c r="I1338" i="1"/>
  <c r="I334" i="7" s="1"/>
  <c r="I1174" i="1"/>
  <c r="I82" i="8" s="1"/>
  <c r="I81" i="8" s="1"/>
  <c r="O425" i="1"/>
  <c r="K425" i="1"/>
  <c r="J425" i="1"/>
  <c r="L425" i="1"/>
  <c r="M425" i="1"/>
  <c r="N425" i="1"/>
  <c r="J424" i="1"/>
  <c r="K424" i="1" s="1"/>
  <c r="L424" i="1" s="1"/>
  <c r="M424" i="1" s="1"/>
  <c r="N424" i="1" s="1"/>
  <c r="O424" i="1" s="1"/>
  <c r="P424" i="1" s="1"/>
  <c r="Q424" i="1" s="1"/>
  <c r="R424" i="1" s="1"/>
  <c r="S424" i="1" s="1"/>
  <c r="T424" i="1" s="1"/>
  <c r="U424" i="1" s="1"/>
  <c r="I426" i="1"/>
  <c r="AE420" i="1"/>
  <c r="J431" i="1" s="1"/>
  <c r="H419" i="1"/>
  <c r="H418" i="1"/>
  <c r="F1345" i="1"/>
  <c r="F341" i="7" s="1"/>
  <c r="F1982" i="1"/>
  <c r="F1497" i="1"/>
  <c r="F94" i="8"/>
  <c r="F93" i="8" s="1"/>
  <c r="H1345" i="1"/>
  <c r="H341" i="7" s="1"/>
  <c r="H1982" i="1"/>
  <c r="G371" i="1"/>
  <c r="G370" i="1"/>
  <c r="L832" i="1"/>
  <c r="M628" i="1"/>
  <c r="M638" i="1" s="1"/>
  <c r="N629" i="1" s="1"/>
  <c r="N272" i="1"/>
  <c r="M273" i="1"/>
  <c r="L1218" i="1"/>
  <c r="L209" i="7" s="1"/>
  <c r="L1328" i="1"/>
  <c r="L324" i="7" s="1"/>
  <c r="M1102" i="1"/>
  <c r="L1104" i="1"/>
  <c r="L1101" i="1" s="1"/>
  <c r="L1130" i="1"/>
  <c r="L1489" i="1" s="1"/>
  <c r="N562" i="1"/>
  <c r="W782" i="1"/>
  <c r="W781" i="1"/>
  <c r="N561" i="1"/>
  <c r="N293" i="1"/>
  <c r="N556" i="1" s="1"/>
  <c r="N1473" i="1" s="1"/>
  <c r="N553" i="1"/>
  <c r="O31" i="1"/>
  <c r="N32" i="1"/>
  <c r="N75" i="1" s="1"/>
  <c r="M98" i="1"/>
  <c r="N95" i="1"/>
  <c r="N576" i="1"/>
  <c r="V782" i="1"/>
  <c r="V781" i="1"/>
  <c r="Q91" i="1"/>
  <c r="P92" i="1"/>
  <c r="M472" i="8"/>
  <c r="M471" i="8" s="1"/>
  <c r="M464" i="8"/>
  <c r="M463" i="8" s="1"/>
  <c r="M317" i="8"/>
  <c r="M316" i="8" s="1"/>
  <c r="M307" i="8"/>
  <c r="M306" i="8" s="1"/>
  <c r="M167" i="8"/>
  <c r="M166" i="8" s="1"/>
  <c r="M159" i="8"/>
  <c r="M158" i="8" s="1"/>
  <c r="M113" i="8"/>
  <c r="M112" i="8" s="1"/>
  <c r="M94" i="8"/>
  <c r="M93" i="8" s="1"/>
  <c r="M80" i="8"/>
  <c r="M79" i="8" s="1"/>
  <c r="M53" i="8"/>
  <c r="M52" i="8" s="1"/>
  <c r="M457" i="8"/>
  <c r="M456" i="8" s="1"/>
  <c r="M161" i="8"/>
  <c r="M160" i="8" s="1"/>
  <c r="M315" i="8"/>
  <c r="M314" i="8" s="1"/>
  <c r="M297" i="8"/>
  <c r="M296" i="8" s="1"/>
  <c r="M287" i="8"/>
  <c r="M286" i="8" s="1"/>
  <c r="M116" i="8"/>
  <c r="M115" i="8" s="1"/>
  <c r="M96" i="8"/>
  <c r="M95" i="8" s="1"/>
  <c r="M92" i="8"/>
  <c r="M91" i="8" s="1"/>
  <c r="N33" i="8"/>
  <c r="M34" i="8"/>
  <c r="L78" i="8"/>
  <c r="L77" i="8" s="1"/>
  <c r="L762" i="8"/>
  <c r="L836" i="8"/>
  <c r="W872" i="1"/>
  <c r="L81" i="8"/>
  <c r="L109" i="8"/>
  <c r="U782" i="1"/>
  <c r="N564" i="1"/>
  <c r="N568" i="1"/>
  <c r="N464" i="1"/>
  <c r="N601" i="1" s="1"/>
  <c r="N600" i="1"/>
  <c r="N1477" i="1" s="1"/>
  <c r="O641" i="1"/>
  <c r="O291" i="1"/>
  <c r="O554" i="1" s="1"/>
  <c r="O468" i="1"/>
  <c r="O470" i="1"/>
  <c r="O603" i="1" s="1"/>
  <c r="P29" i="1"/>
  <c r="O292" i="1"/>
  <c r="O555" i="1" s="1"/>
  <c r="O469" i="1"/>
  <c r="O602" i="1" s="1"/>
  <c r="O290" i="1"/>
  <c r="O30" i="1"/>
  <c r="O526" i="1"/>
  <c r="O529" i="1"/>
  <c r="O630" i="1"/>
  <c r="O639" i="1"/>
  <c r="O631" i="1"/>
  <c r="O471" i="1"/>
  <c r="O605" i="1" s="1"/>
  <c r="O311" i="1"/>
  <c r="O315" i="1"/>
  <c r="O310" i="1"/>
  <c r="O309" i="1"/>
  <c r="O351" i="1"/>
  <c r="O352" i="1"/>
  <c r="O332" i="1"/>
  <c r="O336" i="1"/>
  <c r="O383" i="1"/>
  <c r="O581" i="1" s="1"/>
  <c r="O377" i="1"/>
  <c r="O353" i="1"/>
  <c r="O357" i="1"/>
  <c r="O331" i="1"/>
  <c r="O330" i="1"/>
  <c r="O379" i="1"/>
  <c r="O378" i="1"/>
  <c r="O576" i="1" s="1"/>
  <c r="M1931" i="1"/>
  <c r="M280" i="1"/>
  <c r="M230" i="1"/>
  <c r="M724" i="1"/>
  <c r="M768" i="1"/>
  <c r="M1275" i="1"/>
  <c r="M269" i="7" s="1"/>
  <c r="M621" i="1"/>
  <c r="M1008" i="1"/>
  <c r="M669" i="1"/>
  <c r="M130" i="7" s="1"/>
  <c r="M1319" i="1"/>
  <c r="M315" i="7" s="1"/>
  <c r="M1785" i="1"/>
  <c r="M1197" i="1"/>
  <c r="M188" i="7" s="1"/>
  <c r="M2008" i="1"/>
  <c r="M676" i="1"/>
  <c r="M138" i="7" s="1"/>
  <c r="M820" i="1"/>
  <c r="M1459" i="1"/>
  <c r="M738" i="1"/>
  <c r="M1657" i="1"/>
  <c r="M541" i="7" s="1"/>
  <c r="M866" i="1"/>
  <c r="M1165" i="1"/>
  <c r="M661" i="1"/>
  <c r="M102" i="1"/>
  <c r="M1" i="7" s="1"/>
  <c r="M921" i="1"/>
  <c r="M1096" i="1"/>
  <c r="M1711" i="1"/>
  <c r="M596" i="7" s="1"/>
  <c r="M1554" i="1"/>
  <c r="M434" i="7" s="1"/>
  <c r="M1073" i="1"/>
  <c r="M695" i="1"/>
  <c r="M158" i="7" s="1"/>
  <c r="M1859" i="1"/>
  <c r="M1957" i="1"/>
  <c r="M748" i="1"/>
  <c r="N729" i="1"/>
  <c r="M726" i="1"/>
  <c r="X782" i="1"/>
  <c r="X781" i="1"/>
  <c r="U781" i="1"/>
  <c r="O1099" i="1"/>
  <c r="L72" i="8"/>
  <c r="L71" i="8" s="1"/>
  <c r="L76" i="8"/>
  <c r="L75" i="8" s="1"/>
  <c r="L90" i="8"/>
  <c r="L89" i="8" s="1"/>
  <c r="L691" i="8"/>
  <c r="L767" i="8"/>
  <c r="L299" i="8"/>
  <c r="L298" i="8" s="1"/>
  <c r="O152" i="1"/>
  <c r="O51" i="7" s="1"/>
  <c r="N151" i="1"/>
  <c r="N50" i="7" s="1"/>
  <c r="M709" i="8"/>
  <c r="N628" i="1"/>
  <c r="N638" i="1" s="1"/>
  <c r="O629" i="1" s="1"/>
  <c r="K1668" i="1"/>
  <c r="K552" i="7" s="1"/>
  <c r="K835" i="1"/>
  <c r="L834" i="1" s="1"/>
  <c r="L835" i="1" s="1"/>
  <c r="M834" i="1" s="1"/>
  <c r="J657" i="1"/>
  <c r="J640" i="1"/>
  <c r="J655" i="1" s="1"/>
  <c r="J652" i="1"/>
  <c r="J124" i="1" s="1"/>
  <c r="J23" i="7" s="1"/>
  <c r="J650" i="1"/>
  <c r="J1335" i="1" s="1"/>
  <c r="J331" i="7" s="1"/>
  <c r="K640" i="1"/>
  <c r="K655" i="1" s="1"/>
  <c r="K657" i="1"/>
  <c r="O628" i="1"/>
  <c r="O638" i="1" s="1"/>
  <c r="P629" i="1" s="1"/>
  <c r="L640" i="1"/>
  <c r="L655" i="1" s="1"/>
  <c r="L657" i="1"/>
  <c r="M754" i="8"/>
  <c r="N755" i="8" s="1"/>
  <c r="L903" i="8"/>
  <c r="N257" i="1"/>
  <c r="O260" i="1" s="1"/>
  <c r="O261" i="1" s="1"/>
  <c r="L239" i="1"/>
  <c r="M242" i="1" s="1"/>
  <c r="M243" i="1" s="1"/>
  <c r="M248" i="1"/>
  <c r="N251" i="1" s="1"/>
  <c r="N252" i="1" s="1"/>
  <c r="L1495" i="1"/>
  <c r="K109" i="8"/>
  <c r="O753" i="8"/>
  <c r="K298" i="8"/>
  <c r="H779" i="1"/>
  <c r="G784" i="1"/>
  <c r="H783" i="1" s="1"/>
  <c r="N901" i="8"/>
  <c r="M902" i="8"/>
  <c r="M904" i="8" s="1"/>
  <c r="K66" i="8"/>
  <c r="K746" i="8"/>
  <c r="K896" i="8"/>
  <c r="K438" i="8"/>
  <c r="K39" i="8"/>
  <c r="K567" i="8"/>
  <c r="K125" i="8"/>
  <c r="K670" i="8"/>
  <c r="K822" i="8"/>
  <c r="K924" i="8"/>
  <c r="K268" i="8"/>
  <c r="K75" i="8"/>
  <c r="O781" i="1"/>
  <c r="H781" i="1"/>
  <c r="M1179" i="1"/>
  <c r="M1344" i="1"/>
  <c r="M340" i="7" s="1"/>
  <c r="M1334" i="1"/>
  <c r="M330" i="7" s="1"/>
  <c r="M1169" i="1"/>
  <c r="M72" i="8" s="1"/>
  <c r="M618" i="1"/>
  <c r="M1338" i="1"/>
  <c r="M334" i="7" s="1"/>
  <c r="M1174" i="1"/>
  <c r="M82" i="8" s="1"/>
  <c r="N1791" i="1"/>
  <c r="O1792" i="1" s="1"/>
  <c r="O1790" i="1"/>
  <c r="G782" i="1"/>
  <c r="M827" i="8"/>
  <c r="L828" i="8"/>
  <c r="M829" i="8" s="1"/>
  <c r="N898" i="8"/>
  <c r="N899" i="8" s="1"/>
  <c r="O672" i="8"/>
  <c r="N824" i="8"/>
  <c r="N825" i="8" s="1"/>
  <c r="N859" i="8" s="1"/>
  <c r="N748" i="8"/>
  <c r="N749" i="8" s="1"/>
  <c r="N785" i="8" s="1"/>
  <c r="N673" i="8"/>
  <c r="N678" i="8" s="1"/>
  <c r="O679" i="8" s="1"/>
  <c r="L1870" i="1"/>
  <c r="L2021" i="1"/>
  <c r="L36" i="8"/>
  <c r="M35" i="8"/>
  <c r="K320" i="8"/>
  <c r="M782" i="1"/>
  <c r="M1333" i="1"/>
  <c r="M329" i="7" s="1"/>
  <c r="M1170" i="1"/>
  <c r="M1337" i="1"/>
  <c r="M333" i="7" s="1"/>
  <c r="M1172" i="1"/>
  <c r="M78" i="8" s="1"/>
  <c r="N164" i="1"/>
  <c r="N63" i="7" s="1"/>
  <c r="M163" i="1"/>
  <c r="M62" i="7" s="1"/>
  <c r="K71" i="8"/>
  <c r="M1863" i="1"/>
  <c r="N1864" i="1" s="1"/>
  <c r="N1862" i="1"/>
  <c r="L2018" i="1"/>
  <c r="L1945" i="1"/>
  <c r="K266" i="1"/>
  <c r="L268" i="1" s="1"/>
  <c r="L269" i="1" s="1"/>
  <c r="G1667" i="1"/>
  <c r="Q781" i="1"/>
  <c r="K89" i="8"/>
  <c r="N609" i="1"/>
  <c r="N586" i="1"/>
  <c r="N598" i="1"/>
  <c r="N551" i="1"/>
  <c r="N559" i="1"/>
  <c r="O88" i="1"/>
  <c r="N1123" i="1"/>
  <c r="N1983" i="1"/>
  <c r="N770" i="1"/>
  <c r="N1988" i="1"/>
  <c r="N1984" i="1"/>
  <c r="N1985" i="1"/>
  <c r="N1990" i="1"/>
  <c r="N1075" i="1"/>
  <c r="N1989" i="1"/>
  <c r="N654" i="1"/>
  <c r="N657" i="1"/>
  <c r="N656" i="1"/>
  <c r="N655" i="1"/>
  <c r="N822" i="1"/>
  <c r="N658" i="1"/>
  <c r="N650" i="1"/>
  <c r="N652" i="1"/>
  <c r="N124" i="1" s="1"/>
  <c r="N23" i="7" s="1"/>
  <c r="L162" i="1"/>
  <c r="L61" i="7" s="1"/>
  <c r="M167" i="1"/>
  <c r="M66" i="7" s="1"/>
  <c r="AE780" i="1"/>
  <c r="K782" i="1"/>
  <c r="P782" i="1"/>
  <c r="R781" i="1"/>
  <c r="I782" i="1"/>
  <c r="N781" i="1"/>
  <c r="F782" i="1"/>
  <c r="M781" i="1"/>
  <c r="I781" i="1"/>
  <c r="N782" i="1"/>
  <c r="F781" i="1"/>
  <c r="T781" i="1"/>
  <c r="O782" i="1"/>
  <c r="P781" i="1"/>
  <c r="J782" i="1"/>
  <c r="L781" i="1"/>
  <c r="J781" i="1"/>
  <c r="H782" i="1"/>
  <c r="K781" i="1"/>
  <c r="S782" i="1"/>
  <c r="Q782" i="1"/>
  <c r="T782" i="1"/>
  <c r="R782" i="1"/>
  <c r="K835" i="8"/>
  <c r="L782" i="1"/>
  <c r="S781" i="1"/>
  <c r="M1348" i="1"/>
  <c r="M344" i="7" s="1"/>
  <c r="M1190" i="1"/>
  <c r="M110" i="8" s="1"/>
  <c r="M1336" i="1"/>
  <c r="M332" i="7" s="1"/>
  <c r="M1171" i="1"/>
  <c r="M76" i="8" s="1"/>
  <c r="L1801" i="1"/>
  <c r="L2024" i="1"/>
  <c r="G313" i="1"/>
  <c r="N709" i="8" l="1"/>
  <c r="L833" i="1"/>
  <c r="AB1662" i="1"/>
  <c r="AB546" i="7" s="1"/>
  <c r="N1662" i="1"/>
  <c r="N546" i="7" s="1"/>
  <c r="M836" i="1"/>
  <c r="M830" i="1"/>
  <c r="M831" i="1" s="1"/>
  <c r="P824" i="1"/>
  <c r="O825" i="1"/>
  <c r="AA680" i="1"/>
  <c r="AA142" i="7" s="1"/>
  <c r="AA141" i="7"/>
  <c r="M829" i="1"/>
  <c r="M832" i="1" s="1"/>
  <c r="N828" i="1"/>
  <c r="N823" i="1"/>
  <c r="M223" i="1"/>
  <c r="L122" i="7"/>
  <c r="M194" i="1"/>
  <c r="L93" i="7"/>
  <c r="P425" i="1"/>
  <c r="P520" i="1"/>
  <c r="P518" i="1"/>
  <c r="P519" i="1"/>
  <c r="P524" i="1"/>
  <c r="P402" i="1"/>
  <c r="P407" i="1"/>
  <c r="AB935" i="1"/>
  <c r="AB936" i="1" s="1"/>
  <c r="AB686" i="1"/>
  <c r="AB842" i="1"/>
  <c r="AB843" i="1" s="1"/>
  <c r="N95" i="7"/>
  <c r="O196" i="1"/>
  <c r="AA148" i="7"/>
  <c r="AA687" i="1"/>
  <c r="AA149" i="7" s="1"/>
  <c r="G1676" i="1"/>
  <c r="G551" i="7"/>
  <c r="M1103" i="1"/>
  <c r="AB682" i="1"/>
  <c r="AB683" i="1" s="1"/>
  <c r="M204" i="1"/>
  <c r="L103" i="7"/>
  <c r="O149" i="1"/>
  <c r="N48" i="7"/>
  <c r="P143" i="7"/>
  <c r="N143" i="7"/>
  <c r="N684" i="1"/>
  <c r="N683" i="1"/>
  <c r="N699" i="1" s="1"/>
  <c r="N162" i="7" s="1"/>
  <c r="P1662" i="1"/>
  <c r="P546" i="7" s="1"/>
  <c r="P698" i="1"/>
  <c r="J83" i="9"/>
  <c r="J84" i="9" s="1"/>
  <c r="Z681" i="1"/>
  <c r="Z143" i="7" s="1"/>
  <c r="Y681" i="1"/>
  <c r="Y143" i="7" s="1"/>
  <c r="Y140" i="7"/>
  <c r="S681" i="1"/>
  <c r="S1662" i="1" s="1"/>
  <c r="S546" i="7" s="1"/>
  <c r="S140" i="7"/>
  <c r="W681" i="1"/>
  <c r="W1662" i="1" s="1"/>
  <c r="W546" i="7" s="1"/>
  <c r="W140" i="7"/>
  <c r="O681" i="1"/>
  <c r="O143" i="7" s="1"/>
  <c r="O140" i="7"/>
  <c r="AA681" i="1"/>
  <c r="AA143" i="7" s="1"/>
  <c r="AA140" i="7"/>
  <c r="T681" i="1"/>
  <c r="T682" i="1" s="1"/>
  <c r="T144" i="7" s="1"/>
  <c r="T140" i="7"/>
  <c r="Q681" i="1"/>
  <c r="Q143" i="7" s="1"/>
  <c r="Q140" i="7"/>
  <c r="V681" i="1"/>
  <c r="V143" i="7" s="1"/>
  <c r="V140" i="7"/>
  <c r="X681" i="1"/>
  <c r="X143" i="7" s="1"/>
  <c r="X140" i="7"/>
  <c r="R681" i="1"/>
  <c r="R682" i="1" s="1"/>
  <c r="R698" i="1" s="1"/>
  <c r="R161" i="7" s="1"/>
  <c r="R140" i="7"/>
  <c r="U681" i="1"/>
  <c r="U1662" i="1" s="1"/>
  <c r="U546" i="7" s="1"/>
  <c r="U140" i="7"/>
  <c r="L83" i="9"/>
  <c r="P685" i="1" s="1"/>
  <c r="Y76" i="9"/>
  <c r="Y114" i="12"/>
  <c r="Y125" i="12" s="1"/>
  <c r="Y80" i="9"/>
  <c r="Y118" i="12"/>
  <c r="Y129" i="12" s="1"/>
  <c r="W75" i="9"/>
  <c r="W113" i="12"/>
  <c r="W124" i="12" s="1"/>
  <c r="W73" i="9"/>
  <c r="W111" i="12"/>
  <c r="W122" i="12" s="1"/>
  <c r="AA672" i="1"/>
  <c r="W82" i="9"/>
  <c r="W120" i="12"/>
  <c r="W131" i="12" s="1"/>
  <c r="P76" i="9"/>
  <c r="P114" i="12"/>
  <c r="P125" i="12" s="1"/>
  <c r="P80" i="9"/>
  <c r="P118" i="12"/>
  <c r="P129" i="12" s="1"/>
  <c r="O75" i="9"/>
  <c r="O113" i="12"/>
  <c r="O124" i="12" s="1"/>
  <c r="O73" i="9"/>
  <c r="O111" i="12"/>
  <c r="O122" i="12" s="1"/>
  <c r="S672" i="1"/>
  <c r="O81" i="9"/>
  <c r="O119" i="12"/>
  <c r="O130" i="12" s="1"/>
  <c r="M74" i="9"/>
  <c r="M112" i="12"/>
  <c r="M123" i="12" s="1"/>
  <c r="M78" i="9"/>
  <c r="M116" i="12"/>
  <c r="M127" i="12" s="1"/>
  <c r="M82" i="9"/>
  <c r="M120" i="12"/>
  <c r="M131" i="12" s="1"/>
  <c r="S77" i="9"/>
  <c r="S115" i="12"/>
  <c r="S126" i="12" s="1"/>
  <c r="S79" i="9"/>
  <c r="S117" i="12"/>
  <c r="S128" i="12" s="1"/>
  <c r="C78" i="9"/>
  <c r="C116" i="12"/>
  <c r="C127" i="12" s="1"/>
  <c r="C80" i="9"/>
  <c r="C118" i="12"/>
  <c r="C129" i="12" s="1"/>
  <c r="R74" i="9"/>
  <c r="R112" i="12"/>
  <c r="R123" i="12" s="1"/>
  <c r="R78" i="9"/>
  <c r="R116" i="12"/>
  <c r="R127" i="12" s="1"/>
  <c r="R82" i="9"/>
  <c r="R120" i="12"/>
  <c r="R131" i="12" s="1"/>
  <c r="E111" i="12"/>
  <c r="E122" i="12" s="1"/>
  <c r="I672" i="1"/>
  <c r="E77" i="9"/>
  <c r="E115" i="12"/>
  <c r="E126" i="12" s="1"/>
  <c r="E81" i="9"/>
  <c r="E119" i="12"/>
  <c r="E130" i="12" s="1"/>
  <c r="X74" i="9"/>
  <c r="X112" i="12"/>
  <c r="X123" i="12" s="1"/>
  <c r="X78" i="9"/>
  <c r="X116" i="12"/>
  <c r="X127" i="12" s="1"/>
  <c r="X82" i="9"/>
  <c r="X120" i="12"/>
  <c r="X131" i="12" s="1"/>
  <c r="V76" i="9"/>
  <c r="V114" i="12"/>
  <c r="V125" i="12" s="1"/>
  <c r="V80" i="9"/>
  <c r="V118" i="12"/>
  <c r="V129" i="12" s="1"/>
  <c r="T73" i="9"/>
  <c r="T111" i="12"/>
  <c r="T122" i="12" s="1"/>
  <c r="X672" i="1"/>
  <c r="T77" i="9"/>
  <c r="T115" i="12"/>
  <c r="T126" i="12" s="1"/>
  <c r="T81" i="9"/>
  <c r="T119" i="12"/>
  <c r="T130" i="12" s="1"/>
  <c r="D74" i="9"/>
  <c r="D112" i="12"/>
  <c r="D123" i="12" s="1"/>
  <c r="D78" i="9"/>
  <c r="D116" i="12"/>
  <c r="D127" i="12" s="1"/>
  <c r="D82" i="9"/>
  <c r="D120" i="12"/>
  <c r="D131" i="12" s="1"/>
  <c r="K78" i="9"/>
  <c r="K116" i="12"/>
  <c r="K127" i="12" s="1"/>
  <c r="K80" i="9"/>
  <c r="K118" i="12"/>
  <c r="K129" i="12" s="1"/>
  <c r="N73" i="9"/>
  <c r="N111" i="12"/>
  <c r="N122" i="12" s="1"/>
  <c r="R672" i="1"/>
  <c r="N77" i="9"/>
  <c r="N115" i="12"/>
  <c r="N126" i="12" s="1"/>
  <c r="N81" i="9"/>
  <c r="N119" i="12"/>
  <c r="N130" i="12" s="1"/>
  <c r="B75" i="9"/>
  <c r="B113" i="12"/>
  <c r="B124" i="12" s="1"/>
  <c r="B79" i="9"/>
  <c r="B117" i="12"/>
  <c r="B128" i="12" s="1"/>
  <c r="Q73" i="9"/>
  <c r="Q111" i="12"/>
  <c r="Q122" i="12" s="1"/>
  <c r="U672" i="1"/>
  <c r="Q77" i="9"/>
  <c r="Q115" i="12"/>
  <c r="Q126" i="12" s="1"/>
  <c r="Q81" i="9"/>
  <c r="Q119" i="12"/>
  <c r="Q130" i="12" s="1"/>
  <c r="U74" i="9"/>
  <c r="U112" i="12"/>
  <c r="U123" i="12" s="1"/>
  <c r="U78" i="9"/>
  <c r="U116" i="12"/>
  <c r="U127" i="12" s="1"/>
  <c r="U82" i="9"/>
  <c r="U120" i="12"/>
  <c r="U131" i="12" s="1"/>
  <c r="J132" i="12"/>
  <c r="Y73" i="9"/>
  <c r="Y111" i="12"/>
  <c r="Y122" i="12" s="1"/>
  <c r="AC672" i="1"/>
  <c r="Y77" i="9"/>
  <c r="Y115" i="12"/>
  <c r="Y126" i="12" s="1"/>
  <c r="Y81" i="9"/>
  <c r="Y119" i="12"/>
  <c r="Y130" i="12" s="1"/>
  <c r="W76" i="9"/>
  <c r="W114" i="12"/>
  <c r="W125" i="12" s="1"/>
  <c r="W79" i="9"/>
  <c r="W117" i="12"/>
  <c r="W128" i="12" s="1"/>
  <c r="P73" i="9"/>
  <c r="P111" i="12"/>
  <c r="P122" i="12" s="1"/>
  <c r="T672" i="1"/>
  <c r="P77" i="9"/>
  <c r="P115" i="12"/>
  <c r="P126" i="12" s="1"/>
  <c r="P81" i="9"/>
  <c r="P119" i="12"/>
  <c r="P130" i="12" s="1"/>
  <c r="O76" i="9"/>
  <c r="O114" i="12"/>
  <c r="O125" i="12" s="1"/>
  <c r="O74" i="9"/>
  <c r="O112" i="12"/>
  <c r="O123" i="12" s="1"/>
  <c r="O82" i="9"/>
  <c r="O120" i="12"/>
  <c r="O131" i="12" s="1"/>
  <c r="M75" i="9"/>
  <c r="M113" i="12"/>
  <c r="M124" i="12" s="1"/>
  <c r="M79" i="9"/>
  <c r="M117" i="12"/>
  <c r="M128" i="12" s="1"/>
  <c r="S78" i="9"/>
  <c r="S116" i="12"/>
  <c r="S127" i="12" s="1"/>
  <c r="S80" i="9"/>
  <c r="S118" i="12"/>
  <c r="S129" i="12" s="1"/>
  <c r="C75" i="9"/>
  <c r="C113" i="12"/>
  <c r="C124" i="12" s="1"/>
  <c r="C79" i="9"/>
  <c r="C117" i="12"/>
  <c r="C128" i="12" s="1"/>
  <c r="C81" i="9"/>
  <c r="C119" i="12"/>
  <c r="C130" i="12" s="1"/>
  <c r="R75" i="9"/>
  <c r="R113" i="12"/>
  <c r="R124" i="12" s="1"/>
  <c r="R79" i="9"/>
  <c r="R117" i="12"/>
  <c r="R128" i="12" s="1"/>
  <c r="E74" i="9"/>
  <c r="E112" i="12"/>
  <c r="E123" i="12" s="1"/>
  <c r="E78" i="9"/>
  <c r="E116" i="12"/>
  <c r="E127" i="12" s="1"/>
  <c r="E82" i="9"/>
  <c r="E120" i="12"/>
  <c r="E131" i="12" s="1"/>
  <c r="X75" i="9"/>
  <c r="X113" i="12"/>
  <c r="X124" i="12" s="1"/>
  <c r="X79" i="9"/>
  <c r="X117" i="12"/>
  <c r="X128" i="12" s="1"/>
  <c r="V111" i="12"/>
  <c r="V122" i="12" s="1"/>
  <c r="Z672" i="1"/>
  <c r="V77" i="9"/>
  <c r="V115" i="12"/>
  <c r="V126" i="12" s="1"/>
  <c r="V81" i="9"/>
  <c r="V119" i="12"/>
  <c r="V130" i="12" s="1"/>
  <c r="T74" i="9"/>
  <c r="T112" i="12"/>
  <c r="T123" i="12" s="1"/>
  <c r="T78" i="9"/>
  <c r="T116" i="12"/>
  <c r="T127" i="12" s="1"/>
  <c r="T82" i="9"/>
  <c r="T120" i="12"/>
  <c r="T131" i="12" s="1"/>
  <c r="D75" i="9"/>
  <c r="D113" i="12"/>
  <c r="D124" i="12" s="1"/>
  <c r="D79" i="9"/>
  <c r="D117" i="12"/>
  <c r="D128" i="12" s="1"/>
  <c r="K75" i="9"/>
  <c r="K113" i="12"/>
  <c r="K124" i="12" s="1"/>
  <c r="K73" i="9"/>
  <c r="K111" i="12"/>
  <c r="K122" i="12" s="1"/>
  <c r="O672" i="1"/>
  <c r="K81" i="9"/>
  <c r="K119" i="12"/>
  <c r="K130" i="12" s="1"/>
  <c r="N74" i="9"/>
  <c r="N112" i="12"/>
  <c r="N123" i="12" s="1"/>
  <c r="N78" i="9"/>
  <c r="N116" i="12"/>
  <c r="N127" i="12" s="1"/>
  <c r="N82" i="9"/>
  <c r="N120" i="12"/>
  <c r="N131" i="12" s="1"/>
  <c r="B76" i="9"/>
  <c r="B114" i="12"/>
  <c r="B125" i="12" s="1"/>
  <c r="B80" i="9"/>
  <c r="B118" i="12"/>
  <c r="B129" i="12" s="1"/>
  <c r="Q74" i="9"/>
  <c r="Q83" i="9" s="1"/>
  <c r="Q112" i="12"/>
  <c r="Q123" i="12" s="1"/>
  <c r="Q78" i="9"/>
  <c r="Q116" i="12"/>
  <c r="Q127" i="12" s="1"/>
  <c r="Q82" i="9"/>
  <c r="Q120" i="12"/>
  <c r="Q131" i="12" s="1"/>
  <c r="U75" i="9"/>
  <c r="U113" i="12"/>
  <c r="U124" i="12" s="1"/>
  <c r="U79" i="9"/>
  <c r="U117" i="12"/>
  <c r="U128" i="12" s="1"/>
  <c r="Y74" i="9"/>
  <c r="Y112" i="12"/>
  <c r="Y123" i="12" s="1"/>
  <c r="Y78" i="9"/>
  <c r="Y116" i="12"/>
  <c r="Y127" i="12" s="1"/>
  <c r="Y82" i="9"/>
  <c r="Y120" i="12"/>
  <c r="Y131" i="12" s="1"/>
  <c r="W77" i="9"/>
  <c r="W115" i="12"/>
  <c r="W126" i="12" s="1"/>
  <c r="W80" i="9"/>
  <c r="W118" i="12"/>
  <c r="W129" i="12" s="1"/>
  <c r="P74" i="9"/>
  <c r="P112" i="12"/>
  <c r="P123" i="12" s="1"/>
  <c r="P78" i="9"/>
  <c r="P116" i="12"/>
  <c r="P127" i="12" s="1"/>
  <c r="P82" i="9"/>
  <c r="P120" i="12"/>
  <c r="P131" i="12" s="1"/>
  <c r="O77" i="9"/>
  <c r="O115" i="12"/>
  <c r="O126" i="12" s="1"/>
  <c r="O79" i="9"/>
  <c r="O117" i="12"/>
  <c r="O128" i="12" s="1"/>
  <c r="M76" i="9"/>
  <c r="M83" i="9" s="1"/>
  <c r="M114" i="12"/>
  <c r="M125" i="12" s="1"/>
  <c r="M80" i="9"/>
  <c r="M118" i="12"/>
  <c r="M129" i="12" s="1"/>
  <c r="S75" i="9"/>
  <c r="S113" i="12"/>
  <c r="S124" i="12" s="1"/>
  <c r="S73" i="9"/>
  <c r="S111" i="12"/>
  <c r="S122" i="12" s="1"/>
  <c r="W672" i="1"/>
  <c r="S81" i="9"/>
  <c r="S119" i="12"/>
  <c r="S130" i="12" s="1"/>
  <c r="C76" i="9"/>
  <c r="C114" i="12"/>
  <c r="C125" i="12" s="1"/>
  <c r="C73" i="9"/>
  <c r="C111" i="12"/>
  <c r="C122" i="12" s="1"/>
  <c r="G672" i="1"/>
  <c r="G133" i="7" s="1"/>
  <c r="C82" i="9"/>
  <c r="C120" i="12"/>
  <c r="C131" i="12" s="1"/>
  <c r="R76" i="9"/>
  <c r="R114" i="12"/>
  <c r="R125" i="12" s="1"/>
  <c r="R80" i="9"/>
  <c r="R118" i="12"/>
  <c r="R129" i="12" s="1"/>
  <c r="E75" i="9"/>
  <c r="E113" i="12"/>
  <c r="E124" i="12" s="1"/>
  <c r="E79" i="9"/>
  <c r="E117" i="12"/>
  <c r="E128" i="12" s="1"/>
  <c r="X76" i="9"/>
  <c r="X114" i="12"/>
  <c r="X125" i="12" s="1"/>
  <c r="X80" i="9"/>
  <c r="X118" i="12"/>
  <c r="X129" i="12" s="1"/>
  <c r="V74" i="9"/>
  <c r="V112" i="12"/>
  <c r="V123" i="12" s="1"/>
  <c r="V78" i="9"/>
  <c r="V116" i="12"/>
  <c r="V127" i="12" s="1"/>
  <c r="V82" i="9"/>
  <c r="V120" i="12"/>
  <c r="V131" i="12" s="1"/>
  <c r="T75" i="9"/>
  <c r="T113" i="12"/>
  <c r="T124" i="12" s="1"/>
  <c r="T79" i="9"/>
  <c r="T117" i="12"/>
  <c r="T128" i="12" s="1"/>
  <c r="D76" i="9"/>
  <c r="D114" i="12"/>
  <c r="D125" i="12" s="1"/>
  <c r="D80" i="9"/>
  <c r="D118" i="12"/>
  <c r="D129" i="12" s="1"/>
  <c r="K76" i="9"/>
  <c r="K114" i="12"/>
  <c r="K125" i="12" s="1"/>
  <c r="K74" i="9"/>
  <c r="K112" i="12"/>
  <c r="K123" i="12" s="1"/>
  <c r="K82" i="9"/>
  <c r="K120" i="12"/>
  <c r="K131" i="12" s="1"/>
  <c r="N75" i="9"/>
  <c r="N113" i="12"/>
  <c r="N124" i="12" s="1"/>
  <c r="N79" i="9"/>
  <c r="N117" i="12"/>
  <c r="N128" i="12" s="1"/>
  <c r="B111" i="12"/>
  <c r="B122" i="12" s="1"/>
  <c r="F672" i="1"/>
  <c r="F133" i="7" s="1"/>
  <c r="B77" i="9"/>
  <c r="B115" i="12"/>
  <c r="B126" i="12" s="1"/>
  <c r="B81" i="9"/>
  <c r="B119" i="12"/>
  <c r="B130" i="12" s="1"/>
  <c r="Q75" i="9"/>
  <c r="Q113" i="12"/>
  <c r="Q124" i="12" s="1"/>
  <c r="Q79" i="9"/>
  <c r="Q117" i="12"/>
  <c r="Q128" i="12" s="1"/>
  <c r="U76" i="9"/>
  <c r="U114" i="12"/>
  <c r="U125" i="12" s="1"/>
  <c r="U80" i="9"/>
  <c r="U118" i="12"/>
  <c r="U129" i="12" s="1"/>
  <c r="P133" i="7"/>
  <c r="P732" i="1"/>
  <c r="P731" i="1"/>
  <c r="P841" i="1" s="1"/>
  <c r="Y75" i="9"/>
  <c r="Y113" i="12"/>
  <c r="Y124" i="12" s="1"/>
  <c r="Y79" i="9"/>
  <c r="Y117" i="12"/>
  <c r="Y128" i="12" s="1"/>
  <c r="W74" i="9"/>
  <c r="W112" i="12"/>
  <c r="W123" i="12" s="1"/>
  <c r="W78" i="9"/>
  <c r="W116" i="12"/>
  <c r="W127" i="12" s="1"/>
  <c r="W81" i="9"/>
  <c r="W119" i="12"/>
  <c r="W130" i="12" s="1"/>
  <c r="P75" i="9"/>
  <c r="P113" i="12"/>
  <c r="P124" i="12" s="1"/>
  <c r="P79" i="9"/>
  <c r="P117" i="12"/>
  <c r="P128" i="12" s="1"/>
  <c r="O78" i="9"/>
  <c r="O116" i="12"/>
  <c r="O127" i="12" s="1"/>
  <c r="O80" i="9"/>
  <c r="O118" i="12"/>
  <c r="O129" i="12" s="1"/>
  <c r="M73" i="9"/>
  <c r="M111" i="12"/>
  <c r="M122" i="12" s="1"/>
  <c r="Q672" i="1"/>
  <c r="M77" i="9"/>
  <c r="M115" i="12"/>
  <c r="M126" i="12" s="1"/>
  <c r="M81" i="9"/>
  <c r="M119" i="12"/>
  <c r="M130" i="12" s="1"/>
  <c r="S76" i="9"/>
  <c r="S114" i="12"/>
  <c r="S125" i="12" s="1"/>
  <c r="S74" i="9"/>
  <c r="S112" i="12"/>
  <c r="S123" i="12" s="1"/>
  <c r="S82" i="9"/>
  <c r="S120" i="12"/>
  <c r="S131" i="12" s="1"/>
  <c r="C77" i="9"/>
  <c r="C115" i="12"/>
  <c r="C126" i="12" s="1"/>
  <c r="C74" i="9"/>
  <c r="C112" i="12"/>
  <c r="C123" i="12" s="1"/>
  <c r="R73" i="9"/>
  <c r="R111" i="12"/>
  <c r="R122" i="12" s="1"/>
  <c r="V672" i="1"/>
  <c r="R77" i="9"/>
  <c r="R115" i="12"/>
  <c r="R126" i="12" s="1"/>
  <c r="R81" i="9"/>
  <c r="R119" i="12"/>
  <c r="R130" i="12" s="1"/>
  <c r="E76" i="9"/>
  <c r="E114" i="12"/>
  <c r="E125" i="12" s="1"/>
  <c r="E80" i="9"/>
  <c r="E118" i="12"/>
  <c r="E129" i="12" s="1"/>
  <c r="X73" i="9"/>
  <c r="X111" i="12"/>
  <c r="X122" i="12" s="1"/>
  <c r="AB672" i="1"/>
  <c r="X77" i="9"/>
  <c r="X115" i="12"/>
  <c r="X126" i="12" s="1"/>
  <c r="X81" i="9"/>
  <c r="X119" i="12"/>
  <c r="X130" i="12" s="1"/>
  <c r="V75" i="9"/>
  <c r="V113" i="12"/>
  <c r="V124" i="12" s="1"/>
  <c r="V79" i="9"/>
  <c r="V117" i="12"/>
  <c r="V128" i="12" s="1"/>
  <c r="T76" i="9"/>
  <c r="T114" i="12"/>
  <c r="T125" i="12" s="1"/>
  <c r="T80" i="9"/>
  <c r="T118" i="12"/>
  <c r="T129" i="12" s="1"/>
  <c r="D73" i="9"/>
  <c r="D83" i="9" s="1"/>
  <c r="D84" i="9" s="1"/>
  <c r="D111" i="12"/>
  <c r="D122" i="12" s="1"/>
  <c r="H672" i="1"/>
  <c r="D77" i="9"/>
  <c r="D115" i="12"/>
  <c r="D126" i="12" s="1"/>
  <c r="D81" i="9"/>
  <c r="D119" i="12"/>
  <c r="D130" i="12" s="1"/>
  <c r="K77" i="9"/>
  <c r="K115" i="12"/>
  <c r="K126" i="12" s="1"/>
  <c r="K79" i="9"/>
  <c r="K117" i="12"/>
  <c r="K128" i="12" s="1"/>
  <c r="N76" i="9"/>
  <c r="N114" i="12"/>
  <c r="N125" i="12" s="1"/>
  <c r="N80" i="9"/>
  <c r="N118" i="12"/>
  <c r="N129" i="12" s="1"/>
  <c r="B74" i="9"/>
  <c r="B112" i="12"/>
  <c r="B123" i="12" s="1"/>
  <c r="B78" i="9"/>
  <c r="B116" i="12"/>
  <c r="B127" i="12" s="1"/>
  <c r="B82" i="9"/>
  <c r="B120" i="12"/>
  <c r="B131" i="12" s="1"/>
  <c r="Q76" i="9"/>
  <c r="Q114" i="12"/>
  <c r="Q125" i="12" s="1"/>
  <c r="Q80" i="9"/>
  <c r="Q118" i="12"/>
  <c r="Q129" i="12" s="1"/>
  <c r="U73" i="9"/>
  <c r="U111" i="12"/>
  <c r="U122" i="12" s="1"/>
  <c r="Y672" i="1"/>
  <c r="U77" i="9"/>
  <c r="U115" i="12"/>
  <c r="U126" i="12" s="1"/>
  <c r="U81" i="9"/>
  <c r="U119" i="12"/>
  <c r="U130" i="12" s="1"/>
  <c r="N133" i="7"/>
  <c r="N732" i="1"/>
  <c r="N731" i="1"/>
  <c r="N841" i="1" s="1"/>
  <c r="L132" i="12"/>
  <c r="F74" i="9"/>
  <c r="F112" i="12"/>
  <c r="F123" i="12" s="1"/>
  <c r="F78" i="9"/>
  <c r="F116" i="12"/>
  <c r="F127" i="12" s="1"/>
  <c r="F82" i="9"/>
  <c r="F120" i="12"/>
  <c r="F131" i="12" s="1"/>
  <c r="F75" i="9"/>
  <c r="F113" i="12"/>
  <c r="F124" i="12" s="1"/>
  <c r="F79" i="9"/>
  <c r="F117" i="12"/>
  <c r="F128" i="12" s="1"/>
  <c r="J140" i="7"/>
  <c r="F76" i="9"/>
  <c r="F114" i="12"/>
  <c r="F125" i="12" s="1"/>
  <c r="F80" i="9"/>
  <c r="F118" i="12"/>
  <c r="F129" i="12" s="1"/>
  <c r="F73" i="9"/>
  <c r="F111" i="12"/>
  <c r="F122" i="12" s="1"/>
  <c r="J672" i="1"/>
  <c r="F77" i="9"/>
  <c r="F115" i="12"/>
  <c r="F126" i="12" s="1"/>
  <c r="F81" i="9"/>
  <c r="F119" i="12"/>
  <c r="F130" i="12" s="1"/>
  <c r="H74" i="9"/>
  <c r="H112" i="12"/>
  <c r="H123" i="12" s="1"/>
  <c r="H78" i="9"/>
  <c r="H116" i="12"/>
  <c r="H127" i="12" s="1"/>
  <c r="H82" i="9"/>
  <c r="H120" i="12"/>
  <c r="H131" i="12" s="1"/>
  <c r="I76" i="9"/>
  <c r="I114" i="12"/>
  <c r="I125" i="12" s="1"/>
  <c r="I80" i="9"/>
  <c r="I118" i="12"/>
  <c r="I129" i="12" s="1"/>
  <c r="G76" i="9"/>
  <c r="G114" i="12"/>
  <c r="G125" i="12" s="1"/>
  <c r="G74" i="9"/>
  <c r="G112" i="12"/>
  <c r="G123" i="12" s="1"/>
  <c r="G82" i="9"/>
  <c r="G120" i="12"/>
  <c r="G131" i="12" s="1"/>
  <c r="H75" i="9"/>
  <c r="H113" i="12"/>
  <c r="H124" i="12" s="1"/>
  <c r="H79" i="9"/>
  <c r="H117" i="12"/>
  <c r="H128" i="12" s="1"/>
  <c r="L681" i="1"/>
  <c r="L143" i="7" s="1"/>
  <c r="L140" i="7"/>
  <c r="I73" i="9"/>
  <c r="I111" i="12"/>
  <c r="I122" i="12" s="1"/>
  <c r="M672" i="1"/>
  <c r="I77" i="9"/>
  <c r="I115" i="12"/>
  <c r="I126" i="12" s="1"/>
  <c r="I81" i="9"/>
  <c r="I119" i="12"/>
  <c r="I130" i="12" s="1"/>
  <c r="G77" i="9"/>
  <c r="G115" i="12"/>
  <c r="G126" i="12" s="1"/>
  <c r="G79" i="9"/>
  <c r="G117" i="12"/>
  <c r="G128" i="12" s="1"/>
  <c r="K681" i="1"/>
  <c r="K1662" i="1" s="1"/>
  <c r="K546" i="7" s="1"/>
  <c r="K140" i="7"/>
  <c r="H76" i="9"/>
  <c r="H114" i="12"/>
  <c r="H125" i="12" s="1"/>
  <c r="H80" i="9"/>
  <c r="H118" i="12"/>
  <c r="H129" i="12" s="1"/>
  <c r="I74" i="9"/>
  <c r="I112" i="12"/>
  <c r="I123" i="12" s="1"/>
  <c r="I78" i="9"/>
  <c r="I116" i="12"/>
  <c r="I127" i="12" s="1"/>
  <c r="I82" i="9"/>
  <c r="I120" i="12"/>
  <c r="I131" i="12" s="1"/>
  <c r="G78" i="9"/>
  <c r="G116" i="12"/>
  <c r="G127" i="12" s="1"/>
  <c r="G80" i="9"/>
  <c r="G118" i="12"/>
  <c r="G129" i="12" s="1"/>
  <c r="H73" i="9"/>
  <c r="H111" i="12"/>
  <c r="H122" i="12" s="1"/>
  <c r="L672" i="1"/>
  <c r="H77" i="9"/>
  <c r="H115" i="12"/>
  <c r="H126" i="12" s="1"/>
  <c r="H81" i="9"/>
  <c r="H119" i="12"/>
  <c r="H130" i="12" s="1"/>
  <c r="I75" i="9"/>
  <c r="I113" i="12"/>
  <c r="I124" i="12" s="1"/>
  <c r="I79" i="9"/>
  <c r="I117" i="12"/>
  <c r="I128" i="12" s="1"/>
  <c r="M681" i="1"/>
  <c r="M682" i="1" s="1"/>
  <c r="M144" i="7" s="1"/>
  <c r="M140" i="7"/>
  <c r="G75" i="9"/>
  <c r="G113" i="12"/>
  <c r="G124" i="12" s="1"/>
  <c r="G73" i="9"/>
  <c r="G111" i="12"/>
  <c r="G122" i="12" s="1"/>
  <c r="K672" i="1"/>
  <c r="G81" i="9"/>
  <c r="G119" i="12"/>
  <c r="G130" i="12" s="1"/>
  <c r="N145" i="7"/>
  <c r="AB699" i="1"/>
  <c r="AB162" i="7" s="1"/>
  <c r="AB145" i="7"/>
  <c r="AC684" i="1"/>
  <c r="AC146" i="7" s="1"/>
  <c r="AC144" i="7"/>
  <c r="W682" i="1"/>
  <c r="W684" i="1" s="1"/>
  <c r="J1662" i="1"/>
  <c r="J546" i="7" s="1"/>
  <c r="J143" i="7"/>
  <c r="P697" i="1"/>
  <c r="P160" i="7" s="1"/>
  <c r="P146" i="7"/>
  <c r="AB698" i="1"/>
  <c r="AB144" i="7"/>
  <c r="N146" i="7"/>
  <c r="P699" i="1"/>
  <c r="P162" i="7" s="1"/>
  <c r="P145" i="7"/>
  <c r="S143" i="7"/>
  <c r="R143" i="7"/>
  <c r="U143" i="7"/>
  <c r="N698" i="1"/>
  <c r="N697" i="1" s="1"/>
  <c r="N160" i="7" s="1"/>
  <c r="N144" i="7"/>
  <c r="F497" i="1"/>
  <c r="F505" i="1" s="1"/>
  <c r="I522" i="1"/>
  <c r="J513" i="1" s="1"/>
  <c r="J521" i="1" s="1"/>
  <c r="O145" i="1"/>
  <c r="O44" i="7" s="1"/>
  <c r="R1662" i="1"/>
  <c r="R546" i="7" s="1"/>
  <c r="E73" i="9"/>
  <c r="B73" i="9"/>
  <c r="AA1822" i="1"/>
  <c r="F565" i="1"/>
  <c r="S682" i="1"/>
  <c r="X1662" i="1"/>
  <c r="X546" i="7" s="1"/>
  <c r="Q682" i="1"/>
  <c r="Q144" i="7" s="1"/>
  <c r="V1662" i="1"/>
  <c r="V546" i="7" s="1"/>
  <c r="O682" i="1"/>
  <c r="O144" i="7" s="1"/>
  <c r="L138" i="1"/>
  <c r="L37" i="7" s="1"/>
  <c r="O141" i="1"/>
  <c r="O40" i="7" s="1"/>
  <c r="AC683" i="1"/>
  <c r="M1748" i="1"/>
  <c r="M633" i="7" s="1"/>
  <c r="N199" i="1"/>
  <c r="N98" i="7" s="1"/>
  <c r="O153" i="1"/>
  <c r="O160" i="1"/>
  <c r="O59" i="7" s="1"/>
  <c r="O198" i="1"/>
  <c r="O97" i="7" s="1"/>
  <c r="P165" i="1"/>
  <c r="P64" i="7" s="1"/>
  <c r="O144" i="1"/>
  <c r="O43" i="7" s="1"/>
  <c r="N143" i="1"/>
  <c r="N42" i="7" s="1"/>
  <c r="H404" i="1"/>
  <c r="N171" i="1"/>
  <c r="N70" i="7" s="1"/>
  <c r="O155" i="1"/>
  <c r="O54" i="7" s="1"/>
  <c r="N197" i="1"/>
  <c r="N96" i="7" s="1"/>
  <c r="M202" i="1"/>
  <c r="M101" i="7" s="1"/>
  <c r="Y1662" i="1"/>
  <c r="Y546" i="7" s="1"/>
  <c r="AA1662" i="1"/>
  <c r="AA546" i="7" s="1"/>
  <c r="AB684" i="1"/>
  <c r="F333" i="1"/>
  <c r="F334" i="1" s="1"/>
  <c r="G324" i="1" s="1"/>
  <c r="AC701" i="1"/>
  <c r="AC164" i="7" s="1"/>
  <c r="M321" i="8"/>
  <c r="M320" i="8" s="1"/>
  <c r="L494" i="8"/>
  <c r="L493" i="8" s="1"/>
  <c r="Y485" i="1"/>
  <c r="Z485" i="1" s="1"/>
  <c r="AA485" i="1" s="1"/>
  <c r="AB485" i="1" s="1"/>
  <c r="AC485" i="1" s="1"/>
  <c r="B480" i="1" s="1"/>
  <c r="AC80" i="1"/>
  <c r="AB963" i="1"/>
  <c r="AB964" i="1" s="1"/>
  <c r="AB952" i="1"/>
  <c r="AB953" i="1" s="1"/>
  <c r="AB948" i="1"/>
  <c r="AB949" i="1" s="1"/>
  <c r="AB931" i="1"/>
  <c r="AB932" i="1" s="1"/>
  <c r="AB900" i="1"/>
  <c r="AB901" i="1" s="1"/>
  <c r="AB882" i="1"/>
  <c r="AB883" i="1" s="1"/>
  <c r="AB826" i="1"/>
  <c r="AB827" i="1" s="1"/>
  <c r="AB975" i="1"/>
  <c r="AB976" i="1" s="1"/>
  <c r="AB873" i="1"/>
  <c r="AB874" i="1" s="1"/>
  <c r="AB679" i="1"/>
  <c r="AB891" i="1"/>
  <c r="AB892" i="1" s="1"/>
  <c r="AB81" i="1"/>
  <c r="AB1894" i="1" s="1"/>
  <c r="N1490" i="1"/>
  <c r="N496" i="8" s="1"/>
  <c r="N495" i="8" s="1"/>
  <c r="N1469" i="1"/>
  <c r="N457" i="8" s="1"/>
  <c r="N456" i="8" s="1"/>
  <c r="M301" i="8"/>
  <c r="M300" i="8" s="1"/>
  <c r="M313" i="8"/>
  <c r="M312" i="8" s="1"/>
  <c r="L504" i="8"/>
  <c r="L503" i="8" s="1"/>
  <c r="P431" i="1"/>
  <c r="P426" i="1"/>
  <c r="AB1822" i="1"/>
  <c r="M293" i="8"/>
  <c r="M292" i="8" s="1"/>
  <c r="M295" i="8"/>
  <c r="J297" i="8"/>
  <c r="J296" i="8" s="1"/>
  <c r="L165" i="8"/>
  <c r="L164" i="8" s="1"/>
  <c r="L285" i="8"/>
  <c r="L284" i="8" s="1"/>
  <c r="I303" i="8"/>
  <c r="I302" i="8" s="1"/>
  <c r="I616" i="1"/>
  <c r="AE482" i="1"/>
  <c r="V424" i="1"/>
  <c r="P427" i="1"/>
  <c r="N427" i="1"/>
  <c r="L427" i="1"/>
  <c r="J427" i="1"/>
  <c r="O427" i="1"/>
  <c r="M427" i="1"/>
  <c r="K427" i="1"/>
  <c r="H428" i="1"/>
  <c r="F508" i="8"/>
  <c r="F507" i="8" s="1"/>
  <c r="H1799" i="1"/>
  <c r="H1871" i="1"/>
  <c r="H315" i="8"/>
  <c r="H314" i="8" s="1"/>
  <c r="H2021" i="1"/>
  <c r="F315" i="8"/>
  <c r="F314" i="8" s="1"/>
  <c r="F1799" i="1"/>
  <c r="F1871" i="1"/>
  <c r="F2021" i="1"/>
  <c r="G380" i="1"/>
  <c r="G381" i="1" s="1"/>
  <c r="M1218" i="1"/>
  <c r="M209" i="7" s="1"/>
  <c r="M1328" i="1"/>
  <c r="M324" i="7" s="1"/>
  <c r="O272" i="1"/>
  <c r="N273" i="1"/>
  <c r="N1102" i="1"/>
  <c r="M1104" i="1"/>
  <c r="M1101" i="1" s="1"/>
  <c r="M1130" i="1"/>
  <c r="M1489" i="1" s="1"/>
  <c r="O564" i="1"/>
  <c r="P152" i="1"/>
  <c r="P51" i="7" s="1"/>
  <c r="P1099" i="1"/>
  <c r="O562" i="1"/>
  <c r="O568" i="1"/>
  <c r="O293" i="1"/>
  <c r="O556" i="1" s="1"/>
  <c r="O1473" i="1" s="1"/>
  <c r="O553" i="1"/>
  <c r="X872" i="1"/>
  <c r="Y872" i="1" s="1"/>
  <c r="N472" i="8"/>
  <c r="N471" i="8" s="1"/>
  <c r="N464" i="8"/>
  <c r="N463" i="8" s="1"/>
  <c r="N317" i="8"/>
  <c r="N315" i="8"/>
  <c r="N307" i="8"/>
  <c r="N287" i="8"/>
  <c r="N167" i="8"/>
  <c r="N161" i="8"/>
  <c r="N159" i="8"/>
  <c r="N116" i="8"/>
  <c r="N115" i="8" s="1"/>
  <c r="N113" i="8"/>
  <c r="N112" i="8" s="1"/>
  <c r="N96" i="8"/>
  <c r="N94" i="8"/>
  <c r="N92" i="8"/>
  <c r="N80" i="8"/>
  <c r="N53" i="8"/>
  <c r="N34" i="8"/>
  <c r="O33" i="8"/>
  <c r="M836" i="8"/>
  <c r="M762" i="8"/>
  <c r="M691" i="8"/>
  <c r="M767" i="8"/>
  <c r="M303" i="8"/>
  <c r="M302" i="8" s="1"/>
  <c r="N1165" i="1"/>
  <c r="N1931" i="1"/>
  <c r="N1785" i="1"/>
  <c r="N230" i="1"/>
  <c r="N2008" i="1"/>
  <c r="N676" i="1"/>
  <c r="N138" i="7" s="1"/>
  <c r="N820" i="1"/>
  <c r="N1459" i="1"/>
  <c r="N738" i="1"/>
  <c r="N1197" i="1"/>
  <c r="N188" i="7" s="1"/>
  <c r="N280" i="1"/>
  <c r="N1957" i="1"/>
  <c r="N748" i="1"/>
  <c r="N621" i="1"/>
  <c r="N866" i="1"/>
  <c r="N768" i="1"/>
  <c r="N1096" i="1"/>
  <c r="N661" i="1"/>
  <c r="N724" i="1"/>
  <c r="N695" i="1"/>
  <c r="N158" i="7" s="1"/>
  <c r="N1008" i="1"/>
  <c r="N1711" i="1"/>
  <c r="N596" i="7" s="1"/>
  <c r="N1554" i="1"/>
  <c r="N434" i="7" s="1"/>
  <c r="N1073" i="1"/>
  <c r="N669" i="1"/>
  <c r="N130" i="7" s="1"/>
  <c r="N1275" i="1"/>
  <c r="N269" i="7" s="1"/>
  <c r="N1859" i="1"/>
  <c r="N1319" i="1"/>
  <c r="N315" i="7" s="1"/>
  <c r="N921" i="1"/>
  <c r="N1657" i="1"/>
  <c r="N541" i="7" s="1"/>
  <c r="N102" i="1"/>
  <c r="N1" i="7" s="1"/>
  <c r="M75" i="8"/>
  <c r="O729" i="1"/>
  <c r="N726" i="1"/>
  <c r="O561" i="1"/>
  <c r="P311" i="1"/>
  <c r="P309" i="1"/>
  <c r="P310" i="1"/>
  <c r="Q29" i="1"/>
  <c r="P470" i="1"/>
  <c r="P603" i="1" s="1"/>
  <c r="P641" i="1"/>
  <c r="P643" i="1" s="1"/>
  <c r="P640" i="1" s="1"/>
  <c r="P529" i="1"/>
  <c r="P526" i="1"/>
  <c r="P471" i="1"/>
  <c r="P605" i="1" s="1"/>
  <c r="P292" i="1"/>
  <c r="P555" i="1" s="1"/>
  <c r="P315" i="1"/>
  <c r="P630" i="1"/>
  <c r="P290" i="1"/>
  <c r="P468" i="1"/>
  <c r="P291" i="1"/>
  <c r="P554" i="1" s="1"/>
  <c r="P639" i="1"/>
  <c r="P30" i="1"/>
  <c r="P631" i="1"/>
  <c r="P469" i="1"/>
  <c r="P602" i="1" s="1"/>
  <c r="P357" i="1"/>
  <c r="P352" i="1"/>
  <c r="P332" i="1"/>
  <c r="P330" i="1"/>
  <c r="P377" i="1"/>
  <c r="P378" i="1"/>
  <c r="P351" i="1"/>
  <c r="P353" i="1"/>
  <c r="P336" i="1"/>
  <c r="P331" i="1"/>
  <c r="P383" i="1"/>
  <c r="P581" i="1" s="1"/>
  <c r="P379" i="1"/>
  <c r="O600" i="1"/>
  <c r="O464" i="1"/>
  <c r="O601" i="1" s="1"/>
  <c r="O645" i="1"/>
  <c r="O652" i="1" s="1"/>
  <c r="O124" i="1" s="1"/>
  <c r="O23" i="7" s="1"/>
  <c r="O643" i="1"/>
  <c r="O640" i="1" s="1"/>
  <c r="O655" i="1" s="1"/>
  <c r="O642" i="1"/>
  <c r="O644" i="1"/>
  <c r="O658" i="1" s="1"/>
  <c r="M74" i="8"/>
  <c r="M73" i="8" s="1"/>
  <c r="M90" i="8"/>
  <c r="M89" i="8" s="1"/>
  <c r="M299" i="8"/>
  <c r="M298" i="8" s="1"/>
  <c r="Q92" i="1"/>
  <c r="R91" i="1"/>
  <c r="N98" i="1"/>
  <c r="N1103" i="1" s="1"/>
  <c r="O95" i="1"/>
  <c r="P31" i="1"/>
  <c r="O32" i="1"/>
  <c r="O75" i="1" s="1"/>
  <c r="M1668" i="1"/>
  <c r="M552" i="7" s="1"/>
  <c r="M835" i="1"/>
  <c r="N834" i="1" s="1"/>
  <c r="N835" i="1" s="1"/>
  <c r="P628" i="1"/>
  <c r="P638" i="1" s="1"/>
  <c r="Q629" i="1" s="1"/>
  <c r="G344" i="1"/>
  <c r="G345" i="1"/>
  <c r="L1668" i="1"/>
  <c r="L552" i="7" s="1"/>
  <c r="M239" i="1"/>
  <c r="N242" i="1" s="1"/>
  <c r="N243" i="1" s="1"/>
  <c r="O257" i="1"/>
  <c r="P260" i="1" s="1"/>
  <c r="P261" i="1" s="1"/>
  <c r="L266" i="1"/>
  <c r="M268" i="1" s="1"/>
  <c r="M269" i="1" s="1"/>
  <c r="N248" i="1"/>
  <c r="O251" i="1" s="1"/>
  <c r="O252" i="1" s="1"/>
  <c r="N1335" i="1"/>
  <c r="N331" i="7" s="1"/>
  <c r="N1337" i="1"/>
  <c r="N333" i="7" s="1"/>
  <c r="N1172" i="1"/>
  <c r="M1945" i="1"/>
  <c r="M2018" i="1"/>
  <c r="M36" i="8"/>
  <c r="N35" i="8"/>
  <c r="M903" i="8"/>
  <c r="L73" i="8"/>
  <c r="O901" i="8"/>
  <c r="N902" i="8"/>
  <c r="N904" i="8" s="1"/>
  <c r="I779" i="1"/>
  <c r="H784" i="1"/>
  <c r="I783" i="1" s="1"/>
  <c r="N754" i="8"/>
  <c r="O755" i="8" s="1"/>
  <c r="L764" i="8"/>
  <c r="L940" i="8"/>
  <c r="M1801" i="1"/>
  <c r="M2024" i="1"/>
  <c r="N1344" i="1"/>
  <c r="N340" i="7" s="1"/>
  <c r="N1179" i="1"/>
  <c r="N90" i="8" s="1"/>
  <c r="O609" i="1"/>
  <c r="O586" i="1"/>
  <c r="O598" i="1"/>
  <c r="O559" i="1"/>
  <c r="P88" i="1"/>
  <c r="O551" i="1"/>
  <c r="O1123" i="1"/>
  <c r="O1983" i="1"/>
  <c r="O1990" i="1"/>
  <c r="O1989" i="1"/>
  <c r="O1988" i="1"/>
  <c r="O1984" i="1"/>
  <c r="O770" i="1"/>
  <c r="O1985" i="1"/>
  <c r="O1075" i="1"/>
  <c r="O650" i="1"/>
  <c r="O1335" i="1" s="1"/>
  <c r="O331" i="7" s="1"/>
  <c r="O656" i="1"/>
  <c r="O822" i="1"/>
  <c r="O654" i="1"/>
  <c r="N1336" i="1"/>
  <c r="N332" i="7" s="1"/>
  <c r="N1171" i="1"/>
  <c r="N167" i="1"/>
  <c r="N66" i="7" s="1"/>
  <c r="M162" i="1"/>
  <c r="M61" i="7" s="1"/>
  <c r="L302" i="8"/>
  <c r="L934" i="8" s="1"/>
  <c r="L125" i="8"/>
  <c r="L670" i="8"/>
  <c r="L66" i="8"/>
  <c r="L896" i="8"/>
  <c r="L567" i="8"/>
  <c r="L438" i="8"/>
  <c r="L822" i="8"/>
  <c r="L268" i="8"/>
  <c r="L924" i="8"/>
  <c r="L746" i="8"/>
  <c r="L39" i="8"/>
  <c r="M828" i="8"/>
  <c r="N829" i="8" s="1"/>
  <c r="N827" i="8"/>
  <c r="M1495" i="1"/>
  <c r="N1334" i="1"/>
  <c r="N330" i="7" s="1"/>
  <c r="N1169" i="1"/>
  <c r="N72" i="8" s="1"/>
  <c r="N618" i="1"/>
  <c r="N1338" i="1"/>
  <c r="N334" i="7" s="1"/>
  <c r="N1174" i="1"/>
  <c r="N1863" i="1"/>
  <c r="O1864" i="1" s="1"/>
  <c r="O1862" i="1"/>
  <c r="N163" i="1"/>
  <c r="N62" i="7" s="1"/>
  <c r="O164" i="1"/>
  <c r="O63" i="7" s="1"/>
  <c r="L312" i="8"/>
  <c r="P672" i="8"/>
  <c r="O824" i="8"/>
  <c r="O825" i="8" s="1"/>
  <c r="O859" i="8" s="1"/>
  <c r="O748" i="8"/>
  <c r="O749" i="8" s="1"/>
  <c r="O785" i="8" s="1"/>
  <c r="O898" i="8"/>
  <c r="O899" i="8" s="1"/>
  <c r="O673" i="8"/>
  <c r="O678" i="8" s="1"/>
  <c r="P679" i="8" s="1"/>
  <c r="H1667" i="1"/>
  <c r="N1348" i="1"/>
  <c r="N344" i="7" s="1"/>
  <c r="N1190" i="1"/>
  <c r="N1333" i="1"/>
  <c r="N329" i="7" s="1"/>
  <c r="N1170" i="1"/>
  <c r="K764" i="8"/>
  <c r="K940" i="8"/>
  <c r="P1790" i="1"/>
  <c r="O1791" i="1"/>
  <c r="P1792" i="1" s="1"/>
  <c r="M1870" i="1"/>
  <c r="M2021" i="1"/>
  <c r="P753" i="8"/>
  <c r="H302" i="1"/>
  <c r="H303" i="1"/>
  <c r="M833" i="1" l="1"/>
  <c r="O95" i="7"/>
  <c r="P196" i="1"/>
  <c r="N836" i="1"/>
  <c r="N830" i="1"/>
  <c r="H1676" i="1"/>
  <c r="H551" i="7"/>
  <c r="AC935" i="1"/>
  <c r="AC936" i="1" s="1"/>
  <c r="AC686" i="1"/>
  <c r="AC842" i="1"/>
  <c r="AC843" i="1" s="1"/>
  <c r="N194" i="1"/>
  <c r="M93" i="7"/>
  <c r="O151" i="1"/>
  <c r="O50" i="7" s="1"/>
  <c r="O52" i="7"/>
  <c r="N685" i="1"/>
  <c r="P149" i="1"/>
  <c r="O48" i="7"/>
  <c r="G1679" i="1"/>
  <c r="G563" i="7" s="1"/>
  <c r="G560" i="7"/>
  <c r="AB148" i="7"/>
  <c r="AB687" i="1"/>
  <c r="AB149" i="7" s="1"/>
  <c r="Q518" i="1"/>
  <c r="Q524" i="1"/>
  <c r="Q519" i="1"/>
  <c r="Q520" i="1"/>
  <c r="Q407" i="1"/>
  <c r="Q402" i="1"/>
  <c r="AB680" i="1"/>
  <c r="AB142" i="7" s="1"/>
  <c r="AB141" i="7"/>
  <c r="N223" i="1"/>
  <c r="M122" i="7"/>
  <c r="O823" i="1"/>
  <c r="O828" i="1"/>
  <c r="L84" i="9"/>
  <c r="T1662" i="1"/>
  <c r="T546" i="7" s="1"/>
  <c r="Z127" i="12"/>
  <c r="N204" i="1"/>
  <c r="M103" i="7"/>
  <c r="N829" i="1"/>
  <c r="P825" i="1"/>
  <c r="Q824" i="1"/>
  <c r="G83" i="9"/>
  <c r="M683" i="1"/>
  <c r="Z682" i="1"/>
  <c r="Z144" i="7" s="1"/>
  <c r="F83" i="9"/>
  <c r="Z74" i="9"/>
  <c r="Z75" i="9"/>
  <c r="U83" i="9"/>
  <c r="P161" i="7"/>
  <c r="P701" i="1"/>
  <c r="K682" i="1"/>
  <c r="Z1662" i="1"/>
  <c r="Z546" i="7" s="1"/>
  <c r="L1662" i="1"/>
  <c r="L546" i="7" s="1"/>
  <c r="Z78" i="9"/>
  <c r="X83" i="9"/>
  <c r="Y83" i="9"/>
  <c r="S83" i="9"/>
  <c r="Z79" i="9"/>
  <c r="T83" i="9"/>
  <c r="O83" i="9"/>
  <c r="AC697" i="1"/>
  <c r="AC160" i="7" s="1"/>
  <c r="AA682" i="1"/>
  <c r="AA698" i="1" s="1"/>
  <c r="AA161" i="7" s="1"/>
  <c r="Y682" i="1"/>
  <c r="T683" i="1"/>
  <c r="T699" i="1" s="1"/>
  <c r="T162" i="7" s="1"/>
  <c r="O1662" i="1"/>
  <c r="O546" i="7" s="1"/>
  <c r="V682" i="1"/>
  <c r="V144" i="7" s="1"/>
  <c r="Q1662" i="1"/>
  <c r="Q546" i="7" s="1"/>
  <c r="X682" i="1"/>
  <c r="X144" i="7" s="1"/>
  <c r="B83" i="9"/>
  <c r="B84" i="9" s="1"/>
  <c r="U682" i="1"/>
  <c r="U144" i="7" s="1"/>
  <c r="T684" i="1"/>
  <c r="K143" i="7"/>
  <c r="T143" i="7"/>
  <c r="T698" i="1"/>
  <c r="W143" i="7"/>
  <c r="R83" i="9"/>
  <c r="R84" i="9" s="1"/>
  <c r="C83" i="9"/>
  <c r="C84" i="9" s="1"/>
  <c r="R683" i="1"/>
  <c r="R145" i="7" s="1"/>
  <c r="Z81" i="9"/>
  <c r="Z77" i="9"/>
  <c r="K83" i="9"/>
  <c r="Z82" i="9"/>
  <c r="P83" i="9"/>
  <c r="Z76" i="9"/>
  <c r="N83" i="9"/>
  <c r="R685" i="1" s="1"/>
  <c r="V83" i="9"/>
  <c r="Z685" i="1" s="1"/>
  <c r="E83" i="9"/>
  <c r="E84" i="9" s="1"/>
  <c r="W83" i="9"/>
  <c r="AA685" i="1" s="1"/>
  <c r="M698" i="1"/>
  <c r="M161" i="7" s="1"/>
  <c r="L682" i="1"/>
  <c r="L144" i="7" s="1"/>
  <c r="M684" i="1"/>
  <c r="M146" i="7" s="1"/>
  <c r="M1662" i="1"/>
  <c r="M546" i="7" s="1"/>
  <c r="H83" i="9"/>
  <c r="I83" i="9"/>
  <c r="I84" i="9" s="1"/>
  <c r="Z80" i="9"/>
  <c r="U132" i="12"/>
  <c r="U133" i="12" s="1"/>
  <c r="X132" i="12"/>
  <c r="M132" i="12"/>
  <c r="Z130" i="12"/>
  <c r="P759" i="1"/>
  <c r="P788" i="1" s="1"/>
  <c r="P790" i="1" s="1"/>
  <c r="L133" i="12"/>
  <c r="Y133" i="7"/>
  <c r="Y732" i="1"/>
  <c r="Y731" i="1"/>
  <c r="Y841" i="1" s="1"/>
  <c r="AB133" i="7"/>
  <c r="AB732" i="1"/>
  <c r="AB731" i="1"/>
  <c r="AB841" i="1" s="1"/>
  <c r="R132" i="12"/>
  <c r="Q133" i="7"/>
  <c r="Q732" i="1"/>
  <c r="Q731" i="1"/>
  <c r="Q841" i="1" s="1"/>
  <c r="S132" i="12"/>
  <c r="N759" i="1"/>
  <c r="N788" i="1" s="1"/>
  <c r="J133" i="12"/>
  <c r="Q132" i="12"/>
  <c r="T132" i="12"/>
  <c r="I133" i="7"/>
  <c r="I732" i="1"/>
  <c r="I707" i="1"/>
  <c r="I731" i="1"/>
  <c r="I841" i="1" s="1"/>
  <c r="I706" i="1"/>
  <c r="S133" i="7"/>
  <c r="S732" i="1"/>
  <c r="S731" i="1"/>
  <c r="S841" i="1" s="1"/>
  <c r="W132" i="12"/>
  <c r="N688" i="1"/>
  <c r="N150" i="7" s="1"/>
  <c r="N147" i="7"/>
  <c r="N844" i="1"/>
  <c r="N839" i="1"/>
  <c r="N838" i="1"/>
  <c r="N854" i="1"/>
  <c r="N926" i="1" s="1"/>
  <c r="Y759" i="1"/>
  <c r="Y788" i="1" s="1"/>
  <c r="Y790" i="1" s="1"/>
  <c r="H133" i="7"/>
  <c r="H731" i="1"/>
  <c r="H841" i="1" s="1"/>
  <c r="H707" i="1"/>
  <c r="H706" i="1"/>
  <c r="H732" i="1"/>
  <c r="AB759" i="1"/>
  <c r="AB788" i="1" s="1"/>
  <c r="AB790" i="1" s="1"/>
  <c r="X133" i="12"/>
  <c r="Q759" i="1"/>
  <c r="Q788" i="1" s="1"/>
  <c r="Q790" i="1" s="1"/>
  <c r="M133" i="12"/>
  <c r="P839" i="1"/>
  <c r="P844" i="1"/>
  <c r="B132" i="12"/>
  <c r="C132" i="12"/>
  <c r="Z133" i="7"/>
  <c r="Z732" i="1"/>
  <c r="Z731" i="1"/>
  <c r="Z841" i="1" s="1"/>
  <c r="AC133" i="7"/>
  <c r="AC732" i="1"/>
  <c r="AC731" i="1"/>
  <c r="AC841" i="1" s="1"/>
  <c r="E132" i="12"/>
  <c r="O132" i="12"/>
  <c r="H132" i="12"/>
  <c r="H133" i="12" s="1"/>
  <c r="D132" i="12"/>
  <c r="O133" i="7"/>
  <c r="O732" i="1"/>
  <c r="O731" i="1"/>
  <c r="O841" i="1" s="1"/>
  <c r="V132" i="12"/>
  <c r="T133" i="7"/>
  <c r="T732" i="1"/>
  <c r="T731" i="1"/>
  <c r="T841" i="1" s="1"/>
  <c r="Y132" i="12"/>
  <c r="R133" i="7"/>
  <c r="R732" i="1"/>
  <c r="R731" i="1"/>
  <c r="R841" i="1" s="1"/>
  <c r="P688" i="1"/>
  <c r="P150" i="7" s="1"/>
  <c r="P147" i="7"/>
  <c r="V133" i="7"/>
  <c r="V732" i="1"/>
  <c r="V731" i="1"/>
  <c r="V841" i="1" s="1"/>
  <c r="W133" i="7"/>
  <c r="W732" i="1"/>
  <c r="W731" i="1"/>
  <c r="W841" i="1" s="1"/>
  <c r="K132" i="12"/>
  <c r="P132" i="12"/>
  <c r="U133" i="7"/>
  <c r="U732" i="1"/>
  <c r="U731" i="1"/>
  <c r="U841" i="1" s="1"/>
  <c r="N132" i="12"/>
  <c r="X133" i="7"/>
  <c r="X732" i="1"/>
  <c r="X731" i="1"/>
  <c r="X841" i="1" s="1"/>
  <c r="AA133" i="7"/>
  <c r="AA732" i="1"/>
  <c r="AA731" i="1"/>
  <c r="AA841" i="1" s="1"/>
  <c r="Z124" i="12"/>
  <c r="J133" i="7"/>
  <c r="J731" i="1"/>
  <c r="J841" i="1" s="1"/>
  <c r="J732" i="1"/>
  <c r="F132" i="12"/>
  <c r="M143" i="7"/>
  <c r="Z122" i="12"/>
  <c r="G132" i="12"/>
  <c r="Z126" i="12"/>
  <c r="Z131" i="12"/>
  <c r="Z125" i="12"/>
  <c r="Z129" i="12"/>
  <c r="L133" i="7"/>
  <c r="L732" i="1"/>
  <c r="L731" i="1"/>
  <c r="L841" i="1" s="1"/>
  <c r="Z128" i="12"/>
  <c r="M133" i="7"/>
  <c r="M732" i="1"/>
  <c r="M731" i="1"/>
  <c r="M841" i="1" s="1"/>
  <c r="Z123" i="12"/>
  <c r="K133" i="7"/>
  <c r="K732" i="1"/>
  <c r="K731" i="1"/>
  <c r="K841" i="1" s="1"/>
  <c r="I132" i="12"/>
  <c r="W146" i="7"/>
  <c r="AA144" i="7"/>
  <c r="W698" i="1"/>
  <c r="W144" i="7"/>
  <c r="W683" i="1"/>
  <c r="Z698" i="1"/>
  <c r="Z161" i="7" s="1"/>
  <c r="AB697" i="1"/>
  <c r="AB160" i="7" s="1"/>
  <c r="AB146" i="7"/>
  <c r="AC699" i="1"/>
  <c r="AC162" i="7" s="1"/>
  <c r="AC145" i="7"/>
  <c r="J698" i="1"/>
  <c r="J161" i="7" s="1"/>
  <c r="J144" i="7"/>
  <c r="N161" i="7"/>
  <c r="N701" i="1"/>
  <c r="M699" i="1"/>
  <c r="M162" i="7" s="1"/>
  <c r="M145" i="7"/>
  <c r="Y698" i="1"/>
  <c r="Y161" i="7" s="1"/>
  <c r="Y144" i="7"/>
  <c r="S683" i="1"/>
  <c r="S144" i="7"/>
  <c r="T697" i="1"/>
  <c r="T160" i="7" s="1"/>
  <c r="T146" i="7"/>
  <c r="K684" i="1"/>
  <c r="K146" i="7" s="1"/>
  <c r="K144" i="7"/>
  <c r="K683" i="1"/>
  <c r="K698" i="1"/>
  <c r="R684" i="1"/>
  <c r="R146" i="7" s="1"/>
  <c r="R144" i="7"/>
  <c r="AB161" i="7"/>
  <c r="AB701" i="1"/>
  <c r="J522" i="1"/>
  <c r="K513" i="1" s="1"/>
  <c r="K521" i="1" s="1"/>
  <c r="O937" i="1"/>
  <c r="P644" i="1"/>
  <c r="N937" i="1"/>
  <c r="P145" i="1"/>
  <c r="P44" i="7" s="1"/>
  <c r="Z73" i="9"/>
  <c r="G84" i="9"/>
  <c r="K84" i="9"/>
  <c r="O685" i="1"/>
  <c r="T84" i="9"/>
  <c r="X685" i="1"/>
  <c r="F84" i="9"/>
  <c r="S84" i="9"/>
  <c r="W685" i="1"/>
  <c r="O84" i="9"/>
  <c r="S685" i="1"/>
  <c r="U84" i="9"/>
  <c r="Y685" i="1"/>
  <c r="X84" i="9"/>
  <c r="AB685" i="1"/>
  <c r="V685" i="1"/>
  <c r="P84" i="9"/>
  <c r="T685" i="1"/>
  <c r="N689" i="1"/>
  <c r="N151" i="7" s="1"/>
  <c r="Q84" i="9"/>
  <c r="U685" i="1"/>
  <c r="N84" i="9"/>
  <c r="V84" i="9"/>
  <c r="H84" i="9"/>
  <c r="L685" i="1"/>
  <c r="M84" i="9"/>
  <c r="Q685" i="1"/>
  <c r="Y84" i="9"/>
  <c r="AC685" i="1"/>
  <c r="R697" i="1"/>
  <c r="R160" i="7" s="1"/>
  <c r="J701" i="1"/>
  <c r="J164" i="7" s="1"/>
  <c r="U683" i="1"/>
  <c r="R701" i="1"/>
  <c r="R164" i="7" s="1"/>
  <c r="U684" i="1"/>
  <c r="Y683" i="1"/>
  <c r="F731" i="1"/>
  <c r="F732" i="1"/>
  <c r="F706" i="1"/>
  <c r="F169" i="7" s="1"/>
  <c r="AE672" i="1"/>
  <c r="AE133" i="7" s="1"/>
  <c r="F707" i="1"/>
  <c r="G731" i="1"/>
  <c r="G841" i="1" s="1"/>
  <c r="G732" i="1"/>
  <c r="G706" i="1"/>
  <c r="G169" i="7" s="1"/>
  <c r="G707" i="1"/>
  <c r="P838" i="1"/>
  <c r="P787" i="1"/>
  <c r="Y684" i="1"/>
  <c r="G323" i="1"/>
  <c r="G333" i="1" s="1"/>
  <c r="G334" i="1" s="1"/>
  <c r="L698" i="1"/>
  <c r="L161" i="7" s="1"/>
  <c r="O684" i="1"/>
  <c r="O146" i="7" s="1"/>
  <c r="O698" i="1"/>
  <c r="O161" i="7" s="1"/>
  <c r="O683" i="1"/>
  <c r="Q683" i="1"/>
  <c r="Q684" i="1"/>
  <c r="Q146" i="7" s="1"/>
  <c r="Q698" i="1"/>
  <c r="Q161" i="7" s="1"/>
  <c r="X684" i="1"/>
  <c r="X146" i="7" s="1"/>
  <c r="S698" i="1"/>
  <c r="S161" i="7" s="1"/>
  <c r="S684" i="1"/>
  <c r="S146" i="7" s="1"/>
  <c r="F566" i="1"/>
  <c r="F1474" i="1" s="1"/>
  <c r="F466" i="8" s="1"/>
  <c r="F465" i="8" s="1"/>
  <c r="M701" i="1"/>
  <c r="AA684" i="1"/>
  <c r="P141" i="1"/>
  <c r="P40" i="7" s="1"/>
  <c r="M138" i="1"/>
  <c r="M37" i="7" s="1"/>
  <c r="N1748" i="1"/>
  <c r="N633" i="7" s="1"/>
  <c r="P642" i="1"/>
  <c r="P155" i="1"/>
  <c r="P54" i="7" s="1"/>
  <c r="O171" i="1"/>
  <c r="O70" i="7" s="1"/>
  <c r="O143" i="1"/>
  <c r="O42" i="7" s="1"/>
  <c r="P144" i="1"/>
  <c r="P43" i="7" s="1"/>
  <c r="O197" i="1"/>
  <c r="O96" i="7" s="1"/>
  <c r="N202" i="1"/>
  <c r="N101" i="7" s="1"/>
  <c r="H405" i="1"/>
  <c r="Q165" i="1"/>
  <c r="Q64" i="7" s="1"/>
  <c r="P198" i="1"/>
  <c r="P97" i="7" s="1"/>
  <c r="P160" i="1"/>
  <c r="P59" i="7" s="1"/>
  <c r="P153" i="1"/>
  <c r="P52" i="7" s="1"/>
  <c r="O199" i="1"/>
  <c r="O98" i="7" s="1"/>
  <c r="AC702" i="1"/>
  <c r="AC165" i="7" s="1"/>
  <c r="O488" i="1"/>
  <c r="O492" i="1"/>
  <c r="O487" i="1"/>
  <c r="G486" i="1"/>
  <c r="K492" i="1"/>
  <c r="L488" i="1"/>
  <c r="I492" i="1"/>
  <c r="G487" i="1"/>
  <c r="H486" i="1"/>
  <c r="I487" i="1"/>
  <c r="G492" i="1"/>
  <c r="F486" i="1"/>
  <c r="J492" i="1"/>
  <c r="J488" i="1"/>
  <c r="H488" i="1"/>
  <c r="F488" i="1"/>
  <c r="K487" i="1"/>
  <c r="M488" i="1"/>
  <c r="M487" i="1"/>
  <c r="N488" i="1"/>
  <c r="N487" i="1"/>
  <c r="P488" i="1"/>
  <c r="P487" i="1"/>
  <c r="O486" i="1"/>
  <c r="I488" i="1"/>
  <c r="H487" i="1"/>
  <c r="F492" i="1"/>
  <c r="L487" i="1"/>
  <c r="L486" i="1"/>
  <c r="J487" i="1"/>
  <c r="G488" i="1"/>
  <c r="K486" i="1"/>
  <c r="I486" i="1"/>
  <c r="F487" i="1"/>
  <c r="J486" i="1"/>
  <c r="H492" i="1"/>
  <c r="L492" i="1"/>
  <c r="K488" i="1"/>
  <c r="M492" i="1"/>
  <c r="M486" i="1"/>
  <c r="N492" i="1"/>
  <c r="N486" i="1"/>
  <c r="P486" i="1"/>
  <c r="P492" i="1"/>
  <c r="N321" i="8"/>
  <c r="N303" i="8"/>
  <c r="Q628" i="1"/>
  <c r="Q638" i="1" s="1"/>
  <c r="Q431" i="1"/>
  <c r="Q426" i="1"/>
  <c r="Q425" i="1"/>
  <c r="Z872" i="1"/>
  <c r="M494" i="8"/>
  <c r="M493" i="8" s="1"/>
  <c r="M504" i="8"/>
  <c r="M503" i="8" s="1"/>
  <c r="N313" i="8"/>
  <c r="N312" i="8" s="1"/>
  <c r="N301" i="8"/>
  <c r="Q427" i="1"/>
  <c r="Z683" i="1"/>
  <c r="Z145" i="7" s="1"/>
  <c r="O1469" i="1"/>
  <c r="O457" i="8" s="1"/>
  <c r="O456" i="8" s="1"/>
  <c r="O1490" i="1"/>
  <c r="AC975" i="1"/>
  <c r="AC976" i="1" s="1"/>
  <c r="AC963" i="1"/>
  <c r="AC964" i="1" s="1"/>
  <c r="AC891" i="1"/>
  <c r="AC892" i="1" s="1"/>
  <c r="AC873" i="1"/>
  <c r="AC874" i="1" s="1"/>
  <c r="AC952" i="1"/>
  <c r="AC953" i="1" s="1"/>
  <c r="AC948" i="1"/>
  <c r="AC949" i="1" s="1"/>
  <c r="AC931" i="1"/>
  <c r="AC932" i="1" s="1"/>
  <c r="AC900" i="1"/>
  <c r="AC901" i="1" s="1"/>
  <c r="AC882" i="1"/>
  <c r="AC883" i="1" s="1"/>
  <c r="AC826" i="1"/>
  <c r="AC827" i="1" s="1"/>
  <c r="AC679" i="1"/>
  <c r="AC81" i="1"/>
  <c r="AC1894" i="1" s="1"/>
  <c r="B1938" i="1"/>
  <c r="J702" i="1"/>
  <c r="J165" i="7" s="1"/>
  <c r="J704" i="1"/>
  <c r="J167" i="7" s="1"/>
  <c r="M697" i="1"/>
  <c r="M160" i="7" s="1"/>
  <c r="N293" i="8"/>
  <c r="N292" i="8" s="1"/>
  <c r="N299" i="8"/>
  <c r="N297" i="8"/>
  <c r="M285" i="8"/>
  <c r="M284" i="8" s="1"/>
  <c r="M165" i="8"/>
  <c r="M164" i="8" s="1"/>
  <c r="W424" i="1"/>
  <c r="H429" i="1"/>
  <c r="H762" i="8"/>
  <c r="H836" i="8"/>
  <c r="H937" i="8"/>
  <c r="F836" i="8"/>
  <c r="F762" i="8"/>
  <c r="F937" i="8"/>
  <c r="P576" i="1"/>
  <c r="H370" i="1"/>
  <c r="H371" i="1"/>
  <c r="O657" i="1"/>
  <c r="O1477" i="1"/>
  <c r="O273" i="1"/>
  <c r="P272" i="1"/>
  <c r="N1218" i="1"/>
  <c r="N209" i="7" s="1"/>
  <c r="N1328" i="1"/>
  <c r="N324" i="7" s="1"/>
  <c r="O1102" i="1"/>
  <c r="N1130" i="1"/>
  <c r="N1489" i="1" s="1"/>
  <c r="N1104" i="1"/>
  <c r="N1101" i="1" s="1"/>
  <c r="O695" i="1"/>
  <c r="O158" i="7" s="1"/>
  <c r="O621" i="1"/>
  <c r="O2008" i="1"/>
  <c r="O921" i="1"/>
  <c r="O1459" i="1"/>
  <c r="O768" i="1"/>
  <c r="O1931" i="1"/>
  <c r="O676" i="1"/>
  <c r="O138" i="7" s="1"/>
  <c r="O1096" i="1"/>
  <c r="O1073" i="1"/>
  <c r="O1785" i="1"/>
  <c r="O724" i="1"/>
  <c r="O1554" i="1"/>
  <c r="O434" i="7" s="1"/>
  <c r="O280" i="1"/>
  <c r="O1657" i="1"/>
  <c r="O541" i="7" s="1"/>
  <c r="O1008" i="1"/>
  <c r="O1275" i="1"/>
  <c r="O269" i="7" s="1"/>
  <c r="O1711" i="1"/>
  <c r="O596" i="7" s="1"/>
  <c r="O820" i="1"/>
  <c r="O669" i="1"/>
  <c r="O130" i="7" s="1"/>
  <c r="O1859" i="1"/>
  <c r="O1957" i="1"/>
  <c r="O1319" i="1"/>
  <c r="O315" i="7" s="1"/>
  <c r="O748" i="1"/>
  <c r="O1197" i="1"/>
  <c r="O188" i="7" s="1"/>
  <c r="O230" i="1"/>
  <c r="O866" i="1"/>
  <c r="O1165" i="1"/>
  <c r="O661" i="1"/>
  <c r="O102" i="1"/>
  <c r="O1" i="7" s="1"/>
  <c r="O738" i="1"/>
  <c r="P600" i="1"/>
  <c r="P1477" i="1" s="1"/>
  <c r="P464" i="1"/>
  <c r="P601" i="1" s="1"/>
  <c r="P645" i="1"/>
  <c r="P562" i="1"/>
  <c r="P564" i="1"/>
  <c r="P33" i="8"/>
  <c r="O496" i="8"/>
  <c r="O495" i="8" s="1"/>
  <c r="O315" i="8"/>
  <c r="O314" i="8" s="1"/>
  <c r="O297" i="8"/>
  <c r="O296" i="8" s="1"/>
  <c r="O287" i="8"/>
  <c r="O286" i="8" s="1"/>
  <c r="O161" i="8"/>
  <c r="O160" i="8" s="1"/>
  <c r="O116" i="8"/>
  <c r="O115" i="8" s="1"/>
  <c r="O96" i="8"/>
  <c r="O95" i="8" s="1"/>
  <c r="O92" i="8"/>
  <c r="O91" i="8" s="1"/>
  <c r="O464" i="8"/>
  <c r="O463" i="8" s="1"/>
  <c r="O317" i="8"/>
  <c r="O316" i="8" s="1"/>
  <c r="O307" i="8"/>
  <c r="O306" i="8" s="1"/>
  <c r="O167" i="8"/>
  <c r="O166" i="8" s="1"/>
  <c r="O159" i="8"/>
  <c r="O158" i="8" s="1"/>
  <c r="O113" i="8"/>
  <c r="O112" i="8" s="1"/>
  <c r="O94" i="8"/>
  <c r="O93" i="8" s="1"/>
  <c r="O80" i="8"/>
  <c r="O79" i="8" s="1"/>
  <c r="O53" i="8"/>
  <c r="O52" i="8" s="1"/>
  <c r="O34" i="8"/>
  <c r="N52" i="8"/>
  <c r="N76" i="8"/>
  <c r="N75" i="8" s="1"/>
  <c r="N79" i="8"/>
  <c r="N93" i="8"/>
  <c r="N691" i="8"/>
  <c r="N767" i="8"/>
  <c r="N158" i="8"/>
  <c r="N166" i="8"/>
  <c r="N295" i="8"/>
  <c r="N294" i="8" s="1"/>
  <c r="N306" i="8"/>
  <c r="N316" i="8"/>
  <c r="P151" i="1"/>
  <c r="P50" i="7" s="1"/>
  <c r="Q152" i="1"/>
  <c r="Q51" i="7" s="1"/>
  <c r="N71" i="8"/>
  <c r="Q31" i="1"/>
  <c r="P32" i="1"/>
  <c r="P75" i="1" s="1"/>
  <c r="O98" i="1"/>
  <c r="O1103" i="1" s="1"/>
  <c r="P95" i="1"/>
  <c r="S91" i="1"/>
  <c r="R92" i="1"/>
  <c r="P553" i="1"/>
  <c r="P293" i="1"/>
  <c r="P556" i="1" s="1"/>
  <c r="P1473" i="1" s="1"/>
  <c r="P568" i="1"/>
  <c r="Q526" i="1"/>
  <c r="Q469" i="1"/>
  <c r="Q602" i="1" s="1"/>
  <c r="Q290" i="1"/>
  <c r="Q488" i="1"/>
  <c r="Q631" i="1"/>
  <c r="Q639" i="1"/>
  <c r="Q492" i="1"/>
  <c r="Q468" i="1"/>
  <c r="Q630" i="1"/>
  <c r="Q529" i="1"/>
  <c r="Q315" i="1"/>
  <c r="Q311" i="1"/>
  <c r="Q292" i="1"/>
  <c r="Q555" i="1" s="1"/>
  <c r="Q486" i="1"/>
  <c r="Q471" i="1"/>
  <c r="Q605" i="1" s="1"/>
  <c r="Q30" i="1"/>
  <c r="Q470" i="1"/>
  <c r="Q603" i="1" s="1"/>
  <c r="Q487" i="1"/>
  <c r="Q641" i="1"/>
  <c r="R29" i="1"/>
  <c r="Q291" i="1"/>
  <c r="Q554" i="1" s="1"/>
  <c r="Q310" i="1"/>
  <c r="Q309" i="1"/>
  <c r="Q352" i="1"/>
  <c r="Q357" i="1"/>
  <c r="Q336" i="1"/>
  <c r="Q330" i="1"/>
  <c r="Q378" i="1"/>
  <c r="Q576" i="1" s="1"/>
  <c r="Q379" i="1"/>
  <c r="Q351" i="1"/>
  <c r="Q353" i="1"/>
  <c r="Q332" i="1"/>
  <c r="Q331" i="1"/>
  <c r="Q383" i="1"/>
  <c r="Q581" i="1" s="1"/>
  <c r="Q377" i="1"/>
  <c r="P561" i="1"/>
  <c r="P729" i="1"/>
  <c r="O726" i="1"/>
  <c r="N74" i="8"/>
  <c r="N73" i="8" s="1"/>
  <c r="N78" i="8"/>
  <c r="N77" i="8" s="1"/>
  <c r="N82" i="8"/>
  <c r="N81" i="8" s="1"/>
  <c r="N91" i="8"/>
  <c r="N95" i="8"/>
  <c r="N110" i="8"/>
  <c r="N109" i="8" s="1"/>
  <c r="N160" i="8"/>
  <c r="N286" i="8"/>
  <c r="N314" i="8"/>
  <c r="Q1099" i="1"/>
  <c r="G354" i="1"/>
  <c r="R628" i="1"/>
  <c r="R638" i="1" s="1"/>
  <c r="N1668" i="1"/>
  <c r="N552" i="7" s="1"/>
  <c r="L912" i="8"/>
  <c r="P257" i="1"/>
  <c r="Q260" i="1" s="1"/>
  <c r="Q261" i="1" s="1"/>
  <c r="O248" i="1"/>
  <c r="P251" i="1" s="1"/>
  <c r="P252" i="1" s="1"/>
  <c r="M266" i="1"/>
  <c r="N268" i="1" s="1"/>
  <c r="N269" i="1" s="1"/>
  <c r="N239" i="1"/>
  <c r="O242" i="1" s="1"/>
  <c r="O243" i="1" s="1"/>
  <c r="Q753" i="8"/>
  <c r="N2024" i="1"/>
  <c r="N1801" i="1"/>
  <c r="P898" i="8"/>
  <c r="P899" i="8" s="1"/>
  <c r="Q672" i="8"/>
  <c r="P673" i="8"/>
  <c r="P678" i="8" s="1"/>
  <c r="Q679" i="8" s="1"/>
  <c r="P824" i="8"/>
  <c r="P825" i="8" s="1"/>
  <c r="P859" i="8" s="1"/>
  <c r="P748" i="8"/>
  <c r="P749" i="8" s="1"/>
  <c r="P785" i="8" s="1"/>
  <c r="O827" i="8"/>
  <c r="N828" i="8"/>
  <c r="O829" i="8" s="1"/>
  <c r="O1333" i="1"/>
  <c r="O329" i="7" s="1"/>
  <c r="O1170" i="1"/>
  <c r="O74" i="8" s="1"/>
  <c r="O1336" i="1"/>
  <c r="O332" i="7" s="1"/>
  <c r="O1171" i="1"/>
  <c r="O76" i="8" s="1"/>
  <c r="N2021" i="1"/>
  <c r="N1870" i="1"/>
  <c r="J779" i="1"/>
  <c r="I784" i="1"/>
  <c r="J783" i="1" s="1"/>
  <c r="O754" i="8"/>
  <c r="P755" i="8" s="1"/>
  <c r="N2018" i="1"/>
  <c r="L937" i="8"/>
  <c r="L835" i="8"/>
  <c r="M294" i="8"/>
  <c r="M934" i="8" s="1"/>
  <c r="O1344" i="1"/>
  <c r="O340" i="7" s="1"/>
  <c r="O1179" i="1"/>
  <c r="P598" i="1"/>
  <c r="P609" i="1"/>
  <c r="P586" i="1"/>
  <c r="P551" i="1"/>
  <c r="P559" i="1"/>
  <c r="Q88" i="1"/>
  <c r="P1075" i="1"/>
  <c r="P1122" i="1"/>
  <c r="P1123" i="1"/>
  <c r="P1988" i="1"/>
  <c r="P1985" i="1"/>
  <c r="P1989" i="1"/>
  <c r="P1990" i="1"/>
  <c r="P1984" i="1"/>
  <c r="P804" i="1"/>
  <c r="P973" i="1" s="1"/>
  <c r="P770" i="1"/>
  <c r="P805" i="1"/>
  <c r="P1983" i="1"/>
  <c r="P654" i="1"/>
  <c r="P652" i="1"/>
  <c r="P124" i="1" s="1"/>
  <c r="P23" i="7" s="1"/>
  <c r="P658" i="1"/>
  <c r="P655" i="1"/>
  <c r="P854" i="1"/>
  <c r="P926" i="1" s="1"/>
  <c r="P822" i="1"/>
  <c r="P656" i="1"/>
  <c r="P657" i="1"/>
  <c r="P650" i="1"/>
  <c r="P1335" i="1" s="1"/>
  <c r="P331" i="7" s="1"/>
  <c r="O1338" i="1"/>
  <c r="O334" i="7" s="1"/>
  <c r="O1174" i="1"/>
  <c r="O82" i="8" s="1"/>
  <c r="M71" i="8"/>
  <c r="N903" i="8"/>
  <c r="O35" i="8"/>
  <c r="N36" i="8"/>
  <c r="O709" i="8"/>
  <c r="N1495" i="1"/>
  <c r="O1348" i="1"/>
  <c r="O344" i="7" s="1"/>
  <c r="O1190" i="1"/>
  <c r="O110" i="8" s="1"/>
  <c r="O1334" i="1"/>
  <c r="O330" i="7" s="1"/>
  <c r="O1169" i="1"/>
  <c r="O72" i="8" s="1"/>
  <c r="O618" i="1"/>
  <c r="M940" i="8"/>
  <c r="M764" i="8"/>
  <c r="O902" i="8"/>
  <c r="O904" i="8" s="1"/>
  <c r="P901" i="8"/>
  <c r="M670" i="8"/>
  <c r="M924" i="8"/>
  <c r="M66" i="8"/>
  <c r="M746" i="8"/>
  <c r="M39" i="8"/>
  <c r="M268" i="8"/>
  <c r="M125" i="8"/>
  <c r="M822" i="8"/>
  <c r="M567" i="8"/>
  <c r="M438" i="8"/>
  <c r="M896" i="8"/>
  <c r="M109" i="8"/>
  <c r="O163" i="1"/>
  <c r="O62" i="7" s="1"/>
  <c r="P164" i="1"/>
  <c r="P63" i="7" s="1"/>
  <c r="O1863" i="1"/>
  <c r="P1864" i="1" s="1"/>
  <c r="P1862" i="1"/>
  <c r="M835" i="8"/>
  <c r="M937" i="8"/>
  <c r="Q1790" i="1"/>
  <c r="P1791" i="1"/>
  <c r="Q1792" i="1" s="1"/>
  <c r="N162" i="1"/>
  <c r="N61" i="7" s="1"/>
  <c r="O167" i="1"/>
  <c r="O66" i="7" s="1"/>
  <c r="M81" i="8"/>
  <c r="M77" i="8"/>
  <c r="O1337" i="1"/>
  <c r="O333" i="7" s="1"/>
  <c r="O1172" i="1"/>
  <c r="O78" i="8" s="1"/>
  <c r="I1667" i="1"/>
  <c r="N1945" i="1"/>
  <c r="H312" i="1"/>
  <c r="P828" i="1" l="1"/>
  <c r="P823" i="1"/>
  <c r="H1679" i="1"/>
  <c r="H563" i="7" s="1"/>
  <c r="H560" i="7"/>
  <c r="R519" i="1"/>
  <c r="R524" i="1"/>
  <c r="R520" i="1"/>
  <c r="R518" i="1"/>
  <c r="R407" i="1"/>
  <c r="R402" i="1"/>
  <c r="AC680" i="1"/>
  <c r="AC142" i="7" s="1"/>
  <c r="AC141" i="7"/>
  <c r="W84" i="9"/>
  <c r="M685" i="1"/>
  <c r="Z83" i="9"/>
  <c r="Z84" i="9" s="1"/>
  <c r="O829" i="1"/>
  <c r="O830" i="1"/>
  <c r="O831" i="1" s="1"/>
  <c r="O836" i="1"/>
  <c r="O194" i="1"/>
  <c r="N93" i="7"/>
  <c r="N831" i="1"/>
  <c r="N832" i="1" s="1"/>
  <c r="N833" i="1"/>
  <c r="R699" i="1"/>
  <c r="R162" i="7" s="1"/>
  <c r="O834" i="1"/>
  <c r="Q149" i="1"/>
  <c r="P48" i="7"/>
  <c r="O204" i="1"/>
  <c r="N103" i="7"/>
  <c r="AC148" i="7"/>
  <c r="AC687" i="1"/>
  <c r="AC149" i="7" s="1"/>
  <c r="P95" i="7"/>
  <c r="Q196" i="1"/>
  <c r="L759" i="1"/>
  <c r="L788" i="1" s="1"/>
  <c r="L790" i="1" s="1"/>
  <c r="O223" i="1"/>
  <c r="N122" i="7"/>
  <c r="I1676" i="1"/>
  <c r="I551" i="7"/>
  <c r="Q825" i="1"/>
  <c r="R824" i="1"/>
  <c r="Z684" i="1"/>
  <c r="Z697" i="1" s="1"/>
  <c r="Z160" i="7" s="1"/>
  <c r="AA683" i="1"/>
  <c r="AA145" i="7" s="1"/>
  <c r="X683" i="1"/>
  <c r="V698" i="1"/>
  <c r="V161" i="7" s="1"/>
  <c r="L684" i="1"/>
  <c r="L146" i="7" s="1"/>
  <c r="U698" i="1"/>
  <c r="U161" i="7" s="1"/>
  <c r="T145" i="7"/>
  <c r="P164" i="7"/>
  <c r="P702" i="1"/>
  <c r="P165" i="7" s="1"/>
  <c r="P1686" i="1"/>
  <c r="P570" i="7" s="1"/>
  <c r="T161" i="7"/>
  <c r="T701" i="1"/>
  <c r="Y701" i="1"/>
  <c r="Y164" i="7" s="1"/>
  <c r="X698" i="1"/>
  <c r="X161" i="7" s="1"/>
  <c r="V684" i="1"/>
  <c r="V146" i="7" s="1"/>
  <c r="V683" i="1"/>
  <c r="V145" i="7" s="1"/>
  <c r="L683" i="1"/>
  <c r="U701" i="1"/>
  <c r="U164" i="7" s="1"/>
  <c r="N1686" i="1"/>
  <c r="N570" i="7" s="1"/>
  <c r="AA701" i="1"/>
  <c r="AA164" i="7" s="1"/>
  <c r="P689" i="1"/>
  <c r="P151" i="7" s="1"/>
  <c r="Q688" i="1"/>
  <c r="Q150" i="7" s="1"/>
  <c r="Q147" i="7"/>
  <c r="Z688" i="1"/>
  <c r="Z150" i="7" s="1"/>
  <c r="Z147" i="7"/>
  <c r="R688" i="1"/>
  <c r="R150" i="7" s="1"/>
  <c r="R147" i="7"/>
  <c r="V688" i="1"/>
  <c r="V150" i="7" s="1"/>
  <c r="V147" i="7"/>
  <c r="Y688" i="1"/>
  <c r="Y150" i="7" s="1"/>
  <c r="Y147" i="7"/>
  <c r="W688" i="1"/>
  <c r="W150" i="7" s="1"/>
  <c r="W147" i="7"/>
  <c r="X688" i="1"/>
  <c r="X150" i="7" s="1"/>
  <c r="X147" i="7"/>
  <c r="R759" i="1"/>
  <c r="R788" i="1" s="1"/>
  <c r="R790" i="1" s="1"/>
  <c r="N133" i="12"/>
  <c r="T759" i="1"/>
  <c r="T788" i="1" s="1"/>
  <c r="T790" i="1" s="1"/>
  <c r="P133" i="12"/>
  <c r="P846" i="1"/>
  <c r="P852" i="1"/>
  <c r="H170" i="7"/>
  <c r="H716" i="1"/>
  <c r="Y791" i="1"/>
  <c r="Y792" i="1"/>
  <c r="Y802" i="1"/>
  <c r="Y795" i="1"/>
  <c r="G716" i="1"/>
  <c r="G179" i="7" s="1"/>
  <c r="G170" i="7"/>
  <c r="F716" i="1"/>
  <c r="F179" i="7" s="1"/>
  <c r="F170" i="7"/>
  <c r="X839" i="1"/>
  <c r="X844" i="1"/>
  <c r="X845" i="1" s="1"/>
  <c r="U844" i="1"/>
  <c r="U845" i="1" s="1"/>
  <c r="U839" i="1"/>
  <c r="O759" i="1"/>
  <c r="O788" i="1" s="1"/>
  <c r="K133" i="12"/>
  <c r="V839" i="1"/>
  <c r="V844" i="1"/>
  <c r="V845" i="1" s="1"/>
  <c r="S759" i="1"/>
  <c r="S788" i="1" s="1"/>
  <c r="S790" i="1" s="1"/>
  <c r="O133" i="12"/>
  <c r="G759" i="1"/>
  <c r="G788" i="1" s="1"/>
  <c r="C133" i="12"/>
  <c r="AB792" i="1"/>
  <c r="AB791" i="1"/>
  <c r="AB795" i="1"/>
  <c r="AB802" i="1"/>
  <c r="H844" i="1"/>
  <c r="H839" i="1"/>
  <c r="H845" i="1"/>
  <c r="H856" i="1" s="1"/>
  <c r="H838" i="1"/>
  <c r="H854" i="1"/>
  <c r="H926" i="1" s="1"/>
  <c r="N846" i="1"/>
  <c r="N852" i="1"/>
  <c r="N863" i="1" s="1"/>
  <c r="N855" i="1"/>
  <c r="AA759" i="1"/>
  <c r="AA788" i="1" s="1"/>
  <c r="AA790" i="1" s="1"/>
  <c r="W133" i="12"/>
  <c r="I169" i="7"/>
  <c r="I709" i="1"/>
  <c r="I705" i="1"/>
  <c r="I715" i="1"/>
  <c r="N790" i="1"/>
  <c r="N804" i="1"/>
  <c r="N787" i="1"/>
  <c r="AC688" i="1"/>
  <c r="AC150" i="7" s="1"/>
  <c r="AC147" i="7"/>
  <c r="AA688" i="1"/>
  <c r="AA150" i="7" s="1"/>
  <c r="AA147" i="7"/>
  <c r="U688" i="1"/>
  <c r="U150" i="7" s="1"/>
  <c r="U147" i="7"/>
  <c r="T688" i="1"/>
  <c r="T150" i="7" s="1"/>
  <c r="T147" i="7"/>
  <c r="AB688" i="1"/>
  <c r="AB150" i="7" s="1"/>
  <c r="AB147" i="7"/>
  <c r="S688" i="1"/>
  <c r="S150" i="7" s="1"/>
  <c r="S147" i="7"/>
  <c r="O688" i="1"/>
  <c r="O150" i="7" s="1"/>
  <c r="O147" i="7"/>
  <c r="AA844" i="1"/>
  <c r="AA845" i="1" s="1"/>
  <c r="AA839" i="1"/>
  <c r="W839" i="1"/>
  <c r="W844" i="1"/>
  <c r="W845" i="1" s="1"/>
  <c r="AC759" i="1"/>
  <c r="AC788" i="1" s="1"/>
  <c r="AC790" i="1" s="1"/>
  <c r="Y133" i="12"/>
  <c r="Z759" i="1"/>
  <c r="Z788" i="1" s="1"/>
  <c r="Z790" i="1" s="1"/>
  <c r="V133" i="12"/>
  <c r="H759" i="1"/>
  <c r="H788" i="1" s="1"/>
  <c r="D133" i="12"/>
  <c r="I759" i="1"/>
  <c r="I788" i="1" s="1"/>
  <c r="E133" i="12"/>
  <c r="Z839" i="1"/>
  <c r="Z844" i="1"/>
  <c r="Z845" i="1" s="1"/>
  <c r="F759" i="1"/>
  <c r="F788" i="1" s="1"/>
  <c r="B133" i="12"/>
  <c r="S839" i="1"/>
  <c r="S844" i="1"/>
  <c r="S845" i="1" s="1"/>
  <c r="I844" i="1"/>
  <c r="I845" i="1" s="1"/>
  <c r="I856" i="1" s="1"/>
  <c r="I839" i="1"/>
  <c r="I854" i="1"/>
  <c r="I926" i="1" s="1"/>
  <c r="I838" i="1"/>
  <c r="X759" i="1"/>
  <c r="X788" i="1" s="1"/>
  <c r="X790" i="1" s="1"/>
  <c r="T133" i="12"/>
  <c r="W759" i="1"/>
  <c r="W788" i="1" s="1"/>
  <c r="W790" i="1" s="1"/>
  <c r="S133" i="12"/>
  <c r="V759" i="1"/>
  <c r="V788" i="1" s="1"/>
  <c r="V790" i="1" s="1"/>
  <c r="R133" i="12"/>
  <c r="Y844" i="1"/>
  <c r="Y845" i="1" s="1"/>
  <c r="Y839" i="1"/>
  <c r="P792" i="1"/>
  <c r="P791" i="1"/>
  <c r="P806" i="1" s="1"/>
  <c r="P108" i="1" s="1"/>
  <c r="P7" i="7" s="1"/>
  <c r="P795" i="1"/>
  <c r="P809" i="1" s="1"/>
  <c r="P1013" i="1" s="1"/>
  <c r="P802" i="1"/>
  <c r="P817" i="1" s="1"/>
  <c r="R844" i="1"/>
  <c r="R839" i="1"/>
  <c r="T844" i="1"/>
  <c r="T845" i="1" s="1"/>
  <c r="T839" i="1"/>
  <c r="O844" i="1"/>
  <c r="O839" i="1"/>
  <c r="O838" i="1"/>
  <c r="O854" i="1"/>
  <c r="O926" i="1" s="1"/>
  <c r="AC844" i="1"/>
  <c r="AC839" i="1"/>
  <c r="P845" i="1"/>
  <c r="Q791" i="1"/>
  <c r="Q792" i="1"/>
  <c r="Q802" i="1"/>
  <c r="Q795" i="1"/>
  <c r="H169" i="7"/>
  <c r="H705" i="1"/>
  <c r="H709" i="1"/>
  <c r="H715" i="1"/>
  <c r="N845" i="1"/>
  <c r="N856" i="1" s="1"/>
  <c r="I170" i="7"/>
  <c r="I716" i="1"/>
  <c r="U759" i="1"/>
  <c r="U788" i="1" s="1"/>
  <c r="U790" i="1" s="1"/>
  <c r="Q133" i="12"/>
  <c r="Q844" i="1"/>
  <c r="Q839" i="1"/>
  <c r="Q845" i="1"/>
  <c r="AB844" i="1"/>
  <c r="AB845" i="1" s="1"/>
  <c r="AB839" i="1"/>
  <c r="J688" i="1"/>
  <c r="J150" i="7" s="1"/>
  <c r="J147" i="7"/>
  <c r="J839" i="1"/>
  <c r="J844" i="1"/>
  <c r="J854" i="1"/>
  <c r="J926" i="1" s="1"/>
  <c r="J838" i="1"/>
  <c r="J759" i="1"/>
  <c r="J788" i="1" s="1"/>
  <c r="F133" i="12"/>
  <c r="K844" i="1"/>
  <c r="K845" i="1" s="1"/>
  <c r="K856" i="1" s="1"/>
  <c r="K839" i="1"/>
  <c r="K854" i="1"/>
  <c r="K926" i="1" s="1"/>
  <c r="K838" i="1"/>
  <c r="K759" i="1"/>
  <c r="K788" i="1" s="1"/>
  <c r="G133" i="12"/>
  <c r="M688" i="1"/>
  <c r="M150" i="7" s="1"/>
  <c r="M147" i="7"/>
  <c r="K688" i="1"/>
  <c r="K150" i="7" s="1"/>
  <c r="K147" i="7"/>
  <c r="M759" i="1"/>
  <c r="M788" i="1" s="1"/>
  <c r="I133" i="12"/>
  <c r="M844" i="1"/>
  <c r="M845" i="1" s="1"/>
  <c r="M856" i="1" s="1"/>
  <c r="M839" i="1"/>
  <c r="M838" i="1"/>
  <c r="M854" i="1"/>
  <c r="M926" i="1" s="1"/>
  <c r="L839" i="1"/>
  <c r="L844" i="1"/>
  <c r="L838" i="1"/>
  <c r="L854" i="1"/>
  <c r="L926" i="1" s="1"/>
  <c r="Z132" i="12"/>
  <c r="Z133" i="12" s="1"/>
  <c r="L688" i="1"/>
  <c r="L150" i="7" s="1"/>
  <c r="L147" i="7"/>
  <c r="L787" i="1"/>
  <c r="K494" i="1" s="1"/>
  <c r="Z701" i="1"/>
  <c r="Z164" i="7" s="1"/>
  <c r="M702" i="1"/>
  <c r="M165" i="7" s="1"/>
  <c r="M164" i="7"/>
  <c r="X699" i="1"/>
  <c r="X162" i="7" s="1"/>
  <c r="X145" i="7"/>
  <c r="J697" i="1"/>
  <c r="J160" i="7" s="1"/>
  <c r="J146" i="7"/>
  <c r="Q699" i="1"/>
  <c r="Q162" i="7" s="1"/>
  <c r="Q145" i="7"/>
  <c r="U146" i="7"/>
  <c r="AB164" i="7"/>
  <c r="AB702" i="1"/>
  <c r="AB165" i="7" s="1"/>
  <c r="K161" i="7"/>
  <c r="K697" i="1"/>
  <c r="K160" i="7" s="1"/>
  <c r="K701" i="1"/>
  <c r="K704" i="1" s="1"/>
  <c r="W161" i="7"/>
  <c r="W701" i="1"/>
  <c r="AA699" i="1"/>
  <c r="AA162" i="7" s="1"/>
  <c r="AA697" i="1"/>
  <c r="AA160" i="7" s="1"/>
  <c r="AA146" i="7"/>
  <c r="O699" i="1"/>
  <c r="O162" i="7" s="1"/>
  <c r="O145" i="7"/>
  <c r="J699" i="1"/>
  <c r="J162" i="7" s="1"/>
  <c r="J145" i="7"/>
  <c r="K699" i="1"/>
  <c r="K162" i="7" s="1"/>
  <c r="K145" i="7"/>
  <c r="S699" i="1"/>
  <c r="S162" i="7" s="1"/>
  <c r="S145" i="7"/>
  <c r="AA702" i="1"/>
  <c r="AA165" i="7" s="1"/>
  <c r="Y702" i="1"/>
  <c r="Y165" i="7" s="1"/>
  <c r="L699" i="1"/>
  <c r="L162" i="7" s="1"/>
  <c r="L145" i="7"/>
  <c r="Y697" i="1"/>
  <c r="Y160" i="7" s="1"/>
  <c r="Y146" i="7"/>
  <c r="Y699" i="1"/>
  <c r="Y162" i="7" s="1"/>
  <c r="Y145" i="7"/>
  <c r="U699" i="1"/>
  <c r="U162" i="7" s="1"/>
  <c r="U145" i="7"/>
  <c r="N164" i="7"/>
  <c r="N702" i="1"/>
  <c r="N165" i="7" s="1"/>
  <c r="W699" i="1"/>
  <c r="W162" i="7" s="1"/>
  <c r="W145" i="7"/>
  <c r="W697" i="1"/>
  <c r="W160" i="7" s="1"/>
  <c r="K522" i="1"/>
  <c r="L513" i="1" s="1"/>
  <c r="L521" i="1" s="1"/>
  <c r="Q145" i="1"/>
  <c r="Q44" i="7" s="1"/>
  <c r="AC1686" i="1"/>
  <c r="AC570" i="7" s="1"/>
  <c r="Q1686" i="1"/>
  <c r="Q570" i="7" s="1"/>
  <c r="AA689" i="1"/>
  <c r="AA151" i="7" s="1"/>
  <c r="R689" i="1"/>
  <c r="R151" i="7" s="1"/>
  <c r="U1686" i="1"/>
  <c r="U570" i="7" s="1"/>
  <c r="P706" i="1"/>
  <c r="P169" i="7" s="1"/>
  <c r="N690" i="1"/>
  <c r="N706" i="1"/>
  <c r="N169" i="7" s="1"/>
  <c r="N691" i="1"/>
  <c r="N153" i="7" s="1"/>
  <c r="V1686" i="1"/>
  <c r="V570" i="7" s="1"/>
  <c r="AB689" i="1"/>
  <c r="AB151" i="7" s="1"/>
  <c r="Y1686" i="1"/>
  <c r="Y570" i="7" s="1"/>
  <c r="W689" i="1"/>
  <c r="W151" i="7" s="1"/>
  <c r="X1686" i="1"/>
  <c r="X570" i="7" s="1"/>
  <c r="O689" i="1"/>
  <c r="O151" i="7" s="1"/>
  <c r="R702" i="1"/>
  <c r="R165" i="7" s="1"/>
  <c r="G565" i="1"/>
  <c r="G107" i="1"/>
  <c r="G6" i="7" s="1"/>
  <c r="F107" i="1"/>
  <c r="F6" i="7" s="1"/>
  <c r="F709" i="1"/>
  <c r="F172" i="7" s="1"/>
  <c r="F705" i="1"/>
  <c r="F168" i="7" s="1"/>
  <c r="F715" i="1"/>
  <c r="F178" i="7" s="1"/>
  <c r="F841" i="1"/>
  <c r="F850" i="1"/>
  <c r="F800" i="1"/>
  <c r="AE731" i="1"/>
  <c r="F733" i="1"/>
  <c r="G709" i="1"/>
  <c r="G172" i="7" s="1"/>
  <c r="G705" i="1"/>
  <c r="G715" i="1"/>
  <c r="G178" i="7" s="1"/>
  <c r="G844" i="1"/>
  <c r="G845" i="1" s="1"/>
  <c r="G856" i="1" s="1"/>
  <c r="G839" i="1"/>
  <c r="G838" i="1"/>
  <c r="G854" i="1"/>
  <c r="AE732" i="1"/>
  <c r="Q838" i="1"/>
  <c r="Q787" i="1"/>
  <c r="F481" i="1"/>
  <c r="F614" i="1" s="1"/>
  <c r="S697" i="1"/>
  <c r="S160" i="7" s="1"/>
  <c r="S701" i="1"/>
  <c r="S164" i="7" s="1"/>
  <c r="X697" i="1"/>
  <c r="X160" i="7" s="1"/>
  <c r="Q697" i="1"/>
  <c r="Q160" i="7" s="1"/>
  <c r="Q701" i="1"/>
  <c r="Q164" i="7" s="1"/>
  <c r="O697" i="1"/>
  <c r="O160" i="7" s="1"/>
  <c r="O701" i="1"/>
  <c r="O164" i="7" s="1"/>
  <c r="V701" i="1"/>
  <c r="V164" i="7" s="1"/>
  <c r="L697" i="1"/>
  <c r="L160" i="7" s="1"/>
  <c r="L701" i="1"/>
  <c r="L164" i="7" s="1"/>
  <c r="N138" i="1"/>
  <c r="N37" i="7" s="1"/>
  <c r="Q141" i="1"/>
  <c r="Q40" i="7" s="1"/>
  <c r="O1748" i="1"/>
  <c r="O633" i="7" s="1"/>
  <c r="P709" i="8"/>
  <c r="Q155" i="1"/>
  <c r="Q54" i="7" s="1"/>
  <c r="I395" i="1"/>
  <c r="I394" i="1"/>
  <c r="P197" i="1"/>
  <c r="P96" i="7" s="1"/>
  <c r="O202" i="1"/>
  <c r="O101" i="7" s="1"/>
  <c r="P199" i="1"/>
  <c r="P98" i="7" s="1"/>
  <c r="Q153" i="1"/>
  <c r="Q52" i="7" s="1"/>
  <c r="Q160" i="1"/>
  <c r="Q59" i="7" s="1"/>
  <c r="Q198" i="1"/>
  <c r="Q97" i="7" s="1"/>
  <c r="R165" i="1"/>
  <c r="R64" i="7" s="1"/>
  <c r="P143" i="1"/>
  <c r="P42" i="7" s="1"/>
  <c r="Q144" i="1"/>
  <c r="Q43" i="7" s="1"/>
  <c r="P171" i="1"/>
  <c r="P70" i="7" s="1"/>
  <c r="Z699" i="1"/>
  <c r="Z162" i="7" s="1"/>
  <c r="O321" i="8"/>
  <c r="O320" i="8" s="1"/>
  <c r="N504" i="8"/>
  <c r="N503" i="8" s="1"/>
  <c r="O313" i="8"/>
  <c r="O312" i="8" s="1"/>
  <c r="R431" i="1"/>
  <c r="R426" i="1"/>
  <c r="R425" i="1"/>
  <c r="R427" i="1"/>
  <c r="N494" i="8"/>
  <c r="N493" i="8" s="1"/>
  <c r="B1939" i="1"/>
  <c r="P1490" i="1"/>
  <c r="P1469" i="1"/>
  <c r="AC1822" i="1"/>
  <c r="AA872" i="1"/>
  <c r="J703" i="1"/>
  <c r="J166" i="7" s="1"/>
  <c r="J700" i="1"/>
  <c r="J163" i="7" s="1"/>
  <c r="O293" i="8"/>
  <c r="O292" i="8" s="1"/>
  <c r="N165" i="8"/>
  <c r="N164" i="8" s="1"/>
  <c r="N285" i="8"/>
  <c r="N284" i="8" s="1"/>
  <c r="O472" i="8"/>
  <c r="O471" i="8" s="1"/>
  <c r="X424" i="1"/>
  <c r="Y424" i="1" s="1"/>
  <c r="Z424" i="1" s="1"/>
  <c r="AA424" i="1" s="1"/>
  <c r="AB424" i="1" s="1"/>
  <c r="AC424" i="1" s="1"/>
  <c r="I419" i="1"/>
  <c r="I418" i="1"/>
  <c r="P951" i="1"/>
  <c r="P954" i="1" s="1"/>
  <c r="P962" i="1"/>
  <c r="P930" i="1"/>
  <c r="P947" i="1"/>
  <c r="P950" i="1" s="1"/>
  <c r="M912" i="8"/>
  <c r="H380" i="1"/>
  <c r="H381" i="1" s="1"/>
  <c r="P273" i="1"/>
  <c r="Q272" i="1"/>
  <c r="O1328" i="1"/>
  <c r="O324" i="7" s="1"/>
  <c r="O1218" i="1"/>
  <c r="O209" i="7" s="1"/>
  <c r="P1102" i="1"/>
  <c r="O1104" i="1"/>
  <c r="O1101" i="1" s="1"/>
  <c r="O1130" i="1"/>
  <c r="O1489" i="1" s="1"/>
  <c r="N762" i="8"/>
  <c r="N836" i="8"/>
  <c r="Q729" i="1"/>
  <c r="P726" i="1"/>
  <c r="Q561" i="1"/>
  <c r="Q645" i="1"/>
  <c r="Q652" i="1" s="1"/>
  <c r="Q124" i="1" s="1"/>
  <c r="Q23" i="7" s="1"/>
  <c r="Q642" i="1"/>
  <c r="Q643" i="1"/>
  <c r="Q640" i="1" s="1"/>
  <c r="Q655" i="1" s="1"/>
  <c r="Q644" i="1"/>
  <c r="Q658" i="1" s="1"/>
  <c r="Q568" i="1"/>
  <c r="Q553" i="1"/>
  <c r="Q293" i="1"/>
  <c r="Q556" i="1" s="1"/>
  <c r="Q1473" i="1" s="1"/>
  <c r="R31" i="1"/>
  <c r="Q32" i="1"/>
  <c r="Q75" i="1" s="1"/>
  <c r="R152" i="1"/>
  <c r="R51" i="7" s="1"/>
  <c r="Q151" i="1"/>
  <c r="Q50" i="7" s="1"/>
  <c r="O691" i="8"/>
  <c r="O767" i="8"/>
  <c r="O303" i="8"/>
  <c r="O302" i="8" s="1"/>
  <c r="O299" i="8"/>
  <c r="O298" i="8" s="1"/>
  <c r="O301" i="8"/>
  <c r="O300" i="8" s="1"/>
  <c r="O71" i="8"/>
  <c r="O109" i="8"/>
  <c r="R1099" i="1"/>
  <c r="Q562" i="1"/>
  <c r="R336" i="1"/>
  <c r="S29" i="1"/>
  <c r="R529" i="1"/>
  <c r="R468" i="1"/>
  <c r="R30" i="1"/>
  <c r="R352" i="1"/>
  <c r="R526" i="1"/>
  <c r="R330" i="1"/>
  <c r="R471" i="1"/>
  <c r="R486" i="1"/>
  <c r="R378" i="1"/>
  <c r="R488" i="1"/>
  <c r="R290" i="1"/>
  <c r="R469" i="1"/>
  <c r="R602" i="1" s="1"/>
  <c r="R631" i="1"/>
  <c r="R309" i="1"/>
  <c r="R315" i="1"/>
  <c r="R641" i="1"/>
  <c r="R645" i="1" s="1"/>
  <c r="R630" i="1"/>
  <c r="R332" i="1"/>
  <c r="R470" i="1"/>
  <c r="R603" i="1" s="1"/>
  <c r="R291" i="1"/>
  <c r="R554" i="1" s="1"/>
  <c r="R492" i="1"/>
  <c r="R377" i="1"/>
  <c r="R639" i="1"/>
  <c r="R357" i="1"/>
  <c r="R351" i="1"/>
  <c r="R292" i="1"/>
  <c r="R555" i="1" s="1"/>
  <c r="R353" i="1"/>
  <c r="R331" i="1"/>
  <c r="R383" i="1"/>
  <c r="R487" i="1"/>
  <c r="R379" i="1"/>
  <c r="R310" i="1"/>
  <c r="R311" i="1"/>
  <c r="Q564" i="1"/>
  <c r="Q464" i="1"/>
  <c r="Q601" i="1" s="1"/>
  <c r="Q600" i="1"/>
  <c r="Q1477" i="1" s="1"/>
  <c r="S92" i="1"/>
  <c r="T91" i="1"/>
  <c r="P98" i="1"/>
  <c r="P1103" i="1" s="1"/>
  <c r="Q95" i="1"/>
  <c r="P2008" i="1"/>
  <c r="P695" i="1"/>
  <c r="P158" i="7" s="1"/>
  <c r="P921" i="1"/>
  <c r="P621" i="1"/>
  <c r="P230" i="1"/>
  <c r="P738" i="1"/>
  <c r="P669" i="1"/>
  <c r="P130" i="7" s="1"/>
  <c r="P1073" i="1"/>
  <c r="P1554" i="1"/>
  <c r="P434" i="7" s="1"/>
  <c r="P1711" i="1"/>
  <c r="P596" i="7" s="1"/>
  <c r="P280" i="1"/>
  <c r="P661" i="1"/>
  <c r="P866" i="1"/>
  <c r="P748" i="1"/>
  <c r="P1859" i="1"/>
  <c r="P724" i="1"/>
  <c r="P1657" i="1"/>
  <c r="P541" i="7" s="1"/>
  <c r="P768" i="1"/>
  <c r="P1931" i="1"/>
  <c r="P1785" i="1"/>
  <c r="P1197" i="1"/>
  <c r="P188" i="7" s="1"/>
  <c r="P1459" i="1"/>
  <c r="P820" i="1"/>
  <c r="P676" i="1"/>
  <c r="P138" i="7" s="1"/>
  <c r="P1096" i="1"/>
  <c r="P102" i="1"/>
  <c r="P1" i="7" s="1"/>
  <c r="P1165" i="1"/>
  <c r="P1275" i="1"/>
  <c r="P269" i="7" s="1"/>
  <c r="P1957" i="1"/>
  <c r="P1008" i="1"/>
  <c r="P1319" i="1"/>
  <c r="P315" i="7" s="1"/>
  <c r="O90" i="8"/>
  <c r="O89" i="8" s="1"/>
  <c r="O295" i="8"/>
  <c r="O294" i="8" s="1"/>
  <c r="O836" i="8"/>
  <c r="O762" i="8"/>
  <c r="P496" i="8"/>
  <c r="P495" i="8" s="1"/>
  <c r="P472" i="8"/>
  <c r="P471" i="8" s="1"/>
  <c r="P464" i="8"/>
  <c r="P463" i="8" s="1"/>
  <c r="P457" i="8"/>
  <c r="P456" i="8" s="1"/>
  <c r="P317" i="8"/>
  <c r="P315" i="8"/>
  <c r="P307" i="8"/>
  <c r="P297" i="8"/>
  <c r="P296" i="8" s="1"/>
  <c r="P287" i="8"/>
  <c r="P167" i="8"/>
  <c r="P161" i="8"/>
  <c r="P159" i="8"/>
  <c r="P116" i="8"/>
  <c r="P115" i="8" s="1"/>
  <c r="P113" i="8"/>
  <c r="P112" i="8" s="1"/>
  <c r="P96" i="8"/>
  <c r="P94" i="8"/>
  <c r="P92" i="8"/>
  <c r="P80" i="8"/>
  <c r="P53" i="8"/>
  <c r="Q33" i="8"/>
  <c r="P34" i="8"/>
  <c r="R629" i="1"/>
  <c r="G355" i="1"/>
  <c r="G566" i="1" s="1"/>
  <c r="G1474" i="1" s="1"/>
  <c r="H323" i="1"/>
  <c r="H324" i="1"/>
  <c r="O239" i="1"/>
  <c r="P242" i="1" s="1"/>
  <c r="P243" i="1" s="1"/>
  <c r="P248" i="1"/>
  <c r="Q251" i="1" s="1"/>
  <c r="Q252" i="1" s="1"/>
  <c r="N266" i="1"/>
  <c r="O268" i="1" s="1"/>
  <c r="O269" i="1" s="1"/>
  <c r="Q257" i="1"/>
  <c r="R260" i="1" s="1"/>
  <c r="R261" i="1" s="1"/>
  <c r="R1790" i="1"/>
  <c r="Q1791" i="1"/>
  <c r="R1792" i="1" s="1"/>
  <c r="Q1862" i="1"/>
  <c r="P1863" i="1"/>
  <c r="Q1864" i="1" s="1"/>
  <c r="P1344" i="1"/>
  <c r="P340" i="7" s="1"/>
  <c r="P1179" i="1"/>
  <c r="P90" i="8" s="1"/>
  <c r="P1334" i="1"/>
  <c r="P330" i="7" s="1"/>
  <c r="P1169" i="1"/>
  <c r="P618" i="1"/>
  <c r="P1337" i="1"/>
  <c r="P333" i="7" s="1"/>
  <c r="P1172" i="1"/>
  <c r="N302" i="8"/>
  <c r="N320" i="8"/>
  <c r="R753" i="8"/>
  <c r="O1495" i="1"/>
  <c r="N670" i="8"/>
  <c r="N125" i="8"/>
  <c r="N567" i="8"/>
  <c r="N896" i="8"/>
  <c r="N268" i="8"/>
  <c r="N746" i="8"/>
  <c r="N438" i="8"/>
  <c r="N924" i="8"/>
  <c r="N66" i="8"/>
  <c r="N39" i="8"/>
  <c r="N822" i="8"/>
  <c r="P1348" i="1"/>
  <c r="P344" i="7" s="1"/>
  <c r="P1190" i="1"/>
  <c r="P110" i="8" s="1"/>
  <c r="P1333" i="1"/>
  <c r="P329" i="7" s="1"/>
  <c r="P1170" i="1"/>
  <c r="J1667" i="1"/>
  <c r="O1945" i="1"/>
  <c r="O2018" i="1"/>
  <c r="P754" i="8"/>
  <c r="Q755" i="8" s="1"/>
  <c r="N296" i="8"/>
  <c r="N89" i="8"/>
  <c r="P163" i="1"/>
  <c r="P62" i="7" s="1"/>
  <c r="Q164" i="1"/>
  <c r="Q63" i="7" s="1"/>
  <c r="N300" i="8"/>
  <c r="P35" i="8"/>
  <c r="O36" i="8"/>
  <c r="P1347" i="1"/>
  <c r="P343" i="7" s="1"/>
  <c r="P1183" i="1"/>
  <c r="P1336" i="1"/>
  <c r="P332" i="7" s="1"/>
  <c r="P1171" i="1"/>
  <c r="O1870" i="1"/>
  <c r="O2021" i="1"/>
  <c r="K779" i="1"/>
  <c r="J784" i="1"/>
  <c r="K783" i="1" s="1"/>
  <c r="O75" i="8"/>
  <c r="P827" i="8"/>
  <c r="O828" i="8"/>
  <c r="P829" i="8" s="1"/>
  <c r="R672" i="8"/>
  <c r="Q898" i="8"/>
  <c r="Q899" i="8" s="1"/>
  <c r="Q673" i="8"/>
  <c r="Q678" i="8" s="1"/>
  <c r="R679" i="8" s="1"/>
  <c r="Q748" i="8"/>
  <c r="Q749" i="8" s="1"/>
  <c r="Q754" i="8" s="1"/>
  <c r="Q824" i="8"/>
  <c r="Q825" i="8" s="1"/>
  <c r="Q859" i="8" s="1"/>
  <c r="O162" i="1"/>
  <c r="O61" i="7" s="1"/>
  <c r="P167" i="1"/>
  <c r="P66" i="7" s="1"/>
  <c r="Q901" i="8"/>
  <c r="P902" i="8"/>
  <c r="P904" i="8" s="1"/>
  <c r="O2024" i="1"/>
  <c r="O1801" i="1"/>
  <c r="O903" i="8"/>
  <c r="P925" i="1"/>
  <c r="Q598" i="1"/>
  <c r="Q609" i="1"/>
  <c r="Q586" i="1"/>
  <c r="R88" i="1"/>
  <c r="Q551" i="1"/>
  <c r="Q559" i="1"/>
  <c r="Q1075" i="1"/>
  <c r="Q804" i="1"/>
  <c r="Q973" i="1" s="1"/>
  <c r="Q1122" i="1"/>
  <c r="Q1123" i="1"/>
  <c r="Q1988" i="1"/>
  <c r="Q770" i="1"/>
  <c r="Q807" i="1"/>
  <c r="Q1990" i="1"/>
  <c r="Q1985" i="1"/>
  <c r="Q1989" i="1"/>
  <c r="Q809" i="1"/>
  <c r="Q1013" i="1" s="1"/>
  <c r="Q806" i="1"/>
  <c r="Q1983" i="1"/>
  <c r="Q805" i="1"/>
  <c r="Q1984" i="1"/>
  <c r="Q817" i="1"/>
  <c r="Q654" i="1"/>
  <c r="Q656" i="1"/>
  <c r="Q854" i="1"/>
  <c r="Q926" i="1" s="1"/>
  <c r="Q822" i="1"/>
  <c r="P1338" i="1"/>
  <c r="P334" i="7" s="1"/>
  <c r="P1174" i="1"/>
  <c r="P82" i="8" s="1"/>
  <c r="N298" i="8"/>
  <c r="N835" i="8"/>
  <c r="N937" i="8"/>
  <c r="H313" i="1"/>
  <c r="L1686" i="1" l="1"/>
  <c r="L570" i="7" s="1"/>
  <c r="P856" i="1"/>
  <c r="P223" i="1"/>
  <c r="O122" i="7"/>
  <c r="S824" i="1"/>
  <c r="R825" i="1"/>
  <c r="P204" i="1"/>
  <c r="O103" i="7"/>
  <c r="O833" i="1"/>
  <c r="O832" i="1"/>
  <c r="J689" i="1"/>
  <c r="J151" i="7" s="1"/>
  <c r="T1686" i="1"/>
  <c r="T570" i="7" s="1"/>
  <c r="Z146" i="7"/>
  <c r="L804" i="1"/>
  <c r="L962" i="1" s="1"/>
  <c r="Q823" i="1"/>
  <c r="Q828" i="1"/>
  <c r="Q95" i="7"/>
  <c r="R196" i="1"/>
  <c r="R576" i="1"/>
  <c r="K499" i="1"/>
  <c r="K609" i="1"/>
  <c r="R149" i="1"/>
  <c r="Q48" i="7"/>
  <c r="O93" i="7"/>
  <c r="P194" i="1"/>
  <c r="P830" i="1"/>
  <c r="P836" i="1"/>
  <c r="P863" i="1" s="1"/>
  <c r="P1017" i="1" s="1"/>
  <c r="P1015" i="1" s="1"/>
  <c r="P1465" i="1" s="1"/>
  <c r="P449" i="8" s="1"/>
  <c r="P448" i="8" s="1"/>
  <c r="P855" i="1"/>
  <c r="P1021" i="1" s="1"/>
  <c r="P829" i="1"/>
  <c r="S519" i="1"/>
  <c r="S518" i="1"/>
  <c r="S520" i="1"/>
  <c r="S524" i="1"/>
  <c r="S407" i="1"/>
  <c r="S402" i="1"/>
  <c r="S689" i="1"/>
  <c r="S151" i="7" s="1"/>
  <c r="Z689" i="1"/>
  <c r="Z151" i="7" s="1"/>
  <c r="I1679" i="1"/>
  <c r="I563" i="7" s="1"/>
  <c r="I560" i="7"/>
  <c r="O835" i="1"/>
  <c r="P834" i="1" s="1"/>
  <c r="O1668" i="1"/>
  <c r="O552" i="7" s="1"/>
  <c r="M1686" i="1"/>
  <c r="M570" i="7" s="1"/>
  <c r="Z702" i="1"/>
  <c r="Z165" i="7" s="1"/>
  <c r="V697" i="1"/>
  <c r="V160" i="7" s="1"/>
  <c r="U697" i="1"/>
  <c r="U160" i="7" s="1"/>
  <c r="T164" i="7"/>
  <c r="T702" i="1"/>
  <c r="T165" i="7" s="1"/>
  <c r="P1051" i="1"/>
  <c r="X701" i="1"/>
  <c r="X164" i="7" s="1"/>
  <c r="AE698" i="1"/>
  <c r="AE161" i="7" s="1"/>
  <c r="U702" i="1"/>
  <c r="U165" i="7" s="1"/>
  <c r="O1686" i="1"/>
  <c r="O570" i="7" s="1"/>
  <c r="X689" i="1"/>
  <c r="X151" i="7" s="1"/>
  <c r="W1686" i="1"/>
  <c r="W570" i="7" s="1"/>
  <c r="S1686" i="1"/>
  <c r="S570" i="7" s="1"/>
  <c r="Y689" i="1"/>
  <c r="Y151" i="7" s="1"/>
  <c r="AB1686" i="1"/>
  <c r="AB570" i="7" s="1"/>
  <c r="V689" i="1"/>
  <c r="V151" i="7" s="1"/>
  <c r="T689" i="1"/>
  <c r="T151" i="7" s="1"/>
  <c r="U689" i="1"/>
  <c r="U151" i="7" s="1"/>
  <c r="R1686" i="1"/>
  <c r="R570" i="7" s="1"/>
  <c r="AA1686" i="1"/>
  <c r="AA570" i="7" s="1"/>
  <c r="Z1686" i="1"/>
  <c r="Z570" i="7" s="1"/>
  <c r="Q689" i="1"/>
  <c r="Q151" i="7" s="1"/>
  <c r="AC689" i="1"/>
  <c r="AC151" i="7" s="1"/>
  <c r="V699" i="1"/>
  <c r="V162" i="7" s="1"/>
  <c r="P691" i="1"/>
  <c r="P153" i="7" s="1"/>
  <c r="P690" i="1"/>
  <c r="P152" i="7" s="1"/>
  <c r="K689" i="1"/>
  <c r="K151" i="7" s="1"/>
  <c r="K1686" i="1"/>
  <c r="K570" i="7" s="1"/>
  <c r="M689" i="1"/>
  <c r="M151" i="7" s="1"/>
  <c r="N707" i="1"/>
  <c r="N152" i="7"/>
  <c r="U791" i="1"/>
  <c r="U792" i="1"/>
  <c r="U795" i="1"/>
  <c r="U802" i="1"/>
  <c r="H178" i="7"/>
  <c r="H148" i="1"/>
  <c r="H1199" i="1"/>
  <c r="V792" i="1"/>
  <c r="V791" i="1"/>
  <c r="V802" i="1"/>
  <c r="V795" i="1"/>
  <c r="X792" i="1"/>
  <c r="X791" i="1"/>
  <c r="X795" i="1"/>
  <c r="X802" i="1"/>
  <c r="N792" i="1"/>
  <c r="N791" i="1"/>
  <c r="N806" i="1" s="1"/>
  <c r="N108" i="1" s="1"/>
  <c r="N802" i="1"/>
  <c r="N817" i="1" s="1"/>
  <c r="N1017" i="1" s="1"/>
  <c r="N1015" i="1" s="1"/>
  <c r="N1465" i="1" s="1"/>
  <c r="N449" i="8" s="1"/>
  <c r="N448" i="8" s="1"/>
  <c r="N795" i="1"/>
  <c r="N809" i="1" s="1"/>
  <c r="N1013" i="1" s="1"/>
  <c r="N805" i="1"/>
  <c r="N1021" i="1" s="1"/>
  <c r="G790" i="1"/>
  <c r="G787" i="1"/>
  <c r="G804" i="1"/>
  <c r="V846" i="1"/>
  <c r="V847" i="1" s="1"/>
  <c r="V852" i="1"/>
  <c r="X846" i="1"/>
  <c r="X847" i="1" s="1"/>
  <c r="X852" i="1"/>
  <c r="Y794" i="1"/>
  <c r="Y793" i="1"/>
  <c r="Y797" i="1" s="1"/>
  <c r="I179" i="7"/>
  <c r="I107" i="1"/>
  <c r="H710" i="1"/>
  <c r="H172" i="7"/>
  <c r="H718" i="1"/>
  <c r="T846" i="1"/>
  <c r="T847" i="1" s="1"/>
  <c r="T852" i="1"/>
  <c r="Y846" i="1"/>
  <c r="Y847" i="1" s="1"/>
  <c r="Y852" i="1"/>
  <c r="I846" i="1"/>
  <c r="I852" i="1"/>
  <c r="I863" i="1" s="1"/>
  <c r="I855" i="1"/>
  <c r="H790" i="1"/>
  <c r="H804" i="1"/>
  <c r="H787" i="1"/>
  <c r="AC792" i="1"/>
  <c r="AC791" i="1"/>
  <c r="AC795" i="1"/>
  <c r="AC802" i="1"/>
  <c r="I178" i="7"/>
  <c r="I148" i="1"/>
  <c r="I1199" i="1"/>
  <c r="N847" i="1"/>
  <c r="N858" i="1" s="1"/>
  <c r="N857" i="1"/>
  <c r="P847" i="1"/>
  <c r="P857" i="1"/>
  <c r="R792" i="1"/>
  <c r="R791" i="1"/>
  <c r="R795" i="1"/>
  <c r="R802" i="1"/>
  <c r="G714" i="1"/>
  <c r="G177" i="7" s="1"/>
  <c r="G168" i="7"/>
  <c r="F712" i="1"/>
  <c r="J1686" i="1"/>
  <c r="J570" i="7" s="1"/>
  <c r="Q846" i="1"/>
  <c r="Q847" i="1" s="1"/>
  <c r="Q852" i="1"/>
  <c r="H168" i="7"/>
  <c r="H714" i="1"/>
  <c r="Q794" i="1"/>
  <c r="Q808" i="1" s="1"/>
  <c r="Q120" i="1" s="1"/>
  <c r="Q19" i="7" s="1"/>
  <c r="Q793" i="1"/>
  <c r="AC845" i="1"/>
  <c r="AC846" i="1"/>
  <c r="AC847" i="1" s="1"/>
  <c r="AC852" i="1"/>
  <c r="O845" i="1"/>
  <c r="O856" i="1" s="1"/>
  <c r="O846" i="1"/>
  <c r="O852" i="1"/>
  <c r="O863" i="1" s="1"/>
  <c r="O855" i="1"/>
  <c r="W791" i="1"/>
  <c r="W792" i="1"/>
  <c r="W795" i="1"/>
  <c r="W802" i="1"/>
  <c r="S846" i="1"/>
  <c r="S847" i="1" s="1"/>
  <c r="S852" i="1"/>
  <c r="F790" i="1"/>
  <c r="F787" i="1"/>
  <c r="F804" i="1"/>
  <c r="I168" i="7"/>
  <c r="I714" i="1"/>
  <c r="AA791" i="1"/>
  <c r="AA792" i="1"/>
  <c r="AA795" i="1"/>
  <c r="AA802" i="1"/>
  <c r="H846" i="1"/>
  <c r="H852" i="1"/>
  <c r="H863" i="1" s="1"/>
  <c r="H855" i="1"/>
  <c r="AB794" i="1"/>
  <c r="AB793" i="1"/>
  <c r="AB797" i="1" s="1"/>
  <c r="S791" i="1"/>
  <c r="S792" i="1"/>
  <c r="S795" i="1"/>
  <c r="S802" i="1"/>
  <c r="U846" i="1"/>
  <c r="U847" i="1" s="1"/>
  <c r="U852" i="1"/>
  <c r="H107" i="1"/>
  <c r="H179" i="7"/>
  <c r="P707" i="1"/>
  <c r="AB846" i="1"/>
  <c r="AB847" i="1" s="1"/>
  <c r="AB852" i="1"/>
  <c r="R845" i="1"/>
  <c r="R846" i="1"/>
  <c r="R847" i="1" s="1"/>
  <c r="R852" i="1"/>
  <c r="P793" i="1"/>
  <c r="P794" i="1"/>
  <c r="P808" i="1" s="1"/>
  <c r="P807" i="1"/>
  <c r="Z846" i="1"/>
  <c r="Z847" i="1" s="1"/>
  <c r="Z852" i="1"/>
  <c r="I790" i="1"/>
  <c r="I804" i="1"/>
  <c r="I787" i="1"/>
  <c r="Z792" i="1"/>
  <c r="Z791" i="1"/>
  <c r="Z795" i="1"/>
  <c r="Z802" i="1"/>
  <c r="W846" i="1"/>
  <c r="W847" i="1" s="1"/>
  <c r="W852" i="1"/>
  <c r="AA846" i="1"/>
  <c r="AA847" i="1" s="1"/>
  <c r="AA852" i="1"/>
  <c r="N973" i="1"/>
  <c r="N951" i="1"/>
  <c r="N954" i="1" s="1"/>
  <c r="N930" i="1"/>
  <c r="N962" i="1"/>
  <c r="N947" i="1"/>
  <c r="N950" i="1" s="1"/>
  <c r="N925" i="1"/>
  <c r="I710" i="1"/>
  <c r="I172" i="7"/>
  <c r="I718" i="1"/>
  <c r="O790" i="1"/>
  <c r="O804" i="1"/>
  <c r="O787" i="1"/>
  <c r="T792" i="1"/>
  <c r="T791" i="1"/>
  <c r="T795" i="1"/>
  <c r="T802" i="1"/>
  <c r="J845" i="1"/>
  <c r="J856" i="1" s="1"/>
  <c r="J846" i="1"/>
  <c r="J852" i="1"/>
  <c r="J863" i="1" s="1"/>
  <c r="J855" i="1"/>
  <c r="J790" i="1"/>
  <c r="J804" i="1"/>
  <c r="J787" i="1"/>
  <c r="J1676" i="1"/>
  <c r="J551" i="7"/>
  <c r="K167" i="7"/>
  <c r="K700" i="1"/>
  <c r="K163" i="7" s="1"/>
  <c r="L973" i="1"/>
  <c r="L951" i="1"/>
  <c r="L954" i="1" s="1"/>
  <c r="L845" i="1"/>
  <c r="L856" i="1" s="1"/>
  <c r="L846" i="1"/>
  <c r="L852" i="1"/>
  <c r="L863" i="1" s="1"/>
  <c r="L855" i="1"/>
  <c r="M790" i="1"/>
  <c r="M804" i="1"/>
  <c r="M787" i="1"/>
  <c r="L689" i="1"/>
  <c r="L151" i="7" s="1"/>
  <c r="K790" i="1"/>
  <c r="AE788" i="1"/>
  <c r="K787" i="1"/>
  <c r="K804" i="1"/>
  <c r="L791" i="1"/>
  <c r="L806" i="1" s="1"/>
  <c r="L108" i="1" s="1"/>
  <c r="L792" i="1"/>
  <c r="L802" i="1"/>
  <c r="L817" i="1" s="1"/>
  <c r="L1017" i="1" s="1"/>
  <c r="L1015" i="1" s="1"/>
  <c r="L1465" i="1" s="1"/>
  <c r="L449" i="8" s="1"/>
  <c r="L448" i="8" s="1"/>
  <c r="L795" i="1"/>
  <c r="L809" i="1" s="1"/>
  <c r="L1013" i="1" s="1"/>
  <c r="L805" i="1"/>
  <c r="M846" i="1"/>
  <c r="M852" i="1"/>
  <c r="M863" i="1" s="1"/>
  <c r="M855" i="1"/>
  <c r="K846" i="1"/>
  <c r="K852" i="1"/>
  <c r="K863" i="1" s="1"/>
  <c r="K855" i="1"/>
  <c r="K164" i="7"/>
  <c r="K702" i="1"/>
  <c r="W164" i="7"/>
  <c r="W702" i="1"/>
  <c r="W165" i="7" s="1"/>
  <c r="L522" i="1"/>
  <c r="M513" i="1" s="1"/>
  <c r="M521" i="1" s="1"/>
  <c r="R145" i="1"/>
  <c r="R44" i="7" s="1"/>
  <c r="F489" i="1"/>
  <c r="F490" i="1" s="1"/>
  <c r="X690" i="1"/>
  <c r="W690" i="1"/>
  <c r="W152" i="7" s="1"/>
  <c r="W706" i="1"/>
  <c r="W169" i="7" s="1"/>
  <c r="W691" i="1"/>
  <c r="W153" i="7" s="1"/>
  <c r="S690" i="1"/>
  <c r="S691" i="1"/>
  <c r="S153" i="7" s="1"/>
  <c r="S706" i="1"/>
  <c r="S169" i="7" s="1"/>
  <c r="AB690" i="1"/>
  <c r="AB706" i="1"/>
  <c r="AB169" i="7" s="1"/>
  <c r="AB691" i="1"/>
  <c r="AB153" i="7" s="1"/>
  <c r="M690" i="1"/>
  <c r="M706" i="1"/>
  <c r="M169" i="7" s="1"/>
  <c r="N709" i="1"/>
  <c r="N172" i="7" s="1"/>
  <c r="N715" i="1"/>
  <c r="N178" i="7" s="1"/>
  <c r="N705" i="1"/>
  <c r="U690" i="1"/>
  <c r="U152" i="7" s="1"/>
  <c r="U691" i="1"/>
  <c r="U153" i="7" s="1"/>
  <c r="L690" i="1"/>
  <c r="L706" i="1"/>
  <c r="L169" i="7" s="1"/>
  <c r="L691" i="1"/>
  <c r="L153" i="7" s="1"/>
  <c r="K690" i="1"/>
  <c r="K691" i="1"/>
  <c r="K153" i="7" s="1"/>
  <c r="K706" i="1"/>
  <c r="K169" i="7" s="1"/>
  <c r="O690" i="1"/>
  <c r="O706" i="1"/>
  <c r="O169" i="7" s="1"/>
  <c r="O691" i="1"/>
  <c r="O153" i="7" s="1"/>
  <c r="J690" i="1"/>
  <c r="J706" i="1"/>
  <c r="J169" i="7" s="1"/>
  <c r="J691" i="1"/>
  <c r="J153" i="7" s="1"/>
  <c r="Y690" i="1"/>
  <c r="Y706" i="1"/>
  <c r="Y169" i="7" s="1"/>
  <c r="Y691" i="1"/>
  <c r="Y153" i="7" s="1"/>
  <c r="V690" i="1"/>
  <c r="T690" i="1"/>
  <c r="T152" i="7" s="1"/>
  <c r="T691" i="1"/>
  <c r="P709" i="1"/>
  <c r="P172" i="7" s="1"/>
  <c r="P705" i="1"/>
  <c r="P715" i="1"/>
  <c r="P178" i="7" s="1"/>
  <c r="R690" i="1"/>
  <c r="R706" i="1"/>
  <c r="R169" i="7" s="1"/>
  <c r="R691" i="1"/>
  <c r="R153" i="7" s="1"/>
  <c r="AA690" i="1"/>
  <c r="AA706" i="1"/>
  <c r="AA691" i="1"/>
  <c r="AA153" i="7" s="1"/>
  <c r="Z691" i="1"/>
  <c r="Z153" i="7" s="1"/>
  <c r="Z706" i="1"/>
  <c r="Z169" i="7" s="1"/>
  <c r="Z690" i="1"/>
  <c r="Q690" i="1"/>
  <c r="Q691" i="1"/>
  <c r="Q153" i="7" s="1"/>
  <c r="AC706" i="1"/>
  <c r="AC169" i="7" s="1"/>
  <c r="AA704" i="1"/>
  <c r="AA167" i="7" s="1"/>
  <c r="F708" i="1"/>
  <c r="G148" i="1"/>
  <c r="G47" i="7" s="1"/>
  <c r="G1199" i="1"/>
  <c r="G190" i="7" s="1"/>
  <c r="G1030" i="1"/>
  <c r="G1033" i="1"/>
  <c r="G733" i="1"/>
  <c r="F730" i="1"/>
  <c r="F1691" i="1"/>
  <c r="F575" i="7" s="1"/>
  <c r="F815" i="1"/>
  <c r="F839" i="1"/>
  <c r="AE839" i="1" s="1"/>
  <c r="F838" i="1"/>
  <c r="F844" i="1"/>
  <c r="F845" i="1" s="1"/>
  <c r="AE841" i="1"/>
  <c r="F854" i="1"/>
  <c r="F714" i="1"/>
  <c r="F177" i="7" s="1"/>
  <c r="F1050" i="1"/>
  <c r="G1050" i="1"/>
  <c r="G926" i="1"/>
  <c r="G846" i="1"/>
  <c r="G852" i="1"/>
  <c r="G863" i="1" s="1"/>
  <c r="G855" i="1"/>
  <c r="G710" i="1"/>
  <c r="G718" i="1"/>
  <c r="G181" i="7" s="1"/>
  <c r="F1692" i="1"/>
  <c r="F576" i="7" s="1"/>
  <c r="F861" i="1"/>
  <c r="F1199" i="1"/>
  <c r="F190" i="7" s="1"/>
  <c r="F148" i="1"/>
  <c r="F47" i="7" s="1"/>
  <c r="I712" i="1"/>
  <c r="I175" i="7" s="1"/>
  <c r="H712" i="1"/>
  <c r="G712" i="1"/>
  <c r="G175" i="7" s="1"/>
  <c r="F710" i="1"/>
  <c r="F718" i="1"/>
  <c r="F181" i="7" s="1"/>
  <c r="AB704" i="1"/>
  <c r="AB167" i="7" s="1"/>
  <c r="R838" i="1"/>
  <c r="R787" i="1"/>
  <c r="AE697" i="1"/>
  <c r="AE160" i="7" s="1"/>
  <c r="Z704" i="1"/>
  <c r="Z167" i="7" s="1"/>
  <c r="Q702" i="1"/>
  <c r="Q165" i="7" s="1"/>
  <c r="S702" i="1"/>
  <c r="S165" i="7" s="1"/>
  <c r="Y704" i="1"/>
  <c r="Y167" i="7" s="1"/>
  <c r="M704" i="1"/>
  <c r="M167" i="7" s="1"/>
  <c r="L704" i="1"/>
  <c r="L167" i="7" s="1"/>
  <c r="W704" i="1"/>
  <c r="W167" i="7" s="1"/>
  <c r="Q704" i="1"/>
  <c r="Q167" i="7" s="1"/>
  <c r="V704" i="1"/>
  <c r="V167" i="7" s="1"/>
  <c r="O704" i="1"/>
  <c r="O167" i="7" s="1"/>
  <c r="R704" i="1"/>
  <c r="R167" i="7" s="1"/>
  <c r="L702" i="1"/>
  <c r="L165" i="7" s="1"/>
  <c r="U704" i="1"/>
  <c r="U167" i="7" s="1"/>
  <c r="P704" i="1"/>
  <c r="P167" i="7" s="1"/>
  <c r="N704" i="1"/>
  <c r="N167" i="7" s="1"/>
  <c r="T704" i="1"/>
  <c r="T167" i="7" s="1"/>
  <c r="X704" i="1"/>
  <c r="X167" i="7" s="1"/>
  <c r="S704" i="1"/>
  <c r="S167" i="7" s="1"/>
  <c r="V702" i="1"/>
  <c r="V165" i="7" s="1"/>
  <c r="O702" i="1"/>
  <c r="O165" i="7" s="1"/>
  <c r="X702" i="1"/>
  <c r="X165" i="7" s="1"/>
  <c r="R141" i="1"/>
  <c r="R40" i="7" s="1"/>
  <c r="O138" i="1"/>
  <c r="O37" i="7" s="1"/>
  <c r="P1748" i="1"/>
  <c r="P633" i="7" s="1"/>
  <c r="Q650" i="1"/>
  <c r="Q1335" i="1" s="1"/>
  <c r="Q331" i="7" s="1"/>
  <c r="Q657" i="1"/>
  <c r="P903" i="8"/>
  <c r="Q143" i="1"/>
  <c r="Q42" i="7" s="1"/>
  <c r="R144" i="1"/>
  <c r="R43" i="7" s="1"/>
  <c r="S165" i="1"/>
  <c r="S64" i="7" s="1"/>
  <c r="R198" i="1"/>
  <c r="R97" i="7" s="1"/>
  <c r="R160" i="1"/>
  <c r="R59" i="7" s="1"/>
  <c r="R153" i="1"/>
  <c r="R52" i="7" s="1"/>
  <c r="Q199" i="1"/>
  <c r="Q98" i="7" s="1"/>
  <c r="R155" i="1"/>
  <c r="R54" i="7" s="1"/>
  <c r="Q171" i="1"/>
  <c r="Q70" i="7" s="1"/>
  <c r="Q197" i="1"/>
  <c r="Q96" i="7" s="1"/>
  <c r="P202" i="1"/>
  <c r="P101" i="7" s="1"/>
  <c r="I404" i="1"/>
  <c r="P319" i="8"/>
  <c r="P318" i="8" s="1"/>
  <c r="P321" i="8"/>
  <c r="P320" i="8" s="1"/>
  <c r="O504" i="8"/>
  <c r="O503" i="8" s="1"/>
  <c r="P313" i="8"/>
  <c r="P312" i="8" s="1"/>
  <c r="S431" i="1"/>
  <c r="S426" i="1"/>
  <c r="S425" i="1"/>
  <c r="S427" i="1"/>
  <c r="O494" i="8"/>
  <c r="O493" i="8" s="1"/>
  <c r="P301" i="8"/>
  <c r="P300" i="8" s="1"/>
  <c r="AB872" i="1"/>
  <c r="Q1469" i="1"/>
  <c r="Q457" i="8" s="1"/>
  <c r="Q456" i="8" s="1"/>
  <c r="Q1490" i="1"/>
  <c r="P293" i="8"/>
  <c r="P292" i="8" s="1"/>
  <c r="O285" i="8"/>
  <c r="O284" i="8" s="1"/>
  <c r="O165" i="8"/>
  <c r="O164" i="8" s="1"/>
  <c r="I428" i="1"/>
  <c r="Q951" i="1"/>
  <c r="Q954" i="1" s="1"/>
  <c r="Q962" i="1"/>
  <c r="Q930" i="1"/>
  <c r="Q947" i="1"/>
  <c r="Q950" i="1" s="1"/>
  <c r="P965" i="1"/>
  <c r="P1002" i="1" s="1"/>
  <c r="P1000" i="1"/>
  <c r="I370" i="1"/>
  <c r="I371" i="1"/>
  <c r="R562" i="1"/>
  <c r="R272" i="1"/>
  <c r="Q273" i="1"/>
  <c r="P1218" i="1"/>
  <c r="P209" i="7" s="1"/>
  <c r="P1328" i="1"/>
  <c r="P324" i="7" s="1"/>
  <c r="R564" i="1"/>
  <c r="Q1102" i="1"/>
  <c r="P1104" i="1"/>
  <c r="P1101" i="1" s="1"/>
  <c r="P1130" i="1"/>
  <c r="P1489" i="1" s="1"/>
  <c r="G466" i="8"/>
  <c r="G465" i="8" s="1"/>
  <c r="Q496" i="8"/>
  <c r="Q495" i="8" s="1"/>
  <c r="Q472" i="8"/>
  <c r="Q471" i="8" s="1"/>
  <c r="Q464" i="8"/>
  <c r="Q463" i="8" s="1"/>
  <c r="Q317" i="8"/>
  <c r="Q316" i="8" s="1"/>
  <c r="Q307" i="8"/>
  <c r="Q306" i="8" s="1"/>
  <c r="Q167" i="8"/>
  <c r="Q166" i="8" s="1"/>
  <c r="Q159" i="8"/>
  <c r="Q158" i="8" s="1"/>
  <c r="Q113" i="8"/>
  <c r="Q112" i="8" s="1"/>
  <c r="Q94" i="8"/>
  <c r="Q93" i="8" s="1"/>
  <c r="Q80" i="8"/>
  <c r="Q79" i="8" s="1"/>
  <c r="Q53" i="8"/>
  <c r="Q52" i="8" s="1"/>
  <c r="Q315" i="8"/>
  <c r="Q314" i="8" s="1"/>
  <c r="Q287" i="8"/>
  <c r="Q286" i="8" s="1"/>
  <c r="Q161" i="8"/>
  <c r="Q160" i="8" s="1"/>
  <c r="Q92" i="8"/>
  <c r="Q91" i="8" s="1"/>
  <c r="Q116" i="8"/>
  <c r="Q115" i="8" s="1"/>
  <c r="Q96" i="8"/>
  <c r="Q95" i="8" s="1"/>
  <c r="R33" i="8"/>
  <c r="Q34" i="8"/>
  <c r="P74" i="8"/>
  <c r="P73" i="8" s="1"/>
  <c r="P78" i="8"/>
  <c r="P77" i="8" s="1"/>
  <c r="P91" i="8"/>
  <c r="P95" i="8"/>
  <c r="P160" i="8"/>
  <c r="P286" i="8"/>
  <c r="P314" i="8"/>
  <c r="Q98" i="1"/>
  <c r="Q1103" i="1" s="1"/>
  <c r="R95" i="1"/>
  <c r="R581" i="1"/>
  <c r="R561" i="1"/>
  <c r="R605" i="1"/>
  <c r="R464" i="1"/>
  <c r="R600" i="1"/>
  <c r="R1477" i="1" s="1"/>
  <c r="S469" i="1"/>
  <c r="S602" i="1" s="1"/>
  <c r="S378" i="1"/>
  <c r="S310" i="1"/>
  <c r="S641" i="1"/>
  <c r="S645" i="1" s="1"/>
  <c r="S291" i="1"/>
  <c r="S554" i="1" s="1"/>
  <c r="S330" i="1"/>
  <c r="S487" i="1"/>
  <c r="S351" i="1"/>
  <c r="S630" i="1"/>
  <c r="S332" i="1"/>
  <c r="S30" i="1"/>
  <c r="S379" i="1"/>
  <c r="S631" i="1"/>
  <c r="S331" i="1"/>
  <c r="S529" i="1"/>
  <c r="S492" i="1"/>
  <c r="S353" i="1"/>
  <c r="S377" i="1"/>
  <c r="S357" i="1"/>
  <c r="S309" i="1"/>
  <c r="S315" i="1"/>
  <c r="S471" i="1"/>
  <c r="S605" i="1" s="1"/>
  <c r="S639" i="1"/>
  <c r="S488" i="1"/>
  <c r="S383" i="1"/>
  <c r="T29" i="1"/>
  <c r="S290" i="1"/>
  <c r="S352" i="1"/>
  <c r="S336" i="1"/>
  <c r="S292" i="1"/>
  <c r="S555" i="1" s="1"/>
  <c r="S486" i="1"/>
  <c r="S470" i="1"/>
  <c r="S603" i="1" s="1"/>
  <c r="S526" i="1"/>
  <c r="S468" i="1"/>
  <c r="S311" i="1"/>
  <c r="S628" i="1"/>
  <c r="S638" i="1" s="1"/>
  <c r="T629" i="1" s="1"/>
  <c r="R151" i="1"/>
  <c r="R50" i="7" s="1"/>
  <c r="S152" i="1"/>
  <c r="S51" i="7" s="1"/>
  <c r="Q1657" i="1"/>
  <c r="Q541" i="7" s="1"/>
  <c r="Q1197" i="1"/>
  <c r="Q188" i="7" s="1"/>
  <c r="Q1275" i="1"/>
  <c r="Q269" i="7" s="1"/>
  <c r="Q738" i="1"/>
  <c r="Q280" i="1"/>
  <c r="Q102" i="1"/>
  <c r="Q1" i="7" s="1"/>
  <c r="Q866" i="1"/>
  <c r="Q820" i="1"/>
  <c r="Q669" i="1"/>
  <c r="Q130" i="7" s="1"/>
  <c r="Q1008" i="1"/>
  <c r="Q1957" i="1"/>
  <c r="Q676" i="1"/>
  <c r="Q138" i="7" s="1"/>
  <c r="Q1785" i="1"/>
  <c r="Q748" i="1"/>
  <c r="Q695" i="1"/>
  <c r="Q158" i="7" s="1"/>
  <c r="Q1711" i="1"/>
  <c r="Q596" i="7" s="1"/>
  <c r="Q1931" i="1"/>
  <c r="Q621" i="1"/>
  <c r="Q768" i="1"/>
  <c r="Q921" i="1"/>
  <c r="Q661" i="1"/>
  <c r="Q1859" i="1"/>
  <c r="Q1554" i="1"/>
  <c r="Q434" i="7" s="1"/>
  <c r="Q1073" i="1"/>
  <c r="Q724" i="1"/>
  <c r="Q230" i="1"/>
  <c r="Q2008" i="1"/>
  <c r="Q1319" i="1"/>
  <c r="Q315" i="7" s="1"/>
  <c r="Q1096" i="1"/>
  <c r="Q1165" i="1"/>
  <c r="Q1459" i="1"/>
  <c r="S643" i="1"/>
  <c r="S640" i="1" s="1"/>
  <c r="R644" i="1"/>
  <c r="R658" i="1" s="1"/>
  <c r="Q726" i="1"/>
  <c r="R729" i="1"/>
  <c r="P81" i="8"/>
  <c r="P52" i="8"/>
  <c r="P72" i="8"/>
  <c r="P71" i="8" s="1"/>
  <c r="P76" i="8"/>
  <c r="P75" i="8" s="1"/>
  <c r="P79" i="8"/>
  <c r="P93" i="8"/>
  <c r="P98" i="8"/>
  <c r="P97" i="8" s="1"/>
  <c r="P767" i="8"/>
  <c r="P691" i="8"/>
  <c r="P158" i="8"/>
  <c r="P166" i="8"/>
  <c r="P295" i="8"/>
  <c r="P294" i="8" s="1"/>
  <c r="P299" i="8"/>
  <c r="P298" i="8" s="1"/>
  <c r="P303" i="8"/>
  <c r="P302" i="8" s="1"/>
  <c r="P306" i="8"/>
  <c r="P316" i="8"/>
  <c r="U91" i="1"/>
  <c r="T92" i="1"/>
  <c r="R568" i="1"/>
  <c r="R553" i="1"/>
  <c r="R293" i="1"/>
  <c r="R556" i="1" s="1"/>
  <c r="R1473" i="1" s="1"/>
  <c r="S1099" i="1"/>
  <c r="S629" i="1"/>
  <c r="S31" i="1"/>
  <c r="R32" i="1"/>
  <c r="R75" i="1" s="1"/>
  <c r="R642" i="1"/>
  <c r="R643" i="1"/>
  <c r="R640" i="1" s="1"/>
  <c r="H333" i="1"/>
  <c r="H334" i="1" s="1"/>
  <c r="H344" i="1"/>
  <c r="H345" i="1"/>
  <c r="R755" i="8"/>
  <c r="N934" i="8"/>
  <c r="R257" i="1"/>
  <c r="S260" i="1" s="1"/>
  <c r="S261" i="1" s="1"/>
  <c r="O266" i="1"/>
  <c r="P268" i="1" s="1"/>
  <c r="P269" i="1" s="1"/>
  <c r="Q248" i="1"/>
  <c r="R251" i="1" s="1"/>
  <c r="R252" i="1" s="1"/>
  <c r="P239" i="1"/>
  <c r="Q242" i="1" s="1"/>
  <c r="Q243" i="1" s="1"/>
  <c r="Q1348" i="1"/>
  <c r="Q344" i="7" s="1"/>
  <c r="Q1190" i="1"/>
  <c r="Q1344" i="1"/>
  <c r="Q340" i="7" s="1"/>
  <c r="Q1179" i="1"/>
  <c r="Q90" i="8" s="1"/>
  <c r="R609" i="1"/>
  <c r="R586" i="1"/>
  <c r="R598" i="1"/>
  <c r="R551" i="1"/>
  <c r="R559" i="1"/>
  <c r="S88" i="1"/>
  <c r="R1122" i="1"/>
  <c r="R1075" i="1"/>
  <c r="R1123" i="1"/>
  <c r="R807" i="1"/>
  <c r="R1988" i="1"/>
  <c r="R1985" i="1"/>
  <c r="R1990" i="1"/>
  <c r="R804" i="1"/>
  <c r="R973" i="1" s="1"/>
  <c r="R1989" i="1"/>
  <c r="R1983" i="1"/>
  <c r="R770" i="1"/>
  <c r="R805" i="1"/>
  <c r="R817" i="1"/>
  <c r="R809" i="1"/>
  <c r="R1013" i="1" s="1"/>
  <c r="R806" i="1"/>
  <c r="R108" i="1" s="1"/>
  <c r="R7" i="7" s="1"/>
  <c r="R1984" i="1"/>
  <c r="R822" i="1"/>
  <c r="R652" i="1"/>
  <c r="R124" i="1" s="1"/>
  <c r="R23" i="7" s="1"/>
  <c r="R656" i="1"/>
  <c r="R654" i="1"/>
  <c r="R650" i="1"/>
  <c r="R1335" i="1" s="1"/>
  <c r="R331" i="7" s="1"/>
  <c r="R655" i="1"/>
  <c r="R854" i="1"/>
  <c r="R926" i="1" s="1"/>
  <c r="O670" i="8"/>
  <c r="O39" i="8"/>
  <c r="O567" i="8"/>
  <c r="O822" i="8"/>
  <c r="O438" i="8"/>
  <c r="O66" i="8"/>
  <c r="O746" i="8"/>
  <c r="O268" i="8"/>
  <c r="O924" i="8"/>
  <c r="O125" i="8"/>
  <c r="O896" i="8"/>
  <c r="Q167" i="1"/>
  <c r="Q66" i="7" s="1"/>
  <c r="P162" i="1"/>
  <c r="P61" i="7" s="1"/>
  <c r="P1801" i="1"/>
  <c r="P2024" i="1"/>
  <c r="O73" i="8"/>
  <c r="P2021" i="1"/>
  <c r="P1870" i="1"/>
  <c r="Q1336" i="1"/>
  <c r="Q332" i="7" s="1"/>
  <c r="Q1171" i="1"/>
  <c r="Q76" i="8" s="1"/>
  <c r="N912" i="8"/>
  <c r="P36" i="8"/>
  <c r="Q35" i="8"/>
  <c r="Q709" i="8"/>
  <c r="R1862" i="1"/>
  <c r="Q1863" i="1"/>
  <c r="R1864" i="1" s="1"/>
  <c r="Q108" i="1"/>
  <c r="Q7" i="7" s="1"/>
  <c r="Q1347" i="1"/>
  <c r="Q343" i="7" s="1"/>
  <c r="Q1183" i="1"/>
  <c r="Q1334" i="1"/>
  <c r="Q330" i="7" s="1"/>
  <c r="Q618" i="1"/>
  <c r="Q1169" i="1"/>
  <c r="Q72" i="8" s="1"/>
  <c r="Q1338" i="1"/>
  <c r="Q334" i="7" s="1"/>
  <c r="Q1174" i="1"/>
  <c r="Q82" i="8" s="1"/>
  <c r="O77" i="8"/>
  <c r="K1667" i="1"/>
  <c r="P1946" i="1"/>
  <c r="P2023" i="1"/>
  <c r="P1800" i="1"/>
  <c r="O912" i="8"/>
  <c r="O934" i="8"/>
  <c r="P2018" i="1"/>
  <c r="S753" i="8"/>
  <c r="N940" i="8"/>
  <c r="N764" i="8"/>
  <c r="Q785" i="8"/>
  <c r="Q925" i="1"/>
  <c r="Q1333" i="1"/>
  <c r="Q329" i="7" s="1"/>
  <c r="Q1170" i="1"/>
  <c r="Q74" i="8" s="1"/>
  <c r="Q1337" i="1"/>
  <c r="Q333" i="7" s="1"/>
  <c r="Q1172" i="1"/>
  <c r="O764" i="8"/>
  <c r="O940" i="8"/>
  <c r="R901" i="8"/>
  <c r="Q902" i="8"/>
  <c r="Q903" i="8" s="1"/>
  <c r="S672" i="8"/>
  <c r="R673" i="8"/>
  <c r="R678" i="8" s="1"/>
  <c r="S679" i="8" s="1"/>
  <c r="R824" i="8"/>
  <c r="R825" i="8" s="1"/>
  <c r="R859" i="8" s="1"/>
  <c r="R748" i="8"/>
  <c r="R749" i="8" s="1"/>
  <c r="R754" i="8" s="1"/>
  <c r="R898" i="8"/>
  <c r="R899" i="8" s="1"/>
  <c r="P828" i="8"/>
  <c r="Q829" i="8" s="1"/>
  <c r="Q827" i="8"/>
  <c r="K784" i="1"/>
  <c r="L783" i="1" s="1"/>
  <c r="L779" i="1"/>
  <c r="O835" i="8"/>
  <c r="O937" i="8"/>
  <c r="O81" i="8"/>
  <c r="R164" i="1"/>
  <c r="R63" i="7" s="1"/>
  <c r="Q163" i="1"/>
  <c r="Q62" i="7" s="1"/>
  <c r="P109" i="8"/>
  <c r="P1495" i="1"/>
  <c r="P1177" i="1"/>
  <c r="P1945" i="1"/>
  <c r="S1790" i="1"/>
  <c r="R1791" i="1"/>
  <c r="S1792" i="1" s="1"/>
  <c r="I302" i="1"/>
  <c r="I303" i="1"/>
  <c r="L925" i="1" l="1"/>
  <c r="L947" i="1"/>
  <c r="L950" i="1" s="1"/>
  <c r="L930" i="1"/>
  <c r="L965" i="1"/>
  <c r="L1002" i="1" s="1"/>
  <c r="L1000" i="1"/>
  <c r="S642" i="1"/>
  <c r="P835" i="1"/>
  <c r="Q834" i="1" s="1"/>
  <c r="P1668" i="1"/>
  <c r="P552" i="7" s="1"/>
  <c r="S149" i="1"/>
  <c r="R48" i="7"/>
  <c r="Q830" i="1"/>
  <c r="Q855" i="1"/>
  <c r="Q1021" i="1" s="1"/>
  <c r="Q836" i="1"/>
  <c r="Q863" i="1" s="1"/>
  <c r="Q1017" i="1" s="1"/>
  <c r="Q1015" i="1" s="1"/>
  <c r="Q1465" i="1" s="1"/>
  <c r="Q449" i="8" s="1"/>
  <c r="Q448" i="8" s="1"/>
  <c r="Q829" i="1"/>
  <c r="T824" i="1"/>
  <c r="S825" i="1"/>
  <c r="K618" i="1"/>
  <c r="K1086" i="1" s="1"/>
  <c r="K1174" i="1"/>
  <c r="K82" i="8" s="1"/>
  <c r="K81" i="8" s="1"/>
  <c r="K1338" i="1"/>
  <c r="P831" i="1"/>
  <c r="P832" i="1" s="1"/>
  <c r="P833" i="1"/>
  <c r="K498" i="1"/>
  <c r="K616" i="1" s="1"/>
  <c r="K125" i="1" s="1"/>
  <c r="K24" i="7" s="1"/>
  <c r="K610" i="1"/>
  <c r="Q223" i="1"/>
  <c r="P122" i="7"/>
  <c r="Q194" i="1"/>
  <c r="P93" i="7"/>
  <c r="R95" i="7"/>
  <c r="S196" i="1"/>
  <c r="Q204" i="1"/>
  <c r="P103" i="7"/>
  <c r="R657" i="1"/>
  <c r="S755" i="8"/>
  <c r="T520" i="1"/>
  <c r="T519" i="1"/>
  <c r="T518" i="1"/>
  <c r="T524" i="1"/>
  <c r="T407" i="1"/>
  <c r="T402" i="1"/>
  <c r="R823" i="1"/>
  <c r="R828" i="1"/>
  <c r="AE699" i="1"/>
  <c r="AE162" i="7" s="1"/>
  <c r="AC691" i="1"/>
  <c r="AC153" i="7" s="1"/>
  <c r="AC690" i="1"/>
  <c r="AC152" i="7" s="1"/>
  <c r="T706" i="1"/>
  <c r="X691" i="1"/>
  <c r="X153" i="7" s="1"/>
  <c r="R715" i="1"/>
  <c r="R178" i="7" s="1"/>
  <c r="AE701" i="1"/>
  <c r="AE164" i="7" s="1"/>
  <c r="AC704" i="1"/>
  <c r="AC167" i="7" s="1"/>
  <c r="Q706" i="1"/>
  <c r="Q169" i="7" s="1"/>
  <c r="V691" i="1"/>
  <c r="U706" i="1"/>
  <c r="U169" i="7" s="1"/>
  <c r="M691" i="1"/>
  <c r="M153" i="7" s="1"/>
  <c r="X706" i="1"/>
  <c r="X169" i="7" s="1"/>
  <c r="V706" i="1"/>
  <c r="U707" i="1"/>
  <c r="U170" i="7" s="1"/>
  <c r="W707" i="1"/>
  <c r="W170" i="7" s="1"/>
  <c r="L1021" i="1"/>
  <c r="G719" i="1"/>
  <c r="G182" i="7" s="1"/>
  <c r="G173" i="7"/>
  <c r="P714" i="1"/>
  <c r="P177" i="7" s="1"/>
  <c r="P168" i="7"/>
  <c r="T709" i="1"/>
  <c r="T169" i="7"/>
  <c r="N714" i="1"/>
  <c r="N177" i="7" s="1"/>
  <c r="N168" i="7"/>
  <c r="AB707" i="1"/>
  <c r="AB170" i="7" s="1"/>
  <c r="AB152" i="7"/>
  <c r="T794" i="1"/>
  <c r="T793" i="1"/>
  <c r="T797" i="1" s="1"/>
  <c r="I181" i="7"/>
  <c r="Z794" i="1"/>
  <c r="Z793" i="1"/>
  <c r="Z797" i="1" s="1"/>
  <c r="P797" i="1"/>
  <c r="P812" i="1" s="1"/>
  <c r="P811" i="1"/>
  <c r="AA794" i="1"/>
  <c r="AA793" i="1"/>
  <c r="AA797" i="1" s="1"/>
  <c r="F973" i="1"/>
  <c r="F925" i="1"/>
  <c r="F951" i="1"/>
  <c r="F954" i="1" s="1"/>
  <c r="F930" i="1"/>
  <c r="F962" i="1"/>
  <c r="F947" i="1"/>
  <c r="F950" i="1" s="1"/>
  <c r="Q797" i="1"/>
  <c r="Q812" i="1" s="1"/>
  <c r="Q811" i="1"/>
  <c r="N993" i="1"/>
  <c r="N1323" i="1" s="1"/>
  <c r="AC794" i="1"/>
  <c r="AC793" i="1"/>
  <c r="AC797" i="1" s="1"/>
  <c r="G791" i="1"/>
  <c r="G806" i="1" s="1"/>
  <c r="G108" i="1" s="1"/>
  <c r="G792" i="1"/>
  <c r="G795" i="1"/>
  <c r="G809" i="1" s="1"/>
  <c r="G1013" i="1" s="1"/>
  <c r="G802" i="1"/>
  <c r="G817" i="1" s="1"/>
  <c r="G1017" i="1" s="1"/>
  <c r="G1015" i="1" s="1"/>
  <c r="G1465" i="1" s="1"/>
  <c r="G449" i="8" s="1"/>
  <c r="G448" i="8" s="1"/>
  <c r="G805" i="1"/>
  <c r="G1021" i="1" s="1"/>
  <c r="N7" i="7"/>
  <c r="N1051" i="1"/>
  <c r="H721" i="1"/>
  <c r="H184" i="7" s="1"/>
  <c r="H175" i="7"/>
  <c r="Q707" i="1"/>
  <c r="Q152" i="7"/>
  <c r="O707" i="1"/>
  <c r="O152" i="7"/>
  <c r="N965" i="1"/>
  <c r="N1002" i="1" s="1"/>
  <c r="N1000" i="1"/>
  <c r="H847" i="1"/>
  <c r="H858" i="1" s="1"/>
  <c r="H857" i="1"/>
  <c r="R793" i="1"/>
  <c r="R794" i="1"/>
  <c r="R808" i="1" s="1"/>
  <c r="R120" i="1" s="1"/>
  <c r="R19" i="7" s="1"/>
  <c r="H173" i="7"/>
  <c r="H719" i="1"/>
  <c r="H182" i="7" s="1"/>
  <c r="N793" i="1"/>
  <c r="N794" i="1"/>
  <c r="N808" i="1" s="1"/>
  <c r="N120" i="1" s="1"/>
  <c r="N19" i="7" s="1"/>
  <c r="N807" i="1"/>
  <c r="X794" i="1"/>
  <c r="X793" i="1"/>
  <c r="X797" i="1" s="1"/>
  <c r="V794" i="1"/>
  <c r="V793" i="1"/>
  <c r="V797" i="1" s="1"/>
  <c r="F717" i="1"/>
  <c r="F180" i="7" s="1"/>
  <c r="F171" i="7"/>
  <c r="AC707" i="1"/>
  <c r="AC170" i="7" s="1"/>
  <c r="Z707" i="1"/>
  <c r="Z170" i="7" s="1"/>
  <c r="Z152" i="7"/>
  <c r="AA709" i="1"/>
  <c r="AA169" i="7"/>
  <c r="R707" i="1"/>
  <c r="R152" i="7"/>
  <c r="T705" i="1"/>
  <c r="T168" i="7" s="1"/>
  <c r="T153" i="7"/>
  <c r="V707" i="1"/>
  <c r="V170" i="7" s="1"/>
  <c r="V152" i="7"/>
  <c r="X707" i="1"/>
  <c r="X170" i="7" s="1"/>
  <c r="X152" i="7"/>
  <c r="O973" i="1"/>
  <c r="O930" i="1"/>
  <c r="O951" i="1"/>
  <c r="O954" i="1" s="1"/>
  <c r="O947" i="1"/>
  <c r="O950" i="1" s="1"/>
  <c r="O962" i="1"/>
  <c r="O925" i="1"/>
  <c r="I173" i="7"/>
  <c r="I719" i="1"/>
  <c r="I182" i="7" s="1"/>
  <c r="I973" i="1"/>
  <c r="I951" i="1"/>
  <c r="I954" i="1" s="1"/>
  <c r="I930" i="1"/>
  <c r="I925" i="1"/>
  <c r="I962" i="1"/>
  <c r="I947" i="1"/>
  <c r="I950" i="1" s="1"/>
  <c r="H6" i="7"/>
  <c r="H1050" i="1"/>
  <c r="I177" i="7"/>
  <c r="I1030" i="1"/>
  <c r="I1033" i="1"/>
  <c r="F802" i="1"/>
  <c r="F817" i="1" s="1"/>
  <c r="F795" i="1"/>
  <c r="F809" i="1" s="1"/>
  <c r="F1013" i="1" s="1"/>
  <c r="F791" i="1"/>
  <c r="F806" i="1" s="1"/>
  <c r="F108" i="1" s="1"/>
  <c r="F792" i="1"/>
  <c r="F805" i="1"/>
  <c r="H177" i="7"/>
  <c r="H1033" i="1"/>
  <c r="H1030" i="1"/>
  <c r="I190" i="7"/>
  <c r="I1560" i="1"/>
  <c r="I440" i="7" s="1"/>
  <c r="I1559" i="1"/>
  <c r="I439" i="7" s="1"/>
  <c r="I128" i="8"/>
  <c r="I127" i="8" s="1"/>
  <c r="I2010" i="1"/>
  <c r="H973" i="1"/>
  <c r="H962" i="1"/>
  <c r="H947" i="1"/>
  <c r="H950" i="1" s="1"/>
  <c r="H925" i="1"/>
  <c r="H951" i="1"/>
  <c r="H954" i="1" s="1"/>
  <c r="H930" i="1"/>
  <c r="I847" i="1"/>
  <c r="I858" i="1" s="1"/>
  <c r="I857" i="1"/>
  <c r="I6" i="7"/>
  <c r="I1050" i="1"/>
  <c r="G973" i="1"/>
  <c r="G962" i="1"/>
  <c r="G947" i="1"/>
  <c r="G950" i="1" s="1"/>
  <c r="G925" i="1"/>
  <c r="G951" i="1"/>
  <c r="G954" i="1" s="1"/>
  <c r="G930" i="1"/>
  <c r="H1560" i="1"/>
  <c r="H440" i="7" s="1"/>
  <c r="H128" i="8"/>
  <c r="H127" i="8" s="1"/>
  <c r="H2010" i="1"/>
  <c r="H190" i="7"/>
  <c r="H1559" i="1"/>
  <c r="H439" i="7" s="1"/>
  <c r="N716" i="1"/>
  <c r="N170" i="7"/>
  <c r="F719" i="1"/>
  <c r="F182" i="7" s="1"/>
  <c r="F173" i="7"/>
  <c r="AA707" i="1"/>
  <c r="AA170" i="7" s="1"/>
  <c r="AA152" i="7"/>
  <c r="T707" i="1"/>
  <c r="T170" i="7" s="1"/>
  <c r="V705" i="1"/>
  <c r="V168" i="7" s="1"/>
  <c r="V153" i="7"/>
  <c r="Y707" i="1"/>
  <c r="Y170" i="7" s="1"/>
  <c r="Y152" i="7"/>
  <c r="S707" i="1"/>
  <c r="S170" i="7" s="1"/>
  <c r="S152" i="7"/>
  <c r="O791" i="1"/>
  <c r="O806" i="1" s="1"/>
  <c r="O108" i="1" s="1"/>
  <c r="O792" i="1"/>
  <c r="O795" i="1"/>
  <c r="O809" i="1" s="1"/>
  <c r="O1013" i="1" s="1"/>
  <c r="O802" i="1"/>
  <c r="O817" i="1" s="1"/>
  <c r="O1017" i="1" s="1"/>
  <c r="O1015" i="1" s="1"/>
  <c r="O1465" i="1" s="1"/>
  <c r="O449" i="8" s="1"/>
  <c r="O448" i="8" s="1"/>
  <c r="O805" i="1"/>
  <c r="O1021" i="1" s="1"/>
  <c r="I791" i="1"/>
  <c r="I806" i="1" s="1"/>
  <c r="I108" i="1" s="1"/>
  <c r="I792" i="1"/>
  <c r="I795" i="1"/>
  <c r="I809" i="1" s="1"/>
  <c r="I1013" i="1" s="1"/>
  <c r="I802" i="1"/>
  <c r="I817" i="1" s="1"/>
  <c r="I1017" i="1" s="1"/>
  <c r="I1015" i="1" s="1"/>
  <c r="I1465" i="1" s="1"/>
  <c r="I449" i="8" s="1"/>
  <c r="I448" i="8" s="1"/>
  <c r="I805" i="1"/>
  <c r="I1021" i="1" s="1"/>
  <c r="P937" i="1"/>
  <c r="P120" i="1"/>
  <c r="P19" i="7" s="1"/>
  <c r="P716" i="1"/>
  <c r="P1199" i="1" s="1"/>
  <c r="P190" i="7" s="1"/>
  <c r="P170" i="7"/>
  <c r="S794" i="1"/>
  <c r="S793" i="1"/>
  <c r="S797" i="1" s="1"/>
  <c r="W794" i="1"/>
  <c r="W793" i="1"/>
  <c r="W797" i="1" s="1"/>
  <c r="O847" i="1"/>
  <c r="O858" i="1" s="1"/>
  <c r="O857" i="1"/>
  <c r="F721" i="1"/>
  <c r="F175" i="7"/>
  <c r="I47" i="7"/>
  <c r="I147" i="1"/>
  <c r="H792" i="1"/>
  <c r="H791" i="1"/>
  <c r="H806" i="1" s="1"/>
  <c r="H108" i="1" s="1"/>
  <c r="H795" i="1"/>
  <c r="H809" i="1" s="1"/>
  <c r="H1013" i="1" s="1"/>
  <c r="H802" i="1"/>
  <c r="H817" i="1" s="1"/>
  <c r="H1017" i="1" s="1"/>
  <c r="H1015" i="1" s="1"/>
  <c r="H1465" i="1" s="1"/>
  <c r="H449" i="8" s="1"/>
  <c r="H448" i="8" s="1"/>
  <c r="H805" i="1"/>
  <c r="H1021" i="1" s="1"/>
  <c r="H181" i="7"/>
  <c r="H1321" i="1"/>
  <c r="H47" i="7"/>
  <c r="H147" i="1"/>
  <c r="U793" i="1"/>
  <c r="U797" i="1" s="1"/>
  <c r="U794" i="1"/>
  <c r="J1679" i="1"/>
  <c r="J563" i="7" s="1"/>
  <c r="J560" i="7"/>
  <c r="J707" i="1"/>
  <c r="J170" i="7" s="1"/>
  <c r="J152" i="7"/>
  <c r="J951" i="1"/>
  <c r="J954" i="1" s="1"/>
  <c r="J962" i="1"/>
  <c r="J973" i="1"/>
  <c r="J930" i="1"/>
  <c r="J925" i="1"/>
  <c r="J947" i="1"/>
  <c r="J950" i="1" s="1"/>
  <c r="J847" i="1"/>
  <c r="J858" i="1" s="1"/>
  <c r="J857" i="1"/>
  <c r="J792" i="1"/>
  <c r="J791" i="1"/>
  <c r="J806" i="1" s="1"/>
  <c r="J108" i="1" s="1"/>
  <c r="J802" i="1"/>
  <c r="J817" i="1" s="1"/>
  <c r="J1017" i="1" s="1"/>
  <c r="J1015" i="1" s="1"/>
  <c r="J1465" i="1" s="1"/>
  <c r="J449" i="8" s="1"/>
  <c r="J448" i="8" s="1"/>
  <c r="J795" i="1"/>
  <c r="J809" i="1" s="1"/>
  <c r="J1013" i="1" s="1"/>
  <c r="J805" i="1"/>
  <c r="J1021" i="1" s="1"/>
  <c r="K707" i="1"/>
  <c r="K152" i="7"/>
  <c r="K847" i="1"/>
  <c r="K858" i="1" s="1"/>
  <c r="K857" i="1"/>
  <c r="L7" i="7"/>
  <c r="L1051" i="1"/>
  <c r="M973" i="1"/>
  <c r="M962" i="1"/>
  <c r="M930" i="1"/>
  <c r="M947" i="1"/>
  <c r="M950" i="1" s="1"/>
  <c r="M925" i="1"/>
  <c r="M951" i="1"/>
  <c r="M954" i="1" s="1"/>
  <c r="L847" i="1"/>
  <c r="L858" i="1" s="1"/>
  <c r="L857" i="1"/>
  <c r="L997" i="1"/>
  <c r="L933" i="1"/>
  <c r="L999" i="1" s="1"/>
  <c r="M707" i="1"/>
  <c r="M152" i="7"/>
  <c r="K792" i="1"/>
  <c r="K791" i="1"/>
  <c r="K802" i="1"/>
  <c r="K817" i="1" s="1"/>
  <c r="K1017" i="1" s="1"/>
  <c r="K1015" i="1" s="1"/>
  <c r="K1465" i="1" s="1"/>
  <c r="K449" i="8" s="1"/>
  <c r="K448" i="8" s="1"/>
  <c r="K795" i="1"/>
  <c r="K809" i="1" s="1"/>
  <c r="K1013" i="1" s="1"/>
  <c r="AE790" i="1"/>
  <c r="K805" i="1"/>
  <c r="K1021" i="1" s="1"/>
  <c r="M792" i="1"/>
  <c r="M791" i="1"/>
  <c r="M806" i="1" s="1"/>
  <c r="M108" i="1" s="1"/>
  <c r="M795" i="1"/>
  <c r="M809" i="1" s="1"/>
  <c r="M1013" i="1" s="1"/>
  <c r="M802" i="1"/>
  <c r="M817" i="1" s="1"/>
  <c r="M1017" i="1" s="1"/>
  <c r="M1015" i="1" s="1"/>
  <c r="M1465" i="1" s="1"/>
  <c r="M449" i="8" s="1"/>
  <c r="M448" i="8" s="1"/>
  <c r="M805" i="1"/>
  <c r="M1021" i="1" s="1"/>
  <c r="K1676" i="1"/>
  <c r="K551" i="7"/>
  <c r="K973" i="1"/>
  <c r="K1003" i="1" s="1"/>
  <c r="K962" i="1"/>
  <c r="K930" i="1"/>
  <c r="K925" i="1"/>
  <c r="J494" i="1"/>
  <c r="C18" i="13" s="1"/>
  <c r="K947" i="1"/>
  <c r="K950" i="1" s="1"/>
  <c r="K951" i="1"/>
  <c r="K954" i="1" s="1"/>
  <c r="L707" i="1"/>
  <c r="L152" i="7"/>
  <c r="M847" i="1"/>
  <c r="M858" i="1" s="1"/>
  <c r="M857" i="1"/>
  <c r="L794" i="1"/>
  <c r="L808" i="1" s="1"/>
  <c r="L120" i="1" s="1"/>
  <c r="L19" i="7" s="1"/>
  <c r="L793" i="1"/>
  <c r="L807" i="1"/>
  <c r="K165" i="7"/>
  <c r="K703" i="1"/>
  <c r="K166" i="7" s="1"/>
  <c r="Q297" i="8"/>
  <c r="Q296" i="8" s="1"/>
  <c r="M522" i="1"/>
  <c r="N513" i="1" s="1"/>
  <c r="N521" i="1" s="1"/>
  <c r="Q937" i="1"/>
  <c r="R937" i="1"/>
  <c r="S145" i="1"/>
  <c r="S44" i="7" s="1"/>
  <c r="AB700" i="1"/>
  <c r="AB163" i="7" s="1"/>
  <c r="Z709" i="1"/>
  <c r="Z705" i="1"/>
  <c r="Z168" i="7" s="1"/>
  <c r="AA705" i="1"/>
  <c r="AA168" i="7" s="1"/>
  <c r="R709" i="1"/>
  <c r="R172" i="7" s="1"/>
  <c r="R705" i="1"/>
  <c r="P148" i="1"/>
  <c r="P47" i="7" s="1"/>
  <c r="P710" i="1"/>
  <c r="P718" i="1"/>
  <c r="P181" i="7" s="1"/>
  <c r="Y709" i="1"/>
  <c r="Y705" i="1"/>
  <c r="Y168" i="7" s="1"/>
  <c r="J709" i="1"/>
  <c r="J172" i="7" s="1"/>
  <c r="J705" i="1"/>
  <c r="J168" i="7" s="1"/>
  <c r="J715" i="1"/>
  <c r="J178" i="7" s="1"/>
  <c r="O709" i="1"/>
  <c r="O172" i="7" s="1"/>
  <c r="O715" i="1"/>
  <c r="O178" i="7" s="1"/>
  <c r="O705" i="1"/>
  <c r="K709" i="1"/>
  <c r="K172" i="7" s="1"/>
  <c r="K715" i="1"/>
  <c r="K178" i="7" s="1"/>
  <c r="K705" i="1"/>
  <c r="L705" i="1"/>
  <c r="N1199" i="1"/>
  <c r="N190" i="7" s="1"/>
  <c r="N148" i="1"/>
  <c r="N47" i="7" s="1"/>
  <c r="M705" i="1"/>
  <c r="AB709" i="1"/>
  <c r="AB705" i="1"/>
  <c r="AB168" i="7" s="1"/>
  <c r="W709" i="1"/>
  <c r="W705" i="1"/>
  <c r="W168" i="7" s="1"/>
  <c r="AC709" i="1"/>
  <c r="AC705" i="1"/>
  <c r="AC168" i="7" s="1"/>
  <c r="Q709" i="1"/>
  <c r="Q172" i="7" s="1"/>
  <c r="Q715" i="1"/>
  <c r="Q178" i="7" s="1"/>
  <c r="J716" i="1"/>
  <c r="J179" i="7" s="1"/>
  <c r="AE707" i="1"/>
  <c r="AE170" i="7" s="1"/>
  <c r="L709" i="1"/>
  <c r="L172" i="7" s="1"/>
  <c r="L715" i="1"/>
  <c r="L178" i="7" s="1"/>
  <c r="U705" i="1"/>
  <c r="U168" i="7" s="1"/>
  <c r="N710" i="1"/>
  <c r="N718" i="1"/>
  <c r="N181" i="7" s="1"/>
  <c r="M709" i="1"/>
  <c r="M172" i="7" s="1"/>
  <c r="M715" i="1"/>
  <c r="M178" i="7" s="1"/>
  <c r="S705" i="1"/>
  <c r="S168" i="7" s="1"/>
  <c r="S709" i="1"/>
  <c r="F1321" i="1"/>
  <c r="F317" i="7" s="1"/>
  <c r="H708" i="1"/>
  <c r="G721" i="1"/>
  <c r="G184" i="7" s="1"/>
  <c r="G708" i="1"/>
  <c r="I708" i="1"/>
  <c r="I721" i="1"/>
  <c r="I184" i="7" s="1"/>
  <c r="F128" i="8"/>
  <c r="F127" i="8" s="1"/>
  <c r="F1559" i="1"/>
  <c r="F439" i="7" s="1"/>
  <c r="F2010" i="1"/>
  <c r="F1560" i="1"/>
  <c r="F440" i="7" s="1"/>
  <c r="F982" i="1"/>
  <c r="F1203" i="1" s="1"/>
  <c r="F194" i="7" s="1"/>
  <c r="F1030" i="1"/>
  <c r="F898" i="1"/>
  <c r="F897" i="1" s="1"/>
  <c r="F908" i="1" s="1"/>
  <c r="F880" i="1"/>
  <c r="F879" i="1" s="1"/>
  <c r="F906" i="1" s="1"/>
  <c r="H871" i="1"/>
  <c r="G880" i="1"/>
  <c r="G879" i="1" s="1"/>
  <c r="G906" i="1" s="1"/>
  <c r="H898" i="1"/>
  <c r="H897" i="1" s="1"/>
  <c r="H908" i="1" s="1"/>
  <c r="H889" i="1"/>
  <c r="H888" i="1" s="1"/>
  <c r="H907" i="1" s="1"/>
  <c r="I898" i="1"/>
  <c r="I897" i="1" s="1"/>
  <c r="I908" i="1" s="1"/>
  <c r="I871" i="1"/>
  <c r="F1033" i="1"/>
  <c r="F116" i="1" s="1"/>
  <c r="F15" i="7" s="1"/>
  <c r="F871" i="1"/>
  <c r="F889" i="1"/>
  <c r="F888" i="1" s="1"/>
  <c r="F907" i="1" s="1"/>
  <c r="G898" i="1"/>
  <c r="G897" i="1" s="1"/>
  <c r="G908" i="1" s="1"/>
  <c r="H880" i="1"/>
  <c r="H879" i="1" s="1"/>
  <c r="H906" i="1" s="1"/>
  <c r="G871" i="1"/>
  <c r="G889" i="1"/>
  <c r="G888" i="1" s="1"/>
  <c r="G907" i="1" s="1"/>
  <c r="I880" i="1"/>
  <c r="I879" i="1" s="1"/>
  <c r="I906" i="1" s="1"/>
  <c r="I889" i="1"/>
  <c r="I888" i="1" s="1"/>
  <c r="I907" i="1" s="1"/>
  <c r="G711" i="1"/>
  <c r="H711" i="1"/>
  <c r="F851" i="1"/>
  <c r="G850" i="1" s="1"/>
  <c r="F846" i="1"/>
  <c r="AE844" i="1"/>
  <c r="F852" i="1"/>
  <c r="F863" i="1" s="1"/>
  <c r="F855" i="1"/>
  <c r="F1700" i="1"/>
  <c r="G128" i="8"/>
  <c r="G127" i="8" s="1"/>
  <c r="G1560" i="1"/>
  <c r="G440" i="7" s="1"/>
  <c r="G2010" i="1"/>
  <c r="G1559" i="1"/>
  <c r="G439" i="7" s="1"/>
  <c r="Z703" i="1"/>
  <c r="Z166" i="7" s="1"/>
  <c r="H1034" i="1"/>
  <c r="F147" i="1"/>
  <c r="F46" i="7" s="1"/>
  <c r="G847" i="1"/>
  <c r="G858" i="1" s="1"/>
  <c r="G857" i="1"/>
  <c r="I711" i="1"/>
  <c r="F711" i="1"/>
  <c r="F926" i="1"/>
  <c r="AE845" i="1"/>
  <c r="F856" i="1"/>
  <c r="F1699" i="1"/>
  <c r="F583" i="7" s="1"/>
  <c r="F1675" i="1"/>
  <c r="F559" i="7" s="1"/>
  <c r="F981" i="1"/>
  <c r="F1202" i="1" s="1"/>
  <c r="F193" i="7" s="1"/>
  <c r="H800" i="1"/>
  <c r="H850" i="1"/>
  <c r="H733" i="1"/>
  <c r="G730" i="1"/>
  <c r="G147" i="1"/>
  <c r="G46" i="7" s="1"/>
  <c r="S838" i="1"/>
  <c r="S787" i="1"/>
  <c r="AA700" i="1"/>
  <c r="AA163" i="7" s="1"/>
  <c r="AC703" i="1"/>
  <c r="AC166" i="7" s="1"/>
  <c r="AC700" i="1"/>
  <c r="AC163" i="7" s="1"/>
  <c r="AA703" i="1"/>
  <c r="AA166" i="7" s="1"/>
  <c r="Z700" i="1"/>
  <c r="Z163" i="7" s="1"/>
  <c r="AB703" i="1"/>
  <c r="AB166" i="7" s="1"/>
  <c r="T700" i="1"/>
  <c r="T163" i="7" s="1"/>
  <c r="U700" i="1"/>
  <c r="U163" i="7" s="1"/>
  <c r="Q700" i="1"/>
  <c r="Q163" i="7" s="1"/>
  <c r="O703" i="1"/>
  <c r="O166" i="7" s="1"/>
  <c r="S703" i="1"/>
  <c r="S166" i="7" s="1"/>
  <c r="N703" i="1"/>
  <c r="N166" i="7" s="1"/>
  <c r="AE702" i="1"/>
  <c r="AE165" i="7" s="1"/>
  <c r="T703" i="1"/>
  <c r="T166" i="7" s="1"/>
  <c r="V703" i="1"/>
  <c r="V166" i="7" s="1"/>
  <c r="X703" i="1"/>
  <c r="X166" i="7" s="1"/>
  <c r="Y703" i="1"/>
  <c r="Y166" i="7" s="1"/>
  <c r="U703" i="1"/>
  <c r="U166" i="7" s="1"/>
  <c r="L703" i="1"/>
  <c r="L166" i="7" s="1"/>
  <c r="Q703" i="1"/>
  <c r="Q166" i="7" s="1"/>
  <c r="P703" i="1"/>
  <c r="P166" i="7" s="1"/>
  <c r="R703" i="1"/>
  <c r="R166" i="7" s="1"/>
  <c r="W703" i="1"/>
  <c r="W166" i="7" s="1"/>
  <c r="M703" i="1"/>
  <c r="M166" i="7" s="1"/>
  <c r="W700" i="1"/>
  <c r="W163" i="7" s="1"/>
  <c r="X700" i="1"/>
  <c r="X163" i="7" s="1"/>
  <c r="M700" i="1"/>
  <c r="M163" i="7" s="1"/>
  <c r="L700" i="1"/>
  <c r="L163" i="7" s="1"/>
  <c r="Y700" i="1"/>
  <c r="Y163" i="7" s="1"/>
  <c r="O700" i="1"/>
  <c r="O163" i="7" s="1"/>
  <c r="V700" i="1"/>
  <c r="V163" i="7" s="1"/>
  <c r="S700" i="1"/>
  <c r="S163" i="7" s="1"/>
  <c r="P700" i="1"/>
  <c r="P163" i="7" s="1"/>
  <c r="R700" i="1"/>
  <c r="R163" i="7" s="1"/>
  <c r="N700" i="1"/>
  <c r="N163" i="7" s="1"/>
  <c r="S581" i="1"/>
  <c r="P138" i="1"/>
  <c r="P37" i="7" s="1"/>
  <c r="S141" i="1"/>
  <c r="S40" i="7" s="1"/>
  <c r="Q1748" i="1"/>
  <c r="Q633" i="7" s="1"/>
  <c r="S155" i="1"/>
  <c r="S54" i="7" s="1"/>
  <c r="S144" i="1"/>
  <c r="S43" i="7" s="1"/>
  <c r="R143" i="1"/>
  <c r="R42" i="7" s="1"/>
  <c r="I405" i="1"/>
  <c r="R197" i="1"/>
  <c r="R96" i="7" s="1"/>
  <c r="Q202" i="1"/>
  <c r="Q101" i="7" s="1"/>
  <c r="R171" i="1"/>
  <c r="R70" i="7" s="1"/>
  <c r="R199" i="1"/>
  <c r="R98" i="7" s="1"/>
  <c r="S153" i="1"/>
  <c r="S52" i="7" s="1"/>
  <c r="S160" i="1"/>
  <c r="S59" i="7" s="1"/>
  <c r="S198" i="1"/>
  <c r="S97" i="7" s="1"/>
  <c r="T165" i="1"/>
  <c r="T64" i="7" s="1"/>
  <c r="R1051" i="1"/>
  <c r="Q319" i="8"/>
  <c r="Q318" i="8" s="1"/>
  <c r="Q313" i="8"/>
  <c r="Q312" i="8" s="1"/>
  <c r="Q321" i="8"/>
  <c r="Q320" i="8" s="1"/>
  <c r="T431" i="1"/>
  <c r="T426" i="1"/>
  <c r="T425" i="1"/>
  <c r="T427" i="1"/>
  <c r="P494" i="8"/>
  <c r="P493" i="8" s="1"/>
  <c r="R1490" i="1"/>
  <c r="R496" i="8" s="1"/>
  <c r="R495" i="8" s="1"/>
  <c r="R1469" i="1"/>
  <c r="R457" i="8" s="1"/>
  <c r="R456" i="8" s="1"/>
  <c r="AC872" i="1"/>
  <c r="P504" i="8"/>
  <c r="P503" i="8" s="1"/>
  <c r="Q301" i="8"/>
  <c r="Q300" i="8" s="1"/>
  <c r="S561" i="1"/>
  <c r="Q293" i="8"/>
  <c r="Q292" i="8" s="1"/>
  <c r="Q295" i="8"/>
  <c r="Q294" i="8" s="1"/>
  <c r="Q299" i="8"/>
  <c r="Q298" i="8" s="1"/>
  <c r="P165" i="8"/>
  <c r="P164" i="8" s="1"/>
  <c r="P285" i="8"/>
  <c r="P284" i="8" s="1"/>
  <c r="G481" i="1"/>
  <c r="I429" i="1"/>
  <c r="R951" i="1"/>
  <c r="R954" i="1" s="1"/>
  <c r="R962" i="1"/>
  <c r="R930" i="1"/>
  <c r="R947" i="1"/>
  <c r="R950" i="1" s="1"/>
  <c r="N997" i="1"/>
  <c r="N933" i="1"/>
  <c r="N999" i="1" s="1"/>
  <c r="L1001" i="1"/>
  <c r="L990" i="1" s="1"/>
  <c r="L1210" i="1" s="1"/>
  <c r="L201" i="7" s="1"/>
  <c r="P1001" i="1"/>
  <c r="P990" i="1" s="1"/>
  <c r="P1210" i="1" s="1"/>
  <c r="P201" i="7" s="1"/>
  <c r="Q965" i="1"/>
  <c r="Q1002" i="1" s="1"/>
  <c r="Q1000" i="1"/>
  <c r="S644" i="1"/>
  <c r="I380" i="1"/>
  <c r="I381" i="1" s="1"/>
  <c r="S564" i="1"/>
  <c r="Q1328" i="1"/>
  <c r="Q324" i="7" s="1"/>
  <c r="Q1218" i="1"/>
  <c r="Q209" i="7" s="1"/>
  <c r="S272" i="1"/>
  <c r="R273" i="1"/>
  <c r="R1102" i="1"/>
  <c r="Q1130" i="1"/>
  <c r="Q1489" i="1" s="1"/>
  <c r="Q1104" i="1"/>
  <c r="Q1101" i="1" s="1"/>
  <c r="P87" i="8"/>
  <c r="P86" i="8" s="1"/>
  <c r="R738" i="1"/>
  <c r="R1275" i="1"/>
  <c r="R269" i="7" s="1"/>
  <c r="R1008" i="1"/>
  <c r="R2008" i="1"/>
  <c r="R280" i="1"/>
  <c r="R724" i="1"/>
  <c r="R230" i="1"/>
  <c r="R695" i="1"/>
  <c r="R158" i="7" s="1"/>
  <c r="R1197" i="1"/>
  <c r="R188" i="7" s="1"/>
  <c r="R768" i="1"/>
  <c r="R1096" i="1"/>
  <c r="R1459" i="1"/>
  <c r="R820" i="1"/>
  <c r="R676" i="1"/>
  <c r="R138" i="7" s="1"/>
  <c r="R621" i="1"/>
  <c r="R1657" i="1"/>
  <c r="R541" i="7" s="1"/>
  <c r="R102" i="1"/>
  <c r="R1" i="7" s="1"/>
  <c r="R661" i="1"/>
  <c r="R1165" i="1"/>
  <c r="R866" i="1"/>
  <c r="R1931" i="1"/>
  <c r="R1785" i="1"/>
  <c r="R669" i="1"/>
  <c r="R130" i="7" s="1"/>
  <c r="R1073" i="1"/>
  <c r="R1554" i="1"/>
  <c r="R434" i="7" s="1"/>
  <c r="R1711" i="1"/>
  <c r="R596" i="7" s="1"/>
  <c r="R921" i="1"/>
  <c r="R748" i="1"/>
  <c r="R1319" i="1"/>
  <c r="R315" i="7" s="1"/>
  <c r="R1957" i="1"/>
  <c r="R1859" i="1"/>
  <c r="T152" i="1"/>
  <c r="T51" i="7" s="1"/>
  <c r="S151" i="1"/>
  <c r="S50" i="7" s="1"/>
  <c r="S600" i="1"/>
  <c r="S1477" i="1" s="1"/>
  <c r="S464" i="1"/>
  <c r="S601" i="1" s="1"/>
  <c r="U29" i="1"/>
  <c r="T486" i="1"/>
  <c r="T311" i="1"/>
  <c r="T309" i="1"/>
  <c r="T641" i="1"/>
  <c r="T529" i="1"/>
  <c r="T330" i="1"/>
  <c r="T487" i="1"/>
  <c r="T383" i="1"/>
  <c r="T630" i="1"/>
  <c r="T292" i="1"/>
  <c r="T555" i="1" s="1"/>
  <c r="T357" i="1"/>
  <c r="T471" i="1"/>
  <c r="T605" i="1" s="1"/>
  <c r="T639" i="1"/>
  <c r="T290" i="1"/>
  <c r="T492" i="1"/>
  <c r="T377" i="1"/>
  <c r="T30" i="1"/>
  <c r="T526" i="1"/>
  <c r="T336" i="1"/>
  <c r="T315" i="1"/>
  <c r="T310" i="1"/>
  <c r="T468" i="1"/>
  <c r="T470" i="1"/>
  <c r="T603" i="1" s="1"/>
  <c r="T488" i="1"/>
  <c r="T353" i="1"/>
  <c r="T379" i="1"/>
  <c r="T331" i="1"/>
  <c r="T469" i="1"/>
  <c r="T602" i="1" s="1"/>
  <c r="T631" i="1"/>
  <c r="T332" i="1"/>
  <c r="T291" i="1"/>
  <c r="T554" i="1" s="1"/>
  <c r="T352" i="1"/>
  <c r="T351" i="1"/>
  <c r="T378" i="1"/>
  <c r="T628" i="1"/>
  <c r="T638" i="1" s="1"/>
  <c r="S568" i="1"/>
  <c r="S562" i="1"/>
  <c r="R472" i="8"/>
  <c r="R471" i="8" s="1"/>
  <c r="R464" i="8"/>
  <c r="R463" i="8" s="1"/>
  <c r="R317" i="8"/>
  <c r="R315" i="8"/>
  <c r="R307" i="8"/>
  <c r="R297" i="8"/>
  <c r="R296" i="8" s="1"/>
  <c r="R287" i="8"/>
  <c r="R167" i="8"/>
  <c r="R161" i="8"/>
  <c r="R159" i="8"/>
  <c r="R116" i="8"/>
  <c r="R115" i="8" s="1"/>
  <c r="R113" i="8"/>
  <c r="R112" i="8" s="1"/>
  <c r="R96" i="8"/>
  <c r="R94" i="8"/>
  <c r="R92" i="8"/>
  <c r="R80" i="8"/>
  <c r="R53" i="8"/>
  <c r="S33" i="8"/>
  <c r="R34" i="8"/>
  <c r="Q762" i="8"/>
  <c r="Q836" i="8"/>
  <c r="Q691" i="8"/>
  <c r="Q767" i="8"/>
  <c r="Q303" i="8"/>
  <c r="Q302" i="8" s="1"/>
  <c r="Q73" i="8"/>
  <c r="Q81" i="8"/>
  <c r="Q75" i="8"/>
  <c r="T31" i="1"/>
  <c r="S32" i="1"/>
  <c r="S75" i="1" s="1"/>
  <c r="T1099" i="1"/>
  <c r="U92" i="1"/>
  <c r="V91" i="1"/>
  <c r="S729" i="1"/>
  <c r="R726" i="1"/>
  <c r="S293" i="1"/>
  <c r="S556" i="1" s="1"/>
  <c r="S1473" i="1" s="1"/>
  <c r="S553" i="1"/>
  <c r="S576" i="1"/>
  <c r="R601" i="1"/>
  <c r="R98" i="1"/>
  <c r="R1103" i="1" s="1"/>
  <c r="S95" i="1"/>
  <c r="P836" i="8"/>
  <c r="P762" i="8"/>
  <c r="Q78" i="8"/>
  <c r="Q77" i="8" s="1"/>
  <c r="Q110" i="8"/>
  <c r="Q109" i="8" s="1"/>
  <c r="Q98" i="8"/>
  <c r="Q97" i="8" s="1"/>
  <c r="H354" i="1"/>
  <c r="H355" i="1" s="1"/>
  <c r="I324" i="1"/>
  <c r="I323" i="1"/>
  <c r="H565" i="1"/>
  <c r="R785" i="8"/>
  <c r="Q239" i="1"/>
  <c r="R242" i="1" s="1"/>
  <c r="R243" i="1" s="1"/>
  <c r="R248" i="1"/>
  <c r="S251" i="1" s="1"/>
  <c r="S252" i="1" s="1"/>
  <c r="S257" i="1"/>
  <c r="T260" i="1" s="1"/>
  <c r="T261" i="1" s="1"/>
  <c r="P934" i="8"/>
  <c r="P912" i="8"/>
  <c r="P763" i="8"/>
  <c r="P939" i="8"/>
  <c r="P913" i="8"/>
  <c r="Q71" i="8"/>
  <c r="Q2023" i="1"/>
  <c r="Q1800" i="1"/>
  <c r="Q1946" i="1"/>
  <c r="R1863" i="1"/>
  <c r="S1864" i="1" s="1"/>
  <c r="S1862" i="1"/>
  <c r="P567" i="8"/>
  <c r="P822" i="8"/>
  <c r="P125" i="8"/>
  <c r="P438" i="8"/>
  <c r="P66" i="8"/>
  <c r="P896" i="8"/>
  <c r="P268" i="8"/>
  <c r="P746" i="8"/>
  <c r="P924" i="8"/>
  <c r="P39" i="8"/>
  <c r="P670" i="8"/>
  <c r="P835" i="8"/>
  <c r="P937" i="8"/>
  <c r="P764" i="8"/>
  <c r="P940" i="8"/>
  <c r="R1347" i="1"/>
  <c r="R343" i="7" s="1"/>
  <c r="R1183" i="1"/>
  <c r="R1337" i="1"/>
  <c r="R333" i="7" s="1"/>
  <c r="R1172" i="1"/>
  <c r="Q2021" i="1"/>
  <c r="Q1870" i="1"/>
  <c r="Q904" i="8"/>
  <c r="T753" i="8"/>
  <c r="U753" i="8" s="1"/>
  <c r="R148" i="1"/>
  <c r="R47" i="7" s="1"/>
  <c r="R1348" i="1"/>
  <c r="R344" i="7" s="1"/>
  <c r="R1190" i="1"/>
  <c r="S609" i="1"/>
  <c r="S586" i="1"/>
  <c r="S598" i="1"/>
  <c r="S559" i="1"/>
  <c r="T88" i="1"/>
  <c r="S551" i="1"/>
  <c r="S1122" i="1"/>
  <c r="S1123" i="1"/>
  <c r="S1988" i="1"/>
  <c r="S770" i="1"/>
  <c r="S805" i="1"/>
  <c r="S1984" i="1"/>
  <c r="S1990" i="1"/>
  <c r="S1985" i="1"/>
  <c r="S1989" i="1"/>
  <c r="S1075" i="1"/>
  <c r="S804" i="1"/>
  <c r="S973" i="1" s="1"/>
  <c r="S806" i="1"/>
  <c r="S715" i="1"/>
  <c r="S178" i="7" s="1"/>
  <c r="S807" i="1"/>
  <c r="S1983" i="1"/>
  <c r="S809" i="1"/>
  <c r="S1013" i="1" s="1"/>
  <c r="S716" i="1"/>
  <c r="S179" i="7" s="1"/>
  <c r="S817" i="1"/>
  <c r="S714" i="1"/>
  <c r="S177" i="7" s="1"/>
  <c r="S812" i="1"/>
  <c r="S718" i="1"/>
  <c r="S181" i="7" s="1"/>
  <c r="S808" i="1"/>
  <c r="S937" i="1" s="1"/>
  <c r="S811" i="1"/>
  <c r="S652" i="1"/>
  <c r="S124" i="1" s="1"/>
  <c r="S23" i="7" s="1"/>
  <c r="S655" i="1"/>
  <c r="S658" i="1"/>
  <c r="S657" i="1"/>
  <c r="S656" i="1"/>
  <c r="S654" i="1"/>
  <c r="S650" i="1"/>
  <c r="S1335" i="1" s="1"/>
  <c r="S331" i="7" s="1"/>
  <c r="R1336" i="1"/>
  <c r="R332" i="7" s="1"/>
  <c r="R1171" i="1"/>
  <c r="R76" i="8" s="1"/>
  <c r="R902" i="8"/>
  <c r="R903" i="8" s="1"/>
  <c r="S901" i="8"/>
  <c r="Q1051" i="1"/>
  <c r="R925" i="1"/>
  <c r="R1334" i="1"/>
  <c r="R330" i="7" s="1"/>
  <c r="R1169" i="1"/>
  <c r="R72" i="8" s="1"/>
  <c r="R618" i="1"/>
  <c r="R1338" i="1"/>
  <c r="R334" i="7" s="1"/>
  <c r="R1174" i="1"/>
  <c r="Q2024" i="1"/>
  <c r="Q1801" i="1"/>
  <c r="P266" i="1"/>
  <c r="Q268" i="1" s="1"/>
  <c r="Q269" i="1" s="1"/>
  <c r="Q1495" i="1"/>
  <c r="R163" i="1"/>
  <c r="R62" i="7" s="1"/>
  <c r="S164" i="1"/>
  <c r="S63" i="7" s="1"/>
  <c r="R827" i="8"/>
  <c r="Q828" i="8"/>
  <c r="R829" i="8" s="1"/>
  <c r="M779" i="1"/>
  <c r="L784" i="1"/>
  <c r="M783" i="1" s="1"/>
  <c r="L1667" i="1"/>
  <c r="S748" i="8"/>
  <c r="S749" i="8" s="1"/>
  <c r="S754" i="8" s="1"/>
  <c r="T755" i="8" s="1"/>
  <c r="T672" i="8"/>
  <c r="U672" i="8" s="1"/>
  <c r="S898" i="8"/>
  <c r="S899" i="8" s="1"/>
  <c r="S673" i="8"/>
  <c r="S678" i="8" s="1"/>
  <c r="T679" i="8" s="1"/>
  <c r="S824" i="8"/>
  <c r="S825" i="8" s="1"/>
  <c r="S859" i="8" s="1"/>
  <c r="T1790" i="1"/>
  <c r="U1790" i="1" s="1"/>
  <c r="S1791" i="1"/>
  <c r="T1792" i="1" s="1"/>
  <c r="P89" i="8"/>
  <c r="Q162" i="1"/>
  <c r="Q61" i="7" s="1"/>
  <c r="R167" i="1"/>
  <c r="R66" i="7" s="1"/>
  <c r="Q1945" i="1"/>
  <c r="Q2018" i="1"/>
  <c r="R709" i="8"/>
  <c r="Q36" i="8"/>
  <c r="R35" i="8"/>
  <c r="R1344" i="1"/>
  <c r="R340" i="7" s="1"/>
  <c r="R1179" i="1"/>
  <c r="R90" i="8" s="1"/>
  <c r="R1333" i="1"/>
  <c r="R329" i="7" s="1"/>
  <c r="R1170" i="1"/>
  <c r="Q1177" i="1"/>
  <c r="Q89" i="8"/>
  <c r="I312" i="1"/>
  <c r="I313" i="1" s="1"/>
  <c r="J303" i="1" s="1"/>
  <c r="S828" i="1" l="1"/>
  <c r="S823" i="1"/>
  <c r="S822" i="1"/>
  <c r="T581" i="1"/>
  <c r="R194" i="1"/>
  <c r="Q93" i="7"/>
  <c r="U824" i="1"/>
  <c r="T825" i="1"/>
  <c r="T149" i="1"/>
  <c r="S48" i="7"/>
  <c r="X705" i="1"/>
  <c r="X168" i="7" s="1"/>
  <c r="R855" i="1"/>
  <c r="R1021" i="1" s="1"/>
  <c r="R830" i="1"/>
  <c r="R836" i="1"/>
  <c r="R863" i="1" s="1"/>
  <c r="R1017" i="1" s="1"/>
  <c r="R1015" i="1" s="1"/>
  <c r="R1465" i="1" s="1"/>
  <c r="R204" i="1"/>
  <c r="Q103" i="7"/>
  <c r="P858" i="1"/>
  <c r="P993" i="1" s="1"/>
  <c r="P1323" i="1" s="1"/>
  <c r="P275" i="8" s="1"/>
  <c r="P274" i="8" s="1"/>
  <c r="Q856" i="1"/>
  <c r="S854" i="1"/>
  <c r="S926" i="1" s="1"/>
  <c r="U520" i="1"/>
  <c r="U519" i="1"/>
  <c r="U518" i="1"/>
  <c r="U524" i="1"/>
  <c r="U402" i="1"/>
  <c r="U407" i="1"/>
  <c r="R829" i="1"/>
  <c r="S95" i="7"/>
  <c r="T196" i="1"/>
  <c r="R223" i="1"/>
  <c r="Q122" i="7"/>
  <c r="K334" i="7"/>
  <c r="K1945" i="1"/>
  <c r="K2018" i="1"/>
  <c r="K303" i="8"/>
  <c r="K302" i="8" s="1"/>
  <c r="Q835" i="1"/>
  <c r="R834" i="1" s="1"/>
  <c r="Q1668" i="1"/>
  <c r="Q552" i="7" s="1"/>
  <c r="S829" i="1"/>
  <c r="S856" i="1" s="1"/>
  <c r="G1321" i="1"/>
  <c r="G317" i="7" s="1"/>
  <c r="K1181" i="1"/>
  <c r="K94" i="8" s="1"/>
  <c r="K93" i="8" s="1"/>
  <c r="K1087" i="1"/>
  <c r="Q831" i="1"/>
  <c r="Q858" i="1" s="1"/>
  <c r="Q857" i="1"/>
  <c r="K977" i="1"/>
  <c r="K1005" i="1" s="1"/>
  <c r="N1033" i="1"/>
  <c r="P1033" i="1"/>
  <c r="X709" i="1"/>
  <c r="N1030" i="1"/>
  <c r="U709" i="1"/>
  <c r="P1030" i="1"/>
  <c r="Q705" i="1"/>
  <c r="AE706" i="1"/>
  <c r="AE169" i="7" s="1"/>
  <c r="F1017" i="1"/>
  <c r="F1015" i="1" s="1"/>
  <c r="F1465" i="1" s="1"/>
  <c r="F449" i="8" s="1"/>
  <c r="F448" i="8" s="1"/>
  <c r="V169" i="7"/>
  <c r="V709" i="1"/>
  <c r="N1001" i="1"/>
  <c r="N990" i="1" s="1"/>
  <c r="N1210" i="1" s="1"/>
  <c r="N149" i="8" s="1"/>
  <c r="N148" i="8" s="1"/>
  <c r="M993" i="1"/>
  <c r="M1323" i="1" s="1"/>
  <c r="M275" i="8" s="1"/>
  <c r="M274" i="8" s="1"/>
  <c r="Q992" i="1"/>
  <c r="Q1322" i="1" s="1"/>
  <c r="I720" i="1"/>
  <c r="I183" i="7" s="1"/>
  <c r="I174" i="7"/>
  <c r="I717" i="1"/>
  <c r="I180" i="7" s="1"/>
  <c r="I171" i="7"/>
  <c r="R714" i="1"/>
  <c r="R168" i="7"/>
  <c r="Z710" i="1"/>
  <c r="Z173" i="7" s="1"/>
  <c r="Z172" i="7"/>
  <c r="H46" i="7"/>
  <c r="H985" i="1"/>
  <c r="H945" i="1"/>
  <c r="H996" i="1" s="1"/>
  <c r="H793" i="1"/>
  <c r="H794" i="1"/>
  <c r="H808" i="1" s="1"/>
  <c r="H807" i="1"/>
  <c r="F184" i="7"/>
  <c r="F1034" i="1"/>
  <c r="F1488" i="1" s="1"/>
  <c r="F492" i="8" s="1"/>
  <c r="F491" i="8" s="1"/>
  <c r="P179" i="7"/>
  <c r="P107" i="1"/>
  <c r="O7" i="7"/>
  <c r="O1051" i="1"/>
  <c r="G977" i="1"/>
  <c r="G1005" i="1" s="1"/>
  <c r="G1003" i="1"/>
  <c r="I993" i="1"/>
  <c r="I1323" i="1" s="1"/>
  <c r="H977" i="1"/>
  <c r="H1005" i="1" s="1"/>
  <c r="H1003" i="1"/>
  <c r="I965" i="1"/>
  <c r="I1002" i="1" s="1"/>
  <c r="I1000" i="1"/>
  <c r="I977" i="1"/>
  <c r="I1005" i="1" s="1"/>
  <c r="I1003" i="1"/>
  <c r="O965" i="1"/>
  <c r="O1002" i="1" s="1"/>
  <c r="O1000" i="1"/>
  <c r="R716" i="1"/>
  <c r="R170" i="7"/>
  <c r="N797" i="1"/>
  <c r="N812" i="1" s="1"/>
  <c r="N811" i="1"/>
  <c r="R797" i="1"/>
  <c r="R812" i="1" s="1"/>
  <c r="R811" i="1"/>
  <c r="Q716" i="1"/>
  <c r="Q1199" i="1" s="1"/>
  <c r="Q190" i="7" s="1"/>
  <c r="Q170" i="7"/>
  <c r="P992" i="1"/>
  <c r="P1322" i="1" s="1"/>
  <c r="I1321" i="1"/>
  <c r="H720" i="1"/>
  <c r="H183" i="7" s="1"/>
  <c r="H174" i="7"/>
  <c r="G717" i="1"/>
  <c r="G180" i="7" s="1"/>
  <c r="G171" i="7"/>
  <c r="X710" i="1"/>
  <c r="X173" i="7" s="1"/>
  <c r="X172" i="7"/>
  <c r="W710" i="1"/>
  <c r="W173" i="7" s="1"/>
  <c r="W172" i="7"/>
  <c r="P719" i="1"/>
  <c r="P182" i="7" s="1"/>
  <c r="P173" i="7"/>
  <c r="I46" i="7"/>
  <c r="I945" i="1"/>
  <c r="I996" i="1" s="1"/>
  <c r="I985" i="1"/>
  <c r="O993" i="1"/>
  <c r="O1323" i="1" s="1"/>
  <c r="N179" i="7"/>
  <c r="N107" i="1"/>
  <c r="H572" i="8"/>
  <c r="H926" i="8"/>
  <c r="H573" i="8"/>
  <c r="H993" i="1"/>
  <c r="H1323" i="1" s="1"/>
  <c r="G794" i="1"/>
  <c r="G808" i="1" s="1"/>
  <c r="G793" i="1"/>
  <c r="G807" i="1"/>
  <c r="N319" i="7"/>
  <c r="N275" i="8"/>
  <c r="N274" i="8" s="1"/>
  <c r="F1000" i="1"/>
  <c r="F965" i="1"/>
  <c r="F1002" i="1" s="1"/>
  <c r="F977" i="1"/>
  <c r="F1005" i="1" s="1"/>
  <c r="F1003" i="1"/>
  <c r="G720" i="1"/>
  <c r="G183" i="7" s="1"/>
  <c r="G174" i="7"/>
  <c r="S710" i="1"/>
  <c r="S172" i="7"/>
  <c r="AC710" i="1"/>
  <c r="AC173" i="7" s="1"/>
  <c r="AC172" i="7"/>
  <c r="H317" i="7"/>
  <c r="H271" i="8"/>
  <c r="H270" i="8" s="1"/>
  <c r="I794" i="1"/>
  <c r="I808" i="1" s="1"/>
  <c r="I793" i="1"/>
  <c r="I807" i="1"/>
  <c r="I572" i="8"/>
  <c r="I573" i="8"/>
  <c r="I926" i="8"/>
  <c r="F796" i="1"/>
  <c r="F794" i="1"/>
  <c r="F808" i="1" s="1"/>
  <c r="F793" i="1"/>
  <c r="F807" i="1"/>
  <c r="I933" i="1"/>
  <c r="AA710" i="1"/>
  <c r="AA173" i="7" s="1"/>
  <c r="AA172" i="7"/>
  <c r="O716" i="1"/>
  <c r="O1199" i="1" s="1"/>
  <c r="O190" i="7" s="1"/>
  <c r="O170" i="7"/>
  <c r="G7" i="7"/>
  <c r="G1051" i="1"/>
  <c r="F933" i="1"/>
  <c r="F720" i="1"/>
  <c r="F183" i="7" s="1"/>
  <c r="F174" i="7"/>
  <c r="F1703" i="1"/>
  <c r="F587" i="7" s="1"/>
  <c r="F584" i="7"/>
  <c r="H717" i="1"/>
  <c r="H180" i="7" s="1"/>
  <c r="H171" i="7"/>
  <c r="N719" i="1"/>
  <c r="N182" i="7" s="1"/>
  <c r="N173" i="7"/>
  <c r="U710" i="1"/>
  <c r="U173" i="7" s="1"/>
  <c r="U172" i="7"/>
  <c r="Q714" i="1"/>
  <c r="Q177" i="7" s="1"/>
  <c r="Q168" i="7"/>
  <c r="AB710" i="1"/>
  <c r="AB173" i="7" s="1"/>
  <c r="AB172" i="7"/>
  <c r="O714" i="1"/>
  <c r="O168" i="7"/>
  <c r="Y710" i="1"/>
  <c r="Y173" i="7" s="1"/>
  <c r="Y172" i="7"/>
  <c r="H7" i="7"/>
  <c r="H1051" i="1"/>
  <c r="I7" i="7"/>
  <c r="I1051" i="1"/>
  <c r="O793" i="1"/>
  <c r="O794" i="1"/>
  <c r="O808" i="1" s="1"/>
  <c r="O120" i="1" s="1"/>
  <c r="O19" i="7" s="1"/>
  <c r="O807" i="1"/>
  <c r="G933" i="1"/>
  <c r="G1000" i="1"/>
  <c r="G965" i="1"/>
  <c r="G1002" i="1" s="1"/>
  <c r="H933" i="1"/>
  <c r="H965" i="1"/>
  <c r="H1002" i="1" s="1"/>
  <c r="H1000" i="1"/>
  <c r="F7" i="7"/>
  <c r="F1051" i="1"/>
  <c r="N201" i="7"/>
  <c r="T710" i="1"/>
  <c r="T173" i="7" s="1"/>
  <c r="T172" i="7"/>
  <c r="J993" i="1"/>
  <c r="J1323" i="1" s="1"/>
  <c r="J997" i="1"/>
  <c r="J933" i="1"/>
  <c r="J999" i="1" s="1"/>
  <c r="J977" i="1"/>
  <c r="J1005" i="1" s="1"/>
  <c r="J1003" i="1"/>
  <c r="L993" i="1"/>
  <c r="L1323" i="1" s="1"/>
  <c r="L319" i="7" s="1"/>
  <c r="J7" i="7"/>
  <c r="J1051" i="1"/>
  <c r="J1000" i="1"/>
  <c r="J965" i="1"/>
  <c r="J1002" i="1" s="1"/>
  <c r="K993" i="1"/>
  <c r="K1323" i="1" s="1"/>
  <c r="K275" i="8" s="1"/>
  <c r="K274" i="8" s="1"/>
  <c r="J794" i="1"/>
  <c r="J808" i="1" s="1"/>
  <c r="J120" i="1" s="1"/>
  <c r="J19" i="7" s="1"/>
  <c r="J793" i="1"/>
  <c r="J807" i="1"/>
  <c r="M714" i="1"/>
  <c r="M177" i="7" s="1"/>
  <c r="M168" i="7"/>
  <c r="K714" i="1"/>
  <c r="K177" i="7" s="1"/>
  <c r="K168" i="7"/>
  <c r="L797" i="1"/>
  <c r="L812" i="1" s="1"/>
  <c r="L811" i="1"/>
  <c r="J609" i="1"/>
  <c r="J499" i="1"/>
  <c r="AE494" i="1"/>
  <c r="AE791" i="1"/>
  <c r="K806" i="1"/>
  <c r="K108" i="1" s="1"/>
  <c r="L716" i="1"/>
  <c r="L1199" i="1" s="1"/>
  <c r="L190" i="7" s="1"/>
  <c r="L170" i="7"/>
  <c r="K793" i="1"/>
  <c r="K794" i="1"/>
  <c r="AE792" i="1"/>
  <c r="K807" i="1"/>
  <c r="M997" i="1"/>
  <c r="M933" i="1"/>
  <c r="M999" i="1" s="1"/>
  <c r="K716" i="1"/>
  <c r="K1199" i="1" s="1"/>
  <c r="K190" i="7" s="1"/>
  <c r="K170" i="7"/>
  <c r="L1676" i="1"/>
  <c r="L551" i="7"/>
  <c r="M319" i="7"/>
  <c r="K997" i="1"/>
  <c r="K933" i="1"/>
  <c r="K999" i="1" s="1"/>
  <c r="K1679" i="1"/>
  <c r="K563" i="7" s="1"/>
  <c r="K560" i="7"/>
  <c r="M7" i="7"/>
  <c r="M1051" i="1"/>
  <c r="M965" i="1"/>
  <c r="M1002" i="1" s="1"/>
  <c r="M1000" i="1"/>
  <c r="K319" i="7"/>
  <c r="L714" i="1"/>
  <c r="L177" i="7" s="1"/>
  <c r="L168" i="7"/>
  <c r="K1000" i="1"/>
  <c r="K965" i="1"/>
  <c r="K1002" i="1" s="1"/>
  <c r="M794" i="1"/>
  <c r="M808" i="1" s="1"/>
  <c r="M120" i="1" s="1"/>
  <c r="M19" i="7" s="1"/>
  <c r="M793" i="1"/>
  <c r="M807" i="1"/>
  <c r="M716" i="1"/>
  <c r="M1199" i="1" s="1"/>
  <c r="M190" i="7" s="1"/>
  <c r="M170" i="7"/>
  <c r="L998" i="1"/>
  <c r="L986" i="1" s="1"/>
  <c r="L1206" i="1" s="1"/>
  <c r="O1033" i="1"/>
  <c r="O177" i="7"/>
  <c r="N522" i="1"/>
  <c r="O513" i="1" s="1"/>
  <c r="O521" i="1" s="1"/>
  <c r="T145" i="1"/>
  <c r="T44" i="7" s="1"/>
  <c r="O1030" i="1"/>
  <c r="M710" i="1"/>
  <c r="M718" i="1"/>
  <c r="M181" i="7" s="1"/>
  <c r="L148" i="1"/>
  <c r="L47" i="7" s="1"/>
  <c r="Q1033" i="1"/>
  <c r="N147" i="1"/>
  <c r="N46" i="7" s="1"/>
  <c r="K1030" i="1"/>
  <c r="K710" i="1"/>
  <c r="K718" i="1"/>
  <c r="K181" i="7" s="1"/>
  <c r="O148" i="1"/>
  <c r="O47" i="7" s="1"/>
  <c r="J1199" i="1"/>
  <c r="J190" i="7" s="1"/>
  <c r="J148" i="1"/>
  <c r="J47" i="7" s="1"/>
  <c r="P128" i="8"/>
  <c r="P127" i="8" s="1"/>
  <c r="P926" i="8" s="1"/>
  <c r="P2010" i="1"/>
  <c r="R710" i="1"/>
  <c r="R718" i="1"/>
  <c r="R181" i="7" s="1"/>
  <c r="M148" i="1"/>
  <c r="M47" i="7" s="1"/>
  <c r="N1321" i="1"/>
  <c r="N317" i="7" s="1"/>
  <c r="L710" i="1"/>
  <c r="L718" i="1"/>
  <c r="L181" i="7" s="1"/>
  <c r="J107" i="1"/>
  <c r="J6" i="7" s="1"/>
  <c r="Q148" i="1"/>
  <c r="Q47" i="7" s="1"/>
  <c r="Q710" i="1"/>
  <c r="Q718" i="1"/>
  <c r="Q181" i="7" s="1"/>
  <c r="M1030" i="1"/>
  <c r="M1033" i="1"/>
  <c r="N2010" i="1"/>
  <c r="N128" i="8"/>
  <c r="N127" i="8" s="1"/>
  <c r="N926" i="8" s="1"/>
  <c r="K148" i="1"/>
  <c r="K47" i="7" s="1"/>
  <c r="O710" i="1"/>
  <c r="O718" i="1"/>
  <c r="O181" i="7" s="1"/>
  <c r="J714" i="1"/>
  <c r="J177" i="7" s="1"/>
  <c r="AC712" i="1"/>
  <c r="AC175" i="7" s="1"/>
  <c r="Z712" i="1"/>
  <c r="Z175" i="7" s="1"/>
  <c r="O712" i="1"/>
  <c r="O175" i="7" s="1"/>
  <c r="L712" i="1"/>
  <c r="L175" i="7" s="1"/>
  <c r="AB712" i="1"/>
  <c r="U712" i="1"/>
  <c r="U175" i="7" s="1"/>
  <c r="K712" i="1"/>
  <c r="K175" i="7" s="1"/>
  <c r="W712" i="1"/>
  <c r="W175" i="7" s="1"/>
  <c r="AA712" i="1"/>
  <c r="X712" i="1"/>
  <c r="X175" i="7" s="1"/>
  <c r="Y712" i="1"/>
  <c r="Y175" i="7" s="1"/>
  <c r="AE709" i="1"/>
  <c r="AE172" i="7" s="1"/>
  <c r="S712" i="1"/>
  <c r="S175" i="7" s="1"/>
  <c r="J712" i="1"/>
  <c r="J175" i="7" s="1"/>
  <c r="N712" i="1"/>
  <c r="N175" i="7" s="1"/>
  <c r="T712" i="1"/>
  <c r="T721" i="1" s="1"/>
  <c r="T184" i="7" s="1"/>
  <c r="M712" i="1"/>
  <c r="M175" i="7" s="1"/>
  <c r="R712" i="1"/>
  <c r="R175" i="7" s="1"/>
  <c r="V712" i="1"/>
  <c r="V175" i="7" s="1"/>
  <c r="P712" i="1"/>
  <c r="P175" i="7" s="1"/>
  <c r="Q712" i="1"/>
  <c r="Q175" i="7" s="1"/>
  <c r="J710" i="1"/>
  <c r="J173" i="7" s="1"/>
  <c r="J718" i="1"/>
  <c r="J181" i="7" s="1"/>
  <c r="P147" i="1"/>
  <c r="P46" i="7" s="1"/>
  <c r="G993" i="1"/>
  <c r="G1323" i="1" s="1"/>
  <c r="G319" i="7" s="1"/>
  <c r="G945" i="1"/>
  <c r="G996" i="1" s="1"/>
  <c r="G985" i="1"/>
  <c r="H1692" i="1"/>
  <c r="H576" i="7" s="1"/>
  <c r="H861" i="1"/>
  <c r="H982" i="1" s="1"/>
  <c r="H1203" i="1" s="1"/>
  <c r="H194" i="7" s="1"/>
  <c r="F133" i="8"/>
  <c r="F132" i="8" s="1"/>
  <c r="F1701" i="1"/>
  <c r="F585" i="7" s="1"/>
  <c r="F1697" i="1"/>
  <c r="F581" i="7" s="1"/>
  <c r="F1693" i="1"/>
  <c r="F577" i="7" s="1"/>
  <c r="F1689" i="1"/>
  <c r="F1687" i="1"/>
  <c r="F571" i="7" s="1"/>
  <c r="F1694" i="1"/>
  <c r="F578" i="7" s="1"/>
  <c r="F1704" i="1"/>
  <c r="F1698" i="1"/>
  <c r="F582" i="7" s="1"/>
  <c r="F1695" i="1"/>
  <c r="F579" i="7" s="1"/>
  <c r="F1690" i="1"/>
  <c r="F574" i="7" s="1"/>
  <c r="F1688" i="1"/>
  <c r="F572" i="7" s="1"/>
  <c r="F1696" i="1"/>
  <c r="F580" i="7" s="1"/>
  <c r="F1031" i="1"/>
  <c r="G926" i="8"/>
  <c r="G572" i="8"/>
  <c r="G573" i="8"/>
  <c r="H851" i="1"/>
  <c r="G1692" i="1"/>
  <c r="G861" i="1"/>
  <c r="G862" i="1" s="1"/>
  <c r="H1031" i="1"/>
  <c r="I959" i="1"/>
  <c r="I913" i="1"/>
  <c r="I960" i="1" s="1"/>
  <c r="G913" i="1"/>
  <c r="G960" i="1" s="1"/>
  <c r="G959" i="1"/>
  <c r="H942" i="1"/>
  <c r="H912" i="1"/>
  <c r="H943" i="1" s="1"/>
  <c r="F913" i="1"/>
  <c r="F960" i="1" s="1"/>
  <c r="F959" i="1"/>
  <c r="F115" i="1"/>
  <c r="F14" i="7" s="1"/>
  <c r="I914" i="1"/>
  <c r="I971" i="1" s="1"/>
  <c r="I970" i="1"/>
  <c r="H970" i="1"/>
  <c r="H914" i="1"/>
  <c r="H971" i="1" s="1"/>
  <c r="H870" i="1"/>
  <c r="H905" i="1" s="1"/>
  <c r="H918" i="1"/>
  <c r="F970" i="1"/>
  <c r="F914" i="1"/>
  <c r="F971" i="1" s="1"/>
  <c r="F135" i="8"/>
  <c r="F134" i="8" s="1"/>
  <c r="I116" i="1"/>
  <c r="I15" i="7" s="1"/>
  <c r="G1034" i="1"/>
  <c r="F271" i="8"/>
  <c r="F270" i="8" s="1"/>
  <c r="F216" i="1"/>
  <c r="F115" i="7" s="1"/>
  <c r="I850" i="1"/>
  <c r="I800" i="1"/>
  <c r="H730" i="1"/>
  <c r="I733" i="1"/>
  <c r="H1691" i="1"/>
  <c r="H575" i="7" s="1"/>
  <c r="H815" i="1"/>
  <c r="F1674" i="1"/>
  <c r="F558" i="7" s="1"/>
  <c r="F1680" i="1"/>
  <c r="F1666" i="1"/>
  <c r="F550" i="7" s="1"/>
  <c r="F1665" i="1"/>
  <c r="F1663" i="1"/>
  <c r="F547" i="7" s="1"/>
  <c r="F1672" i="1"/>
  <c r="F556" i="7" s="1"/>
  <c r="F1671" i="1"/>
  <c r="F555" i="7" s="1"/>
  <c r="F1669" i="1"/>
  <c r="F553" i="7" s="1"/>
  <c r="F1670" i="1"/>
  <c r="F554" i="7" s="1"/>
  <c r="F1664" i="1"/>
  <c r="F548" i="7" s="1"/>
  <c r="F1673" i="1"/>
  <c r="F557" i="7" s="1"/>
  <c r="F1677" i="1"/>
  <c r="F561" i="7" s="1"/>
  <c r="I1031" i="1"/>
  <c r="G271" i="8"/>
  <c r="G270" i="8" s="1"/>
  <c r="F945" i="1"/>
  <c r="F996" i="1" s="1"/>
  <c r="F985" i="1"/>
  <c r="H1488" i="1"/>
  <c r="H492" i="8" s="1"/>
  <c r="H491" i="8" s="1"/>
  <c r="H1032" i="1"/>
  <c r="F1021" i="1"/>
  <c r="F847" i="1"/>
  <c r="AA849" i="1" s="1"/>
  <c r="AE846" i="1"/>
  <c r="F857" i="1"/>
  <c r="G851" i="1"/>
  <c r="G1031" i="1"/>
  <c r="I942" i="1"/>
  <c r="I912" i="1"/>
  <c r="I943" i="1" s="1"/>
  <c r="G870" i="1"/>
  <c r="G905" i="1" s="1"/>
  <c r="G918" i="1"/>
  <c r="G970" i="1"/>
  <c r="G914" i="1"/>
  <c r="G971" i="1" s="1"/>
  <c r="F870" i="1"/>
  <c r="F905" i="1" s="1"/>
  <c r="F918" i="1"/>
  <c r="I918" i="1"/>
  <c r="I870" i="1"/>
  <c r="I905" i="1" s="1"/>
  <c r="H913" i="1"/>
  <c r="H960" i="1" s="1"/>
  <c r="H959" i="1"/>
  <c r="G942" i="1"/>
  <c r="G912" i="1"/>
  <c r="G943" i="1" s="1"/>
  <c r="F942" i="1"/>
  <c r="F912" i="1"/>
  <c r="F943" i="1" s="1"/>
  <c r="F862" i="1"/>
  <c r="F572" i="8"/>
  <c r="F573" i="8"/>
  <c r="F926" i="8"/>
  <c r="I1034" i="1"/>
  <c r="G116" i="1"/>
  <c r="G15" i="7" s="1"/>
  <c r="H116" i="1"/>
  <c r="H15" i="7" s="1"/>
  <c r="U88" i="1"/>
  <c r="T838" i="1"/>
  <c r="T787" i="1"/>
  <c r="AE700" i="1"/>
  <c r="AE163" i="7" s="1"/>
  <c r="T141" i="1"/>
  <c r="T40" i="7" s="1"/>
  <c r="Q138" i="1"/>
  <c r="Q37" i="7" s="1"/>
  <c r="R1748" i="1"/>
  <c r="R633" i="7" s="1"/>
  <c r="S197" i="1"/>
  <c r="S96" i="7" s="1"/>
  <c r="R202" i="1"/>
  <c r="R101" i="7" s="1"/>
  <c r="S143" i="1"/>
  <c r="S42" i="7" s="1"/>
  <c r="T144" i="1"/>
  <c r="T43" i="7" s="1"/>
  <c r="U165" i="1"/>
  <c r="U64" i="7" s="1"/>
  <c r="T198" i="1"/>
  <c r="T97" i="7" s="1"/>
  <c r="T160" i="1"/>
  <c r="T59" i="7" s="1"/>
  <c r="T153" i="1"/>
  <c r="T52" i="7" s="1"/>
  <c r="S199" i="1"/>
  <c r="S98" i="7" s="1"/>
  <c r="S171" i="1"/>
  <c r="S70" i="7" s="1"/>
  <c r="R147" i="1"/>
  <c r="R46" i="7" s="1"/>
  <c r="Q504" i="8"/>
  <c r="Q503" i="8" s="1"/>
  <c r="R303" i="8"/>
  <c r="R302" i="8" s="1"/>
  <c r="R321" i="8"/>
  <c r="R320" i="8" s="1"/>
  <c r="S1469" i="1"/>
  <c r="S1490" i="1"/>
  <c r="R313" i="8"/>
  <c r="R312" i="8" s="1"/>
  <c r="R319" i="8"/>
  <c r="R318" i="8" s="1"/>
  <c r="U431" i="1"/>
  <c r="U426" i="1"/>
  <c r="U425" i="1"/>
  <c r="U427" i="1"/>
  <c r="Q494" i="8"/>
  <c r="Q493" i="8" s="1"/>
  <c r="R293" i="8"/>
  <c r="R292" i="8" s="1"/>
  <c r="S107" i="1"/>
  <c r="S6" i="7" s="1"/>
  <c r="Q285" i="8"/>
  <c r="Q284" i="8" s="1"/>
  <c r="Q165" i="8"/>
  <c r="Q164" i="8" s="1"/>
  <c r="P149" i="8"/>
  <c r="P148" i="8" s="1"/>
  <c r="L149" i="8"/>
  <c r="L148" i="8" s="1"/>
  <c r="G489" i="1"/>
  <c r="J419" i="1"/>
  <c r="J418" i="1"/>
  <c r="S951" i="1"/>
  <c r="S954" i="1" s="1"/>
  <c r="S962" i="1"/>
  <c r="S930" i="1"/>
  <c r="S947" i="1"/>
  <c r="S950" i="1" s="1"/>
  <c r="N998" i="1"/>
  <c r="N986" i="1" s="1"/>
  <c r="N1206" i="1" s="1"/>
  <c r="N197" i="7" s="1"/>
  <c r="O933" i="1"/>
  <c r="O999" i="1" s="1"/>
  <c r="O997" i="1"/>
  <c r="Q1001" i="1"/>
  <c r="Q990" i="1" s="1"/>
  <c r="Q1210" i="1" s="1"/>
  <c r="Q201" i="7" s="1"/>
  <c r="R965" i="1"/>
  <c r="R1002" i="1" s="1"/>
  <c r="R1000" i="1"/>
  <c r="T576" i="1"/>
  <c r="J370" i="1"/>
  <c r="J371" i="1"/>
  <c r="T272" i="1"/>
  <c r="S273" i="1"/>
  <c r="S1102" i="1"/>
  <c r="R1104" i="1"/>
  <c r="R1101" i="1" s="1"/>
  <c r="R1130" i="1"/>
  <c r="R1489" i="1" s="1"/>
  <c r="Q87" i="8"/>
  <c r="Q86" i="8" s="1"/>
  <c r="S709" i="8"/>
  <c r="V88" i="1"/>
  <c r="U1990" i="1"/>
  <c r="U1988" i="1"/>
  <c r="U1984" i="1"/>
  <c r="U1122" i="1"/>
  <c r="U1075" i="1"/>
  <c r="U812" i="1"/>
  <c r="U808" i="1"/>
  <c r="U806" i="1"/>
  <c r="U108" i="1" s="1"/>
  <c r="U7" i="7" s="1"/>
  <c r="U804" i="1"/>
  <c r="U973" i="1" s="1"/>
  <c r="U718" i="1"/>
  <c r="U181" i="7" s="1"/>
  <c r="U716" i="1"/>
  <c r="U179" i="7" s="1"/>
  <c r="U714" i="1"/>
  <c r="U177" i="7" s="1"/>
  <c r="U598" i="1"/>
  <c r="U586" i="1"/>
  <c r="U1989" i="1"/>
  <c r="U1983" i="1"/>
  <c r="U1123" i="1"/>
  <c r="U811" i="1"/>
  <c r="U807" i="1"/>
  <c r="U770" i="1"/>
  <c r="U719" i="1"/>
  <c r="U182" i="7" s="1"/>
  <c r="U715" i="1"/>
  <c r="U178" i="7" s="1"/>
  <c r="U609" i="1"/>
  <c r="U559" i="1"/>
  <c r="U551" i="1"/>
  <c r="U1985" i="1"/>
  <c r="U817" i="1"/>
  <c r="U809" i="1"/>
  <c r="U1013" i="1" s="1"/>
  <c r="U805" i="1"/>
  <c r="U721" i="1"/>
  <c r="U184" i="7" s="1"/>
  <c r="V753" i="8"/>
  <c r="T95" i="1"/>
  <c r="S98" i="1"/>
  <c r="S1103" i="1" s="1"/>
  <c r="S726" i="1"/>
  <c r="T729" i="1"/>
  <c r="S1711" i="1"/>
  <c r="S596" i="7" s="1"/>
  <c r="S1554" i="1"/>
  <c r="S434" i="7" s="1"/>
  <c r="S1073" i="1"/>
  <c r="S669" i="1"/>
  <c r="S130" i="7" s="1"/>
  <c r="S1197" i="1"/>
  <c r="S188" i="7" s="1"/>
  <c r="S1275" i="1"/>
  <c r="S269" i="7" s="1"/>
  <c r="S738" i="1"/>
  <c r="S280" i="1"/>
  <c r="S1957" i="1"/>
  <c r="S748" i="1"/>
  <c r="S1657" i="1"/>
  <c r="S541" i="7" s="1"/>
  <c r="S695" i="1"/>
  <c r="S158" i="7" s="1"/>
  <c r="S661" i="1"/>
  <c r="S230" i="1"/>
  <c r="S1165" i="1"/>
  <c r="S2008" i="1"/>
  <c r="S676" i="1"/>
  <c r="S138" i="7" s="1"/>
  <c r="S820" i="1"/>
  <c r="S1459" i="1"/>
  <c r="S1931" i="1"/>
  <c r="S621" i="1"/>
  <c r="S768" i="1"/>
  <c r="S921" i="1"/>
  <c r="S1859" i="1"/>
  <c r="S1319" i="1"/>
  <c r="S315" i="7" s="1"/>
  <c r="S1785" i="1"/>
  <c r="S1096" i="1"/>
  <c r="S866" i="1"/>
  <c r="S724" i="1"/>
  <c r="S102" i="1"/>
  <c r="S1" i="7" s="1"/>
  <c r="S1008" i="1"/>
  <c r="R52" i="8"/>
  <c r="R79" i="8"/>
  <c r="R93" i="8"/>
  <c r="R98" i="8"/>
  <c r="R97" i="8" s="1"/>
  <c r="R767" i="8"/>
  <c r="R691" i="8"/>
  <c r="R158" i="8"/>
  <c r="R166" i="8"/>
  <c r="R295" i="8"/>
  <c r="R294" i="8" s="1"/>
  <c r="R299" i="8"/>
  <c r="R298" i="8" s="1"/>
  <c r="R306" i="8"/>
  <c r="R316" i="8"/>
  <c r="T562" i="1"/>
  <c r="T645" i="1"/>
  <c r="T643" i="1"/>
  <c r="T640" i="1" s="1"/>
  <c r="T642" i="1"/>
  <c r="T644" i="1"/>
  <c r="T564" i="1"/>
  <c r="U630" i="1"/>
  <c r="U628" i="1"/>
  <c r="U638" i="1" s="1"/>
  <c r="U529" i="1"/>
  <c r="U526" i="1"/>
  <c r="U30" i="1"/>
  <c r="U641" i="1"/>
  <c r="U629" i="1"/>
  <c r="V29" i="1"/>
  <c r="U639" i="1"/>
  <c r="U654" i="1" s="1"/>
  <c r="U631" i="1"/>
  <c r="U291" i="1"/>
  <c r="U554" i="1" s="1"/>
  <c r="U292" i="1"/>
  <c r="U555" i="1" s="1"/>
  <c r="U290" i="1"/>
  <c r="U468" i="1"/>
  <c r="U471" i="1"/>
  <c r="U469" i="1"/>
  <c r="U602" i="1" s="1"/>
  <c r="U470" i="1"/>
  <c r="U603" i="1" s="1"/>
  <c r="U315" i="1"/>
  <c r="U486" i="1"/>
  <c r="U487" i="1"/>
  <c r="U310" i="1"/>
  <c r="U309" i="1"/>
  <c r="U311" i="1"/>
  <c r="U488" i="1"/>
  <c r="U492" i="1"/>
  <c r="U352" i="1"/>
  <c r="U351" i="1"/>
  <c r="U353" i="1"/>
  <c r="U330" i="1"/>
  <c r="U331" i="1"/>
  <c r="U378" i="1"/>
  <c r="U379" i="1"/>
  <c r="U377" i="1"/>
  <c r="U357" i="1"/>
  <c r="U332" i="1"/>
  <c r="U336" i="1"/>
  <c r="U383" i="1"/>
  <c r="U152" i="1"/>
  <c r="U51" i="7" s="1"/>
  <c r="T151" i="1"/>
  <c r="T50" i="7" s="1"/>
  <c r="V1790" i="1"/>
  <c r="U1791" i="1"/>
  <c r="V672" i="8"/>
  <c r="U898" i="8"/>
  <c r="U899" i="8" s="1"/>
  <c r="U673" i="8"/>
  <c r="U678" i="8" s="1"/>
  <c r="U748" i="8"/>
  <c r="U749" i="8" s="1"/>
  <c r="U754" i="8" s="1"/>
  <c r="U824" i="8"/>
  <c r="U825" i="8" s="1"/>
  <c r="R71" i="8"/>
  <c r="R75" i="8"/>
  <c r="R1218" i="1"/>
  <c r="R209" i="7" s="1"/>
  <c r="R1328" i="1"/>
  <c r="R324" i="7" s="1"/>
  <c r="V92" i="1"/>
  <c r="W91" i="1"/>
  <c r="U1099" i="1"/>
  <c r="U31" i="1"/>
  <c r="T32" i="1"/>
  <c r="T75" i="1" s="1"/>
  <c r="S457" i="8"/>
  <c r="S456" i="8" s="1"/>
  <c r="S315" i="8"/>
  <c r="S314" i="8" s="1"/>
  <c r="S297" i="8"/>
  <c r="S287" i="8"/>
  <c r="S286" i="8" s="1"/>
  <c r="S161" i="8"/>
  <c r="S160" i="8" s="1"/>
  <c r="S116" i="8"/>
  <c r="S115" i="8" s="1"/>
  <c r="S96" i="8"/>
  <c r="S95" i="8" s="1"/>
  <c r="S92" i="8"/>
  <c r="S91" i="8" s="1"/>
  <c r="S496" i="8"/>
  <c r="S495" i="8" s="1"/>
  <c r="S472" i="8"/>
  <c r="S471" i="8" s="1"/>
  <c r="S464" i="8"/>
  <c r="S463" i="8" s="1"/>
  <c r="S317" i="8"/>
  <c r="S316" i="8" s="1"/>
  <c r="S307" i="8"/>
  <c r="S306" i="8" s="1"/>
  <c r="S167" i="8"/>
  <c r="S166" i="8" s="1"/>
  <c r="S159" i="8"/>
  <c r="S158" i="8" s="1"/>
  <c r="S80" i="8"/>
  <c r="S79" i="8" s="1"/>
  <c r="S113" i="8"/>
  <c r="S112" i="8" s="1"/>
  <c r="S94" i="8"/>
  <c r="S93" i="8" s="1"/>
  <c r="S53" i="8"/>
  <c r="S52" i="8" s="1"/>
  <c r="T33" i="8"/>
  <c r="S34" i="8"/>
  <c r="R74" i="8"/>
  <c r="R73" i="8" s="1"/>
  <c r="R78" i="8"/>
  <c r="R77" i="8" s="1"/>
  <c r="R82" i="8"/>
  <c r="R81" i="8" s="1"/>
  <c r="R91" i="8"/>
  <c r="R95" i="8"/>
  <c r="R110" i="8"/>
  <c r="R109" i="8" s="1"/>
  <c r="R160" i="8"/>
  <c r="R286" i="8"/>
  <c r="R301" i="8"/>
  <c r="R300" i="8" s="1"/>
  <c r="R314" i="8"/>
  <c r="R449" i="8"/>
  <c r="R448" i="8" s="1"/>
  <c r="T464" i="1"/>
  <c r="T600" i="1"/>
  <c r="T1477" i="1" s="1"/>
  <c r="T568" i="1"/>
  <c r="T293" i="1"/>
  <c r="T556" i="1" s="1"/>
  <c r="T1473" i="1" s="1"/>
  <c r="T553" i="1"/>
  <c r="T561" i="1"/>
  <c r="T155" i="1"/>
  <c r="T54" i="7" s="1"/>
  <c r="K1004" i="1"/>
  <c r="K989" i="1" s="1"/>
  <c r="L977" i="1"/>
  <c r="L1005" i="1" s="1"/>
  <c r="L121" i="1" s="1"/>
  <c r="L20" i="7" s="1"/>
  <c r="L1003" i="1"/>
  <c r="I345" i="1"/>
  <c r="I344" i="1"/>
  <c r="H566" i="1"/>
  <c r="H1474" i="1" s="1"/>
  <c r="I333" i="1"/>
  <c r="J302" i="1"/>
  <c r="J312" i="1" s="1"/>
  <c r="S248" i="1"/>
  <c r="T251" i="1" s="1"/>
  <c r="T252" i="1" s="1"/>
  <c r="R239" i="1"/>
  <c r="S242" i="1" s="1"/>
  <c r="S243" i="1" s="1"/>
  <c r="R1177" i="1"/>
  <c r="R89" i="8"/>
  <c r="M1667" i="1"/>
  <c r="S163" i="1"/>
  <c r="S62" i="7" s="1"/>
  <c r="T164" i="1"/>
  <c r="T63" i="7" s="1"/>
  <c r="Q764" i="8"/>
  <c r="Q940" i="8"/>
  <c r="S992" i="1"/>
  <c r="S1322" i="1" s="1"/>
  <c r="S318" i="7" s="1"/>
  <c r="S1030" i="1"/>
  <c r="S1033" i="1"/>
  <c r="S925" i="1"/>
  <c r="S1334" i="1"/>
  <c r="S330" i="7" s="1"/>
  <c r="S1169" i="1"/>
  <c r="S72" i="8" s="1"/>
  <c r="S618" i="1"/>
  <c r="Q763" i="8"/>
  <c r="Q913" i="8"/>
  <c r="Q939" i="8"/>
  <c r="S35" i="8"/>
  <c r="R36" i="8"/>
  <c r="N779" i="1"/>
  <c r="M784" i="1"/>
  <c r="N783" i="1" s="1"/>
  <c r="S167" i="1"/>
  <c r="S66" i="7" s="1"/>
  <c r="R162" i="1"/>
  <c r="R61" i="7" s="1"/>
  <c r="R1495" i="1"/>
  <c r="S120" i="1"/>
  <c r="S19" i="7" s="1"/>
  <c r="S1344" i="1"/>
  <c r="S340" i="7" s="1"/>
  <c r="S1179" i="1"/>
  <c r="S90" i="8" s="1"/>
  <c r="S1347" i="1"/>
  <c r="S343" i="7" s="1"/>
  <c r="S1183" i="1"/>
  <c r="S98" i="8" s="1"/>
  <c r="S1337" i="1"/>
  <c r="S333" i="7" s="1"/>
  <c r="S1172" i="1"/>
  <c r="R2024" i="1"/>
  <c r="R1801" i="1"/>
  <c r="Q835" i="8"/>
  <c r="Q937" i="8"/>
  <c r="Q125" i="8"/>
  <c r="Q268" i="8"/>
  <c r="Q670" i="8"/>
  <c r="Q896" i="8"/>
  <c r="Q924" i="8"/>
  <c r="Q438" i="8"/>
  <c r="Q66" i="8"/>
  <c r="Q39" i="8"/>
  <c r="Q746" i="8"/>
  <c r="Q567" i="8"/>
  <c r="Q822" i="8"/>
  <c r="T1791" i="1"/>
  <c r="U1792" i="1" s="1"/>
  <c r="V1792" i="1" s="1"/>
  <c r="T673" i="8"/>
  <c r="T678" i="8" s="1"/>
  <c r="U679" i="8" s="1"/>
  <c r="V679" i="8" s="1"/>
  <c r="T824" i="8"/>
  <c r="T825" i="8" s="1"/>
  <c r="T859" i="8" s="1"/>
  <c r="T748" i="8"/>
  <c r="T749" i="8" s="1"/>
  <c r="T754" i="8" s="1"/>
  <c r="U755" i="8" s="1"/>
  <c r="T898" i="8"/>
  <c r="T899" i="8" s="1"/>
  <c r="S1199" i="1"/>
  <c r="S190" i="7" s="1"/>
  <c r="S148" i="1"/>
  <c r="S47" i="7" s="1"/>
  <c r="S1348" i="1"/>
  <c r="S344" i="7" s="1"/>
  <c r="S1190" i="1"/>
  <c r="S110" i="8" s="1"/>
  <c r="S1333" i="1"/>
  <c r="S329" i="7" s="1"/>
  <c r="S1170" i="1"/>
  <c r="S74" i="8" s="1"/>
  <c r="S1336" i="1"/>
  <c r="S332" i="7" s="1"/>
  <c r="S1171" i="1"/>
  <c r="S785" i="8"/>
  <c r="T1862" i="1"/>
  <c r="U1862" i="1" s="1"/>
  <c r="S1863" i="1"/>
  <c r="T1864" i="1" s="1"/>
  <c r="T257" i="1"/>
  <c r="R2021" i="1"/>
  <c r="R1870" i="1"/>
  <c r="R2018" i="1"/>
  <c r="R1945" i="1"/>
  <c r="Q912" i="8"/>
  <c r="Q934" i="8"/>
  <c r="R828" i="8"/>
  <c r="S829" i="8" s="1"/>
  <c r="S827" i="8"/>
  <c r="Q266" i="1"/>
  <c r="R268" i="1" s="1"/>
  <c r="R269" i="1" s="1"/>
  <c r="S902" i="8"/>
  <c r="S903" i="8" s="1"/>
  <c r="T901" i="8"/>
  <c r="U901" i="8" s="1"/>
  <c r="S108" i="1"/>
  <c r="S7" i="7" s="1"/>
  <c r="T598" i="1"/>
  <c r="T609" i="1"/>
  <c r="T586" i="1"/>
  <c r="T551" i="1"/>
  <c r="T559" i="1"/>
  <c r="T1123" i="1"/>
  <c r="T1122" i="1"/>
  <c r="T1075" i="1"/>
  <c r="T1983" i="1"/>
  <c r="T807" i="1"/>
  <c r="T808" i="1"/>
  <c r="T1988" i="1"/>
  <c r="T1984" i="1"/>
  <c r="T1990" i="1"/>
  <c r="T812" i="1"/>
  <c r="T804" i="1"/>
  <c r="T973" i="1" s="1"/>
  <c r="T809" i="1"/>
  <c r="T1013" i="1" s="1"/>
  <c r="T1985" i="1"/>
  <c r="T811" i="1"/>
  <c r="T716" i="1"/>
  <c r="T179" i="7" s="1"/>
  <c r="T1989" i="1"/>
  <c r="T806" i="1"/>
  <c r="T108" i="1" s="1"/>
  <c r="T7" i="7" s="1"/>
  <c r="T770" i="1"/>
  <c r="T805" i="1"/>
  <c r="T817" i="1"/>
  <c r="T718" i="1"/>
  <c r="T181" i="7" s="1"/>
  <c r="T715" i="1"/>
  <c r="T178" i="7" s="1"/>
  <c r="T714" i="1"/>
  <c r="T177" i="7" s="1"/>
  <c r="T719" i="1"/>
  <c r="T182" i="7" s="1"/>
  <c r="T654" i="1"/>
  <c r="T652" i="1"/>
  <c r="T124" i="1" s="1"/>
  <c r="T23" i="7" s="1"/>
  <c r="T650" i="1"/>
  <c r="T1335" i="1" s="1"/>
  <c r="T331" i="7" s="1"/>
  <c r="T822" i="1"/>
  <c r="T656" i="1"/>
  <c r="T658" i="1"/>
  <c r="T655" i="1"/>
  <c r="T854" i="1"/>
  <c r="T657" i="1"/>
  <c r="S1338" i="1"/>
  <c r="S334" i="7" s="1"/>
  <c r="S1174" i="1"/>
  <c r="R904" i="8"/>
  <c r="R1946" i="1"/>
  <c r="R2023" i="1"/>
  <c r="R1800" i="1"/>
  <c r="U859" i="8" l="1"/>
  <c r="K1325" i="1"/>
  <c r="K321" i="7" s="1"/>
  <c r="V519" i="1"/>
  <c r="V520" i="1"/>
  <c r="V524" i="1"/>
  <c r="V518" i="1"/>
  <c r="V402" i="1"/>
  <c r="V407" i="1"/>
  <c r="P319" i="7"/>
  <c r="R835" i="1"/>
  <c r="S834" i="1" s="1"/>
  <c r="R1668" i="1"/>
  <c r="R552" i="7" s="1"/>
  <c r="S223" i="1"/>
  <c r="R122" i="7"/>
  <c r="K1345" i="1"/>
  <c r="K1982" i="1"/>
  <c r="K912" i="8"/>
  <c r="K934" i="8"/>
  <c r="T95" i="7"/>
  <c r="U196" i="1"/>
  <c r="S194" i="1"/>
  <c r="R93" i="7"/>
  <c r="V755" i="8"/>
  <c r="H984" i="1"/>
  <c r="H1209" i="1" s="1"/>
  <c r="H200" i="7" s="1"/>
  <c r="K1033" i="1"/>
  <c r="F1032" i="1"/>
  <c r="R856" i="1"/>
  <c r="S204" i="1"/>
  <c r="R103" i="7"/>
  <c r="U149" i="1"/>
  <c r="T48" i="7"/>
  <c r="Q833" i="1"/>
  <c r="T823" i="1"/>
  <c r="T828" i="1"/>
  <c r="AE705" i="1"/>
  <c r="AE168" i="7" s="1"/>
  <c r="Q1030" i="1"/>
  <c r="Q993" i="1"/>
  <c r="Q1323" i="1" s="1"/>
  <c r="Q832" i="1"/>
  <c r="R831" i="1"/>
  <c r="R857" i="1"/>
  <c r="V824" i="1"/>
  <c r="U825" i="1"/>
  <c r="S836" i="1"/>
  <c r="S863" i="1" s="1"/>
  <c r="S1017" i="1" s="1"/>
  <c r="S1015" i="1" s="1"/>
  <c r="S1465" i="1" s="1"/>
  <c r="S449" i="8" s="1"/>
  <c r="S448" i="8" s="1"/>
  <c r="S855" i="1"/>
  <c r="S1021" i="1" s="1"/>
  <c r="S830" i="1"/>
  <c r="S889" i="1"/>
  <c r="S888" i="1" s="1"/>
  <c r="S907" i="1" s="1"/>
  <c r="S880" i="1"/>
  <c r="S879" i="1" s="1"/>
  <c r="S906" i="1" s="1"/>
  <c r="P1321" i="1"/>
  <c r="P317" i="7" s="1"/>
  <c r="V172" i="7"/>
  <c r="V710" i="1"/>
  <c r="V173" i="7" s="1"/>
  <c r="R985" i="1"/>
  <c r="S898" i="1"/>
  <c r="S897" i="1" s="1"/>
  <c r="S908" i="1" s="1"/>
  <c r="S970" i="1" s="1"/>
  <c r="S871" i="1"/>
  <c r="K1042" i="1"/>
  <c r="K1045" i="1"/>
  <c r="L275" i="8"/>
  <c r="L274" i="8" s="1"/>
  <c r="H1004" i="1"/>
  <c r="H989" i="1" s="1"/>
  <c r="H1211" i="1" s="1"/>
  <c r="H202" i="7" s="1"/>
  <c r="Q318" i="7"/>
  <c r="Q273" i="8"/>
  <c r="Q272" i="8" s="1"/>
  <c r="X849" i="1"/>
  <c r="O849" i="1"/>
  <c r="M1001" i="1"/>
  <c r="M990" i="1" s="1"/>
  <c r="M1210" i="1" s="1"/>
  <c r="M149" i="8" s="1"/>
  <c r="M148" i="8" s="1"/>
  <c r="F1004" i="1"/>
  <c r="F989" i="1" s="1"/>
  <c r="F1211" i="1" s="1"/>
  <c r="F202" i="7" s="1"/>
  <c r="L1033" i="1"/>
  <c r="H1001" i="1"/>
  <c r="H990" i="1" s="1"/>
  <c r="H1210" i="1" s="1"/>
  <c r="H201" i="7" s="1"/>
  <c r="O719" i="1"/>
  <c r="O182" i="7" s="1"/>
  <c r="O173" i="7"/>
  <c r="Q719" i="1"/>
  <c r="Q182" i="7" s="1"/>
  <c r="Q173" i="7"/>
  <c r="K1001" i="1"/>
  <c r="K990" i="1" s="1"/>
  <c r="K1210" i="1" s="1"/>
  <c r="K201" i="7" s="1"/>
  <c r="M998" i="1"/>
  <c r="M986" i="1" s="1"/>
  <c r="M1206" i="1" s="1"/>
  <c r="J1001" i="1"/>
  <c r="J990" i="1" s="1"/>
  <c r="J1210" i="1" s="1"/>
  <c r="J201" i="7" s="1"/>
  <c r="J1004" i="1"/>
  <c r="J989" i="1" s="1"/>
  <c r="J1211" i="1" s="1"/>
  <c r="J202" i="7" s="1"/>
  <c r="G1001" i="1"/>
  <c r="G990" i="1" s="1"/>
  <c r="G1210" i="1" s="1"/>
  <c r="F934" i="1"/>
  <c r="F120" i="1"/>
  <c r="F19" i="7" s="1"/>
  <c r="I934" i="1"/>
  <c r="I120" i="1"/>
  <c r="I19" i="7" s="1"/>
  <c r="H319" i="7"/>
  <c r="H275" i="8"/>
  <c r="H274" i="8" s="1"/>
  <c r="N6" i="7"/>
  <c r="N1050" i="1"/>
  <c r="N992" i="1"/>
  <c r="N1322" i="1" s="1"/>
  <c r="O1001" i="1"/>
  <c r="O990" i="1" s="1"/>
  <c r="O1210" i="1" s="1"/>
  <c r="I1001" i="1"/>
  <c r="I990" i="1" s="1"/>
  <c r="I1210" i="1" s="1"/>
  <c r="H797" i="1"/>
  <c r="H812" i="1" s="1"/>
  <c r="H811" i="1"/>
  <c r="O797" i="1"/>
  <c r="O812" i="1" s="1"/>
  <c r="O811" i="1"/>
  <c r="O179" i="7"/>
  <c r="O107" i="1"/>
  <c r="G796" i="1"/>
  <c r="F810" i="1"/>
  <c r="F1014" i="1" s="1"/>
  <c r="F1011" i="1" s="1"/>
  <c r="F1466" i="1" s="1"/>
  <c r="F451" i="8" s="1"/>
  <c r="F450" i="8" s="1"/>
  <c r="F801" i="1"/>
  <c r="G800" i="1" s="1"/>
  <c r="I317" i="7"/>
  <c r="I271" i="8"/>
  <c r="I270" i="8" s="1"/>
  <c r="Q179" i="7"/>
  <c r="Q107" i="1"/>
  <c r="I319" i="7"/>
  <c r="I275" i="8"/>
  <c r="I274" i="8" s="1"/>
  <c r="R719" i="1"/>
  <c r="R182" i="7" s="1"/>
  <c r="R173" i="7"/>
  <c r="F1001" i="1"/>
  <c r="F990" i="1" s="1"/>
  <c r="F1210" i="1" s="1"/>
  <c r="G797" i="1"/>
  <c r="G812" i="1" s="1"/>
  <c r="G811" i="1"/>
  <c r="P318" i="7"/>
  <c r="P273" i="8"/>
  <c r="P272" i="8" s="1"/>
  <c r="R992" i="1"/>
  <c r="R1322" i="1" s="1"/>
  <c r="R318" i="7" s="1"/>
  <c r="I1004" i="1"/>
  <c r="I989" i="1" s="1"/>
  <c r="I1211" i="1" s="1"/>
  <c r="G1004" i="1"/>
  <c r="G989" i="1" s="1"/>
  <c r="G1211" i="1" s="1"/>
  <c r="P6" i="7"/>
  <c r="P1050" i="1"/>
  <c r="G576" i="7"/>
  <c r="F797" i="1"/>
  <c r="F811" i="1"/>
  <c r="I797" i="1"/>
  <c r="I812" i="1" s="1"/>
  <c r="I811" i="1"/>
  <c r="S173" i="7"/>
  <c r="S719" i="1"/>
  <c r="G934" i="1"/>
  <c r="G120" i="1"/>
  <c r="G19" i="7" s="1"/>
  <c r="O319" i="7"/>
  <c r="O275" i="8"/>
  <c r="O274" i="8" s="1"/>
  <c r="R179" i="7"/>
  <c r="R1199" i="1"/>
  <c r="R107" i="1"/>
  <c r="H151" i="8"/>
  <c r="H150" i="8" s="1"/>
  <c r="H120" i="1"/>
  <c r="H19" i="7" s="1"/>
  <c r="H934" i="1"/>
  <c r="R177" i="7"/>
  <c r="R1030" i="1"/>
  <c r="R1033" i="1"/>
  <c r="K121" i="1"/>
  <c r="K20" i="7" s="1"/>
  <c r="J121" i="1"/>
  <c r="J20" i="7" s="1"/>
  <c r="J998" i="1"/>
  <c r="J986" i="1" s="1"/>
  <c r="J1206" i="1" s="1"/>
  <c r="J1325" i="1"/>
  <c r="J1042" i="1"/>
  <c r="J1045" i="1"/>
  <c r="J797" i="1"/>
  <c r="J811" i="1"/>
  <c r="J319" i="7"/>
  <c r="J275" i="8"/>
  <c r="J274" i="8" s="1"/>
  <c r="M1676" i="1"/>
  <c r="M551" i="7"/>
  <c r="AB708" i="1"/>
  <c r="AB171" i="7" s="1"/>
  <c r="AA175" i="7"/>
  <c r="AC708" i="1"/>
  <c r="AC171" i="7" s="1"/>
  <c r="AB175" i="7"/>
  <c r="K719" i="1"/>
  <c r="K182" i="7" s="1"/>
  <c r="K173" i="7"/>
  <c r="K149" i="8"/>
  <c r="K148" i="8" s="1"/>
  <c r="K179" i="7"/>
  <c r="K107" i="1"/>
  <c r="J618" i="1"/>
  <c r="J1338" i="1"/>
  <c r="J1174" i="1"/>
  <c r="J82" i="8" s="1"/>
  <c r="J81" i="8" s="1"/>
  <c r="U708" i="1"/>
  <c r="T175" i="7"/>
  <c r="L719" i="1"/>
  <c r="L182" i="7" s="1"/>
  <c r="L173" i="7"/>
  <c r="L197" i="7"/>
  <c r="L141" i="8"/>
  <c r="L140" i="8" s="1"/>
  <c r="M797" i="1"/>
  <c r="M812" i="1" s="1"/>
  <c r="M811" i="1"/>
  <c r="K998" i="1"/>
  <c r="K986" i="1" s="1"/>
  <c r="K1206" i="1" s="1"/>
  <c r="L179" i="7"/>
  <c r="L107" i="1"/>
  <c r="L992" i="1"/>
  <c r="L1322" i="1" s="1"/>
  <c r="M719" i="1"/>
  <c r="M182" i="7" s="1"/>
  <c r="M173" i="7"/>
  <c r="L1679" i="1"/>
  <c r="L563" i="7" s="1"/>
  <c r="L560" i="7"/>
  <c r="AE794" i="1"/>
  <c r="K808" i="1"/>
  <c r="B25" i="13"/>
  <c r="C19" i="13"/>
  <c r="B18" i="13"/>
  <c r="L1030" i="1"/>
  <c r="M179" i="7"/>
  <c r="M107" i="1"/>
  <c r="K797" i="1"/>
  <c r="AE793" i="1"/>
  <c r="K811" i="1"/>
  <c r="K7" i="7"/>
  <c r="K1051" i="1"/>
  <c r="J498" i="1"/>
  <c r="AE499" i="1"/>
  <c r="B500" i="1" s="1"/>
  <c r="J610" i="1"/>
  <c r="AE610" i="1" s="1"/>
  <c r="J501" i="1"/>
  <c r="K501" i="1" s="1"/>
  <c r="L501" i="1" s="1"/>
  <c r="M501" i="1" s="1"/>
  <c r="N501" i="1" s="1"/>
  <c r="O501" i="1" s="1"/>
  <c r="P501" i="1" s="1"/>
  <c r="Q501" i="1" s="1"/>
  <c r="R501" i="1" s="1"/>
  <c r="S501" i="1" s="1"/>
  <c r="T501" i="1" s="1"/>
  <c r="U501" i="1" s="1"/>
  <c r="V501" i="1" s="1"/>
  <c r="W501" i="1" s="1"/>
  <c r="X501" i="1" s="1"/>
  <c r="Y501" i="1" s="1"/>
  <c r="Z501" i="1" s="1"/>
  <c r="AA501" i="1" s="1"/>
  <c r="AB501" i="1" s="1"/>
  <c r="AC501" i="1" s="1"/>
  <c r="B496" i="1" s="1"/>
  <c r="F1681" i="1"/>
  <c r="F565" i="7" s="1"/>
  <c r="F549" i="7"/>
  <c r="F1682" i="1"/>
  <c r="F566" i="7" s="1"/>
  <c r="F564" i="7"/>
  <c r="F1705" i="1"/>
  <c r="F589" i="7" s="1"/>
  <c r="F573" i="7"/>
  <c r="F1706" i="1"/>
  <c r="F590" i="7" s="1"/>
  <c r="F588" i="7"/>
  <c r="O522" i="1"/>
  <c r="P513" i="1" s="1"/>
  <c r="P521" i="1" s="1"/>
  <c r="H849" i="1"/>
  <c r="Z849" i="1"/>
  <c r="K849" i="1"/>
  <c r="N849" i="1"/>
  <c r="S849" i="1"/>
  <c r="M849" i="1"/>
  <c r="U120" i="1"/>
  <c r="U19" i="7" s="1"/>
  <c r="U937" i="1"/>
  <c r="U145" i="1"/>
  <c r="U44" i="7" s="1"/>
  <c r="T120" i="1"/>
  <c r="T19" i="7" s="1"/>
  <c r="T937" i="1"/>
  <c r="T785" i="8"/>
  <c r="U785" i="8" s="1"/>
  <c r="O1321" i="1"/>
  <c r="O317" i="7" s="1"/>
  <c r="W708" i="1"/>
  <c r="W171" i="7" s="1"/>
  <c r="Z708" i="1"/>
  <c r="Z171" i="7" s="1"/>
  <c r="R708" i="1"/>
  <c r="Q721" i="1"/>
  <c r="Q184" i="7" s="1"/>
  <c r="N708" i="1"/>
  <c r="M721" i="1"/>
  <c r="M184" i="7" s="1"/>
  <c r="O708" i="1"/>
  <c r="N721" i="1"/>
  <c r="N184" i="7" s="1"/>
  <c r="T708" i="1"/>
  <c r="S721" i="1"/>
  <c r="S184" i="7" s="1"/>
  <c r="K721" i="1"/>
  <c r="K184" i="7" s="1"/>
  <c r="L708" i="1"/>
  <c r="P708" i="1"/>
  <c r="O721" i="1"/>
  <c r="O184" i="7" s="1"/>
  <c r="Q871" i="1"/>
  <c r="O880" i="1"/>
  <c r="O879" i="1" s="1"/>
  <c r="O906" i="1" s="1"/>
  <c r="Q889" i="1"/>
  <c r="Q888" i="1" s="1"/>
  <c r="Q907" i="1" s="1"/>
  <c r="Q959" i="1" s="1"/>
  <c r="M889" i="1"/>
  <c r="M888" i="1" s="1"/>
  <c r="M907" i="1" s="1"/>
  <c r="K898" i="1"/>
  <c r="K897" i="1" s="1"/>
  <c r="K908" i="1" s="1"/>
  <c r="K871" i="1"/>
  <c r="J880" i="1"/>
  <c r="J879" i="1" s="1"/>
  <c r="J906" i="1" s="1"/>
  <c r="J1033" i="1"/>
  <c r="J871" i="1"/>
  <c r="Q880" i="1"/>
  <c r="Q879" i="1" s="1"/>
  <c r="Q906" i="1" s="1"/>
  <c r="Q942" i="1" s="1"/>
  <c r="O898" i="1"/>
  <c r="O897" i="1" s="1"/>
  <c r="O908" i="1" s="1"/>
  <c r="O871" i="1"/>
  <c r="N871" i="1"/>
  <c r="L898" i="1"/>
  <c r="L897" i="1" s="1"/>
  <c r="L908" i="1" s="1"/>
  <c r="L880" i="1"/>
  <c r="L879" i="1" s="1"/>
  <c r="L906" i="1" s="1"/>
  <c r="L871" i="1"/>
  <c r="P880" i="1"/>
  <c r="P879" i="1" s="1"/>
  <c r="P906" i="1" s="1"/>
  <c r="P942" i="1" s="1"/>
  <c r="R898" i="1"/>
  <c r="R897" i="1" s="1"/>
  <c r="R908" i="1" s="1"/>
  <c r="R970" i="1" s="1"/>
  <c r="R871" i="1"/>
  <c r="Q898" i="1"/>
  <c r="Q897" i="1" s="1"/>
  <c r="Q908" i="1" s="1"/>
  <c r="Q970" i="1" s="1"/>
  <c r="N880" i="1"/>
  <c r="N879" i="1" s="1"/>
  <c r="N906" i="1" s="1"/>
  <c r="N889" i="1"/>
  <c r="N888" i="1" s="1"/>
  <c r="N907" i="1" s="1"/>
  <c r="N898" i="1"/>
  <c r="N897" i="1" s="1"/>
  <c r="N908" i="1" s="1"/>
  <c r="M871" i="1"/>
  <c r="P871" i="1"/>
  <c r="K880" i="1"/>
  <c r="K879" i="1" s="1"/>
  <c r="K906" i="1" s="1"/>
  <c r="K889" i="1"/>
  <c r="K888" i="1" s="1"/>
  <c r="K907" i="1" s="1"/>
  <c r="J898" i="1"/>
  <c r="J897" i="1" s="1"/>
  <c r="J908" i="1" s="1"/>
  <c r="J889" i="1"/>
  <c r="J888" i="1" s="1"/>
  <c r="J907" i="1" s="1"/>
  <c r="J1030" i="1"/>
  <c r="P889" i="1"/>
  <c r="P888" i="1" s="1"/>
  <c r="P907" i="1" s="1"/>
  <c r="P898" i="1"/>
  <c r="P897" i="1" s="1"/>
  <c r="P908" i="1" s="1"/>
  <c r="M880" i="1"/>
  <c r="M879" i="1" s="1"/>
  <c r="M906" i="1" s="1"/>
  <c r="M898" i="1"/>
  <c r="M897" i="1" s="1"/>
  <c r="M908" i="1" s="1"/>
  <c r="O889" i="1"/>
  <c r="O888" i="1" s="1"/>
  <c r="O907" i="1" s="1"/>
  <c r="L889" i="1"/>
  <c r="L888" i="1" s="1"/>
  <c r="L907" i="1" s="1"/>
  <c r="R889" i="1"/>
  <c r="R888" i="1" s="1"/>
  <c r="R907" i="1" s="1"/>
  <c r="R959" i="1" s="1"/>
  <c r="R880" i="1"/>
  <c r="R879" i="1" s="1"/>
  <c r="R906" i="1" s="1"/>
  <c r="R942" i="1" s="1"/>
  <c r="K128" i="8"/>
  <c r="K127" i="8" s="1"/>
  <c r="K926" i="8" s="1"/>
  <c r="K2010" i="1"/>
  <c r="Q147" i="1"/>
  <c r="Q46" i="7" s="1"/>
  <c r="M147" i="1"/>
  <c r="M46" i="7" s="1"/>
  <c r="R1321" i="1"/>
  <c r="R317" i="7" s="1"/>
  <c r="O147" i="1"/>
  <c r="O46" i="7" s="1"/>
  <c r="O2010" i="1"/>
  <c r="O128" i="8"/>
  <c r="O127" i="8" s="1"/>
  <c r="O926" i="8" s="1"/>
  <c r="L128" i="8"/>
  <c r="L127" i="8" s="1"/>
  <c r="L926" i="8" s="1"/>
  <c r="L2010" i="1"/>
  <c r="P945" i="1"/>
  <c r="P996" i="1" s="1"/>
  <c r="P985" i="1"/>
  <c r="AE710" i="1"/>
  <c r="AE173" i="7" s="1"/>
  <c r="O711" i="1"/>
  <c r="Q711" i="1"/>
  <c r="K711" i="1"/>
  <c r="L711" i="1"/>
  <c r="U711" i="1"/>
  <c r="J719" i="1"/>
  <c r="J182" i="7" s="1"/>
  <c r="T711" i="1"/>
  <c r="N711" i="1"/>
  <c r="R711" i="1"/>
  <c r="M711" i="1"/>
  <c r="P711" i="1"/>
  <c r="S711" i="1"/>
  <c r="J711" i="1"/>
  <c r="Q708" i="1"/>
  <c r="P721" i="1"/>
  <c r="P184" i="7" s="1"/>
  <c r="S708" i="1"/>
  <c r="R721" i="1"/>
  <c r="R184" i="7" s="1"/>
  <c r="K708" i="1"/>
  <c r="J708" i="1"/>
  <c r="J171" i="7" s="1"/>
  <c r="J721" i="1"/>
  <c r="J184" i="7" s="1"/>
  <c r="Y708" i="1"/>
  <c r="Y171" i="7" s="1"/>
  <c r="X708" i="1"/>
  <c r="X171" i="7" s="1"/>
  <c r="V708" i="1"/>
  <c r="V171" i="7" s="1"/>
  <c r="L721" i="1"/>
  <c r="L184" i="7" s="1"/>
  <c r="M708" i="1"/>
  <c r="AA708" i="1"/>
  <c r="AA171" i="7" s="1"/>
  <c r="K147" i="1"/>
  <c r="K46" i="7" s="1"/>
  <c r="Q128" i="8"/>
  <c r="Q127" i="8" s="1"/>
  <c r="Q926" i="8" s="1"/>
  <c r="Q2010" i="1"/>
  <c r="J1050" i="1"/>
  <c r="N271" i="8"/>
  <c r="N270" i="8" s="1"/>
  <c r="M128" i="8"/>
  <c r="M127" i="8" s="1"/>
  <c r="M926" i="8" s="1"/>
  <c r="M2010" i="1"/>
  <c r="P271" i="8"/>
  <c r="P270" i="8" s="1"/>
  <c r="J147" i="1"/>
  <c r="J46" i="7" s="1"/>
  <c r="J128" i="8"/>
  <c r="J127" i="8" s="1"/>
  <c r="J926" i="8" s="1"/>
  <c r="J2010" i="1"/>
  <c r="N945" i="1"/>
  <c r="N996" i="1" s="1"/>
  <c r="N985" i="1"/>
  <c r="L147" i="1"/>
  <c r="L46" i="7" s="1"/>
  <c r="R945" i="1"/>
  <c r="R996" i="1" s="1"/>
  <c r="J849" i="1"/>
  <c r="H862" i="1"/>
  <c r="H848" i="1"/>
  <c r="I849" i="1"/>
  <c r="Y849" i="1"/>
  <c r="R849" i="1"/>
  <c r="T849" i="1"/>
  <c r="L849" i="1"/>
  <c r="P849" i="1"/>
  <c r="V849" i="1"/>
  <c r="W849" i="1"/>
  <c r="U849" i="1"/>
  <c r="AB849" i="1"/>
  <c r="H1700" i="1"/>
  <c r="H115" i="1"/>
  <c r="H14" i="7" s="1"/>
  <c r="G115" i="1"/>
  <c r="G14" i="7" s="1"/>
  <c r="I1488" i="1"/>
  <c r="I492" i="8" s="1"/>
  <c r="I491" i="8" s="1"/>
  <c r="I1032" i="1"/>
  <c r="H147" i="8"/>
  <c r="H146" i="8" s="1"/>
  <c r="F911" i="1"/>
  <c r="F904" i="1"/>
  <c r="F927" i="1"/>
  <c r="G927" i="1"/>
  <c r="G911" i="1"/>
  <c r="G983" i="1" s="1"/>
  <c r="G1204" i="1" s="1"/>
  <c r="G195" i="7" s="1"/>
  <c r="G904" i="1"/>
  <c r="Q849" i="1"/>
  <c r="AC849" i="1"/>
  <c r="G275" i="8"/>
  <c r="G274" i="8" s="1"/>
  <c r="I851" i="1"/>
  <c r="I1692" i="1"/>
  <c r="I576" i="7" s="1"/>
  <c r="I861" i="1"/>
  <c r="F217" i="1"/>
  <c r="H904" i="1"/>
  <c r="H927" i="1"/>
  <c r="H911" i="1"/>
  <c r="H983" i="1" s="1"/>
  <c r="H1204" i="1" s="1"/>
  <c r="H195" i="7" s="1"/>
  <c r="G984" i="1"/>
  <c r="G1209" i="1" s="1"/>
  <c r="G200" i="7" s="1"/>
  <c r="H1029" i="1"/>
  <c r="H1462" i="1" s="1"/>
  <c r="H443" i="8" s="1"/>
  <c r="H442" i="8" s="1"/>
  <c r="F1029" i="1"/>
  <c r="F1462" i="1" s="1"/>
  <c r="F443" i="8" s="1"/>
  <c r="F442" i="8" s="1"/>
  <c r="F1702" i="1"/>
  <c r="F586" i="7" s="1"/>
  <c r="F1707" i="1"/>
  <c r="F591" i="7" s="1"/>
  <c r="H135" i="8"/>
  <c r="H134" i="8" s="1"/>
  <c r="I904" i="1"/>
  <c r="I911" i="1"/>
  <c r="I927" i="1"/>
  <c r="G1029" i="1"/>
  <c r="G1462" i="1" s="1"/>
  <c r="G443" i="8" s="1"/>
  <c r="G442" i="8" s="1"/>
  <c r="F849" i="1"/>
  <c r="AE847" i="1"/>
  <c r="F858" i="1"/>
  <c r="F860" i="1" s="1"/>
  <c r="G848" i="1"/>
  <c r="F848" i="1"/>
  <c r="AB848" i="1"/>
  <c r="AA848" i="1"/>
  <c r="L848" i="1"/>
  <c r="X848" i="1"/>
  <c r="S848" i="1"/>
  <c r="U848" i="1"/>
  <c r="O848" i="1"/>
  <c r="V848" i="1"/>
  <c r="I848" i="1"/>
  <c r="J848" i="1"/>
  <c r="G849" i="1"/>
  <c r="AC848" i="1"/>
  <c r="T848" i="1"/>
  <c r="R848" i="1"/>
  <c r="Z848" i="1"/>
  <c r="Q848" i="1"/>
  <c r="Y848" i="1"/>
  <c r="W848" i="1"/>
  <c r="P848" i="1"/>
  <c r="K848" i="1"/>
  <c r="M848" i="1"/>
  <c r="N848" i="1"/>
  <c r="I1029" i="1"/>
  <c r="I1462" i="1" s="1"/>
  <c r="I443" i="8" s="1"/>
  <c r="I442" i="8" s="1"/>
  <c r="F1678" i="1"/>
  <c r="F562" i="7" s="1"/>
  <c r="F1683" i="1"/>
  <c r="F567" i="7" s="1"/>
  <c r="H1699" i="1"/>
  <c r="H583" i="7" s="1"/>
  <c r="H981" i="1"/>
  <c r="H1202" i="1" s="1"/>
  <c r="H193" i="7" s="1"/>
  <c r="H1675" i="1"/>
  <c r="H559" i="7" s="1"/>
  <c r="J850" i="1"/>
  <c r="I730" i="1"/>
  <c r="J733" i="1"/>
  <c r="I1691" i="1"/>
  <c r="I815" i="1"/>
  <c r="G1488" i="1"/>
  <c r="G492" i="8" s="1"/>
  <c r="G491" i="8" s="1"/>
  <c r="G1032" i="1"/>
  <c r="I115" i="1"/>
  <c r="I14" i="7" s="1"/>
  <c r="F984" i="1"/>
  <c r="F1209" i="1" s="1"/>
  <c r="F200" i="7" s="1"/>
  <c r="I984" i="1"/>
  <c r="I1209" i="1" s="1"/>
  <c r="I200" i="7" s="1"/>
  <c r="G982" i="1"/>
  <c r="G1203" i="1" s="1"/>
  <c r="G194" i="7" s="1"/>
  <c r="V838" i="1"/>
  <c r="V787" i="1"/>
  <c r="K1211" i="1"/>
  <c r="K202" i="7" s="1"/>
  <c r="U838" i="1"/>
  <c r="U787" i="1"/>
  <c r="O271" i="8"/>
  <c r="O270" i="8" s="1"/>
  <c r="R138" i="1"/>
  <c r="R37" i="7" s="1"/>
  <c r="U141" i="1"/>
  <c r="U40" i="7" s="1"/>
  <c r="S1748" i="1"/>
  <c r="S633" i="7" s="1"/>
  <c r="U144" i="1"/>
  <c r="U43" i="7" s="1"/>
  <c r="T143" i="1"/>
  <c r="T42" i="7" s="1"/>
  <c r="U164" i="1"/>
  <c r="U63" i="7" s="1"/>
  <c r="U155" i="1"/>
  <c r="U54" i="7" s="1"/>
  <c r="T171" i="1"/>
  <c r="T70" i="7" s="1"/>
  <c r="T199" i="1"/>
  <c r="T98" i="7" s="1"/>
  <c r="U153" i="1"/>
  <c r="U52" i="7" s="1"/>
  <c r="U160" i="1"/>
  <c r="U59" i="7" s="1"/>
  <c r="U198" i="1"/>
  <c r="U97" i="7" s="1"/>
  <c r="V165" i="1"/>
  <c r="V64" i="7" s="1"/>
  <c r="T197" i="1"/>
  <c r="T96" i="7" s="1"/>
  <c r="S202" i="1"/>
  <c r="S101" i="7" s="1"/>
  <c r="S1050" i="1"/>
  <c r="S147" i="1"/>
  <c r="S46" i="7" s="1"/>
  <c r="T1051" i="1"/>
  <c r="U1051" i="1"/>
  <c r="S321" i="8"/>
  <c r="S320" i="8" s="1"/>
  <c r="R504" i="8"/>
  <c r="R503" i="8" s="1"/>
  <c r="V431" i="1"/>
  <c r="V426" i="1"/>
  <c r="V425" i="1"/>
  <c r="V427" i="1"/>
  <c r="S319" i="8"/>
  <c r="S318" i="8" s="1"/>
  <c r="S313" i="8"/>
  <c r="S312" i="8" s="1"/>
  <c r="R494" i="8"/>
  <c r="R493" i="8" s="1"/>
  <c r="T1490" i="1"/>
  <c r="T496" i="8" s="1"/>
  <c r="T495" i="8" s="1"/>
  <c r="T1469" i="1"/>
  <c r="S293" i="8"/>
  <c r="S292" i="8" s="1"/>
  <c r="T1034" i="1"/>
  <c r="U1034" i="1"/>
  <c r="T107" i="1"/>
  <c r="T6" i="7" s="1"/>
  <c r="S128" i="8"/>
  <c r="S127" i="8" s="1"/>
  <c r="U107" i="1"/>
  <c r="U6" i="7" s="1"/>
  <c r="Q149" i="8"/>
  <c r="Q148" i="8" s="1"/>
  <c r="R165" i="8"/>
  <c r="R164" i="8" s="1"/>
  <c r="N141" i="8"/>
  <c r="N140" i="8" s="1"/>
  <c r="G490" i="1"/>
  <c r="J428" i="1"/>
  <c r="T951" i="1"/>
  <c r="T954" i="1" s="1"/>
  <c r="T962" i="1"/>
  <c r="U951" i="1"/>
  <c r="U954" i="1" s="1"/>
  <c r="U962" i="1"/>
  <c r="U930" i="1"/>
  <c r="U947" i="1"/>
  <c r="U950" i="1" s="1"/>
  <c r="T930" i="1"/>
  <c r="T947" i="1"/>
  <c r="T950" i="1" s="1"/>
  <c r="O998" i="1"/>
  <c r="O986" i="1" s="1"/>
  <c r="O1206" i="1" s="1"/>
  <c r="O197" i="7" s="1"/>
  <c r="P997" i="1"/>
  <c r="P933" i="1"/>
  <c r="P999" i="1" s="1"/>
  <c r="R1001" i="1"/>
  <c r="R990" i="1" s="1"/>
  <c r="R1210" i="1" s="1"/>
  <c r="R201" i="7" s="1"/>
  <c r="S965" i="1"/>
  <c r="S1002" i="1" s="1"/>
  <c r="S1000" i="1"/>
  <c r="S904" i="8"/>
  <c r="T992" i="1"/>
  <c r="T1322" i="1" s="1"/>
  <c r="T318" i="7" s="1"/>
  <c r="J380" i="1"/>
  <c r="J381" i="1" s="1"/>
  <c r="S1218" i="1"/>
  <c r="S209" i="7" s="1"/>
  <c r="S1328" i="1"/>
  <c r="S324" i="7" s="1"/>
  <c r="U272" i="1"/>
  <c r="T273" i="1"/>
  <c r="T1102" i="1"/>
  <c r="S1104" i="1"/>
  <c r="S1101" i="1" s="1"/>
  <c r="S1130" i="1"/>
  <c r="S1489" i="1" s="1"/>
  <c r="U576" i="1"/>
  <c r="U163" i="1"/>
  <c r="U62" i="7" s="1"/>
  <c r="R87" i="8"/>
  <c r="R86" i="8" s="1"/>
  <c r="R836" i="8"/>
  <c r="R762" i="8"/>
  <c r="U33" i="8"/>
  <c r="T472" i="8"/>
  <c r="T471" i="8" s="1"/>
  <c r="T464" i="8"/>
  <c r="T463" i="8" s="1"/>
  <c r="T457" i="8"/>
  <c r="T456" i="8" s="1"/>
  <c r="T317" i="8"/>
  <c r="T316" i="8" s="1"/>
  <c r="T315" i="8"/>
  <c r="T307" i="8"/>
  <c r="T306" i="8" s="1"/>
  <c r="T297" i="8"/>
  <c r="T296" i="8" s="1"/>
  <c r="T287" i="8"/>
  <c r="T286" i="8" s="1"/>
  <c r="T167" i="8"/>
  <c r="T166" i="8" s="1"/>
  <c r="T161" i="8"/>
  <c r="T159" i="8"/>
  <c r="T158" i="8" s="1"/>
  <c r="T116" i="8"/>
  <c r="T115" i="8" s="1"/>
  <c r="T113" i="8"/>
  <c r="T112" i="8" s="1"/>
  <c r="T96" i="8"/>
  <c r="T95" i="8" s="1"/>
  <c r="T94" i="8"/>
  <c r="T93" i="8" s="1"/>
  <c r="T92" i="8"/>
  <c r="T80" i="8"/>
  <c r="T79" i="8" s="1"/>
  <c r="T53" i="8"/>
  <c r="T52" i="8" s="1"/>
  <c r="T34" i="8"/>
  <c r="S273" i="8"/>
  <c r="S272" i="8" s="1"/>
  <c r="S295" i="8"/>
  <c r="S294" i="8" s="1"/>
  <c r="S82" i="8"/>
  <c r="S81" i="8" s="1"/>
  <c r="S301" i="8"/>
  <c r="S300" i="8" s="1"/>
  <c r="T1785" i="1"/>
  <c r="T1657" i="1"/>
  <c r="T541" i="7" s="1"/>
  <c r="T1096" i="1"/>
  <c r="T695" i="1"/>
  <c r="T158" i="7" s="1"/>
  <c r="T1957" i="1"/>
  <c r="T661" i="1"/>
  <c r="T1711" i="1"/>
  <c r="T596" i="7" s="1"/>
  <c r="T1459" i="1"/>
  <c r="T1197" i="1"/>
  <c r="T188" i="7" s="1"/>
  <c r="T1275" i="1"/>
  <c r="T269" i="7" s="1"/>
  <c r="T738" i="1"/>
  <c r="T280" i="1"/>
  <c r="T1165" i="1"/>
  <c r="T748" i="1"/>
  <c r="T866" i="1"/>
  <c r="T102" i="1"/>
  <c r="T1" i="7" s="1"/>
  <c r="T724" i="1"/>
  <c r="T1008" i="1"/>
  <c r="T230" i="1"/>
  <c r="T1859" i="1"/>
  <c r="T820" i="1"/>
  <c r="T669" i="1"/>
  <c r="T130" i="7" s="1"/>
  <c r="T1554" i="1"/>
  <c r="T434" i="7" s="1"/>
  <c r="T1931" i="1"/>
  <c r="T621" i="1"/>
  <c r="T768" i="1"/>
  <c r="T921" i="1"/>
  <c r="T676" i="1"/>
  <c r="T138" i="7" s="1"/>
  <c r="T1073" i="1"/>
  <c r="T2008" i="1"/>
  <c r="T1319" i="1"/>
  <c r="T315" i="7" s="1"/>
  <c r="W92" i="1"/>
  <c r="X91" i="1"/>
  <c r="Y91" i="1" s="1"/>
  <c r="R285" i="8"/>
  <c r="R284" i="8" s="1"/>
  <c r="W1790" i="1"/>
  <c r="V1791" i="1"/>
  <c r="W1792" i="1" s="1"/>
  <c r="V152" i="1"/>
  <c r="V51" i="7" s="1"/>
  <c r="U581" i="1"/>
  <c r="U564" i="1"/>
  <c r="U562" i="1"/>
  <c r="U605" i="1"/>
  <c r="U293" i="1"/>
  <c r="U556" i="1" s="1"/>
  <c r="U1473" i="1" s="1"/>
  <c r="U553" i="1"/>
  <c r="U95" i="1"/>
  <c r="T98" i="1"/>
  <c r="T1103" i="1" s="1"/>
  <c r="W753" i="8"/>
  <c r="U1334" i="1"/>
  <c r="U330" i="7" s="1"/>
  <c r="U618" i="1"/>
  <c r="U1169" i="1"/>
  <c r="U1336" i="1"/>
  <c r="U332" i="7" s="1"/>
  <c r="U1171" i="1"/>
  <c r="U1347" i="1"/>
  <c r="U343" i="7" s="1"/>
  <c r="U1183" i="1"/>
  <c r="U902" i="8"/>
  <c r="V901" i="8"/>
  <c r="U260" i="1"/>
  <c r="U261" i="1" s="1"/>
  <c r="U1863" i="1"/>
  <c r="V1862" i="1"/>
  <c r="S73" i="8"/>
  <c r="S109" i="8"/>
  <c r="S97" i="8"/>
  <c r="S71" i="8"/>
  <c r="H466" i="8"/>
  <c r="H465" i="8" s="1"/>
  <c r="K279" i="8"/>
  <c r="K278" i="8" s="1"/>
  <c r="T601" i="1"/>
  <c r="S76" i="8"/>
  <c r="S75" i="8" s="1"/>
  <c r="S767" i="8"/>
  <c r="S691" i="8"/>
  <c r="S299" i="8"/>
  <c r="S298" i="8" s="1"/>
  <c r="S303" i="8"/>
  <c r="S302" i="8" s="1"/>
  <c r="S78" i="8"/>
  <c r="S77" i="8" s="1"/>
  <c r="S836" i="8"/>
  <c r="S762" i="8"/>
  <c r="U32" i="1"/>
  <c r="V31" i="1"/>
  <c r="V1099" i="1"/>
  <c r="W672" i="8"/>
  <c r="V824" i="8"/>
  <c r="V825" i="8" s="1"/>
  <c r="V859" i="8" s="1"/>
  <c r="V748" i="8"/>
  <c r="V749" i="8" s="1"/>
  <c r="V898" i="8"/>
  <c r="V899" i="8" s="1"/>
  <c r="V673" i="8"/>
  <c r="V678" i="8" s="1"/>
  <c r="W679" i="8" s="1"/>
  <c r="U561" i="1"/>
  <c r="U568" i="1"/>
  <c r="U600" i="1"/>
  <c r="U1477" i="1" s="1"/>
  <c r="U464" i="1"/>
  <c r="U601" i="1" s="1"/>
  <c r="V630" i="1"/>
  <c r="V628" i="1"/>
  <c r="V638" i="1" s="1"/>
  <c r="V529" i="1"/>
  <c r="V526" i="1"/>
  <c r="V30" i="1"/>
  <c r="W29" i="1"/>
  <c r="V639" i="1"/>
  <c r="V631" i="1"/>
  <c r="V641" i="1"/>
  <c r="V629" i="1"/>
  <c r="V291" i="1"/>
  <c r="V554" i="1" s="1"/>
  <c r="V290" i="1"/>
  <c r="V292" i="1"/>
  <c r="V555" i="1" s="1"/>
  <c r="V468" i="1"/>
  <c r="V470" i="1"/>
  <c r="V603" i="1" s="1"/>
  <c r="V469" i="1"/>
  <c r="V602" i="1" s="1"/>
  <c r="V471" i="1"/>
  <c r="V605" i="1" s="1"/>
  <c r="V315" i="1"/>
  <c r="V311" i="1"/>
  <c r="V309" i="1"/>
  <c r="V486" i="1"/>
  <c r="V487" i="1"/>
  <c r="V310" i="1"/>
  <c r="V488" i="1"/>
  <c r="V492" i="1"/>
  <c r="V352" i="1"/>
  <c r="V330" i="1"/>
  <c r="V331" i="1"/>
  <c r="V378" i="1"/>
  <c r="V357" i="1"/>
  <c r="V353" i="1"/>
  <c r="V351" i="1"/>
  <c r="V332" i="1"/>
  <c r="V336" i="1"/>
  <c r="V383" i="1"/>
  <c r="V377" i="1"/>
  <c r="V379" i="1"/>
  <c r="U645" i="1"/>
  <c r="U652" i="1" s="1"/>
  <c r="U124" i="1" s="1"/>
  <c r="U23" i="7" s="1"/>
  <c r="U643" i="1"/>
  <c r="U642" i="1"/>
  <c r="U656" i="1" s="1"/>
  <c r="U644" i="1"/>
  <c r="U658" i="1" s="1"/>
  <c r="U729" i="1"/>
  <c r="T726" i="1"/>
  <c r="U1170" i="1"/>
  <c r="U1333" i="1"/>
  <c r="U329" i="7" s="1"/>
  <c r="U1338" i="1"/>
  <c r="U334" i="7" s="1"/>
  <c r="U1174" i="1"/>
  <c r="U1199" i="1"/>
  <c r="U190" i="7" s="1"/>
  <c r="U148" i="1"/>
  <c r="U47" i="7" s="1"/>
  <c r="U992" i="1"/>
  <c r="U1322" i="1" s="1"/>
  <c r="U318" i="7" s="1"/>
  <c r="U1348" i="1"/>
  <c r="U344" i="7" s="1"/>
  <c r="U1190" i="1"/>
  <c r="U1172" i="1"/>
  <c r="U1337" i="1"/>
  <c r="U333" i="7" s="1"/>
  <c r="U1033" i="1"/>
  <c r="U1030" i="1"/>
  <c r="U898" i="1"/>
  <c r="U897" i="1" s="1"/>
  <c r="U908" i="1" s="1"/>
  <c r="U889" i="1"/>
  <c r="U888" i="1" s="1"/>
  <c r="U907" i="1" s="1"/>
  <c r="U880" i="1"/>
  <c r="U879" i="1" s="1"/>
  <c r="U906" i="1" s="1"/>
  <c r="U871" i="1"/>
  <c r="U1321" i="1"/>
  <c r="U317" i="7" s="1"/>
  <c r="U925" i="1"/>
  <c r="U1344" i="1"/>
  <c r="U340" i="7" s="1"/>
  <c r="U1179" i="1"/>
  <c r="U1177" i="1" s="1"/>
  <c r="W88" i="1"/>
  <c r="V1990" i="1"/>
  <c r="V1988" i="1"/>
  <c r="V1984" i="1"/>
  <c r="V1122" i="1"/>
  <c r="V1075" i="1"/>
  <c r="V812" i="1"/>
  <c r="V808" i="1"/>
  <c r="V806" i="1"/>
  <c r="V108" i="1" s="1"/>
  <c r="V7" i="7" s="1"/>
  <c r="V804" i="1"/>
  <c r="V973" i="1" s="1"/>
  <c r="V718" i="1"/>
  <c r="V181" i="7" s="1"/>
  <c r="V716" i="1"/>
  <c r="V179" i="7" s="1"/>
  <c r="V714" i="1"/>
  <c r="V177" i="7" s="1"/>
  <c r="V598" i="1"/>
  <c r="V586" i="1"/>
  <c r="V1985" i="1"/>
  <c r="V817" i="1"/>
  <c r="V809" i="1"/>
  <c r="V1013" i="1" s="1"/>
  <c r="V805" i="1"/>
  <c r="V721" i="1"/>
  <c r="V184" i="7" s="1"/>
  <c r="V1989" i="1"/>
  <c r="V1983" i="1"/>
  <c r="V1123" i="1"/>
  <c r="V811" i="1"/>
  <c r="V807" i="1"/>
  <c r="V770" i="1"/>
  <c r="V715" i="1"/>
  <c r="V178" i="7" s="1"/>
  <c r="V654" i="1"/>
  <c r="V609" i="1"/>
  <c r="V559" i="1"/>
  <c r="V551" i="1"/>
  <c r="I565" i="1"/>
  <c r="I354" i="1"/>
  <c r="M977" i="1"/>
  <c r="M1005" i="1" s="1"/>
  <c r="M121" i="1" s="1"/>
  <c r="M20" i="7" s="1"/>
  <c r="M1003" i="1"/>
  <c r="I334" i="1"/>
  <c r="L1004" i="1"/>
  <c r="L989" i="1" s="1"/>
  <c r="L1045" i="1"/>
  <c r="L1325" i="1"/>
  <c r="L321" i="7" s="1"/>
  <c r="L1042" i="1"/>
  <c r="R266" i="1"/>
  <c r="S268" i="1" s="1"/>
  <c r="S269" i="1" s="1"/>
  <c r="S239" i="1"/>
  <c r="T242" i="1" s="1"/>
  <c r="T243" i="1" s="1"/>
  <c r="T248" i="1"/>
  <c r="T1321" i="1"/>
  <c r="T317" i="7" s="1"/>
  <c r="T1338" i="1"/>
  <c r="T334" i="7" s="1"/>
  <c r="T1174" i="1"/>
  <c r="S1051" i="1"/>
  <c r="S2018" i="1"/>
  <c r="S2010" i="1"/>
  <c r="S1945" i="1"/>
  <c r="S2023" i="1"/>
  <c r="S1800" i="1"/>
  <c r="S1946" i="1"/>
  <c r="O779" i="1"/>
  <c r="N784" i="1"/>
  <c r="O783" i="1" s="1"/>
  <c r="S36" i="8"/>
  <c r="T35" i="8"/>
  <c r="U35" i="8" s="1"/>
  <c r="T163" i="1"/>
  <c r="T62" i="7" s="1"/>
  <c r="T926" i="1"/>
  <c r="T1033" i="1"/>
  <c r="T1030" i="1"/>
  <c r="T898" i="1"/>
  <c r="T897" i="1" s="1"/>
  <c r="T908" i="1" s="1"/>
  <c r="T889" i="1"/>
  <c r="T888" i="1" s="1"/>
  <c r="T907" i="1" s="1"/>
  <c r="T871" i="1"/>
  <c r="T880" i="1"/>
  <c r="T879" i="1" s="1"/>
  <c r="T906" i="1" s="1"/>
  <c r="T1347" i="1"/>
  <c r="T343" i="7" s="1"/>
  <c r="T1183" i="1"/>
  <c r="T1334" i="1"/>
  <c r="T330" i="7" s="1"/>
  <c r="T618" i="1"/>
  <c r="T1169" i="1"/>
  <c r="T72" i="8" s="1"/>
  <c r="T1337" i="1"/>
  <c r="T333" i="7" s="1"/>
  <c r="T1172" i="1"/>
  <c r="T902" i="8"/>
  <c r="T903" i="8" s="1"/>
  <c r="S828" i="8"/>
  <c r="T829" i="8" s="1"/>
  <c r="T827" i="8"/>
  <c r="U827" i="8" s="1"/>
  <c r="R937" i="8"/>
  <c r="R835" i="8"/>
  <c r="S1177" i="1"/>
  <c r="S89" i="8"/>
  <c r="S959" i="1"/>
  <c r="S162" i="1"/>
  <c r="S61" i="7" s="1"/>
  <c r="T167" i="1"/>
  <c r="T66" i="7" s="1"/>
  <c r="T709" i="8"/>
  <c r="U709" i="8" s="1"/>
  <c r="V709" i="8" s="1"/>
  <c r="T925" i="1"/>
  <c r="T1348" i="1"/>
  <c r="T344" i="7" s="1"/>
  <c r="T1190" i="1"/>
  <c r="T1333" i="1"/>
  <c r="T329" i="7" s="1"/>
  <c r="T1170" i="1"/>
  <c r="R934" i="8"/>
  <c r="R912" i="8"/>
  <c r="S2024" i="1"/>
  <c r="S1801" i="1"/>
  <c r="R940" i="8"/>
  <c r="R764" i="8"/>
  <c r="S2021" i="1"/>
  <c r="S1870" i="1"/>
  <c r="S870" i="1"/>
  <c r="S905" i="1" s="1"/>
  <c r="R913" i="8"/>
  <c r="R763" i="8"/>
  <c r="R939" i="8"/>
  <c r="T148" i="1"/>
  <c r="T47" i="7" s="1"/>
  <c r="T1199" i="1"/>
  <c r="T190" i="7" s="1"/>
  <c r="T1344" i="1"/>
  <c r="T340" i="7" s="1"/>
  <c r="T1179" i="1"/>
  <c r="T90" i="8" s="1"/>
  <c r="T1336" i="1"/>
  <c r="T332" i="7" s="1"/>
  <c r="T1171" i="1"/>
  <c r="T1863" i="1"/>
  <c r="U1864" i="1" s="1"/>
  <c r="V1864" i="1" s="1"/>
  <c r="S296" i="8"/>
  <c r="S1495" i="1"/>
  <c r="N1667" i="1"/>
  <c r="R822" i="8"/>
  <c r="R567" i="8"/>
  <c r="R438" i="8"/>
  <c r="R268" i="8"/>
  <c r="R670" i="8"/>
  <c r="R39" i="8"/>
  <c r="R746" i="8"/>
  <c r="R924" i="8"/>
  <c r="R66" i="8"/>
  <c r="R896" i="8"/>
  <c r="R125" i="8"/>
  <c r="S942" i="1"/>
  <c r="J313" i="1"/>
  <c r="V785" i="8" l="1"/>
  <c r="Q319" i="7"/>
  <c r="Q275" i="8"/>
  <c r="Q274" i="8" s="1"/>
  <c r="U95" i="7"/>
  <c r="V196" i="1"/>
  <c r="U151" i="1"/>
  <c r="U50" i="7" s="1"/>
  <c r="V164" i="1"/>
  <c r="V63" i="7" s="1"/>
  <c r="Q913" i="1"/>
  <c r="J151" i="8"/>
  <c r="J150" i="8" s="1"/>
  <c r="AA711" i="1"/>
  <c r="AA174" i="7" s="1"/>
  <c r="H149" i="8"/>
  <c r="H148" i="8" s="1"/>
  <c r="U854" i="1"/>
  <c r="U926" i="1" s="1"/>
  <c r="U822" i="1"/>
  <c r="U823" i="1"/>
  <c r="U828" i="1"/>
  <c r="U48" i="7"/>
  <c r="V149" i="1"/>
  <c r="T223" i="1"/>
  <c r="S122" i="7"/>
  <c r="V581" i="1"/>
  <c r="AB711" i="1"/>
  <c r="AB174" i="7" s="1"/>
  <c r="W824" i="1"/>
  <c r="V825" i="1"/>
  <c r="W524" i="1"/>
  <c r="W520" i="1"/>
  <c r="W519" i="1"/>
  <c r="W518" i="1"/>
  <c r="W407" i="1"/>
  <c r="W402" i="1"/>
  <c r="T194" i="1"/>
  <c r="S93" i="7"/>
  <c r="U903" i="8"/>
  <c r="W711" i="1"/>
  <c r="W174" i="7" s="1"/>
  <c r="M201" i="7"/>
  <c r="T836" i="1"/>
  <c r="T863" i="1" s="1"/>
  <c r="T1017" i="1" s="1"/>
  <c r="T1015" i="1" s="1"/>
  <c r="T1465" i="1" s="1"/>
  <c r="T449" i="8" s="1"/>
  <c r="T448" i="8" s="1"/>
  <c r="T855" i="1"/>
  <c r="T1021" i="1" s="1"/>
  <c r="T829" i="1"/>
  <c r="T830" i="1"/>
  <c r="T204" i="1"/>
  <c r="S103" i="7"/>
  <c r="S1668" i="1"/>
  <c r="S552" i="7" s="1"/>
  <c r="S835" i="1"/>
  <c r="T834" i="1" s="1"/>
  <c r="K341" i="7"/>
  <c r="K1871" i="1"/>
  <c r="K1799" i="1"/>
  <c r="K315" i="8"/>
  <c r="K314" i="8" s="1"/>
  <c r="K2021" i="1"/>
  <c r="V799" i="1"/>
  <c r="S857" i="1"/>
  <c r="S831" i="1"/>
  <c r="R833" i="1"/>
  <c r="R858" i="1"/>
  <c r="R859" i="1" s="1"/>
  <c r="R832" i="1"/>
  <c r="S985" i="1"/>
  <c r="S918" i="1"/>
  <c r="V719" i="1"/>
  <c r="V182" i="7" s="1"/>
  <c r="R273" i="8"/>
  <c r="Q912" i="1"/>
  <c r="Q943" i="1" s="1"/>
  <c r="Y711" i="1"/>
  <c r="Y174" i="7" s="1"/>
  <c r="Z711" i="1"/>
  <c r="Z174" i="7" s="1"/>
  <c r="V711" i="1"/>
  <c r="AC711" i="1"/>
  <c r="AC174" i="7" s="1"/>
  <c r="X711" i="1"/>
  <c r="X174" i="7" s="1"/>
  <c r="M1321" i="1"/>
  <c r="M317" i="7" s="1"/>
  <c r="Q1321" i="1"/>
  <c r="V717" i="1"/>
  <c r="V180" i="7" s="1"/>
  <c r="P912" i="1"/>
  <c r="P943" i="1" s="1"/>
  <c r="K1321" i="1"/>
  <c r="K317" i="7" s="1"/>
  <c r="L1321" i="1"/>
  <c r="F151" i="8"/>
  <c r="F150" i="8" s="1"/>
  <c r="J149" i="8"/>
  <c r="J148" i="8" s="1"/>
  <c r="J1086" i="1"/>
  <c r="O799" i="1"/>
  <c r="O798" i="1"/>
  <c r="S798" i="1"/>
  <c r="Q914" i="1"/>
  <c r="Q971" i="1" s="1"/>
  <c r="N799" i="1"/>
  <c r="G992" i="1"/>
  <c r="G1322" i="1" s="1"/>
  <c r="G318" i="7" s="1"/>
  <c r="X798" i="1"/>
  <c r="F816" i="1"/>
  <c r="F1022" i="1" s="1"/>
  <c r="F1019" i="1" s="1"/>
  <c r="F1464" i="1" s="1"/>
  <c r="F447" i="8" s="1"/>
  <c r="F446" i="8" s="1"/>
  <c r="Q799" i="1"/>
  <c r="O992" i="1"/>
  <c r="O1322" i="1" s="1"/>
  <c r="O273" i="8" s="1"/>
  <c r="O272" i="8" s="1"/>
  <c r="AB799" i="1"/>
  <c r="AA798" i="1"/>
  <c r="U799" i="1"/>
  <c r="G937" i="1"/>
  <c r="G999" i="1" s="1"/>
  <c r="G121" i="1" s="1"/>
  <c r="G20" i="7" s="1"/>
  <c r="G997" i="1"/>
  <c r="F812" i="1"/>
  <c r="F992" i="1" s="1"/>
  <c r="F1322" i="1" s="1"/>
  <c r="H799" i="1"/>
  <c r="F799" i="1"/>
  <c r="I202" i="7"/>
  <c r="I151" i="8"/>
  <c r="I150" i="8" s="1"/>
  <c r="I799" i="1"/>
  <c r="H796" i="1"/>
  <c r="G810" i="1"/>
  <c r="G1014" i="1" s="1"/>
  <c r="G1011" i="1" s="1"/>
  <c r="G1466" i="1" s="1"/>
  <c r="G451" i="8" s="1"/>
  <c r="G450" i="8" s="1"/>
  <c r="G801" i="1"/>
  <c r="O201" i="7"/>
  <c r="O149" i="8"/>
  <c r="O148" i="8" s="1"/>
  <c r="M197" i="7"/>
  <c r="M141" i="8"/>
  <c r="M140" i="8" s="1"/>
  <c r="I1700" i="1"/>
  <c r="I575" i="7"/>
  <c r="W799" i="1"/>
  <c r="Y798" i="1"/>
  <c r="V798" i="1"/>
  <c r="N798" i="1"/>
  <c r="H937" i="1"/>
  <c r="H999" i="1" s="1"/>
  <c r="H121" i="1" s="1"/>
  <c r="H20" i="7" s="1"/>
  <c r="H997" i="1"/>
  <c r="I992" i="1"/>
  <c r="I1322" i="1" s="1"/>
  <c r="H798" i="1"/>
  <c r="H992" i="1"/>
  <c r="H1322" i="1" s="1"/>
  <c r="N318" i="7"/>
  <c r="N273" i="8"/>
  <c r="N272" i="8" s="1"/>
  <c r="F937" i="1"/>
  <c r="F999" i="1" s="1"/>
  <c r="F997" i="1"/>
  <c r="G201" i="7"/>
  <c r="G149" i="8"/>
  <c r="G148" i="8" s="1"/>
  <c r="H1703" i="1"/>
  <c r="H587" i="7" s="1"/>
  <c r="H584" i="7"/>
  <c r="R6" i="7"/>
  <c r="R1050" i="1"/>
  <c r="F201" i="7"/>
  <c r="F149" i="8"/>
  <c r="F148" i="8" s="1"/>
  <c r="Q6" i="7"/>
  <c r="Q1050" i="1"/>
  <c r="G1691" i="1"/>
  <c r="G815" i="1"/>
  <c r="I798" i="1"/>
  <c r="G799" i="1"/>
  <c r="R190" i="7"/>
  <c r="R128" i="8"/>
  <c r="R127" i="8" s="1"/>
  <c r="R926" i="8" s="1"/>
  <c r="R2010" i="1"/>
  <c r="S182" i="7"/>
  <c r="S1321" i="1"/>
  <c r="G202" i="7"/>
  <c r="G151" i="8"/>
  <c r="G150" i="8" s="1"/>
  <c r="O1050" i="1"/>
  <c r="O6" i="7"/>
  <c r="I201" i="7"/>
  <c r="I149" i="8"/>
  <c r="I148" i="8" s="1"/>
  <c r="I937" i="1"/>
  <c r="I999" i="1" s="1"/>
  <c r="I997" i="1"/>
  <c r="F798" i="1"/>
  <c r="G798" i="1"/>
  <c r="J812" i="1"/>
  <c r="J798" i="1"/>
  <c r="J799" i="1"/>
  <c r="J197" i="7"/>
  <c r="J141" i="8"/>
  <c r="J140" i="8" s="1"/>
  <c r="J720" i="1"/>
  <c r="J183" i="7" s="1"/>
  <c r="J174" i="7"/>
  <c r="J321" i="7"/>
  <c r="J279" i="8"/>
  <c r="J278" i="8" s="1"/>
  <c r="S717" i="1"/>
  <c r="S171" i="7"/>
  <c r="S720" i="1"/>
  <c r="S183" i="7" s="1"/>
  <c r="S174" i="7"/>
  <c r="M720" i="1"/>
  <c r="M174" i="7"/>
  <c r="T720" i="1"/>
  <c r="T174" i="7"/>
  <c r="K720" i="1"/>
  <c r="K183" i="7" s="1"/>
  <c r="K174" i="7"/>
  <c r="K120" i="1"/>
  <c r="K19" i="7" s="1"/>
  <c r="R798" i="1"/>
  <c r="T798" i="1"/>
  <c r="L318" i="7"/>
  <c r="L273" i="8"/>
  <c r="L272" i="8" s="1"/>
  <c r="W798" i="1"/>
  <c r="R799" i="1"/>
  <c r="K197" i="7"/>
  <c r="K141" i="8"/>
  <c r="K140" i="8" s="1"/>
  <c r="U171" i="7"/>
  <c r="U717" i="1"/>
  <c r="U180" i="7" s="1"/>
  <c r="AB798" i="1"/>
  <c r="R720" i="1"/>
  <c r="R174" i="7"/>
  <c r="Q720" i="1"/>
  <c r="Q174" i="7"/>
  <c r="P717" i="1"/>
  <c r="P171" i="7"/>
  <c r="T717" i="1"/>
  <c r="T180" i="7" s="1"/>
  <c r="T171" i="7"/>
  <c r="N717" i="1"/>
  <c r="N171" i="7"/>
  <c r="L6" i="7"/>
  <c r="L1050" i="1"/>
  <c r="U798" i="1"/>
  <c r="AA799" i="1"/>
  <c r="M992" i="1"/>
  <c r="M1322" i="1" s="1"/>
  <c r="Q798" i="1"/>
  <c r="S799" i="1"/>
  <c r="M1679" i="1"/>
  <c r="M563" i="7" s="1"/>
  <c r="M560" i="7"/>
  <c r="K717" i="1"/>
  <c r="K180" i="7" s="1"/>
  <c r="K171" i="7"/>
  <c r="Q717" i="1"/>
  <c r="Q171" i="7"/>
  <c r="U720" i="1"/>
  <c r="U174" i="7"/>
  <c r="L720" i="1"/>
  <c r="L174" i="7"/>
  <c r="O720" i="1"/>
  <c r="O174" i="7"/>
  <c r="L717" i="1"/>
  <c r="L171" i="7"/>
  <c r="J616" i="1"/>
  <c r="AE498" i="1"/>
  <c r="L508" i="1" s="1"/>
  <c r="L617" i="1" s="1"/>
  <c r="M6" i="7"/>
  <c r="M1050" i="1"/>
  <c r="Y799" i="1"/>
  <c r="K6" i="7"/>
  <c r="K1050" i="1"/>
  <c r="N1676" i="1"/>
  <c r="N551" i="7"/>
  <c r="M717" i="1"/>
  <c r="M171" i="7"/>
  <c r="P720" i="1"/>
  <c r="P174" i="7"/>
  <c r="N720" i="1"/>
  <c r="N174" i="7"/>
  <c r="O717" i="1"/>
  <c r="O171" i="7"/>
  <c r="R717" i="1"/>
  <c r="R180" i="7" s="1"/>
  <c r="R171" i="7"/>
  <c r="S508" i="1"/>
  <c r="S617" i="1" s="1"/>
  <c r="R504" i="1"/>
  <c r="R613" i="1" s="1"/>
  <c r="J503" i="1"/>
  <c r="J612" i="1" s="1"/>
  <c r="F508" i="1"/>
  <c r="U508" i="1"/>
  <c r="U617" i="1" s="1"/>
  <c r="L504" i="1"/>
  <c r="L613" i="1" s="1"/>
  <c r="T503" i="1"/>
  <c r="T612" i="1" s="1"/>
  <c r="L502" i="1"/>
  <c r="J508" i="1"/>
  <c r="J617" i="1" s="1"/>
  <c r="S502" i="1"/>
  <c r="S611" i="1" s="1"/>
  <c r="U502" i="1"/>
  <c r="U611" i="1" s="1"/>
  <c r="N504" i="1"/>
  <c r="N613" i="1" s="1"/>
  <c r="F503" i="1"/>
  <c r="F612" i="1" s="1"/>
  <c r="V508" i="1"/>
  <c r="V617" i="1" s="1"/>
  <c r="P508" i="1"/>
  <c r="P617" i="1" s="1"/>
  <c r="G503" i="1"/>
  <c r="G612" i="1" s="1"/>
  <c r="O508" i="1"/>
  <c r="O617" i="1" s="1"/>
  <c r="J504" i="1"/>
  <c r="J613" i="1" s="1"/>
  <c r="O504" i="1"/>
  <c r="O613" i="1" s="1"/>
  <c r="H508" i="1"/>
  <c r="H617" i="1" s="1"/>
  <c r="I502" i="1"/>
  <c r="I611" i="1" s="1"/>
  <c r="Q508" i="1"/>
  <c r="Q617" i="1" s="1"/>
  <c r="H504" i="1"/>
  <c r="H613" i="1" s="1"/>
  <c r="P503" i="1"/>
  <c r="P612" i="1" s="1"/>
  <c r="H502" i="1"/>
  <c r="H611" i="1" s="1"/>
  <c r="U503" i="1"/>
  <c r="U612" i="1" s="1"/>
  <c r="K502" i="1"/>
  <c r="K611" i="1" s="1"/>
  <c r="S503" i="1"/>
  <c r="S612" i="1" s="1"/>
  <c r="M502" i="1"/>
  <c r="F504" i="1"/>
  <c r="F613" i="1" s="1"/>
  <c r="V502" i="1"/>
  <c r="V611" i="1" s="1"/>
  <c r="N508" i="1"/>
  <c r="N617" i="1" s="1"/>
  <c r="I503" i="1"/>
  <c r="I612" i="1" s="1"/>
  <c r="Q502" i="1"/>
  <c r="Q611" i="1" s="1"/>
  <c r="K508" i="1"/>
  <c r="K617" i="1" s="1"/>
  <c r="R502" i="1"/>
  <c r="R611" i="1" s="1"/>
  <c r="Q503" i="1"/>
  <c r="Q612" i="1" s="1"/>
  <c r="Q504" i="1"/>
  <c r="Q613" i="1" s="1"/>
  <c r="M508" i="1"/>
  <c r="M617" i="1" s="1"/>
  <c r="T504" i="1"/>
  <c r="T613" i="1" s="1"/>
  <c r="L503" i="1"/>
  <c r="L612" i="1" s="1"/>
  <c r="T502" i="1"/>
  <c r="T611" i="1" s="1"/>
  <c r="S504" i="1"/>
  <c r="S613" i="1" s="1"/>
  <c r="M503" i="1"/>
  <c r="M612" i="1" s="1"/>
  <c r="U504" i="1"/>
  <c r="U613" i="1" s="1"/>
  <c r="K503" i="1"/>
  <c r="K612" i="1" s="1"/>
  <c r="G508" i="1"/>
  <c r="G617" i="1" s="1"/>
  <c r="V503" i="1"/>
  <c r="V612" i="1" s="1"/>
  <c r="N502" i="1"/>
  <c r="W504" i="1"/>
  <c r="W502" i="1"/>
  <c r="I504" i="1"/>
  <c r="I613" i="1" s="1"/>
  <c r="W508" i="1"/>
  <c r="R503" i="1"/>
  <c r="R612" i="1" s="1"/>
  <c r="F502" i="1"/>
  <c r="O502" i="1"/>
  <c r="W503" i="1"/>
  <c r="I508" i="1"/>
  <c r="I617" i="1" s="1"/>
  <c r="P504" i="1"/>
  <c r="P613" i="1" s="1"/>
  <c r="H503" i="1"/>
  <c r="H612" i="1" s="1"/>
  <c r="P502" i="1"/>
  <c r="P611" i="1" s="1"/>
  <c r="R508" i="1"/>
  <c r="R617" i="1" s="1"/>
  <c r="K504" i="1"/>
  <c r="K613" i="1" s="1"/>
  <c r="T508" i="1"/>
  <c r="T617" i="1" s="1"/>
  <c r="M504" i="1"/>
  <c r="M613" i="1" s="1"/>
  <c r="V504" i="1"/>
  <c r="V613" i="1" s="1"/>
  <c r="N503" i="1"/>
  <c r="N612" i="1" s="1"/>
  <c r="J502" i="1"/>
  <c r="J611" i="1" s="1"/>
  <c r="G504" i="1"/>
  <c r="G613" i="1" s="1"/>
  <c r="G502" i="1"/>
  <c r="O503" i="1"/>
  <c r="O612" i="1" s="1"/>
  <c r="K812" i="1"/>
  <c r="AE797" i="1"/>
  <c r="L799" i="1"/>
  <c r="K799" i="1"/>
  <c r="L798" i="1"/>
  <c r="K798" i="1"/>
  <c r="M798" i="1"/>
  <c r="Z799" i="1"/>
  <c r="AC799" i="1"/>
  <c r="Z798" i="1"/>
  <c r="X799" i="1"/>
  <c r="T799" i="1"/>
  <c r="P798" i="1"/>
  <c r="P799" i="1"/>
  <c r="J303" i="8"/>
  <c r="J302" i="8" s="1"/>
  <c r="J2018" i="1"/>
  <c r="J334" i="7"/>
  <c r="J1945" i="1"/>
  <c r="M799" i="1"/>
  <c r="AC798" i="1"/>
  <c r="F219" i="1"/>
  <c r="F118" i="7" s="1"/>
  <c r="F116" i="7"/>
  <c r="P522" i="1"/>
  <c r="Q513" i="1" s="1"/>
  <c r="Q521" i="1" s="1"/>
  <c r="V145" i="1"/>
  <c r="V44" i="7" s="1"/>
  <c r="V120" i="1"/>
  <c r="V19" i="7" s="1"/>
  <c r="V937" i="1"/>
  <c r="U1032" i="1"/>
  <c r="K271" i="8"/>
  <c r="K270" i="8" s="1"/>
  <c r="K985" i="1"/>
  <c r="K945" i="1"/>
  <c r="K996" i="1" s="1"/>
  <c r="L1034" i="1"/>
  <c r="J1034" i="1"/>
  <c r="K116" i="1"/>
  <c r="K15" i="7" s="1"/>
  <c r="R271" i="8"/>
  <c r="R270" i="8" s="1"/>
  <c r="O913" i="1"/>
  <c r="O959" i="1"/>
  <c r="M942" i="1"/>
  <c r="M912" i="1"/>
  <c r="M943" i="1" s="1"/>
  <c r="P959" i="1"/>
  <c r="P913" i="1"/>
  <c r="J959" i="1"/>
  <c r="J913" i="1"/>
  <c r="K959" i="1"/>
  <c r="K913" i="1"/>
  <c r="P870" i="1"/>
  <c r="P905" i="1" s="1"/>
  <c r="P918" i="1"/>
  <c r="N914" i="1"/>
  <c r="N971" i="1" s="1"/>
  <c r="N970" i="1"/>
  <c r="N912" i="1"/>
  <c r="N943" i="1" s="1"/>
  <c r="N942" i="1"/>
  <c r="R918" i="1"/>
  <c r="R870" i="1"/>
  <c r="R905" i="1" s="1"/>
  <c r="R904" i="1" s="1"/>
  <c r="L912" i="1"/>
  <c r="L943" i="1" s="1"/>
  <c r="L942" i="1"/>
  <c r="N870" i="1"/>
  <c r="N905" i="1" s="1"/>
  <c r="N918" i="1"/>
  <c r="O970" i="1"/>
  <c r="O914" i="1"/>
  <c r="O971" i="1" s="1"/>
  <c r="J870" i="1"/>
  <c r="J905" i="1" s="1"/>
  <c r="J918" i="1"/>
  <c r="J942" i="1"/>
  <c r="J912" i="1"/>
  <c r="J943" i="1" s="1"/>
  <c r="K970" i="1"/>
  <c r="K914" i="1"/>
  <c r="K971" i="1" s="1"/>
  <c r="M959" i="1"/>
  <c r="M913" i="1"/>
  <c r="O942" i="1"/>
  <c r="O912" i="1"/>
  <c r="O943" i="1" s="1"/>
  <c r="O1034" i="1"/>
  <c r="S1034" i="1"/>
  <c r="N1034" i="1"/>
  <c r="M1034" i="1"/>
  <c r="Q1034" i="1"/>
  <c r="L985" i="1"/>
  <c r="L945" i="1"/>
  <c r="L996" i="1" s="1"/>
  <c r="J945" i="1"/>
  <c r="J996" i="1" s="1"/>
  <c r="J985" i="1"/>
  <c r="AE708" i="1"/>
  <c r="AE171" i="7" s="1"/>
  <c r="J717" i="1"/>
  <c r="J180" i="7" s="1"/>
  <c r="R1034" i="1"/>
  <c r="P1034" i="1"/>
  <c r="J1321" i="1"/>
  <c r="J317" i="7" s="1"/>
  <c r="O985" i="1"/>
  <c r="O945" i="1"/>
  <c r="O996" i="1" s="1"/>
  <c r="M945" i="1"/>
  <c r="M996" i="1" s="1"/>
  <c r="M985" i="1"/>
  <c r="Q945" i="1"/>
  <c r="Q996" i="1" s="1"/>
  <c r="Q985" i="1"/>
  <c r="L913" i="1"/>
  <c r="L959" i="1"/>
  <c r="M914" i="1"/>
  <c r="M970" i="1"/>
  <c r="P970" i="1"/>
  <c r="P914" i="1"/>
  <c r="P971" i="1" s="1"/>
  <c r="J970" i="1"/>
  <c r="J914" i="1"/>
  <c r="J971" i="1" s="1"/>
  <c r="K912" i="1"/>
  <c r="K943" i="1" s="1"/>
  <c r="K942" i="1"/>
  <c r="M870" i="1"/>
  <c r="M905" i="1" s="1"/>
  <c r="M918" i="1"/>
  <c r="N959" i="1"/>
  <c r="N913" i="1"/>
  <c r="N960" i="1" s="1"/>
  <c r="L870" i="1"/>
  <c r="L905" i="1" s="1"/>
  <c r="L918" i="1"/>
  <c r="L970" i="1"/>
  <c r="L914" i="1"/>
  <c r="L971" i="1" s="1"/>
  <c r="O870" i="1"/>
  <c r="O905" i="1" s="1"/>
  <c r="O918" i="1"/>
  <c r="K918" i="1"/>
  <c r="K870" i="1"/>
  <c r="K905" i="1" s="1"/>
  <c r="Q870" i="1"/>
  <c r="Q905" i="1" s="1"/>
  <c r="Q918" i="1"/>
  <c r="K1034" i="1"/>
  <c r="S945" i="1"/>
  <c r="S996" i="1" s="1"/>
  <c r="K151" i="8"/>
  <c r="K150" i="8" s="1"/>
  <c r="G859" i="1"/>
  <c r="H859" i="1"/>
  <c r="L859" i="1"/>
  <c r="I147" i="8"/>
  <c r="I146" i="8" s="1"/>
  <c r="H133" i="8"/>
  <c r="H132" i="8" s="1"/>
  <c r="I983" i="1"/>
  <c r="I1204" i="1" s="1"/>
  <c r="I195" i="7" s="1"/>
  <c r="I928" i="1"/>
  <c r="I910" i="1"/>
  <c r="I995" i="1" s="1"/>
  <c r="I136" i="1" s="1"/>
  <c r="I35" i="7" s="1"/>
  <c r="H137" i="8"/>
  <c r="H136" i="8" s="1"/>
  <c r="I982" i="1"/>
  <c r="I1203" i="1" s="1"/>
  <c r="I194" i="7" s="1"/>
  <c r="I862" i="1"/>
  <c r="J859" i="1"/>
  <c r="N859" i="1"/>
  <c r="O860" i="1"/>
  <c r="N860" i="1"/>
  <c r="L860" i="1"/>
  <c r="G860" i="1"/>
  <c r="K860" i="1"/>
  <c r="H860" i="1"/>
  <c r="G994" i="1"/>
  <c r="G225" i="1"/>
  <c r="G124" i="7" s="1"/>
  <c r="G206" i="1"/>
  <c r="G105" i="7" s="1"/>
  <c r="G1974" i="1"/>
  <c r="F928" i="1"/>
  <c r="F910" i="1"/>
  <c r="F995" i="1" s="1"/>
  <c r="F136" i="1" s="1"/>
  <c r="F35" i="7" s="1"/>
  <c r="G135" i="8"/>
  <c r="G134" i="8" s="1"/>
  <c r="F147" i="8"/>
  <c r="F146" i="8" s="1"/>
  <c r="I1699" i="1"/>
  <c r="I583" i="7" s="1"/>
  <c r="I1675" i="1"/>
  <c r="I559" i="7" s="1"/>
  <c r="I981" i="1"/>
  <c r="I1202" i="1" s="1"/>
  <c r="I193" i="7" s="1"/>
  <c r="K733" i="1"/>
  <c r="J730" i="1"/>
  <c r="J1692" i="1"/>
  <c r="J576" i="7" s="1"/>
  <c r="J861" i="1"/>
  <c r="H1674" i="1"/>
  <c r="H558" i="7" s="1"/>
  <c r="H1671" i="1"/>
  <c r="H555" i="7" s="1"/>
  <c r="H1666" i="1"/>
  <c r="H550" i="7" s="1"/>
  <c r="H1669" i="1"/>
  <c r="H553" i="7" s="1"/>
  <c r="H1670" i="1"/>
  <c r="H554" i="7" s="1"/>
  <c r="H1672" i="1"/>
  <c r="H556" i="7" s="1"/>
  <c r="H1673" i="1"/>
  <c r="H557" i="7" s="1"/>
  <c r="H1677" i="1"/>
  <c r="H561" i="7" s="1"/>
  <c r="H1665" i="1"/>
  <c r="H1663" i="1"/>
  <c r="H547" i="7" s="1"/>
  <c r="H1680" i="1"/>
  <c r="H1664" i="1"/>
  <c r="H548" i="7" s="1"/>
  <c r="H1701" i="1"/>
  <c r="H585" i="7" s="1"/>
  <c r="H1697" i="1"/>
  <c r="H581" i="7" s="1"/>
  <c r="H1694" i="1"/>
  <c r="H578" i="7" s="1"/>
  <c r="H1689" i="1"/>
  <c r="H1687" i="1"/>
  <c r="H571" i="7" s="1"/>
  <c r="H1693" i="1"/>
  <c r="H577" i="7" s="1"/>
  <c r="H1704" i="1"/>
  <c r="H1698" i="1"/>
  <c r="H582" i="7" s="1"/>
  <c r="H1696" i="1"/>
  <c r="H580" i="7" s="1"/>
  <c r="H1690" i="1"/>
  <c r="H574" i="7" s="1"/>
  <c r="H1688" i="1"/>
  <c r="H572" i="7" s="1"/>
  <c r="H1695" i="1"/>
  <c r="H579" i="7" s="1"/>
  <c r="I859" i="1"/>
  <c r="F859" i="1"/>
  <c r="P859" i="1"/>
  <c r="I225" i="1"/>
  <c r="I124" i="7" s="1"/>
  <c r="I206" i="1"/>
  <c r="I105" i="7" s="1"/>
  <c r="I994" i="1"/>
  <c r="I1974" i="1"/>
  <c r="J851" i="1"/>
  <c r="K850" i="1" s="1"/>
  <c r="G147" i="8"/>
  <c r="G146" i="8" s="1"/>
  <c r="H910" i="1"/>
  <c r="H995" i="1" s="1"/>
  <c r="H136" i="1" s="1"/>
  <c r="H35" i="7" s="1"/>
  <c r="H928" i="1"/>
  <c r="H1974" i="1"/>
  <c r="H206" i="1"/>
  <c r="H105" i="7" s="1"/>
  <c r="H994" i="1"/>
  <c r="H225" i="1"/>
  <c r="H124" i="7" s="1"/>
  <c r="F220" i="1"/>
  <c r="F119" i="7" s="1"/>
  <c r="K859" i="1"/>
  <c r="M859" i="1"/>
  <c r="O859" i="1"/>
  <c r="Q859" i="1"/>
  <c r="Q860" i="1"/>
  <c r="P860" i="1"/>
  <c r="M860" i="1"/>
  <c r="I860" i="1"/>
  <c r="F993" i="1"/>
  <c r="J860" i="1"/>
  <c r="G137" i="8"/>
  <c r="G136" i="8" s="1"/>
  <c r="G910" i="1"/>
  <c r="G995" i="1" s="1"/>
  <c r="G136" i="1" s="1"/>
  <c r="G35" i="7" s="1"/>
  <c r="G928" i="1"/>
  <c r="F983" i="1"/>
  <c r="F1204" i="1" s="1"/>
  <c r="F195" i="7" s="1"/>
  <c r="F1974" i="1"/>
  <c r="F206" i="1"/>
  <c r="F105" i="7" s="1"/>
  <c r="F994" i="1"/>
  <c r="F225" i="1"/>
  <c r="F124" i="7" s="1"/>
  <c r="L1211" i="1"/>
  <c r="L202" i="7" s="1"/>
  <c r="W838" i="1"/>
  <c r="W787" i="1"/>
  <c r="Q960" i="1"/>
  <c r="Q984" i="1"/>
  <c r="Q1209" i="1" s="1"/>
  <c r="Q200" i="7" s="1"/>
  <c r="S138" i="1"/>
  <c r="S37" i="7" s="1"/>
  <c r="R913" i="1"/>
  <c r="R914" i="1"/>
  <c r="R971" i="1" s="1"/>
  <c r="R912" i="1"/>
  <c r="R943" i="1" s="1"/>
  <c r="V141" i="1"/>
  <c r="V40" i="7" s="1"/>
  <c r="T1748" i="1"/>
  <c r="T633" i="7" s="1"/>
  <c r="U197" i="1"/>
  <c r="U96" i="7" s="1"/>
  <c r="T202" i="1"/>
  <c r="T101" i="7" s="1"/>
  <c r="W165" i="1"/>
  <c r="W64" i="7" s="1"/>
  <c r="V198" i="1"/>
  <c r="V97" i="7" s="1"/>
  <c r="V160" i="1"/>
  <c r="V59" i="7" s="1"/>
  <c r="V153" i="1"/>
  <c r="V52" i="7" s="1"/>
  <c r="U199" i="1"/>
  <c r="U98" i="7" s="1"/>
  <c r="U171" i="1"/>
  <c r="U70" i="7" s="1"/>
  <c r="U167" i="1"/>
  <c r="U66" i="7" s="1"/>
  <c r="U143" i="1"/>
  <c r="U42" i="7" s="1"/>
  <c r="V144" i="1"/>
  <c r="V43" i="7" s="1"/>
  <c r="U1050" i="1"/>
  <c r="T147" i="1"/>
  <c r="T46" i="7" s="1"/>
  <c r="T1050" i="1"/>
  <c r="V1051" i="1"/>
  <c r="S504" i="8"/>
  <c r="S503" i="8" s="1"/>
  <c r="T313" i="8"/>
  <c r="T312" i="8" s="1"/>
  <c r="T321" i="8"/>
  <c r="T320" i="8" s="1"/>
  <c r="Z91" i="1"/>
  <c r="Y92" i="1"/>
  <c r="S494" i="8"/>
  <c r="S493" i="8" s="1"/>
  <c r="U1469" i="1"/>
  <c r="U1490" i="1"/>
  <c r="T319" i="8"/>
  <c r="T318" i="8" s="1"/>
  <c r="T303" i="8"/>
  <c r="T302" i="8" s="1"/>
  <c r="W431" i="1"/>
  <c r="W426" i="1"/>
  <c r="W425" i="1"/>
  <c r="W427" i="1"/>
  <c r="T1032" i="1"/>
  <c r="T293" i="8"/>
  <c r="T292" i="8" s="1"/>
  <c r="T128" i="8"/>
  <c r="T127" i="8" s="1"/>
  <c r="V1034" i="1"/>
  <c r="V107" i="1"/>
  <c r="V6" i="7" s="1"/>
  <c r="T271" i="8"/>
  <c r="T270" i="8" s="1"/>
  <c r="T295" i="8"/>
  <c r="T294" i="8" s="1"/>
  <c r="S285" i="8"/>
  <c r="S284" i="8" s="1"/>
  <c r="R149" i="8"/>
  <c r="R148" i="8" s="1"/>
  <c r="S165" i="8"/>
  <c r="S164" i="8" s="1"/>
  <c r="T273" i="8"/>
  <c r="T272" i="8" s="1"/>
  <c r="O141" i="8"/>
  <c r="O140" i="8" s="1"/>
  <c r="H481" i="1"/>
  <c r="J429" i="1"/>
  <c r="V951" i="1"/>
  <c r="V954" i="1" s="1"/>
  <c r="V962" i="1"/>
  <c r="V930" i="1"/>
  <c r="V947" i="1"/>
  <c r="V950" i="1" s="1"/>
  <c r="Q933" i="1"/>
  <c r="Q999" i="1" s="1"/>
  <c r="Q997" i="1"/>
  <c r="P998" i="1"/>
  <c r="P986" i="1" s="1"/>
  <c r="P1206" i="1" s="1"/>
  <c r="P197" i="7" s="1"/>
  <c r="U965" i="1"/>
  <c r="U1002" i="1" s="1"/>
  <c r="U1000" i="1"/>
  <c r="S1001" i="1"/>
  <c r="S990" i="1" s="1"/>
  <c r="S1210" i="1" s="1"/>
  <c r="S201" i="7" s="1"/>
  <c r="T965" i="1"/>
  <c r="T1000" i="1"/>
  <c r="K371" i="1"/>
  <c r="K370" i="1"/>
  <c r="U273" i="1"/>
  <c r="U1328" i="1" s="1"/>
  <c r="U324" i="7" s="1"/>
  <c r="V272" i="1"/>
  <c r="U1102" i="1"/>
  <c r="T1104" i="1"/>
  <c r="T1101" i="1" s="1"/>
  <c r="T1130" i="1"/>
  <c r="T1489" i="1" s="1"/>
  <c r="V827" i="8"/>
  <c r="U828" i="8"/>
  <c r="U251" i="1"/>
  <c r="U252" i="1" s="1"/>
  <c r="L279" i="8"/>
  <c r="L278" i="8" s="1"/>
  <c r="V1334" i="1"/>
  <c r="V330" i="7" s="1"/>
  <c r="V618" i="1"/>
  <c r="V1169" i="1"/>
  <c r="V1172" i="1"/>
  <c r="V1337" i="1"/>
  <c r="V333" i="7" s="1"/>
  <c r="V1033" i="1"/>
  <c r="V1030" i="1"/>
  <c r="V889" i="1"/>
  <c r="V888" i="1" s="1"/>
  <c r="V907" i="1" s="1"/>
  <c r="V880" i="1"/>
  <c r="V879" i="1" s="1"/>
  <c r="V906" i="1" s="1"/>
  <c r="V898" i="1"/>
  <c r="V897" i="1" s="1"/>
  <c r="V908" i="1" s="1"/>
  <c r="V871" i="1"/>
  <c r="V925" i="1"/>
  <c r="V1344" i="1"/>
  <c r="V340" i="7" s="1"/>
  <c r="V1179" i="1"/>
  <c r="X88" i="1"/>
  <c r="W1990" i="1"/>
  <c r="W1988" i="1"/>
  <c r="W1984" i="1"/>
  <c r="W1122" i="1"/>
  <c r="W1075" i="1"/>
  <c r="W812" i="1"/>
  <c r="W808" i="1"/>
  <c r="W806" i="1"/>
  <c r="W108" i="1" s="1"/>
  <c r="W7" i="7" s="1"/>
  <c r="W804" i="1"/>
  <c r="W973" i="1" s="1"/>
  <c r="W720" i="1"/>
  <c r="W183" i="7" s="1"/>
  <c r="W718" i="1"/>
  <c r="W181" i="7" s="1"/>
  <c r="W716" i="1"/>
  <c r="W179" i="7" s="1"/>
  <c r="W714" i="1"/>
  <c r="W177" i="7" s="1"/>
  <c r="W598" i="1"/>
  <c r="W586" i="1"/>
  <c r="W1989" i="1"/>
  <c r="W1983" i="1"/>
  <c r="W1123" i="1"/>
  <c r="W811" i="1"/>
  <c r="W807" i="1"/>
  <c r="W770" i="1"/>
  <c r="W719" i="1"/>
  <c r="W182" i="7" s="1"/>
  <c r="W715" i="1"/>
  <c r="W178" i="7" s="1"/>
  <c r="W609" i="1"/>
  <c r="W559" i="1"/>
  <c r="W551" i="1"/>
  <c r="W1985" i="1"/>
  <c r="W817" i="1"/>
  <c r="W809" i="1"/>
  <c r="W1013" i="1" s="1"/>
  <c r="W805" i="1"/>
  <c r="W721" i="1"/>
  <c r="W184" i="7" s="1"/>
  <c r="W717" i="1"/>
  <c r="W180" i="7" s="1"/>
  <c r="U2021" i="1"/>
  <c r="U1870" i="1"/>
  <c r="U918" i="1"/>
  <c r="U870" i="1"/>
  <c r="U905" i="1" s="1"/>
  <c r="U959" i="1"/>
  <c r="U2010" i="1"/>
  <c r="U116" i="1"/>
  <c r="U15" i="7" s="1"/>
  <c r="U657" i="1"/>
  <c r="U640" i="1"/>
  <c r="U655" i="1" s="1"/>
  <c r="V562" i="1"/>
  <c r="V564" i="1"/>
  <c r="V645" i="1"/>
  <c r="V644" i="1"/>
  <c r="V642" i="1"/>
  <c r="V656" i="1" s="1"/>
  <c r="V643" i="1"/>
  <c r="W630" i="1"/>
  <c r="W628" i="1"/>
  <c r="W638" i="1" s="1"/>
  <c r="W529" i="1"/>
  <c r="W526" i="1"/>
  <c r="W30" i="1"/>
  <c r="W641" i="1"/>
  <c r="W629" i="1"/>
  <c r="X29" i="1"/>
  <c r="X502" i="1" s="1"/>
  <c r="W639" i="1"/>
  <c r="W654" i="1" s="1"/>
  <c r="W631" i="1"/>
  <c r="W291" i="1"/>
  <c r="W554" i="1" s="1"/>
  <c r="W292" i="1"/>
  <c r="W555" i="1" s="1"/>
  <c r="W290" i="1"/>
  <c r="W468" i="1"/>
  <c r="W471" i="1"/>
  <c r="W605" i="1" s="1"/>
  <c r="W469" i="1"/>
  <c r="W602" i="1" s="1"/>
  <c r="W470" i="1"/>
  <c r="W603" i="1" s="1"/>
  <c r="W315" i="1"/>
  <c r="W486" i="1"/>
  <c r="W487" i="1"/>
  <c r="W310" i="1"/>
  <c r="W309" i="1"/>
  <c r="W311" i="1"/>
  <c r="W488" i="1"/>
  <c r="W492" i="1"/>
  <c r="W352" i="1"/>
  <c r="W351" i="1"/>
  <c r="W353" i="1"/>
  <c r="W330" i="1"/>
  <c r="W331" i="1"/>
  <c r="W378" i="1"/>
  <c r="W379" i="1"/>
  <c r="W377" i="1"/>
  <c r="W357" i="1"/>
  <c r="W332" i="1"/>
  <c r="W336" i="1"/>
  <c r="W383" i="1"/>
  <c r="U1218" i="1"/>
  <c r="U209" i="7" s="1"/>
  <c r="W824" i="8"/>
  <c r="W825" i="8" s="1"/>
  <c r="W859" i="8" s="1"/>
  <c r="W748" i="8"/>
  <c r="W749" i="8" s="1"/>
  <c r="W754" i="8" s="1"/>
  <c r="X672" i="8"/>
  <c r="W898" i="8"/>
  <c r="W899" i="8" s="1"/>
  <c r="W673" i="8"/>
  <c r="W678" i="8" s="1"/>
  <c r="X679" i="8" s="1"/>
  <c r="W1099" i="1"/>
  <c r="V32" i="1"/>
  <c r="W31" i="1"/>
  <c r="T1328" i="1"/>
  <c r="T324" i="7" s="1"/>
  <c r="T1218" i="1"/>
  <c r="T209" i="7" s="1"/>
  <c r="U1488" i="1"/>
  <c r="X753" i="8"/>
  <c r="V95" i="1"/>
  <c r="U98" i="1"/>
  <c r="U1103" i="1" s="1"/>
  <c r="W152" i="1"/>
  <c r="W51" i="7" s="1"/>
  <c r="T76" i="8"/>
  <c r="T75" i="8" s="1"/>
  <c r="T98" i="8"/>
  <c r="T97" i="8" s="1"/>
  <c r="T767" i="8"/>
  <c r="T691" i="8"/>
  <c r="T299" i="8"/>
  <c r="T298" i="8" s="1"/>
  <c r="V163" i="1"/>
  <c r="V62" i="7" s="1"/>
  <c r="W164" i="1"/>
  <c r="W63" i="7" s="1"/>
  <c r="U650" i="1"/>
  <c r="U1335" i="1" s="1"/>
  <c r="U331" i="7" s="1"/>
  <c r="S87" i="8"/>
  <c r="S86" i="8" s="1"/>
  <c r="T71" i="8"/>
  <c r="U36" i="8"/>
  <c r="V35" i="8"/>
  <c r="V1170" i="1"/>
  <c r="V1333" i="1"/>
  <c r="V329" i="7" s="1"/>
  <c r="V1338" i="1"/>
  <c r="V334" i="7" s="1"/>
  <c r="V1174" i="1"/>
  <c r="V1199" i="1"/>
  <c r="V190" i="7" s="1"/>
  <c r="V148" i="1"/>
  <c r="V47" i="7" s="1"/>
  <c r="V992" i="1"/>
  <c r="V1322" i="1" s="1"/>
  <c r="V318" i="7" s="1"/>
  <c r="V1348" i="1"/>
  <c r="V344" i="7" s="1"/>
  <c r="V1190" i="1"/>
  <c r="V1336" i="1"/>
  <c r="V332" i="7" s="1"/>
  <c r="V1171" i="1"/>
  <c r="V1183" i="1"/>
  <c r="V1347" i="1"/>
  <c r="V343" i="7" s="1"/>
  <c r="U942" i="1"/>
  <c r="U970" i="1"/>
  <c r="U2024" i="1"/>
  <c r="U1801" i="1"/>
  <c r="V729" i="1"/>
  <c r="U726" i="1"/>
  <c r="V561" i="1"/>
  <c r="V568" i="1"/>
  <c r="V600" i="1"/>
  <c r="V464" i="1"/>
  <c r="V601" i="1" s="1"/>
  <c r="V293" i="1"/>
  <c r="V556" i="1" s="1"/>
  <c r="V1473" i="1" s="1"/>
  <c r="V553" i="1"/>
  <c r="V576" i="1"/>
  <c r="U75" i="1"/>
  <c r="V1863" i="1"/>
  <c r="W1864" i="1" s="1"/>
  <c r="W1862" i="1"/>
  <c r="U257" i="1"/>
  <c r="V260" i="1" s="1"/>
  <c r="V261" i="1" s="1"/>
  <c r="W901" i="8"/>
  <c r="V902" i="8"/>
  <c r="V903" i="8" s="1"/>
  <c r="U1800" i="1"/>
  <c r="U2023" i="1"/>
  <c r="U1946" i="1"/>
  <c r="V754" i="8"/>
  <c r="W755" i="8" s="1"/>
  <c r="X1790" i="1"/>
  <c r="Y1790" i="1" s="1"/>
  <c r="W1791" i="1"/>
  <c r="X1792" i="1" s="1"/>
  <c r="X92" i="1"/>
  <c r="T74" i="8"/>
  <c r="T73" i="8" s="1"/>
  <c r="T78" i="8"/>
  <c r="T77" i="8" s="1"/>
  <c r="T82" i="8"/>
  <c r="T81" i="8" s="1"/>
  <c r="T91" i="8"/>
  <c r="T110" i="8"/>
  <c r="T109" i="8" s="1"/>
  <c r="T160" i="8"/>
  <c r="T301" i="8"/>
  <c r="T300" i="8" s="1"/>
  <c r="T314" i="8"/>
  <c r="U496" i="8"/>
  <c r="U495" i="8" s="1"/>
  <c r="U472" i="8"/>
  <c r="U471" i="8" s="1"/>
  <c r="U464" i="8"/>
  <c r="U463" i="8" s="1"/>
  <c r="U457" i="8"/>
  <c r="U456" i="8" s="1"/>
  <c r="U167" i="8"/>
  <c r="U161" i="8"/>
  <c r="U160" i="8" s="1"/>
  <c r="U159" i="8"/>
  <c r="U128" i="8"/>
  <c r="U127" i="8" s="1"/>
  <c r="U116" i="8"/>
  <c r="U115" i="8" s="1"/>
  <c r="U113" i="8"/>
  <c r="U112" i="8" s="1"/>
  <c r="U110" i="8"/>
  <c r="U109" i="8" s="1"/>
  <c r="U98" i="8"/>
  <c r="U97" i="8" s="1"/>
  <c r="U96" i="8"/>
  <c r="U95" i="8" s="1"/>
  <c r="U94" i="8"/>
  <c r="U92" i="8"/>
  <c r="U91" i="8" s="1"/>
  <c r="U90" i="8"/>
  <c r="U89" i="8" s="1"/>
  <c r="U87" i="8"/>
  <c r="U86" i="8" s="1"/>
  <c r="U82" i="8"/>
  <c r="U81" i="8" s="1"/>
  <c r="U80" i="8"/>
  <c r="U78" i="8"/>
  <c r="U77" i="8" s="1"/>
  <c r="U76" i="8"/>
  <c r="U75" i="8" s="1"/>
  <c r="U74" i="8"/>
  <c r="U73" i="8" s="1"/>
  <c r="U72" i="8"/>
  <c r="U71" i="8" s="1"/>
  <c r="V33" i="8"/>
  <c r="U321" i="8"/>
  <c r="U320" i="8" s="1"/>
  <c r="U317" i="8"/>
  <c r="U313" i="8"/>
  <c r="U312" i="8" s="1"/>
  <c r="U307" i="8"/>
  <c r="U303" i="8"/>
  <c r="U302" i="8" s="1"/>
  <c r="U299" i="8"/>
  <c r="U298" i="8" s="1"/>
  <c r="U295" i="8"/>
  <c r="U294" i="8" s="1"/>
  <c r="U273" i="8"/>
  <c r="U272" i="8" s="1"/>
  <c r="U53" i="8"/>
  <c r="U315" i="8"/>
  <c r="U314" i="8" s="1"/>
  <c r="U287" i="8"/>
  <c r="U286" i="8" s="1"/>
  <c r="U271" i="8"/>
  <c r="U270" i="8" s="1"/>
  <c r="U319" i="8"/>
  <c r="U318" i="8" s="1"/>
  <c r="U293" i="8"/>
  <c r="U292" i="8" s="1"/>
  <c r="U34" i="8"/>
  <c r="U301" i="8"/>
  <c r="U300" i="8" s="1"/>
  <c r="V167" i="1"/>
  <c r="V66" i="7" s="1"/>
  <c r="U162" i="1"/>
  <c r="U61" i="7" s="1"/>
  <c r="J324" i="1"/>
  <c r="J323" i="1"/>
  <c r="M1004" i="1"/>
  <c r="M989" i="1" s="1"/>
  <c r="M1325" i="1"/>
  <c r="M321" i="7" s="1"/>
  <c r="M1045" i="1"/>
  <c r="M1042" i="1"/>
  <c r="N977" i="1"/>
  <c r="N1005" i="1" s="1"/>
  <c r="N121" i="1" s="1"/>
  <c r="N20" i="7" s="1"/>
  <c r="N1003" i="1"/>
  <c r="I355" i="1"/>
  <c r="T239" i="1"/>
  <c r="S266" i="1"/>
  <c r="T268" i="1" s="1"/>
  <c r="T269" i="1" s="1"/>
  <c r="T904" i="8"/>
  <c r="U904" i="8" s="1"/>
  <c r="V904" i="8" s="1"/>
  <c r="S822" i="8"/>
  <c r="S670" i="8"/>
  <c r="S39" i="8"/>
  <c r="S268" i="8"/>
  <c r="S567" i="8"/>
  <c r="S125" i="8"/>
  <c r="S746" i="8"/>
  <c r="S438" i="8"/>
  <c r="S66" i="8"/>
  <c r="S924" i="8"/>
  <c r="S896" i="8"/>
  <c r="S926" i="8"/>
  <c r="S912" i="8"/>
  <c r="S934" i="8"/>
  <c r="T2010" i="1"/>
  <c r="T1945" i="1"/>
  <c r="T2018" i="1"/>
  <c r="T942" i="1"/>
  <c r="T1488" i="1"/>
  <c r="T1495" i="1"/>
  <c r="T2021" i="1"/>
  <c r="T1870" i="1"/>
  <c r="S764" i="8"/>
  <c r="S940" i="8"/>
  <c r="T828" i="8"/>
  <c r="U829" i="8" s="1"/>
  <c r="V829" i="8" s="1"/>
  <c r="S911" i="1"/>
  <c r="S904" i="1"/>
  <c r="S927" i="1"/>
  <c r="T918" i="1"/>
  <c r="T870" i="1"/>
  <c r="T905" i="1" s="1"/>
  <c r="T162" i="1"/>
  <c r="T61" i="7" s="1"/>
  <c r="O1667" i="1"/>
  <c r="S913" i="8"/>
  <c r="S763" i="8"/>
  <c r="S939" i="8"/>
  <c r="T970" i="1"/>
  <c r="T1177" i="1"/>
  <c r="T89" i="8"/>
  <c r="S835" i="8"/>
  <c r="S937" i="8"/>
  <c r="T1801" i="1"/>
  <c r="T2024" i="1"/>
  <c r="T1800" i="1"/>
  <c r="T2023" i="1"/>
  <c r="T1946" i="1"/>
  <c r="T959" i="1"/>
  <c r="T116" i="1"/>
  <c r="T15" i="7" s="1"/>
  <c r="T36" i="8"/>
  <c r="P779" i="1"/>
  <c r="O784" i="1"/>
  <c r="P783" i="1" s="1"/>
  <c r="R272" i="8"/>
  <c r="K302" i="1"/>
  <c r="K303" i="1"/>
  <c r="O318" i="7" l="1"/>
  <c r="W612" i="1"/>
  <c r="G273" i="8"/>
  <c r="G272" i="8" s="1"/>
  <c r="K762" i="8"/>
  <c r="K836" i="8"/>
  <c r="K937" i="8"/>
  <c r="V155" i="1"/>
  <c r="V54" i="7" s="1"/>
  <c r="K1031" i="1"/>
  <c r="K1029" i="1" s="1"/>
  <c r="K1462" i="1" s="1"/>
  <c r="K443" i="8" s="1"/>
  <c r="K442" i="8" s="1"/>
  <c r="U194" i="1"/>
  <c r="T93" i="7"/>
  <c r="X520" i="1"/>
  <c r="X518" i="1"/>
  <c r="X524" i="1"/>
  <c r="X519" i="1"/>
  <c r="X407" i="1"/>
  <c r="X402" i="1"/>
  <c r="R993" i="1"/>
  <c r="R1323" i="1" s="1"/>
  <c r="U223" i="1"/>
  <c r="T122" i="7"/>
  <c r="U204" i="1"/>
  <c r="T103" i="7"/>
  <c r="W825" i="1"/>
  <c r="X824" i="1"/>
  <c r="V48" i="7"/>
  <c r="W149" i="1"/>
  <c r="V95" i="7"/>
  <c r="W196" i="1"/>
  <c r="X503" i="1"/>
  <c r="W581" i="1"/>
  <c r="V151" i="1"/>
  <c r="V50" i="7" s="1"/>
  <c r="W613" i="1"/>
  <c r="R860" i="1"/>
  <c r="X504" i="1"/>
  <c r="S858" i="1"/>
  <c r="S860" i="1" s="1"/>
  <c r="S833" i="1"/>
  <c r="S832" i="1"/>
  <c r="T831" i="1"/>
  <c r="T858" i="1" s="1"/>
  <c r="T857" i="1"/>
  <c r="V1477" i="1"/>
  <c r="U147" i="1"/>
  <c r="T856" i="1"/>
  <c r="U829" i="1"/>
  <c r="U856" i="1" s="1"/>
  <c r="U830" i="1"/>
  <c r="U855" i="1"/>
  <c r="U1021" i="1" s="1"/>
  <c r="U836" i="1"/>
  <c r="U863" i="1" s="1"/>
  <c r="U1017" i="1" s="1"/>
  <c r="U1015" i="1" s="1"/>
  <c r="U1465" i="1" s="1"/>
  <c r="U449" i="8" s="1"/>
  <c r="U448" i="8" s="1"/>
  <c r="V823" i="1"/>
  <c r="V854" i="1"/>
  <c r="V926" i="1" s="1"/>
  <c r="V828" i="1"/>
  <c r="V822" i="1"/>
  <c r="J1031" i="1"/>
  <c r="J1029" i="1" s="1"/>
  <c r="J1462" i="1" s="1"/>
  <c r="J443" i="8" s="1"/>
  <c r="J442" i="8" s="1"/>
  <c r="X508" i="1"/>
  <c r="T1668" i="1"/>
  <c r="T552" i="7" s="1"/>
  <c r="T835" i="1"/>
  <c r="U834" i="1" s="1"/>
  <c r="T985" i="1"/>
  <c r="T945" i="1"/>
  <c r="T996" i="1" s="1"/>
  <c r="R911" i="1"/>
  <c r="V1321" i="1"/>
  <c r="V317" i="7" s="1"/>
  <c r="V116" i="1"/>
  <c r="V15" i="7" s="1"/>
  <c r="R116" i="1"/>
  <c r="R15" i="7" s="1"/>
  <c r="M271" i="8"/>
  <c r="M270" i="8" s="1"/>
  <c r="S1031" i="1"/>
  <c r="S1029" i="1" s="1"/>
  <c r="S1462" i="1" s="1"/>
  <c r="S443" i="8" s="1"/>
  <c r="S442" i="8" s="1"/>
  <c r="Q317" i="7"/>
  <c r="Q271" i="8"/>
  <c r="Q270" i="8" s="1"/>
  <c r="V174" i="7"/>
  <c r="V720" i="1"/>
  <c r="L317" i="7"/>
  <c r="L271" i="8"/>
  <c r="L270" i="8" s="1"/>
  <c r="R927" i="1"/>
  <c r="I916" i="1"/>
  <c r="F814" i="1"/>
  <c r="F1046" i="1" s="1"/>
  <c r="F813" i="1"/>
  <c r="F1043" i="1" s="1"/>
  <c r="V814" i="1"/>
  <c r="V813" i="1"/>
  <c r="W617" i="1"/>
  <c r="J813" i="1"/>
  <c r="J1043" i="1" s="1"/>
  <c r="J1041" i="1" s="1"/>
  <c r="J1484" i="1" s="1"/>
  <c r="J484" i="8" s="1"/>
  <c r="J483" i="8" s="1"/>
  <c r="J1181" i="1"/>
  <c r="J94" i="8" s="1"/>
  <c r="J93" i="8" s="1"/>
  <c r="J1087" i="1"/>
  <c r="O813" i="1"/>
  <c r="U985" i="1"/>
  <c r="H813" i="1"/>
  <c r="H1043" i="1" s="1"/>
  <c r="H814" i="1"/>
  <c r="H1046" i="1" s="1"/>
  <c r="I814" i="1"/>
  <c r="I1046" i="1" s="1"/>
  <c r="G814" i="1"/>
  <c r="G1046" i="1" s="1"/>
  <c r="J814" i="1"/>
  <c r="J1046" i="1" s="1"/>
  <c r="J1044" i="1" s="1"/>
  <c r="G816" i="1"/>
  <c r="G1022" i="1" s="1"/>
  <c r="G1019" i="1" s="1"/>
  <c r="G1464" i="1" s="1"/>
  <c r="G447" i="8" s="1"/>
  <c r="G446" i="8" s="1"/>
  <c r="G1675" i="1"/>
  <c r="G1699" i="1"/>
  <c r="G981" i="1"/>
  <c r="G1202" i="1" s="1"/>
  <c r="F1325" i="1"/>
  <c r="F1042" i="1"/>
  <c r="F1045" i="1"/>
  <c r="H318" i="7"/>
  <c r="H273" i="8"/>
  <c r="H272" i="8" s="1"/>
  <c r="I796" i="1"/>
  <c r="H810" i="1"/>
  <c r="H1014" i="1" s="1"/>
  <c r="H1011" i="1" s="1"/>
  <c r="H1466" i="1" s="1"/>
  <c r="H451" i="8" s="1"/>
  <c r="H450" i="8" s="1"/>
  <c r="H801" i="1"/>
  <c r="G998" i="1"/>
  <c r="G986" i="1" s="1"/>
  <c r="G1206" i="1" s="1"/>
  <c r="G1325" i="1"/>
  <c r="G1045" i="1"/>
  <c r="G1042" i="1"/>
  <c r="G575" i="7"/>
  <c r="G1700" i="1"/>
  <c r="F998" i="1"/>
  <c r="F986" i="1" s="1"/>
  <c r="F1206" i="1" s="1"/>
  <c r="F121" i="1"/>
  <c r="F20" i="7" s="1"/>
  <c r="I318" i="7"/>
  <c r="I273" i="8"/>
  <c r="I272" i="8" s="1"/>
  <c r="I1703" i="1"/>
  <c r="I587" i="7" s="1"/>
  <c r="I584" i="7"/>
  <c r="I1045" i="1"/>
  <c r="I1042" i="1"/>
  <c r="I1325" i="1"/>
  <c r="H998" i="1"/>
  <c r="H986" i="1" s="1"/>
  <c r="H1206" i="1" s="1"/>
  <c r="H1325" i="1"/>
  <c r="H1045" i="1"/>
  <c r="H1042" i="1"/>
  <c r="G813" i="1"/>
  <c r="G1043" i="1" s="1"/>
  <c r="I998" i="1"/>
  <c r="I986" i="1" s="1"/>
  <c r="I1206" i="1" s="1"/>
  <c r="I121" i="1"/>
  <c r="I20" i="7" s="1"/>
  <c r="S317" i="7"/>
  <c r="S271" i="8"/>
  <c r="S270" i="8" s="1"/>
  <c r="F318" i="7"/>
  <c r="F273" i="8"/>
  <c r="F272" i="8" s="1"/>
  <c r="I813" i="1"/>
  <c r="I1043" i="1" s="1"/>
  <c r="P813" i="1"/>
  <c r="P1043" i="1" s="1"/>
  <c r="J992" i="1"/>
  <c r="J1322" i="1" s="1"/>
  <c r="O1043" i="1"/>
  <c r="M611" i="1"/>
  <c r="L813" i="1"/>
  <c r="L1043" i="1" s="1"/>
  <c r="L1041" i="1" s="1"/>
  <c r="L1484" i="1" s="1"/>
  <c r="L484" i="8" s="1"/>
  <c r="L483" i="8" s="1"/>
  <c r="P814" i="1"/>
  <c r="P1046" i="1" s="1"/>
  <c r="K814" i="1"/>
  <c r="K1046" i="1" s="1"/>
  <c r="K1044" i="1" s="1"/>
  <c r="N180" i="7"/>
  <c r="N116" i="1"/>
  <c r="P180" i="7"/>
  <c r="P116" i="1"/>
  <c r="R183" i="7"/>
  <c r="R1031" i="1"/>
  <c r="R1029" i="1" s="1"/>
  <c r="R1462" i="1" s="1"/>
  <c r="R443" i="8" s="1"/>
  <c r="R442" i="8" s="1"/>
  <c r="T183" i="7"/>
  <c r="T1031" i="1"/>
  <c r="T1029" i="1" s="1"/>
  <c r="T1462" i="1" s="1"/>
  <c r="T443" i="8" s="1"/>
  <c r="T442" i="8" s="1"/>
  <c r="U813" i="1"/>
  <c r="T814" i="1"/>
  <c r="U814" i="1"/>
  <c r="T813" i="1"/>
  <c r="O611" i="1"/>
  <c r="N611" i="1"/>
  <c r="O180" i="7"/>
  <c r="O116" i="1"/>
  <c r="P183" i="7"/>
  <c r="P1031" i="1"/>
  <c r="P1029" i="1" s="1"/>
  <c r="P1462" i="1" s="1"/>
  <c r="P443" i="8" s="1"/>
  <c r="P442" i="8" s="1"/>
  <c r="L180" i="7"/>
  <c r="L116" i="1"/>
  <c r="L183" i="7"/>
  <c r="L1031" i="1"/>
  <c r="L1029" i="1" s="1"/>
  <c r="L1462" i="1" s="1"/>
  <c r="L443" i="8" s="1"/>
  <c r="L442" i="8" s="1"/>
  <c r="Q180" i="7"/>
  <c r="Q116" i="1"/>
  <c r="R813" i="1"/>
  <c r="R1043" i="1" s="1"/>
  <c r="S814" i="1"/>
  <c r="O814" i="1"/>
  <c r="O1046" i="1" s="1"/>
  <c r="M814" i="1"/>
  <c r="M1046" i="1" s="1"/>
  <c r="M1044" i="1" s="1"/>
  <c r="O1676" i="1"/>
  <c r="O551" i="7"/>
  <c r="N813" i="1"/>
  <c r="N1043" i="1" s="1"/>
  <c r="F506" i="1"/>
  <c r="F611" i="1"/>
  <c r="L611" i="1"/>
  <c r="F617" i="1"/>
  <c r="N1679" i="1"/>
  <c r="N563" i="7" s="1"/>
  <c r="N560" i="7"/>
  <c r="K813" i="1"/>
  <c r="K1043" i="1" s="1"/>
  <c r="K1041" i="1" s="1"/>
  <c r="K1484" i="1" s="1"/>
  <c r="K484" i="8" s="1"/>
  <c r="K483" i="8" s="1"/>
  <c r="M318" i="7"/>
  <c r="M273" i="8"/>
  <c r="M272" i="8" s="1"/>
  <c r="R814" i="1"/>
  <c r="L814" i="1"/>
  <c r="L1046" i="1" s="1"/>
  <c r="L1044" i="1" s="1"/>
  <c r="K992" i="1"/>
  <c r="K1322" i="1" s="1"/>
  <c r="Q183" i="7"/>
  <c r="Q1031" i="1"/>
  <c r="Q1029" i="1" s="1"/>
  <c r="Q1462" i="1" s="1"/>
  <c r="Q443" i="8" s="1"/>
  <c r="Q442" i="8" s="1"/>
  <c r="M183" i="7"/>
  <c r="M1031" i="1"/>
  <c r="M1029" i="1" s="1"/>
  <c r="M1462" i="1" s="1"/>
  <c r="M443" i="8" s="1"/>
  <c r="M442" i="8" s="1"/>
  <c r="S180" i="7"/>
  <c r="S116" i="1"/>
  <c r="J934" i="8"/>
  <c r="J912" i="8"/>
  <c r="G611" i="1"/>
  <c r="N183" i="7"/>
  <c r="N1031" i="1"/>
  <c r="N1029" i="1" s="1"/>
  <c r="N1462" i="1" s="1"/>
  <c r="N443" i="8" s="1"/>
  <c r="N442" i="8" s="1"/>
  <c r="M180" i="7"/>
  <c r="M116" i="1"/>
  <c r="Q813" i="1"/>
  <c r="Q1043" i="1" s="1"/>
  <c r="J125" i="1"/>
  <c r="J24" i="7" s="1"/>
  <c r="AE616" i="1"/>
  <c r="O183" i="7"/>
  <c r="O1031" i="1"/>
  <c r="O1029" i="1" s="1"/>
  <c r="O1462" i="1" s="1"/>
  <c r="O443" i="8" s="1"/>
  <c r="O442" i="8" s="1"/>
  <c r="U183" i="7"/>
  <c r="U1031" i="1"/>
  <c r="U1029" i="1" s="1"/>
  <c r="U1462" i="1" s="1"/>
  <c r="Q814" i="1"/>
  <c r="Q1046" i="1" s="1"/>
  <c r="N814" i="1"/>
  <c r="N1046" i="1" s="1"/>
  <c r="M813" i="1"/>
  <c r="M1043" i="1" s="1"/>
  <c r="M1041" i="1" s="1"/>
  <c r="M1484" i="1" s="1"/>
  <c r="M484" i="8" s="1"/>
  <c r="M483" i="8" s="1"/>
  <c r="S813" i="1"/>
  <c r="H916" i="1"/>
  <c r="H1706" i="1"/>
  <c r="H590" i="7" s="1"/>
  <c r="H588" i="7"/>
  <c r="H1682" i="1"/>
  <c r="H566" i="7" s="1"/>
  <c r="H564" i="7"/>
  <c r="H1681" i="1"/>
  <c r="H565" i="7" s="1"/>
  <c r="H549" i="7"/>
  <c r="G218" i="1"/>
  <c r="G117" i="7" s="1"/>
  <c r="H1705" i="1"/>
  <c r="H589" i="7" s="1"/>
  <c r="H573" i="7"/>
  <c r="Q522" i="1"/>
  <c r="R513" i="1" s="1"/>
  <c r="R521" i="1" s="1"/>
  <c r="W120" i="1"/>
  <c r="W19" i="7" s="1"/>
  <c r="W937" i="1"/>
  <c r="W145" i="1"/>
  <c r="W44" i="7" s="1"/>
  <c r="N984" i="1"/>
  <c r="N1209" i="1" s="1"/>
  <c r="N200" i="7" s="1"/>
  <c r="Q911" i="1"/>
  <c r="Q927" i="1"/>
  <c r="Q904" i="1"/>
  <c r="O927" i="1"/>
  <c r="O904" i="1"/>
  <c r="O911" i="1"/>
  <c r="O983" i="1" s="1"/>
  <c r="O1204" i="1" s="1"/>
  <c r="O195" i="7" s="1"/>
  <c r="L911" i="1"/>
  <c r="L927" i="1"/>
  <c r="L904" i="1"/>
  <c r="Q1488" i="1"/>
  <c r="Q492" i="8" s="1"/>
  <c r="Q491" i="8" s="1"/>
  <c r="Q1032" i="1"/>
  <c r="M1032" i="1"/>
  <c r="M1488" i="1"/>
  <c r="M492" i="8" s="1"/>
  <c r="M491" i="8" s="1"/>
  <c r="O1032" i="1"/>
  <c r="O1488" i="1"/>
  <c r="O492" i="8" s="1"/>
  <c r="O491" i="8" s="1"/>
  <c r="J911" i="1"/>
  <c r="J983" i="1" s="1"/>
  <c r="J1204" i="1" s="1"/>
  <c r="J195" i="7" s="1"/>
  <c r="J904" i="1"/>
  <c r="J927" i="1"/>
  <c r="N911" i="1"/>
  <c r="N983" i="1" s="1"/>
  <c r="N1204" i="1" s="1"/>
  <c r="N195" i="7" s="1"/>
  <c r="N904" i="1"/>
  <c r="N927" i="1"/>
  <c r="P927" i="1"/>
  <c r="P911" i="1"/>
  <c r="P904" i="1"/>
  <c r="O960" i="1"/>
  <c r="O984" i="1"/>
  <c r="O1209" i="1" s="1"/>
  <c r="O200" i="7" s="1"/>
  <c r="L1032" i="1"/>
  <c r="L1488" i="1"/>
  <c r="L492" i="8" s="1"/>
  <c r="L491" i="8" s="1"/>
  <c r="K1032" i="1"/>
  <c r="K1488" i="1"/>
  <c r="K492" i="8" s="1"/>
  <c r="K491" i="8" s="1"/>
  <c r="K927" i="1"/>
  <c r="K911" i="1"/>
  <c r="K904" i="1"/>
  <c r="M911" i="1"/>
  <c r="M928" i="1" s="1"/>
  <c r="M927" i="1"/>
  <c r="M904" i="1"/>
  <c r="M971" i="1"/>
  <c r="L960" i="1"/>
  <c r="L984" i="1"/>
  <c r="L1209" i="1" s="1"/>
  <c r="L200" i="7" s="1"/>
  <c r="J271" i="8"/>
  <c r="J270" i="8" s="1"/>
  <c r="P1488" i="1"/>
  <c r="P492" i="8" s="1"/>
  <c r="P491" i="8" s="1"/>
  <c r="P1032" i="1"/>
  <c r="R1032" i="1"/>
  <c r="R1488" i="1"/>
  <c r="R492" i="8" s="1"/>
  <c r="R491" i="8" s="1"/>
  <c r="J116" i="1"/>
  <c r="J15" i="7" s="1"/>
  <c r="N1032" i="1"/>
  <c r="N1488" i="1"/>
  <c r="N492" i="8" s="1"/>
  <c r="N491" i="8" s="1"/>
  <c r="S1032" i="1"/>
  <c r="S1488" i="1"/>
  <c r="S492" i="8" s="1"/>
  <c r="S491" i="8" s="1"/>
  <c r="M960" i="1"/>
  <c r="M984" i="1"/>
  <c r="M1209" i="1" s="1"/>
  <c r="M200" i="7" s="1"/>
  <c r="K960" i="1"/>
  <c r="K984" i="1"/>
  <c r="K1209" i="1" s="1"/>
  <c r="K200" i="7" s="1"/>
  <c r="J960" i="1"/>
  <c r="J984" i="1"/>
  <c r="J1209" i="1" s="1"/>
  <c r="J200" i="7" s="1"/>
  <c r="P960" i="1"/>
  <c r="P984" i="1"/>
  <c r="P1209" i="1" s="1"/>
  <c r="P200" i="7" s="1"/>
  <c r="K115" i="1"/>
  <c r="K14" i="7" s="1"/>
  <c r="J1488" i="1"/>
  <c r="J492" i="8" s="1"/>
  <c r="J491" i="8" s="1"/>
  <c r="J1032" i="1"/>
  <c r="L151" i="8"/>
  <c r="L150" i="8" s="1"/>
  <c r="F916" i="1"/>
  <c r="F1324" i="1"/>
  <c r="F320" i="7" s="1"/>
  <c r="F1056" i="1"/>
  <c r="F1487" i="1" s="1"/>
  <c r="F490" i="8" s="1"/>
  <c r="F489" i="8" s="1"/>
  <c r="H222" i="1"/>
  <c r="H121" i="7" s="1"/>
  <c r="H203" i="1"/>
  <c r="H102" i="7" s="1"/>
  <c r="I1324" i="1"/>
  <c r="I320" i="7" s="1"/>
  <c r="I1056" i="1"/>
  <c r="I1487" i="1" s="1"/>
  <c r="I490" i="8" s="1"/>
  <c r="I489" i="8" s="1"/>
  <c r="I991" i="1"/>
  <c r="I222" i="1"/>
  <c r="I121" i="7" s="1"/>
  <c r="H1678" i="1"/>
  <c r="H562" i="7" s="1"/>
  <c r="H1683" i="1"/>
  <c r="H567" i="7" s="1"/>
  <c r="J982" i="1"/>
  <c r="J1203" i="1" s="1"/>
  <c r="J194" i="7" s="1"/>
  <c r="I1665" i="1"/>
  <c r="I1673" i="1"/>
  <c r="I557" i="7" s="1"/>
  <c r="I1670" i="1"/>
  <c r="I554" i="7" s="1"/>
  <c r="I1666" i="1"/>
  <c r="I550" i="7" s="1"/>
  <c r="I1663" i="1"/>
  <c r="I547" i="7" s="1"/>
  <c r="I1677" i="1"/>
  <c r="I561" i="7" s="1"/>
  <c r="I1674" i="1"/>
  <c r="I558" i="7" s="1"/>
  <c r="I1669" i="1"/>
  <c r="I553" i="7" s="1"/>
  <c r="I1664" i="1"/>
  <c r="I548" i="7" s="1"/>
  <c r="I1671" i="1"/>
  <c r="I555" i="7" s="1"/>
  <c r="I1680" i="1"/>
  <c r="I1672" i="1"/>
  <c r="I556" i="7" s="1"/>
  <c r="G916" i="1"/>
  <c r="G203" i="1"/>
  <c r="G102" i="7" s="1"/>
  <c r="G1324" i="1"/>
  <c r="G320" i="7" s="1"/>
  <c r="G1056" i="1"/>
  <c r="G1487" i="1" s="1"/>
  <c r="G490" i="8" s="1"/>
  <c r="G489" i="8" s="1"/>
  <c r="G991" i="1"/>
  <c r="I135" i="8"/>
  <c r="I134" i="8" s="1"/>
  <c r="I137" i="8"/>
  <c r="I136" i="8" s="1"/>
  <c r="F222" i="1"/>
  <c r="F121" i="7" s="1"/>
  <c r="F203" i="1"/>
  <c r="F102" i="7" s="1"/>
  <c r="F137" i="8"/>
  <c r="F136" i="8" s="1"/>
  <c r="F1323" i="1"/>
  <c r="F319" i="7" s="1"/>
  <c r="F991" i="1"/>
  <c r="F214" i="1"/>
  <c r="F113" i="7" s="1"/>
  <c r="G216" i="1"/>
  <c r="G115" i="7" s="1"/>
  <c r="H1056" i="1"/>
  <c r="H1487" i="1" s="1"/>
  <c r="H490" i="8" s="1"/>
  <c r="H489" i="8" s="1"/>
  <c r="H991" i="1"/>
  <c r="H1324" i="1"/>
  <c r="H320" i="7" s="1"/>
  <c r="K851" i="1"/>
  <c r="L850" i="1" s="1"/>
  <c r="K1692" i="1"/>
  <c r="K576" i="7" s="1"/>
  <c r="K861" i="1"/>
  <c r="K862" i="1" s="1"/>
  <c r="I203" i="1"/>
  <c r="I102" i="7" s="1"/>
  <c r="H1702" i="1"/>
  <c r="H586" i="7" s="1"/>
  <c r="H1707" i="1"/>
  <c r="H591" i="7" s="1"/>
  <c r="L733" i="1"/>
  <c r="K730" i="1"/>
  <c r="I133" i="8"/>
  <c r="I132" i="8" s="1"/>
  <c r="I1704" i="1"/>
  <c r="I1698" i="1"/>
  <c r="I582" i="7" s="1"/>
  <c r="I1696" i="1"/>
  <c r="I580" i="7" s="1"/>
  <c r="I1694" i="1"/>
  <c r="I578" i="7" s="1"/>
  <c r="I1690" i="1"/>
  <c r="I574" i="7" s="1"/>
  <c r="I1688" i="1"/>
  <c r="I572" i="7" s="1"/>
  <c r="I1701" i="1"/>
  <c r="I585" i="7" s="1"/>
  <c r="I1697" i="1"/>
  <c r="I581" i="7" s="1"/>
  <c r="I1695" i="1"/>
  <c r="I579" i="7" s="1"/>
  <c r="I1693" i="1"/>
  <c r="I577" i="7" s="1"/>
  <c r="I1689" i="1"/>
  <c r="I1687" i="1"/>
  <c r="I571" i="7" s="1"/>
  <c r="G222" i="1"/>
  <c r="G121" i="7" s="1"/>
  <c r="J862" i="1"/>
  <c r="M1211" i="1"/>
  <c r="M202" i="7" s="1"/>
  <c r="Y88" i="1"/>
  <c r="X838" i="1"/>
  <c r="X787" i="1"/>
  <c r="W141" i="1"/>
  <c r="W40" i="7" s="1"/>
  <c r="Q147" i="8"/>
  <c r="Q146" i="8" s="1"/>
  <c r="R960" i="1"/>
  <c r="R984" i="1"/>
  <c r="R1209" i="1" s="1"/>
  <c r="R200" i="7" s="1"/>
  <c r="T138" i="1"/>
  <c r="T37" i="7" s="1"/>
  <c r="S914" i="1"/>
  <c r="S971" i="1" s="1"/>
  <c r="S913" i="1"/>
  <c r="S912" i="1"/>
  <c r="S943" i="1" s="1"/>
  <c r="U1748" i="1"/>
  <c r="U633" i="7" s="1"/>
  <c r="W155" i="1"/>
  <c r="W54" i="7" s="1"/>
  <c r="V143" i="1"/>
  <c r="V42" i="7" s="1"/>
  <c r="W144" i="1"/>
  <c r="W43" i="7" s="1"/>
  <c r="V171" i="1"/>
  <c r="V70" i="7" s="1"/>
  <c r="V199" i="1"/>
  <c r="V98" i="7" s="1"/>
  <c r="W153" i="1"/>
  <c r="W52" i="7" s="1"/>
  <c r="W160" i="1"/>
  <c r="W59" i="7" s="1"/>
  <c r="W198" i="1"/>
  <c r="W97" i="7" s="1"/>
  <c r="X165" i="1"/>
  <c r="X64" i="7" s="1"/>
  <c r="V197" i="1"/>
  <c r="V96" i="7" s="1"/>
  <c r="U202" i="1"/>
  <c r="U101" i="7" s="1"/>
  <c r="T115" i="1"/>
  <c r="T14" i="7" s="1"/>
  <c r="U115" i="1"/>
  <c r="U14" i="7" s="1"/>
  <c r="V1050" i="1"/>
  <c r="W1051" i="1"/>
  <c r="Z1790" i="1"/>
  <c r="Y1791" i="1"/>
  <c r="Y29" i="1"/>
  <c r="X431" i="1"/>
  <c r="X426" i="1"/>
  <c r="X425" i="1"/>
  <c r="X427" i="1"/>
  <c r="Y1989" i="1"/>
  <c r="Y1985" i="1"/>
  <c r="Y1983" i="1"/>
  <c r="Y1123" i="1"/>
  <c r="Z88" i="1"/>
  <c r="Y1990" i="1"/>
  <c r="Y1988" i="1"/>
  <c r="Y1984" i="1"/>
  <c r="Y1122" i="1"/>
  <c r="Y1075" i="1"/>
  <c r="Y817" i="1"/>
  <c r="Y811" i="1"/>
  <c r="Y809" i="1"/>
  <c r="Y1013" i="1" s="1"/>
  <c r="Y807" i="1"/>
  <c r="Y805" i="1"/>
  <c r="Y770" i="1"/>
  <c r="Y721" i="1"/>
  <c r="Y184" i="7" s="1"/>
  <c r="Y719" i="1"/>
  <c r="Y182" i="7" s="1"/>
  <c r="Y717" i="1"/>
  <c r="Y180" i="7" s="1"/>
  <c r="Y806" i="1"/>
  <c r="Y108" i="1" s="1"/>
  <c r="Y7" i="7" s="1"/>
  <c r="Y718" i="1"/>
  <c r="Y181" i="7" s="1"/>
  <c r="Y715" i="1"/>
  <c r="Y178" i="7" s="1"/>
  <c r="Y609" i="1"/>
  <c r="Y559" i="1"/>
  <c r="Y551" i="1"/>
  <c r="Y812" i="1"/>
  <c r="Y808" i="1"/>
  <c r="Y804" i="1"/>
  <c r="Y720" i="1"/>
  <c r="Y183" i="7" s="1"/>
  <c r="Y716" i="1"/>
  <c r="Y179" i="7" s="1"/>
  <c r="Y714" i="1"/>
  <c r="Y177" i="7" s="1"/>
  <c r="Y598" i="1"/>
  <c r="Y586" i="1"/>
  <c r="T494" i="8"/>
  <c r="T493" i="8" s="1"/>
  <c r="V1490" i="1"/>
  <c r="V1469" i="1"/>
  <c r="AA91" i="1"/>
  <c r="Z92" i="1"/>
  <c r="U443" i="8"/>
  <c r="U442" i="8" s="1"/>
  <c r="V1032" i="1"/>
  <c r="U492" i="8"/>
  <c r="U491" i="8" s="1"/>
  <c r="W1034" i="1"/>
  <c r="W107" i="1"/>
  <c r="W6" i="7" s="1"/>
  <c r="W1031" i="1"/>
  <c r="U1945" i="1"/>
  <c r="U165" i="8"/>
  <c r="U164" i="8" s="1"/>
  <c r="S149" i="8"/>
  <c r="S148" i="8" s="1"/>
  <c r="U285" i="8"/>
  <c r="U284" i="8" s="1"/>
  <c r="P141" i="8"/>
  <c r="P140" i="8" s="1"/>
  <c r="H489" i="1"/>
  <c r="K419" i="1"/>
  <c r="K418" i="1"/>
  <c r="W951" i="1"/>
  <c r="W954" i="1" s="1"/>
  <c r="W962" i="1"/>
  <c r="W930" i="1"/>
  <c r="W947" i="1"/>
  <c r="W950" i="1" s="1"/>
  <c r="Q998" i="1"/>
  <c r="Q986" i="1" s="1"/>
  <c r="Q1206" i="1" s="1"/>
  <c r="Q197" i="7" s="1"/>
  <c r="R997" i="1"/>
  <c r="R933" i="1"/>
  <c r="R999" i="1" s="1"/>
  <c r="U1001" i="1"/>
  <c r="U990" i="1" s="1"/>
  <c r="U1210" i="1" s="1"/>
  <c r="U201" i="7" s="1"/>
  <c r="V965" i="1"/>
  <c r="V1002" i="1" s="1"/>
  <c r="V1000" i="1"/>
  <c r="T1002" i="1"/>
  <c r="T1001" i="1" s="1"/>
  <c r="T990" i="1" s="1"/>
  <c r="T1210" i="1" s="1"/>
  <c r="T201" i="7" s="1"/>
  <c r="V147" i="1"/>
  <c r="V46" i="7" s="1"/>
  <c r="K380" i="1"/>
  <c r="K381" i="1" s="1"/>
  <c r="U297" i="8"/>
  <c r="U296" i="8" s="1"/>
  <c r="U934" i="8" s="1"/>
  <c r="W562" i="1"/>
  <c r="V273" i="1"/>
  <c r="V1328" i="1" s="1"/>
  <c r="V324" i="7" s="1"/>
  <c r="W272" i="1"/>
  <c r="U2018" i="1"/>
  <c r="V1102" i="1"/>
  <c r="U1130" i="1"/>
  <c r="U1489" i="1" s="1"/>
  <c r="U1104" i="1"/>
  <c r="U1101" i="1" s="1"/>
  <c r="U1495" i="1"/>
  <c r="T504" i="8"/>
  <c r="T503" i="8" s="1"/>
  <c r="U913" i="8"/>
  <c r="U939" i="8"/>
  <c r="U763" i="8"/>
  <c r="U306" i="8"/>
  <c r="U316" i="8"/>
  <c r="U762" i="8" s="1"/>
  <c r="U926" i="8"/>
  <c r="X1791" i="1"/>
  <c r="Y1792" i="1" s="1"/>
  <c r="Z1792" i="1" s="1"/>
  <c r="X901" i="8"/>
  <c r="W902" i="8"/>
  <c r="W903" i="8" s="1"/>
  <c r="V257" i="1"/>
  <c r="W260" i="1" s="1"/>
  <c r="W261" i="1" s="1"/>
  <c r="V1800" i="1"/>
  <c r="V2023" i="1"/>
  <c r="V1946" i="1"/>
  <c r="V2010" i="1"/>
  <c r="U924" i="8"/>
  <c r="U822" i="8"/>
  <c r="U746" i="8"/>
  <c r="U670" i="8"/>
  <c r="U567" i="8"/>
  <c r="U438" i="8"/>
  <c r="U125" i="8"/>
  <c r="U66" i="8"/>
  <c r="U39" i="8"/>
  <c r="U896" i="8"/>
  <c r="U268" i="8"/>
  <c r="W163" i="1"/>
  <c r="W62" i="7" s="1"/>
  <c r="X164" i="1"/>
  <c r="X63" i="7" s="1"/>
  <c r="W95" i="1"/>
  <c r="V98" i="1"/>
  <c r="Y753" i="8"/>
  <c r="T165" i="8"/>
  <c r="T164" i="8" s="1"/>
  <c r="T285" i="8"/>
  <c r="T284" i="8" s="1"/>
  <c r="X1099" i="1"/>
  <c r="Y1099" i="1" s="1"/>
  <c r="Z1099" i="1" s="1"/>
  <c r="AA1099" i="1" s="1"/>
  <c r="AB1099" i="1" s="1"/>
  <c r="AC1099" i="1" s="1"/>
  <c r="W564" i="1"/>
  <c r="W611" i="1"/>
  <c r="W293" i="1"/>
  <c r="W556" i="1" s="1"/>
  <c r="W1473" i="1" s="1"/>
  <c r="W553" i="1"/>
  <c r="V657" i="1"/>
  <c r="V640" i="1"/>
  <c r="V655" i="1" s="1"/>
  <c r="V658" i="1"/>
  <c r="U927" i="1"/>
  <c r="U904" i="1"/>
  <c r="W1170" i="1"/>
  <c r="W1333" i="1"/>
  <c r="W329" i="7" s="1"/>
  <c r="W1338" i="1"/>
  <c r="W334" i="7" s="1"/>
  <c r="W1174" i="1"/>
  <c r="W1199" i="1"/>
  <c r="W190" i="7" s="1"/>
  <c r="W148" i="1"/>
  <c r="W47" i="7" s="1"/>
  <c r="W992" i="1"/>
  <c r="W1322" i="1" s="1"/>
  <c r="W318" i="7" s="1"/>
  <c r="W814" i="1"/>
  <c r="W1348" i="1"/>
  <c r="W344" i="7" s="1"/>
  <c r="W1190" i="1"/>
  <c r="W1172" i="1"/>
  <c r="W1337" i="1"/>
  <c r="W333" i="7" s="1"/>
  <c r="W1033" i="1"/>
  <c r="W1030" i="1"/>
  <c r="W871" i="1"/>
  <c r="W880" i="1"/>
  <c r="W879" i="1" s="1"/>
  <c r="W906" i="1" s="1"/>
  <c r="W889" i="1"/>
  <c r="W888" i="1" s="1"/>
  <c r="W907" i="1" s="1"/>
  <c r="W898" i="1"/>
  <c r="W897" i="1" s="1"/>
  <c r="W908" i="1" s="1"/>
  <c r="W1321" i="1"/>
  <c r="W317" i="7" s="1"/>
  <c r="W925" i="1"/>
  <c r="W1344" i="1"/>
  <c r="W340" i="7" s="1"/>
  <c r="W1179" i="1"/>
  <c r="X1990" i="1"/>
  <c r="X1988" i="1"/>
  <c r="X1984" i="1"/>
  <c r="X1122" i="1"/>
  <c r="X1075" i="1"/>
  <c r="X812" i="1"/>
  <c r="X808" i="1"/>
  <c r="X937" i="1" s="1"/>
  <c r="X806" i="1"/>
  <c r="X804" i="1"/>
  <c r="X973" i="1" s="1"/>
  <c r="X720" i="1"/>
  <c r="X183" i="7" s="1"/>
  <c r="X718" i="1"/>
  <c r="X181" i="7" s="1"/>
  <c r="X716" i="1"/>
  <c r="X179" i="7" s="1"/>
  <c r="X714" i="1"/>
  <c r="X177" i="7" s="1"/>
  <c r="X598" i="1"/>
  <c r="X586" i="1"/>
  <c r="X1985" i="1"/>
  <c r="X817" i="1"/>
  <c r="X809" i="1"/>
  <c r="X1013" i="1" s="1"/>
  <c r="X805" i="1"/>
  <c r="X721" i="1"/>
  <c r="X184" i="7" s="1"/>
  <c r="X717" i="1"/>
  <c r="X180" i="7" s="1"/>
  <c r="X1989" i="1"/>
  <c r="X1983" i="1"/>
  <c r="X1123" i="1"/>
  <c r="X811" i="1"/>
  <c r="X807" i="1"/>
  <c r="X770" i="1"/>
  <c r="X719" i="1"/>
  <c r="X182" i="7" s="1"/>
  <c r="X715" i="1"/>
  <c r="X178" i="7" s="1"/>
  <c r="X609" i="1"/>
  <c r="X559" i="1"/>
  <c r="X551" i="1"/>
  <c r="V2021" i="1"/>
  <c r="V1870" i="1"/>
  <c r="V918" i="1"/>
  <c r="V870" i="1"/>
  <c r="V905" i="1" s="1"/>
  <c r="V942" i="1"/>
  <c r="U248" i="1"/>
  <c r="V251" i="1" s="1"/>
  <c r="V252" i="1" s="1"/>
  <c r="W827" i="8"/>
  <c r="V828" i="8"/>
  <c r="W829" i="8" s="1"/>
  <c r="W709" i="8"/>
  <c r="W785" i="8"/>
  <c r="T87" i="8"/>
  <c r="T86" i="8" s="1"/>
  <c r="T492" i="8"/>
  <c r="T491" i="8" s="1"/>
  <c r="U242" i="1"/>
  <c r="U243" i="1" s="1"/>
  <c r="M279" i="8"/>
  <c r="M278" i="8" s="1"/>
  <c r="U52" i="8"/>
  <c r="U835" i="8"/>
  <c r="U940" i="8"/>
  <c r="U764" i="8"/>
  <c r="W33" i="8"/>
  <c r="V321" i="8"/>
  <c r="V320" i="8" s="1"/>
  <c r="V319" i="8"/>
  <c r="V318" i="8" s="1"/>
  <c r="V317" i="8"/>
  <c r="V316" i="8" s="1"/>
  <c r="V315" i="8"/>
  <c r="V314" i="8" s="1"/>
  <c r="V313" i="8"/>
  <c r="V312" i="8" s="1"/>
  <c r="V307" i="8"/>
  <c r="V306" i="8" s="1"/>
  <c r="V303" i="8"/>
  <c r="V302" i="8" s="1"/>
  <c r="V301" i="8"/>
  <c r="V300" i="8" s="1"/>
  <c r="V299" i="8"/>
  <c r="V298" i="8" s="1"/>
  <c r="V295" i="8"/>
  <c r="V294" i="8" s="1"/>
  <c r="V293" i="8"/>
  <c r="V292" i="8" s="1"/>
  <c r="V287" i="8"/>
  <c r="V286" i="8" s="1"/>
  <c r="V273" i="8"/>
  <c r="V272" i="8" s="1"/>
  <c r="V53" i="8"/>
  <c r="V52" i="8" s="1"/>
  <c r="V34" i="8"/>
  <c r="V472" i="8"/>
  <c r="V471" i="8" s="1"/>
  <c r="V464" i="8"/>
  <c r="V463" i="8" s="1"/>
  <c r="V161" i="8"/>
  <c r="V160" i="8" s="1"/>
  <c r="V128" i="8"/>
  <c r="V127" i="8" s="1"/>
  <c r="V113" i="8"/>
  <c r="V112" i="8" s="1"/>
  <c r="V98" i="8"/>
  <c r="V97" i="8" s="1"/>
  <c r="V94" i="8"/>
  <c r="V93" i="8" s="1"/>
  <c r="V90" i="8"/>
  <c r="V89" i="8" s="1"/>
  <c r="V80" i="8"/>
  <c r="V79" i="8" s="1"/>
  <c r="V76" i="8"/>
  <c r="V75" i="8" s="1"/>
  <c r="V72" i="8"/>
  <c r="V71" i="8" s="1"/>
  <c r="V457" i="8"/>
  <c r="V456" i="8" s="1"/>
  <c r="V116" i="8"/>
  <c r="V115" i="8" s="1"/>
  <c r="V96" i="8"/>
  <c r="V95" i="8" s="1"/>
  <c r="V78" i="8"/>
  <c r="V77" i="8" s="1"/>
  <c r="V496" i="8"/>
  <c r="V495" i="8" s="1"/>
  <c r="V167" i="8"/>
  <c r="V166" i="8" s="1"/>
  <c r="V82" i="8"/>
  <c r="V81" i="8" s="1"/>
  <c r="V159" i="8"/>
  <c r="V158" i="8" s="1"/>
  <c r="V110" i="8"/>
  <c r="V109" i="8" s="1"/>
  <c r="V92" i="8"/>
  <c r="V91" i="8" s="1"/>
  <c r="V74" i="8"/>
  <c r="V73" i="8" s="1"/>
  <c r="U79" i="8"/>
  <c r="U93" i="8"/>
  <c r="U691" i="8"/>
  <c r="U767" i="8"/>
  <c r="U158" i="8"/>
  <c r="U166" i="8"/>
  <c r="T836" i="8"/>
  <c r="T762" i="8"/>
  <c r="X755" i="8"/>
  <c r="W1863" i="1"/>
  <c r="X1864" i="1" s="1"/>
  <c r="X1862" i="1"/>
  <c r="Y1862" i="1" s="1"/>
  <c r="U2008" i="1"/>
  <c r="U1957" i="1"/>
  <c r="U1859" i="1"/>
  <c r="U1711" i="1"/>
  <c r="U596" i="7" s="1"/>
  <c r="U1319" i="1"/>
  <c r="U315" i="7" s="1"/>
  <c r="U1008" i="1"/>
  <c r="U866" i="1"/>
  <c r="U820" i="1"/>
  <c r="U768" i="1"/>
  <c r="U748" i="1"/>
  <c r="U724" i="1"/>
  <c r="U676" i="1"/>
  <c r="U138" i="7" s="1"/>
  <c r="U661" i="1"/>
  <c r="U280" i="1"/>
  <c r="U230" i="1"/>
  <c r="U1785" i="1"/>
  <c r="U1657" i="1"/>
  <c r="U541" i="7" s="1"/>
  <c r="U1554" i="1"/>
  <c r="U434" i="7" s="1"/>
  <c r="U1459" i="1"/>
  <c r="U1073" i="1"/>
  <c r="U1931" i="1"/>
  <c r="U1275" i="1"/>
  <c r="U269" i="7" s="1"/>
  <c r="U1197" i="1"/>
  <c r="U188" i="7" s="1"/>
  <c r="U1165" i="1"/>
  <c r="U1096" i="1"/>
  <c r="U921" i="1"/>
  <c r="U738" i="1"/>
  <c r="U695" i="1"/>
  <c r="U158" i="7" s="1"/>
  <c r="U669" i="1"/>
  <c r="U130" i="7" s="1"/>
  <c r="U621" i="1"/>
  <c r="U102" i="1"/>
  <c r="U1" i="7" s="1"/>
  <c r="W729" i="1"/>
  <c r="V726" i="1"/>
  <c r="V2024" i="1"/>
  <c r="V1801" i="1"/>
  <c r="W35" i="8"/>
  <c r="V36" i="8"/>
  <c r="V162" i="1"/>
  <c r="V61" i="7" s="1"/>
  <c r="W167" i="1"/>
  <c r="W66" i="7" s="1"/>
  <c r="W151" i="1"/>
  <c r="W50" i="7" s="1"/>
  <c r="X152" i="1"/>
  <c r="X51" i="7" s="1"/>
  <c r="W32" i="1"/>
  <c r="X31" i="1"/>
  <c r="Y31" i="1" s="1"/>
  <c r="V75" i="1"/>
  <c r="Y672" i="8"/>
  <c r="X898" i="8"/>
  <c r="X899" i="8" s="1"/>
  <c r="X673" i="8"/>
  <c r="X678" i="8" s="1"/>
  <c r="Y679" i="8" s="1"/>
  <c r="X824" i="8"/>
  <c r="X825" i="8" s="1"/>
  <c r="X859" i="8" s="1"/>
  <c r="X748" i="8"/>
  <c r="X749" i="8" s="1"/>
  <c r="X754" i="8" s="1"/>
  <c r="W561" i="1"/>
  <c r="W568" i="1"/>
  <c r="W600" i="1"/>
  <c r="W1477" i="1" s="1"/>
  <c r="W464" i="1"/>
  <c r="X630" i="1"/>
  <c r="X628" i="1"/>
  <c r="X638" i="1" s="1"/>
  <c r="X529" i="1"/>
  <c r="X526" i="1"/>
  <c r="X30" i="1"/>
  <c r="X639" i="1"/>
  <c r="X654" i="1" s="1"/>
  <c r="X631" i="1"/>
  <c r="X641" i="1"/>
  <c r="X629" i="1"/>
  <c r="X291" i="1"/>
  <c r="X554" i="1" s="1"/>
  <c r="X290" i="1"/>
  <c r="X292" i="1"/>
  <c r="X555" i="1" s="1"/>
  <c r="X468" i="1"/>
  <c r="X470" i="1"/>
  <c r="X603" i="1" s="1"/>
  <c r="X469" i="1"/>
  <c r="X602" i="1" s="1"/>
  <c r="X471" i="1"/>
  <c r="X315" i="1"/>
  <c r="X311" i="1"/>
  <c r="X309" i="1"/>
  <c r="X486" i="1"/>
  <c r="X487" i="1"/>
  <c r="X310" i="1"/>
  <c r="X488" i="1"/>
  <c r="X613" i="1" s="1"/>
  <c r="X492" i="1"/>
  <c r="X352" i="1"/>
  <c r="X330" i="1"/>
  <c r="X331" i="1"/>
  <c r="X378" i="1"/>
  <c r="X357" i="1"/>
  <c r="X353" i="1"/>
  <c r="X351" i="1"/>
  <c r="X332" i="1"/>
  <c r="X336" i="1"/>
  <c r="X383" i="1"/>
  <c r="X581" i="1" s="1"/>
  <c r="X377" i="1"/>
  <c r="X379" i="1"/>
  <c r="W645" i="1"/>
  <c r="W652" i="1" s="1"/>
  <c r="W124" i="1" s="1"/>
  <c r="W23" i="7" s="1"/>
  <c r="W643" i="1"/>
  <c r="W642" i="1"/>
  <c r="W656" i="1" s="1"/>
  <c r="W644" i="1"/>
  <c r="W658" i="1" s="1"/>
  <c r="W576" i="1"/>
  <c r="V652" i="1"/>
  <c r="V124" i="1" s="1"/>
  <c r="V23" i="7" s="1"/>
  <c r="V650" i="1"/>
  <c r="W1334" i="1"/>
  <c r="W330" i="7" s="1"/>
  <c r="W618" i="1"/>
  <c r="W1169" i="1"/>
  <c r="W813" i="1"/>
  <c r="W1336" i="1"/>
  <c r="W332" i="7" s="1"/>
  <c r="W1171" i="1"/>
  <c r="W1347" i="1"/>
  <c r="W343" i="7" s="1"/>
  <c r="W1183" i="1"/>
  <c r="V1177" i="1"/>
  <c r="V87" i="8" s="1"/>
  <c r="V86" i="8" s="1"/>
  <c r="V970" i="1"/>
  <c r="V959" i="1"/>
  <c r="V1488" i="1"/>
  <c r="J344" i="1"/>
  <c r="J345" i="1"/>
  <c r="N1004" i="1"/>
  <c r="N989" i="1" s="1"/>
  <c r="N1042" i="1"/>
  <c r="N1325" i="1"/>
  <c r="N321" i="7" s="1"/>
  <c r="N1045" i="1"/>
  <c r="O977" i="1"/>
  <c r="O1005" i="1" s="1"/>
  <c r="O121" i="1" s="1"/>
  <c r="O20" i="7" s="1"/>
  <c r="O1003" i="1"/>
  <c r="I566" i="1"/>
  <c r="I1474" i="1" s="1"/>
  <c r="J333" i="1"/>
  <c r="T927" i="1"/>
  <c r="T911" i="1"/>
  <c r="T904" i="1"/>
  <c r="T835" i="8"/>
  <c r="T937" i="8"/>
  <c r="P1667" i="1"/>
  <c r="R983" i="1"/>
  <c r="R1204" i="1" s="1"/>
  <c r="R195" i="7" s="1"/>
  <c r="R928" i="1"/>
  <c r="R910" i="1"/>
  <c r="T764" i="8"/>
  <c r="T940" i="8"/>
  <c r="S994" i="1"/>
  <c r="S225" i="1"/>
  <c r="S124" i="7" s="1"/>
  <c r="S206" i="1"/>
  <c r="S105" i="7" s="1"/>
  <c r="S1974" i="1"/>
  <c r="T912" i="8"/>
  <c r="T934" i="8"/>
  <c r="T926" i="8"/>
  <c r="T266" i="1"/>
  <c r="P784" i="1"/>
  <c r="Q783" i="1" s="1"/>
  <c r="Q779" i="1"/>
  <c r="R206" i="1"/>
  <c r="R105" i="7" s="1"/>
  <c r="R1974" i="1"/>
  <c r="R225" i="1"/>
  <c r="R124" i="7" s="1"/>
  <c r="R994" i="1"/>
  <c r="S928" i="1"/>
  <c r="T39" i="8"/>
  <c r="T125" i="8"/>
  <c r="T670" i="8"/>
  <c r="T896" i="8"/>
  <c r="T822" i="8"/>
  <c r="T746" i="8"/>
  <c r="T438" i="8"/>
  <c r="T66" i="8"/>
  <c r="T268" i="8"/>
  <c r="T924" i="8"/>
  <c r="T567" i="8"/>
  <c r="T939" i="8"/>
  <c r="T763" i="8"/>
  <c r="T913" i="8"/>
  <c r="K312" i="1"/>
  <c r="T859" i="1" l="1"/>
  <c r="R1046" i="1"/>
  <c r="X612" i="1"/>
  <c r="S1046" i="1"/>
  <c r="S993" i="1"/>
  <c r="S1323" i="1" s="1"/>
  <c r="W48" i="7"/>
  <c r="X149" i="1"/>
  <c r="S859" i="1"/>
  <c r="S1043" i="1" s="1"/>
  <c r="U103" i="7"/>
  <c r="V204" i="1"/>
  <c r="Y520" i="1"/>
  <c r="Y518" i="1"/>
  <c r="Y524" i="1"/>
  <c r="Y519" i="1"/>
  <c r="Y407" i="1"/>
  <c r="Y402" i="1"/>
  <c r="Y502" i="1"/>
  <c r="Y508" i="1"/>
  <c r="Y503" i="1"/>
  <c r="Y504" i="1"/>
  <c r="U46" i="7"/>
  <c r="U945" i="1"/>
  <c r="U996" i="1" s="1"/>
  <c r="U122" i="7"/>
  <c r="V223" i="1"/>
  <c r="U857" i="1"/>
  <c r="U831" i="1"/>
  <c r="U833" i="1" s="1"/>
  <c r="Y824" i="1"/>
  <c r="X825" i="1"/>
  <c r="R319" i="7"/>
  <c r="R275" i="8"/>
  <c r="R274" i="8" s="1"/>
  <c r="V115" i="1"/>
  <c r="V14" i="7" s="1"/>
  <c r="V829" i="1"/>
  <c r="V856" i="1" s="1"/>
  <c r="V855" i="1"/>
  <c r="V1021" i="1" s="1"/>
  <c r="V830" i="1"/>
  <c r="V836" i="1"/>
  <c r="V863" i="1" s="1"/>
  <c r="V1017" i="1" s="1"/>
  <c r="V1015" i="1" s="1"/>
  <c r="V1465" i="1" s="1"/>
  <c r="V449" i="8" s="1"/>
  <c r="V448" i="8" s="1"/>
  <c r="T833" i="1"/>
  <c r="W823" i="1"/>
  <c r="W822" i="1"/>
  <c r="W828" i="1"/>
  <c r="W854" i="1"/>
  <c r="W926" i="1" s="1"/>
  <c r="T1043" i="1"/>
  <c r="U1668" i="1"/>
  <c r="U552" i="7" s="1"/>
  <c r="U835" i="1"/>
  <c r="V834" i="1" s="1"/>
  <c r="T832" i="1"/>
  <c r="T993" i="1"/>
  <c r="T1323" i="1" s="1"/>
  <c r="T860" i="1"/>
  <c r="T1046" i="1" s="1"/>
  <c r="W95" i="7"/>
  <c r="X196" i="1"/>
  <c r="V194" i="1"/>
  <c r="U93" i="7"/>
  <c r="V183" i="7"/>
  <c r="V1031" i="1"/>
  <c r="V1029" i="1" s="1"/>
  <c r="V1462" i="1" s="1"/>
  <c r="V443" i="8" s="1"/>
  <c r="V442" i="8" s="1"/>
  <c r="V271" i="8"/>
  <c r="V270" i="8" s="1"/>
  <c r="R115" i="1"/>
  <c r="R14" i="7" s="1"/>
  <c r="F1044" i="1"/>
  <c r="F1065" i="1" s="1"/>
  <c r="S983" i="1"/>
  <c r="S1204" i="1" s="1"/>
  <c r="S195" i="7" s="1"/>
  <c r="S910" i="1"/>
  <c r="S995" i="1" s="1"/>
  <c r="S136" i="1" s="1"/>
  <c r="S35" i="7" s="1"/>
  <c r="F1069" i="1"/>
  <c r="F1041" i="1"/>
  <c r="F1484" i="1" s="1"/>
  <c r="F484" i="8" s="1"/>
  <c r="F483" i="8" s="1"/>
  <c r="J1345" i="1"/>
  <c r="J1982" i="1"/>
  <c r="I1044" i="1"/>
  <c r="H1044" i="1"/>
  <c r="H1041" i="1"/>
  <c r="H1484" i="1" s="1"/>
  <c r="H484" i="8" s="1"/>
  <c r="H483" i="8" s="1"/>
  <c r="I1041" i="1"/>
  <c r="I1484" i="1" s="1"/>
  <c r="I484" i="8" s="1"/>
  <c r="I483" i="8" s="1"/>
  <c r="G1041" i="1"/>
  <c r="G1484" i="1" s="1"/>
  <c r="G484" i="8" s="1"/>
  <c r="G483" i="8" s="1"/>
  <c r="G1044" i="1"/>
  <c r="G1065" i="1" s="1"/>
  <c r="G1069" i="1"/>
  <c r="H197" i="7"/>
  <c r="H141" i="8"/>
  <c r="H140" i="8" s="1"/>
  <c r="F197" i="7"/>
  <c r="F141" i="8"/>
  <c r="F140" i="8" s="1"/>
  <c r="H816" i="1"/>
  <c r="H1022" i="1" s="1"/>
  <c r="I321" i="7"/>
  <c r="I279" i="8"/>
  <c r="I278" i="8" s="1"/>
  <c r="G1703" i="1"/>
  <c r="G587" i="7" s="1"/>
  <c r="G584" i="7"/>
  <c r="G193" i="7"/>
  <c r="G133" i="8"/>
  <c r="G132" i="8" s="1"/>
  <c r="G321" i="7"/>
  <c r="G279" i="8"/>
  <c r="G278" i="8" s="1"/>
  <c r="I810" i="1"/>
  <c r="J796" i="1"/>
  <c r="I801" i="1"/>
  <c r="J800" i="1" s="1"/>
  <c r="G583" i="7"/>
  <c r="G1695" i="1"/>
  <c r="G579" i="7" s="1"/>
  <c r="G1704" i="1"/>
  <c r="G1690" i="1"/>
  <c r="G574" i="7" s="1"/>
  <c r="G1693" i="1"/>
  <c r="G577" i="7" s="1"/>
  <c r="G1698" i="1"/>
  <c r="G582" i="7" s="1"/>
  <c r="G1688" i="1"/>
  <c r="G572" i="7" s="1"/>
  <c r="G1701" i="1"/>
  <c r="G585" i="7" s="1"/>
  <c r="G1689" i="1"/>
  <c r="G1696" i="1"/>
  <c r="G580" i="7" s="1"/>
  <c r="G1697" i="1"/>
  <c r="G581" i="7" s="1"/>
  <c r="G1687" i="1"/>
  <c r="G1694" i="1"/>
  <c r="G578" i="7" s="1"/>
  <c r="I197" i="7"/>
  <c r="I141" i="8"/>
  <c r="I140" i="8" s="1"/>
  <c r="H321" i="7"/>
  <c r="H279" i="8"/>
  <c r="H278" i="8" s="1"/>
  <c r="G197" i="7"/>
  <c r="G141" i="8"/>
  <c r="G140" i="8" s="1"/>
  <c r="F321" i="7"/>
  <c r="F279" i="8"/>
  <c r="F278" i="8" s="1"/>
  <c r="G559" i="7"/>
  <c r="G1666" i="1"/>
  <c r="G550" i="7" s="1"/>
  <c r="G1665" i="1"/>
  <c r="G1674" i="1"/>
  <c r="G558" i="7" s="1"/>
  <c r="G1680" i="1"/>
  <c r="G1670" i="1"/>
  <c r="G554" i="7" s="1"/>
  <c r="G1669" i="1"/>
  <c r="G553" i="7" s="1"/>
  <c r="G1672" i="1"/>
  <c r="G556" i="7" s="1"/>
  <c r="G1677" i="1"/>
  <c r="G561" i="7" s="1"/>
  <c r="G1664" i="1"/>
  <c r="G548" i="7" s="1"/>
  <c r="G1671" i="1"/>
  <c r="G555" i="7" s="1"/>
  <c r="G1673" i="1"/>
  <c r="G557" i="7" s="1"/>
  <c r="G1663" i="1"/>
  <c r="J318" i="7"/>
  <c r="J273" i="8"/>
  <c r="J272" i="8" s="1"/>
  <c r="N1044" i="1"/>
  <c r="N1041" i="1"/>
  <c r="N1484" i="1" s="1"/>
  <c r="G497" i="1"/>
  <c r="F615" i="1"/>
  <c r="F1468" i="1" s="1"/>
  <c r="F455" i="8" s="1"/>
  <c r="F454" i="8" s="1"/>
  <c r="Q15" i="7"/>
  <c r="Q115" i="1"/>
  <c r="Q14" i="7" s="1"/>
  <c r="L15" i="7"/>
  <c r="L115" i="1"/>
  <c r="L14" i="7" s="1"/>
  <c r="O15" i="7"/>
  <c r="O115" i="1"/>
  <c r="O14" i="7" s="1"/>
  <c r="P15" i="7"/>
  <c r="P115" i="1"/>
  <c r="P14" i="7" s="1"/>
  <c r="M15" i="7"/>
  <c r="M115" i="1"/>
  <c r="M14" i="7" s="1"/>
  <c r="S15" i="7"/>
  <c r="S115" i="1"/>
  <c r="S14" i="7" s="1"/>
  <c r="H497" i="1"/>
  <c r="N15" i="7"/>
  <c r="N115" i="1"/>
  <c r="N14" i="7" s="1"/>
  <c r="P1676" i="1"/>
  <c r="P551" i="7"/>
  <c r="K318" i="7"/>
  <c r="K273" i="8"/>
  <c r="K272" i="8" s="1"/>
  <c r="O1679" i="1"/>
  <c r="O563" i="7" s="1"/>
  <c r="O560" i="7"/>
  <c r="I1705" i="1"/>
  <c r="I589" i="7" s="1"/>
  <c r="I573" i="7"/>
  <c r="I1706" i="1"/>
  <c r="I590" i="7" s="1"/>
  <c r="I588" i="7"/>
  <c r="I1682" i="1"/>
  <c r="I566" i="7" s="1"/>
  <c r="I564" i="7"/>
  <c r="I1681" i="1"/>
  <c r="I565" i="7" s="1"/>
  <c r="I549" i="7"/>
  <c r="R522" i="1"/>
  <c r="S513" i="1" s="1"/>
  <c r="S521" i="1" s="1"/>
  <c r="Y120" i="1"/>
  <c r="Y19" i="7" s="1"/>
  <c r="Y937" i="1"/>
  <c r="X145" i="1"/>
  <c r="X44" i="7" s="1"/>
  <c r="N147" i="8"/>
  <c r="N146" i="8" s="1"/>
  <c r="M151" i="8"/>
  <c r="M150" i="8" s="1"/>
  <c r="M910" i="1"/>
  <c r="M995" i="1" s="1"/>
  <c r="M136" i="1" s="1"/>
  <c r="M35" i="7" s="1"/>
  <c r="J137" i="8"/>
  <c r="J136" i="8" s="1"/>
  <c r="P147" i="8"/>
  <c r="P146" i="8" s="1"/>
  <c r="J147" i="8"/>
  <c r="J146" i="8" s="1"/>
  <c r="K147" i="8"/>
  <c r="K146" i="8" s="1"/>
  <c r="M147" i="8"/>
  <c r="M146" i="8" s="1"/>
  <c r="J115" i="1"/>
  <c r="J14" i="7" s="1"/>
  <c r="L147" i="8"/>
  <c r="L146" i="8" s="1"/>
  <c r="M983" i="1"/>
  <c r="M1204" i="1" s="1"/>
  <c r="M195" i="7" s="1"/>
  <c r="K1974" i="1"/>
  <c r="K206" i="1"/>
  <c r="K105" i="7" s="1"/>
  <c r="K225" i="1"/>
  <c r="K124" i="7" s="1"/>
  <c r="K994" i="1"/>
  <c r="P928" i="1"/>
  <c r="P910" i="1"/>
  <c r="P983" i="1"/>
  <c r="P1204" i="1" s="1"/>
  <c r="P195" i="7" s="1"/>
  <c r="N994" i="1"/>
  <c r="N225" i="1"/>
  <c r="N124" i="7" s="1"/>
  <c r="N1974" i="1"/>
  <c r="N206" i="1"/>
  <c r="N105" i="7" s="1"/>
  <c r="L206" i="1"/>
  <c r="L105" i="7" s="1"/>
  <c r="L225" i="1"/>
  <c r="L124" i="7" s="1"/>
  <c r="L1974" i="1"/>
  <c r="L994" i="1"/>
  <c r="L910" i="1"/>
  <c r="L983" i="1"/>
  <c r="L1204" i="1" s="1"/>
  <c r="L195" i="7" s="1"/>
  <c r="L928" i="1"/>
  <c r="O928" i="1"/>
  <c r="O910" i="1"/>
  <c r="O995" i="1" s="1"/>
  <c r="O136" i="1" s="1"/>
  <c r="O35" i="7" s="1"/>
  <c r="M994" i="1"/>
  <c r="M225" i="1"/>
  <c r="M124" i="7" s="1"/>
  <c r="M206" i="1"/>
  <c r="M105" i="7" s="1"/>
  <c r="M1974" i="1"/>
  <c r="K983" i="1"/>
  <c r="K1204" i="1" s="1"/>
  <c r="K195" i="7" s="1"/>
  <c r="K928" i="1"/>
  <c r="K910" i="1"/>
  <c r="O147" i="8"/>
  <c r="O146" i="8" s="1"/>
  <c r="P994" i="1"/>
  <c r="P225" i="1"/>
  <c r="P124" i="7" s="1"/>
  <c r="P1974" i="1"/>
  <c r="P206" i="1"/>
  <c r="P105" i="7" s="1"/>
  <c r="N137" i="8"/>
  <c r="N136" i="8" s="1"/>
  <c r="N928" i="1"/>
  <c r="N910" i="1"/>
  <c r="N995" i="1" s="1"/>
  <c r="N136" i="1" s="1"/>
  <c r="N35" i="7" s="1"/>
  <c r="J206" i="1"/>
  <c r="J105" i="7" s="1"/>
  <c r="J225" i="1"/>
  <c r="J124" i="7" s="1"/>
  <c r="J1974" i="1"/>
  <c r="J994" i="1"/>
  <c r="J910" i="1"/>
  <c r="J928" i="1"/>
  <c r="O137" i="8"/>
  <c r="O136" i="8" s="1"/>
  <c r="O225" i="1"/>
  <c r="O124" i="7" s="1"/>
  <c r="O206" i="1"/>
  <c r="O105" i="7" s="1"/>
  <c r="O994" i="1"/>
  <c r="O1974" i="1"/>
  <c r="Q206" i="1"/>
  <c r="Q105" i="7" s="1"/>
  <c r="Q994" i="1"/>
  <c r="Q225" i="1"/>
  <c r="Q124" i="7" s="1"/>
  <c r="Q1974" i="1"/>
  <c r="Q928" i="1"/>
  <c r="Q910" i="1"/>
  <c r="Q995" i="1" s="1"/>
  <c r="Q136" i="1" s="1"/>
  <c r="Q35" i="7" s="1"/>
  <c r="Q983" i="1"/>
  <c r="Q1204" i="1" s="1"/>
  <c r="Q195" i="7" s="1"/>
  <c r="I1702" i="1"/>
  <c r="I586" i="7" s="1"/>
  <c r="I1707" i="1"/>
  <c r="I591" i="7" s="1"/>
  <c r="M733" i="1"/>
  <c r="L730" i="1"/>
  <c r="I200" i="1"/>
  <c r="I99" i="7" s="1"/>
  <c r="H277" i="8"/>
  <c r="H276" i="8" s="1"/>
  <c r="F215" i="1"/>
  <c r="F114" i="7" s="1"/>
  <c r="F200" i="1"/>
  <c r="F99" i="7" s="1"/>
  <c r="G277" i="8"/>
  <c r="G276" i="8" s="1"/>
  <c r="I277" i="8"/>
  <c r="I276" i="8" s="1"/>
  <c r="F277" i="8"/>
  <c r="F276" i="8" s="1"/>
  <c r="L1692" i="1"/>
  <c r="L576" i="7" s="1"/>
  <c r="L861" i="1"/>
  <c r="L851" i="1"/>
  <c r="M850" i="1" s="1"/>
  <c r="K982" i="1"/>
  <c r="K1203" i="1" s="1"/>
  <c r="K194" i="7" s="1"/>
  <c r="G217" i="1"/>
  <c r="F275" i="8"/>
  <c r="F274" i="8" s="1"/>
  <c r="G200" i="1"/>
  <c r="G99" i="7" s="1"/>
  <c r="I1678" i="1"/>
  <c r="I562" i="7" s="1"/>
  <c r="I1683" i="1"/>
  <c r="I567" i="7" s="1"/>
  <c r="J135" i="8"/>
  <c r="J134" i="8" s="1"/>
  <c r="H200" i="1"/>
  <c r="H99" i="7" s="1"/>
  <c r="N1211" i="1"/>
  <c r="N202" i="7" s="1"/>
  <c r="Z714" i="1"/>
  <c r="Z177" i="7" s="1"/>
  <c r="Z838" i="1"/>
  <c r="Z787" i="1"/>
  <c r="Y838" i="1"/>
  <c r="Y787" i="1"/>
  <c r="S960" i="1"/>
  <c r="S984" i="1"/>
  <c r="S1209" i="1" s="1"/>
  <c r="S200" i="7" s="1"/>
  <c r="R147" i="8"/>
  <c r="R146" i="8" s="1"/>
  <c r="U138" i="1"/>
  <c r="U37" i="7" s="1"/>
  <c r="T914" i="1"/>
  <c r="T971" i="1" s="1"/>
  <c r="T912" i="1"/>
  <c r="T943" i="1" s="1"/>
  <c r="T913" i="1"/>
  <c r="X141" i="1"/>
  <c r="X40" i="7" s="1"/>
  <c r="V1748" i="1"/>
  <c r="V633" i="7" s="1"/>
  <c r="W197" i="1"/>
  <c r="W96" i="7" s="1"/>
  <c r="V202" i="1"/>
  <c r="V101" i="7" s="1"/>
  <c r="Y165" i="1"/>
  <c r="Y64" i="7" s="1"/>
  <c r="X198" i="1"/>
  <c r="X97" i="7" s="1"/>
  <c r="X160" i="1"/>
  <c r="X59" i="7" s="1"/>
  <c r="X153" i="1"/>
  <c r="X52" i="7" s="1"/>
  <c r="W199" i="1"/>
  <c r="W98" i="7" s="1"/>
  <c r="W171" i="1"/>
  <c r="W70" i="7" s="1"/>
  <c r="Y152" i="1"/>
  <c r="Y51" i="7" s="1"/>
  <c r="Y164" i="1"/>
  <c r="Y63" i="7" s="1"/>
  <c r="X144" i="1"/>
  <c r="X43" i="7" s="1"/>
  <c r="W143" i="1"/>
  <c r="W42" i="7" s="1"/>
  <c r="W1050" i="1"/>
  <c r="Y1031" i="1"/>
  <c r="Y1321" i="1"/>
  <c r="Y317" i="7" s="1"/>
  <c r="V985" i="1"/>
  <c r="Y107" i="1"/>
  <c r="Y6" i="7" s="1"/>
  <c r="Y1034" i="1"/>
  <c r="S222" i="1"/>
  <c r="S121" i="7" s="1"/>
  <c r="S203" i="1"/>
  <c r="S102" i="7" s="1"/>
  <c r="Y1051" i="1"/>
  <c r="Z31" i="1"/>
  <c r="Y32" i="1"/>
  <c r="AB91" i="1"/>
  <c r="AA92" i="1"/>
  <c r="W1469" i="1"/>
  <c r="W1490" i="1"/>
  <c r="W496" i="8" s="1"/>
  <c r="W495" i="8" s="1"/>
  <c r="Y1337" i="1"/>
  <c r="Y333" i="7" s="1"/>
  <c r="Y1172" i="1"/>
  <c r="Y1033" i="1"/>
  <c r="Y1030" i="1"/>
  <c r="Y898" i="1"/>
  <c r="Y897" i="1" s="1"/>
  <c r="Y908" i="1" s="1"/>
  <c r="Y889" i="1"/>
  <c r="Y888" i="1" s="1"/>
  <c r="Y907" i="1" s="1"/>
  <c r="Y880" i="1"/>
  <c r="Y879" i="1" s="1"/>
  <c r="Y906" i="1" s="1"/>
  <c r="Y871" i="1"/>
  <c r="Y1333" i="1"/>
  <c r="Y329" i="7" s="1"/>
  <c r="Y1170" i="1"/>
  <c r="Y1338" i="1"/>
  <c r="Y334" i="7" s="1"/>
  <c r="Y1174" i="1"/>
  <c r="Y1347" i="1"/>
  <c r="Y343" i="7" s="1"/>
  <c r="Y1183" i="1"/>
  <c r="Y1348" i="1"/>
  <c r="Y344" i="7" s="1"/>
  <c r="Y1190" i="1"/>
  <c r="Z1862" i="1"/>
  <c r="Y1863" i="1"/>
  <c r="U494" i="8"/>
  <c r="U493" i="8" s="1"/>
  <c r="Y1171" i="1"/>
  <c r="Y1336" i="1"/>
  <c r="Y332" i="7" s="1"/>
  <c r="Y973" i="1"/>
  <c r="Y951" i="1"/>
  <c r="Y954" i="1" s="1"/>
  <c r="Y947" i="1"/>
  <c r="Y950" i="1" s="1"/>
  <c r="Y930" i="1"/>
  <c r="Y925" i="1"/>
  <c r="Y962" i="1"/>
  <c r="Y1169" i="1"/>
  <c r="Y1334" i="1"/>
  <c r="Y330" i="7" s="1"/>
  <c r="Y618" i="1"/>
  <c r="Y1199" i="1"/>
  <c r="Y190" i="7" s="1"/>
  <c r="Y813" i="1"/>
  <c r="Y992" i="1"/>
  <c r="Y1322" i="1" s="1"/>
  <c r="Y318" i="7" s="1"/>
  <c r="Y814" i="1"/>
  <c r="Y1179" i="1"/>
  <c r="Y1344" i="1"/>
  <c r="Y340" i="7" s="1"/>
  <c r="AA88" i="1"/>
  <c r="Z1990" i="1"/>
  <c r="Z1988" i="1"/>
  <c r="Z1984" i="1"/>
  <c r="Z1989" i="1"/>
  <c r="Z1983" i="1"/>
  <c r="Z1122" i="1"/>
  <c r="Z1075" i="1"/>
  <c r="Z817" i="1"/>
  <c r="Z811" i="1"/>
  <c r="Z809" i="1"/>
  <c r="Z1013" i="1" s="1"/>
  <c r="Z807" i="1"/>
  <c r="Z805" i="1"/>
  <c r="Z770" i="1"/>
  <c r="Z721" i="1"/>
  <c r="Z184" i="7" s="1"/>
  <c r="Z719" i="1"/>
  <c r="Z182" i="7" s="1"/>
  <c r="Z717" i="1"/>
  <c r="Z180" i="7" s="1"/>
  <c r="Z715" i="1"/>
  <c r="Z178" i="7" s="1"/>
  <c r="Z609" i="1"/>
  <c r="Z559" i="1"/>
  <c r="Z551" i="1"/>
  <c r="Z1985" i="1"/>
  <c r="Z1123" i="1"/>
  <c r="Z812" i="1"/>
  <c r="Z808" i="1"/>
  <c r="Z806" i="1"/>
  <c r="Z108" i="1" s="1"/>
  <c r="Z7" i="7" s="1"/>
  <c r="Z804" i="1"/>
  <c r="Z720" i="1"/>
  <c r="Z183" i="7" s="1"/>
  <c r="Z718" i="1"/>
  <c r="Z181" i="7" s="1"/>
  <c r="Z716" i="1"/>
  <c r="Z179" i="7" s="1"/>
  <c r="Z598" i="1"/>
  <c r="Z586" i="1"/>
  <c r="Z29" i="1"/>
  <c r="Y641" i="1"/>
  <c r="Y639" i="1"/>
  <c r="Y654" i="1" s="1"/>
  <c r="Y631" i="1"/>
  <c r="Y629" i="1"/>
  <c r="Y427" i="1"/>
  <c r="Y425" i="1"/>
  <c r="Y379" i="1"/>
  <c r="Y377" i="1"/>
  <c r="Y311" i="1"/>
  <c r="Y309" i="1"/>
  <c r="Y292" i="1"/>
  <c r="Y555" i="1" s="1"/>
  <c r="Y630" i="1"/>
  <c r="Y628" i="1"/>
  <c r="Y638" i="1" s="1"/>
  <c r="Y529" i="1"/>
  <c r="Y526" i="1"/>
  <c r="Y431" i="1"/>
  <c r="Y426" i="1"/>
  <c r="Y383" i="1"/>
  <c r="Y378" i="1"/>
  <c r="Y315" i="1"/>
  <c r="Y310" i="1"/>
  <c r="Y291" i="1"/>
  <c r="Y554" i="1" s="1"/>
  <c r="Y30" i="1"/>
  <c r="Y290" i="1"/>
  <c r="Y471" i="1"/>
  <c r="Y605" i="1" s="1"/>
  <c r="Y470" i="1"/>
  <c r="Y603" i="1" s="1"/>
  <c r="Y469" i="1"/>
  <c r="Y602" i="1" s="1"/>
  <c r="Y468" i="1"/>
  <c r="Y331" i="1"/>
  <c r="Y330" i="1"/>
  <c r="Y351" i="1"/>
  <c r="Y352" i="1"/>
  <c r="Y336" i="1"/>
  <c r="Y332" i="1"/>
  <c r="Y353" i="1"/>
  <c r="Y357" i="1"/>
  <c r="Y492" i="1"/>
  <c r="Y488" i="1"/>
  <c r="Y487" i="1"/>
  <c r="Y612" i="1" s="1"/>
  <c r="Y486" i="1"/>
  <c r="AA1790" i="1"/>
  <c r="Z1791" i="1"/>
  <c r="AA1792" i="1" s="1"/>
  <c r="W1032" i="1"/>
  <c r="W1488" i="1"/>
  <c r="W492" i="8" s="1"/>
  <c r="W491" i="8" s="1"/>
  <c r="V945" i="1"/>
  <c r="V996" i="1" s="1"/>
  <c r="W1029" i="1"/>
  <c r="W1462" i="1" s="1"/>
  <c r="W443" i="8" s="1"/>
  <c r="W442" i="8" s="1"/>
  <c r="V492" i="8"/>
  <c r="V491" i="8" s="1"/>
  <c r="X1034" i="1"/>
  <c r="X1031" i="1"/>
  <c r="R137" i="8"/>
  <c r="T149" i="8"/>
  <c r="T148" i="8" s="1"/>
  <c r="Q141" i="8"/>
  <c r="Q140" i="8" s="1"/>
  <c r="V285" i="8"/>
  <c r="V284" i="8" s="1"/>
  <c r="U149" i="8"/>
  <c r="U148" i="8" s="1"/>
  <c r="H490" i="1"/>
  <c r="K428" i="1"/>
  <c r="X951" i="1"/>
  <c r="X954" i="1" s="1"/>
  <c r="X962" i="1"/>
  <c r="X930" i="1"/>
  <c r="X947" i="1"/>
  <c r="X950" i="1" s="1"/>
  <c r="R998" i="1"/>
  <c r="R986" i="1" s="1"/>
  <c r="R1206" i="1" s="1"/>
  <c r="R197" i="7" s="1"/>
  <c r="S997" i="1"/>
  <c r="S933" i="1"/>
  <c r="V1001" i="1"/>
  <c r="V990" i="1" s="1"/>
  <c r="V1210" i="1" s="1"/>
  <c r="V201" i="7" s="1"/>
  <c r="W965" i="1"/>
  <c r="W1000" i="1"/>
  <c r="V1218" i="1"/>
  <c r="V209" i="7" s="1"/>
  <c r="V1103" i="1"/>
  <c r="U836" i="8"/>
  <c r="L370" i="1"/>
  <c r="L371" i="1"/>
  <c r="U937" i="8"/>
  <c r="U912" i="8"/>
  <c r="J565" i="1"/>
  <c r="W904" i="8"/>
  <c r="X272" i="1"/>
  <c r="Y272" i="1" s="1"/>
  <c r="W273" i="1"/>
  <c r="W1102" i="1"/>
  <c r="V1130" i="1"/>
  <c r="V1489" i="1" s="1"/>
  <c r="V1104" i="1"/>
  <c r="V1101" i="1" s="1"/>
  <c r="X576" i="1"/>
  <c r="U268" i="1"/>
  <c r="U269" i="1" s="1"/>
  <c r="N484" i="8"/>
  <c r="N483" i="8" s="1"/>
  <c r="W650" i="1"/>
  <c r="W1335" i="1" s="1"/>
  <c r="W331" i="7" s="1"/>
  <c r="V1335" i="1"/>
  <c r="V331" i="7" s="1"/>
  <c r="W657" i="1"/>
  <c r="W640" i="1"/>
  <c r="W655" i="1" s="1"/>
  <c r="X617" i="1"/>
  <c r="X562" i="1"/>
  <c r="X611" i="1"/>
  <c r="X564" i="1"/>
  <c r="X605" i="1"/>
  <c r="W601" i="1"/>
  <c r="Y898" i="8"/>
  <c r="Y673" i="8"/>
  <c r="Y678" i="8" s="1"/>
  <c r="Y824" i="8"/>
  <c r="Y825" i="8" s="1"/>
  <c r="Y859" i="8" s="1"/>
  <c r="Y748" i="8"/>
  <c r="Y749" i="8" s="1"/>
  <c r="X32" i="1"/>
  <c r="X151" i="1"/>
  <c r="X50" i="7" s="1"/>
  <c r="V896" i="8"/>
  <c r="V268" i="8"/>
  <c r="V822" i="8"/>
  <c r="V746" i="8"/>
  <c r="V438" i="8"/>
  <c r="V66" i="8"/>
  <c r="V39" i="8"/>
  <c r="V924" i="8"/>
  <c r="V670" i="8"/>
  <c r="V125" i="8"/>
  <c r="V567" i="8"/>
  <c r="X1863" i="1"/>
  <c r="Y1864" i="1" s="1"/>
  <c r="Z1864" i="1" s="1"/>
  <c r="V762" i="8"/>
  <c r="V836" i="8"/>
  <c r="V939" i="8"/>
  <c r="V913" i="8"/>
  <c r="V763" i="8"/>
  <c r="X33" i="8"/>
  <c r="W321" i="8"/>
  <c r="W320" i="8" s="1"/>
  <c r="W319" i="8"/>
  <c r="W318" i="8" s="1"/>
  <c r="W317" i="8"/>
  <c r="W316" i="8" s="1"/>
  <c r="W315" i="8"/>
  <c r="W314" i="8" s="1"/>
  <c r="W313" i="8"/>
  <c r="W312" i="8" s="1"/>
  <c r="W307" i="8"/>
  <c r="W306" i="8" s="1"/>
  <c r="W303" i="8"/>
  <c r="W302" i="8" s="1"/>
  <c r="W301" i="8"/>
  <c r="W300" i="8" s="1"/>
  <c r="W299" i="8"/>
  <c r="W298" i="8" s="1"/>
  <c r="W295" i="8"/>
  <c r="W294" i="8" s="1"/>
  <c r="W293" i="8"/>
  <c r="W292" i="8" s="1"/>
  <c r="W287" i="8"/>
  <c r="W286" i="8" s="1"/>
  <c r="W273" i="8"/>
  <c r="W272" i="8" s="1"/>
  <c r="W271" i="8"/>
  <c r="W270" i="8" s="1"/>
  <c r="W457" i="8"/>
  <c r="W456" i="8" s="1"/>
  <c r="W167" i="8"/>
  <c r="W166" i="8" s="1"/>
  <c r="W159" i="8"/>
  <c r="W158" i="8" s="1"/>
  <c r="W116" i="8"/>
  <c r="W115" i="8" s="1"/>
  <c r="W110" i="8"/>
  <c r="W109" i="8" s="1"/>
  <c r="W96" i="8"/>
  <c r="W95" i="8" s="1"/>
  <c r="W92" i="8"/>
  <c r="W91" i="8" s="1"/>
  <c r="W82" i="8"/>
  <c r="W81" i="8" s="1"/>
  <c r="W78" i="8"/>
  <c r="W77" i="8" s="1"/>
  <c r="W74" i="8"/>
  <c r="W73" i="8" s="1"/>
  <c r="W98" i="8"/>
  <c r="W97" i="8" s="1"/>
  <c r="W90" i="8"/>
  <c r="W89" i="8" s="1"/>
  <c r="W80" i="8"/>
  <c r="W79" i="8" s="1"/>
  <c r="W72" i="8"/>
  <c r="W71" i="8" s="1"/>
  <c r="W34" i="8"/>
  <c r="W464" i="8"/>
  <c r="W463" i="8" s="1"/>
  <c r="W161" i="8"/>
  <c r="W160" i="8" s="1"/>
  <c r="W128" i="8"/>
  <c r="W127" i="8" s="1"/>
  <c r="W53" i="8"/>
  <c r="W52" i="8" s="1"/>
  <c r="W472" i="8"/>
  <c r="W471" i="8" s="1"/>
  <c r="W113" i="8"/>
  <c r="W112" i="8" s="1"/>
  <c r="W94" i="8"/>
  <c r="W93" i="8" s="1"/>
  <c r="W76" i="8"/>
  <c r="W75" i="8" s="1"/>
  <c r="U239" i="1"/>
  <c r="V242" i="1" s="1"/>
  <c r="V243" i="1" s="1"/>
  <c r="X785" i="8"/>
  <c r="V927" i="1"/>
  <c r="V904" i="1"/>
  <c r="X1334" i="1"/>
  <c r="X330" i="7" s="1"/>
  <c r="X618" i="1"/>
  <c r="X1169" i="1"/>
  <c r="X813" i="1"/>
  <c r="X1172" i="1"/>
  <c r="X1337" i="1"/>
  <c r="X333" i="7" s="1"/>
  <c r="X1033" i="1"/>
  <c r="X1030" i="1"/>
  <c r="X898" i="1"/>
  <c r="X897" i="1" s="1"/>
  <c r="X880" i="1"/>
  <c r="X879" i="1" s="1"/>
  <c r="X889" i="1"/>
  <c r="X888" i="1" s="1"/>
  <c r="X871" i="1"/>
  <c r="X1321" i="1"/>
  <c r="X317" i="7" s="1"/>
  <c r="X925" i="1"/>
  <c r="X120" i="1"/>
  <c r="X19" i="7" s="1"/>
  <c r="X1344" i="1"/>
  <c r="X340" i="7" s="1"/>
  <c r="X1179" i="1"/>
  <c r="W1177" i="1"/>
  <c r="W87" i="8" s="1"/>
  <c r="W86" i="8" s="1"/>
  <c r="W970" i="1"/>
  <c r="W942" i="1"/>
  <c r="W2024" i="1"/>
  <c r="W1801" i="1"/>
  <c r="W147" i="1"/>
  <c r="W46" i="7" s="1"/>
  <c r="W116" i="1"/>
  <c r="W15" i="7" s="1"/>
  <c r="X167" i="1"/>
  <c r="X66" i="7" s="1"/>
  <c r="W162" i="1"/>
  <c r="W61" i="7" s="1"/>
  <c r="I466" i="8"/>
  <c r="I465" i="8" s="1"/>
  <c r="N279" i="8"/>
  <c r="N278" i="8" s="1"/>
  <c r="W1800" i="1"/>
  <c r="W2023" i="1"/>
  <c r="W1946" i="1"/>
  <c r="X561" i="1"/>
  <c r="X568" i="1"/>
  <c r="X600" i="1"/>
  <c r="X464" i="1"/>
  <c r="X601" i="1" s="1"/>
  <c r="X293" i="1"/>
  <c r="X556" i="1" s="1"/>
  <c r="X1473" i="1" s="1"/>
  <c r="X553" i="1"/>
  <c r="X645" i="1"/>
  <c r="X644" i="1"/>
  <c r="X658" i="1" s="1"/>
  <c r="X642" i="1"/>
  <c r="X656" i="1" s="1"/>
  <c r="X643" i="1"/>
  <c r="V2008" i="1"/>
  <c r="V1957" i="1"/>
  <c r="V1859" i="1"/>
  <c r="V1711" i="1"/>
  <c r="V596" i="7" s="1"/>
  <c r="V1319" i="1"/>
  <c r="V315" i="7" s="1"/>
  <c r="V1008" i="1"/>
  <c r="V866" i="1"/>
  <c r="V820" i="1"/>
  <c r="V768" i="1"/>
  <c r="V748" i="1"/>
  <c r="V724" i="1"/>
  <c r="V676" i="1"/>
  <c r="V138" i="7" s="1"/>
  <c r="V661" i="1"/>
  <c r="V280" i="1"/>
  <c r="V230" i="1"/>
  <c r="V1931" i="1"/>
  <c r="V1275" i="1"/>
  <c r="V269" i="7" s="1"/>
  <c r="V1197" i="1"/>
  <c r="V188" i="7" s="1"/>
  <c r="V1165" i="1"/>
  <c r="V1096" i="1"/>
  <c r="V921" i="1"/>
  <c r="V738" i="1"/>
  <c r="V695" i="1"/>
  <c r="V158" i="7" s="1"/>
  <c r="V669" i="1"/>
  <c r="V130" i="7" s="1"/>
  <c r="V621" i="1"/>
  <c r="V102" i="1"/>
  <c r="V1" i="7" s="1"/>
  <c r="V1785" i="1"/>
  <c r="V1657" i="1"/>
  <c r="V541" i="7" s="1"/>
  <c r="V1554" i="1"/>
  <c r="V434" i="7" s="1"/>
  <c r="V1459" i="1"/>
  <c r="V1073" i="1"/>
  <c r="W75" i="1"/>
  <c r="X155" i="1"/>
  <c r="X54" i="7" s="1"/>
  <c r="X35" i="8"/>
  <c r="W36" i="8"/>
  <c r="X729" i="1"/>
  <c r="W726" i="1"/>
  <c r="Y755" i="8"/>
  <c r="V691" i="8"/>
  <c r="V767" i="8"/>
  <c r="V926" i="8"/>
  <c r="V835" i="8"/>
  <c r="V937" i="8"/>
  <c r="V764" i="8"/>
  <c r="V940" i="8"/>
  <c r="X709" i="8"/>
  <c r="Y709" i="8" s="1"/>
  <c r="X827" i="8"/>
  <c r="W828" i="8"/>
  <c r="X829" i="8" s="1"/>
  <c r="V248" i="1"/>
  <c r="W251" i="1" s="1"/>
  <c r="W252" i="1" s="1"/>
  <c r="X1170" i="1"/>
  <c r="X1333" i="1"/>
  <c r="X329" i="7" s="1"/>
  <c r="X1338" i="1"/>
  <c r="X334" i="7" s="1"/>
  <c r="X1174" i="1"/>
  <c r="X1199" i="1"/>
  <c r="X190" i="7" s="1"/>
  <c r="X148" i="1"/>
  <c r="X47" i="7" s="1"/>
  <c r="X992" i="1"/>
  <c r="X814" i="1"/>
  <c r="X1348" i="1"/>
  <c r="X344" i="7" s="1"/>
  <c r="X1190" i="1"/>
  <c r="X1336" i="1"/>
  <c r="X332" i="7" s="1"/>
  <c r="X1171" i="1"/>
  <c r="X107" i="1"/>
  <c r="X6" i="7" s="1"/>
  <c r="X108" i="1"/>
  <c r="X7" i="7" s="1"/>
  <c r="X1183" i="1"/>
  <c r="X1347" i="1"/>
  <c r="X343" i="7" s="1"/>
  <c r="W2021" i="1"/>
  <c r="W1870" i="1"/>
  <c r="W959" i="1"/>
  <c r="W918" i="1"/>
  <c r="W870" i="1"/>
  <c r="W905" i="1" s="1"/>
  <c r="W2010" i="1"/>
  <c r="U994" i="1"/>
  <c r="U225" i="1"/>
  <c r="U124" i="7" s="1"/>
  <c r="U1974" i="1"/>
  <c r="U206" i="1"/>
  <c r="U105" i="7" s="1"/>
  <c r="Y754" i="8"/>
  <c r="X95" i="1"/>
  <c r="Y95" i="1" s="1"/>
  <c r="W98" i="1"/>
  <c r="W1103" i="1" s="1"/>
  <c r="X163" i="1"/>
  <c r="X62" i="7" s="1"/>
  <c r="W257" i="1"/>
  <c r="X260" i="1" s="1"/>
  <c r="X261" i="1" s="1"/>
  <c r="Y901" i="8"/>
  <c r="X902" i="8"/>
  <c r="X903" i="8" s="1"/>
  <c r="V1495" i="1"/>
  <c r="U504" i="8"/>
  <c r="U503" i="8" s="1"/>
  <c r="J334" i="1"/>
  <c r="O1004" i="1"/>
  <c r="O1325" i="1"/>
  <c r="O321" i="7" s="1"/>
  <c r="O1045" i="1"/>
  <c r="O1044" i="1" s="1"/>
  <c r="O1042" i="1"/>
  <c r="O1041" i="1" s="1"/>
  <c r="O1484" i="1" s="1"/>
  <c r="P977" i="1"/>
  <c r="P1005" i="1" s="1"/>
  <c r="P121" i="1" s="1"/>
  <c r="P20" i="7" s="1"/>
  <c r="P1003" i="1"/>
  <c r="J354" i="1"/>
  <c r="Q1667" i="1"/>
  <c r="R995" i="1"/>
  <c r="R136" i="1" s="1"/>
  <c r="R35" i="7" s="1"/>
  <c r="R916" i="1"/>
  <c r="R203" i="1"/>
  <c r="R102" i="7" s="1"/>
  <c r="S1056" i="1"/>
  <c r="S1487" i="1" s="1"/>
  <c r="S1324" i="1"/>
  <c r="S320" i="7" s="1"/>
  <c r="T994" i="1"/>
  <c r="T206" i="1"/>
  <c r="T105" i="7" s="1"/>
  <c r="T1974" i="1"/>
  <c r="T225" i="1"/>
  <c r="T124" i="7" s="1"/>
  <c r="R1324" i="1"/>
  <c r="R320" i="7" s="1"/>
  <c r="R1056" i="1"/>
  <c r="R1487" i="1" s="1"/>
  <c r="T928" i="1"/>
  <c r="R222" i="1"/>
  <c r="R121" i="7" s="1"/>
  <c r="R779" i="1"/>
  <c r="Q784" i="1"/>
  <c r="R783" i="1" s="1"/>
  <c r="K313" i="1"/>
  <c r="Y613" i="1" l="1"/>
  <c r="Y617" i="1"/>
  <c r="X95" i="7"/>
  <c r="Y196" i="1"/>
  <c r="H614" i="1"/>
  <c r="Y149" i="1"/>
  <c r="X48" i="7"/>
  <c r="V857" i="1"/>
  <c r="V831" i="1"/>
  <c r="V122" i="7"/>
  <c r="W223" i="1"/>
  <c r="Z152" i="1"/>
  <c r="Z51" i="7" s="1"/>
  <c r="G505" i="1"/>
  <c r="G506" i="1" s="1"/>
  <c r="G615" i="1" s="1"/>
  <c r="G1468" i="1" s="1"/>
  <c r="G455" i="8" s="1"/>
  <c r="G454" i="8" s="1"/>
  <c r="G614" i="1"/>
  <c r="T319" i="7"/>
  <c r="T275" i="8"/>
  <c r="T274" i="8" s="1"/>
  <c r="W855" i="1"/>
  <c r="W1021" i="1" s="1"/>
  <c r="W829" i="1"/>
  <c r="W856" i="1" s="1"/>
  <c r="W836" i="1"/>
  <c r="W863" i="1" s="1"/>
  <c r="W1017" i="1" s="1"/>
  <c r="W1015" i="1" s="1"/>
  <c r="W1465" i="1" s="1"/>
  <c r="W449" i="8" s="1"/>
  <c r="W448" i="8" s="1"/>
  <c r="W830" i="1"/>
  <c r="X854" i="1"/>
  <c r="X926" i="1" s="1"/>
  <c r="X828" i="1"/>
  <c r="X823" i="1"/>
  <c r="X822" i="1"/>
  <c r="S319" i="7"/>
  <c r="S275" i="8"/>
  <c r="S274" i="8" s="1"/>
  <c r="Z824" i="1"/>
  <c r="Y825" i="1"/>
  <c r="V103" i="7"/>
  <c r="W204" i="1"/>
  <c r="Y581" i="1"/>
  <c r="Z518" i="1"/>
  <c r="Z520" i="1"/>
  <c r="Z519" i="1"/>
  <c r="Z524" i="1"/>
  <c r="Z402" i="1"/>
  <c r="Z407" i="1"/>
  <c r="Z508" i="1"/>
  <c r="Z504" i="1"/>
  <c r="Z503" i="1"/>
  <c r="Z502" i="1"/>
  <c r="W194" i="1"/>
  <c r="V93" i="7"/>
  <c r="V1668" i="1"/>
  <c r="V552" i="7" s="1"/>
  <c r="V835" i="1"/>
  <c r="W834" i="1" s="1"/>
  <c r="U832" i="1"/>
  <c r="U858" i="1"/>
  <c r="S137" i="8"/>
  <c r="S136" i="8" s="1"/>
  <c r="X1032" i="1"/>
  <c r="T910" i="1"/>
  <c r="T995" i="1" s="1"/>
  <c r="T136" i="1" s="1"/>
  <c r="T35" i="7" s="1"/>
  <c r="O991" i="1"/>
  <c r="S916" i="1"/>
  <c r="J341" i="7"/>
  <c r="J1799" i="1"/>
  <c r="J1871" i="1"/>
  <c r="J315" i="8"/>
  <c r="J314" i="8" s="1"/>
  <c r="J2021" i="1"/>
  <c r="G1681" i="1"/>
  <c r="G565" i="7" s="1"/>
  <c r="G549" i="7"/>
  <c r="G571" i="7"/>
  <c r="G1702" i="1"/>
  <c r="G586" i="7" s="1"/>
  <c r="G1707" i="1"/>
  <c r="G591" i="7" s="1"/>
  <c r="J1691" i="1"/>
  <c r="J815" i="1"/>
  <c r="J801" i="1"/>
  <c r="K800" i="1" s="1"/>
  <c r="G1706" i="1"/>
  <c r="G590" i="7" s="1"/>
  <c r="G588" i="7"/>
  <c r="J810" i="1"/>
  <c r="J1014" i="1" s="1"/>
  <c r="J1011" i="1" s="1"/>
  <c r="J1466" i="1" s="1"/>
  <c r="J451" i="8" s="1"/>
  <c r="J450" i="8" s="1"/>
  <c r="K796" i="1"/>
  <c r="G547" i="7"/>
  <c r="G1678" i="1"/>
  <c r="G562" i="7" s="1"/>
  <c r="G1683" i="1"/>
  <c r="G567" i="7" s="1"/>
  <c r="G1682" i="1"/>
  <c r="G566" i="7" s="1"/>
  <c r="G564" i="7"/>
  <c r="I1014" i="1"/>
  <c r="I816" i="1"/>
  <c r="I1022" i="1" s="1"/>
  <c r="I1019" i="1" s="1"/>
  <c r="I1464" i="1" s="1"/>
  <c r="I447" i="8" s="1"/>
  <c r="I446" i="8" s="1"/>
  <c r="G1705" i="1"/>
  <c r="G589" i="7" s="1"/>
  <c r="G573" i="7"/>
  <c r="H1019" i="1"/>
  <c r="H1069" i="1"/>
  <c r="Q1676" i="1"/>
  <c r="Q551" i="7"/>
  <c r="M916" i="1"/>
  <c r="P1679" i="1"/>
  <c r="P563" i="7" s="1"/>
  <c r="P560" i="7"/>
  <c r="Y1488" i="1"/>
  <c r="W1945" i="1"/>
  <c r="G219" i="1"/>
  <c r="G118" i="7" s="1"/>
  <c r="G116" i="7"/>
  <c r="S522" i="1"/>
  <c r="T513" i="1" s="1"/>
  <c r="T521" i="1" s="1"/>
  <c r="Z120" i="1"/>
  <c r="Z19" i="7" s="1"/>
  <c r="Z937" i="1"/>
  <c r="Y145" i="1"/>
  <c r="Y44" i="7" s="1"/>
  <c r="Y163" i="1"/>
  <c r="Y62" i="7" s="1"/>
  <c r="O916" i="1"/>
  <c r="Q916" i="1"/>
  <c r="Q222" i="1"/>
  <c r="Q121" i="7" s="1"/>
  <c r="Q203" i="1"/>
  <c r="Q102" i="7" s="1"/>
  <c r="O203" i="1"/>
  <c r="O102" i="7" s="1"/>
  <c r="J1056" i="1"/>
  <c r="J1487" i="1" s="1"/>
  <c r="J490" i="8" s="1"/>
  <c r="J489" i="8" s="1"/>
  <c r="J1324" i="1"/>
  <c r="J320" i="7" s="1"/>
  <c r="J222" i="1"/>
  <c r="J121" i="7" s="1"/>
  <c r="P203" i="1"/>
  <c r="P102" i="7" s="1"/>
  <c r="P222" i="1"/>
  <c r="P121" i="7" s="1"/>
  <c r="K995" i="1"/>
  <c r="K136" i="1" s="1"/>
  <c r="K35" i="7" s="1"/>
  <c r="K916" i="1"/>
  <c r="K137" i="8"/>
  <c r="K136" i="8" s="1"/>
  <c r="M222" i="1"/>
  <c r="M121" i="7" s="1"/>
  <c r="L995" i="1"/>
  <c r="L916" i="1"/>
  <c r="L203" i="1"/>
  <c r="L102" i="7" s="1"/>
  <c r="N203" i="1"/>
  <c r="N102" i="7" s="1"/>
  <c r="N222" i="1"/>
  <c r="N121" i="7" s="1"/>
  <c r="P137" i="8"/>
  <c r="P136" i="8" s="1"/>
  <c r="K222" i="1"/>
  <c r="K121" i="7" s="1"/>
  <c r="Q137" i="8"/>
  <c r="Q136" i="8" s="1"/>
  <c r="Q1056" i="1"/>
  <c r="Q1487" i="1" s="1"/>
  <c r="Q490" i="8" s="1"/>
  <c r="Q489" i="8" s="1"/>
  <c r="Q1324" i="1"/>
  <c r="Q320" i="7" s="1"/>
  <c r="O1056" i="1"/>
  <c r="O1487" i="1" s="1"/>
  <c r="O490" i="8" s="1"/>
  <c r="O489" i="8" s="1"/>
  <c r="O1324" i="1"/>
  <c r="O320" i="7" s="1"/>
  <c r="O222" i="1"/>
  <c r="O121" i="7" s="1"/>
  <c r="J995" i="1"/>
  <c r="J136" i="1" s="1"/>
  <c r="J35" i="7" s="1"/>
  <c r="J916" i="1"/>
  <c r="J203" i="1"/>
  <c r="J102" i="7" s="1"/>
  <c r="P1056" i="1"/>
  <c r="P1487" i="1" s="1"/>
  <c r="P490" i="8" s="1"/>
  <c r="P489" i="8" s="1"/>
  <c r="P1324" i="1"/>
  <c r="P320" i="7" s="1"/>
  <c r="M203" i="1"/>
  <c r="M102" i="7" s="1"/>
  <c r="M1324" i="1"/>
  <c r="M320" i="7" s="1"/>
  <c r="M1056" i="1"/>
  <c r="M1487" i="1" s="1"/>
  <c r="M490" i="8" s="1"/>
  <c r="M489" i="8" s="1"/>
  <c r="M991" i="1"/>
  <c r="L137" i="8"/>
  <c r="L136" i="8" s="1"/>
  <c r="L1324" i="1"/>
  <c r="L320" i="7" s="1"/>
  <c r="L1056" i="1"/>
  <c r="L1487" i="1" s="1"/>
  <c r="L490" i="8" s="1"/>
  <c r="L489" i="8" s="1"/>
  <c r="L222" i="1"/>
  <c r="L121" i="7" s="1"/>
  <c r="N916" i="1"/>
  <c r="N1056" i="1"/>
  <c r="N1487" i="1" s="1"/>
  <c r="N490" i="8" s="1"/>
  <c r="N489" i="8" s="1"/>
  <c r="N1324" i="1"/>
  <c r="N320" i="7" s="1"/>
  <c r="N991" i="1"/>
  <c r="P916" i="1"/>
  <c r="P995" i="1"/>
  <c r="P136" i="1" s="1"/>
  <c r="P35" i="7" s="1"/>
  <c r="K1056" i="1"/>
  <c r="K1487" i="1" s="1"/>
  <c r="K490" i="8" s="1"/>
  <c r="K489" i="8" s="1"/>
  <c r="K1324" i="1"/>
  <c r="K320" i="7" s="1"/>
  <c r="K203" i="1"/>
  <c r="K102" i="7" s="1"/>
  <c r="M137" i="8"/>
  <c r="M136" i="8" s="1"/>
  <c r="Y1177" i="1"/>
  <c r="N151" i="8"/>
  <c r="N150" i="8" s="1"/>
  <c r="M851" i="1"/>
  <c r="N850" i="1" s="1"/>
  <c r="M1692" i="1"/>
  <c r="M576" i="7" s="1"/>
  <c r="M861" i="1"/>
  <c r="H201" i="1"/>
  <c r="H100" i="7" s="1"/>
  <c r="G201" i="1"/>
  <c r="G100" i="7" s="1"/>
  <c r="G220" i="1"/>
  <c r="G119" i="7" s="1"/>
  <c r="K135" i="8"/>
  <c r="K134" i="8" s="1"/>
  <c r="L862" i="1"/>
  <c r="L982" i="1"/>
  <c r="L1203" i="1" s="1"/>
  <c r="L194" i="7" s="1"/>
  <c r="F201" i="1"/>
  <c r="F100" i="7" s="1"/>
  <c r="I201" i="1"/>
  <c r="I100" i="7" s="1"/>
  <c r="N733" i="1"/>
  <c r="M730" i="1"/>
  <c r="Y1050" i="1"/>
  <c r="Y1029" i="1"/>
  <c r="Y1462" i="1" s="1"/>
  <c r="Z164" i="1"/>
  <c r="Z63" i="7" s="1"/>
  <c r="AA714" i="1"/>
  <c r="AA177" i="7" s="1"/>
  <c r="AA838" i="1"/>
  <c r="AA787" i="1"/>
  <c r="Y1032" i="1"/>
  <c r="T960" i="1"/>
  <c r="T984" i="1"/>
  <c r="T1209" i="1" s="1"/>
  <c r="T200" i="7" s="1"/>
  <c r="V138" i="1"/>
  <c r="V37" i="7" s="1"/>
  <c r="U913" i="1"/>
  <c r="U914" i="1"/>
  <c r="U971" i="1" s="1"/>
  <c r="U912" i="1"/>
  <c r="U943" i="1" s="1"/>
  <c r="U911" i="1"/>
  <c r="Y141" i="1"/>
  <c r="Y40" i="7" s="1"/>
  <c r="S147" i="8"/>
  <c r="S146" i="8" s="1"/>
  <c r="T983" i="1"/>
  <c r="T1204" i="1" s="1"/>
  <c r="T195" i="7" s="1"/>
  <c r="W1748" i="1"/>
  <c r="W633" i="7" s="1"/>
  <c r="X1477" i="1"/>
  <c r="X472" i="8" s="1"/>
  <c r="X471" i="8" s="1"/>
  <c r="Y785" i="8"/>
  <c r="Y144" i="1"/>
  <c r="Y43" i="7" s="1"/>
  <c r="X143" i="1"/>
  <c r="X42" i="7" s="1"/>
  <c r="Y167" i="1"/>
  <c r="Y66" i="7" s="1"/>
  <c r="Y155" i="1"/>
  <c r="Y54" i="7" s="1"/>
  <c r="X171" i="1"/>
  <c r="X70" i="7" s="1"/>
  <c r="X199" i="1"/>
  <c r="X98" i="7" s="1"/>
  <c r="Y153" i="1"/>
  <c r="Y52" i="7" s="1"/>
  <c r="Y160" i="1"/>
  <c r="Y59" i="7" s="1"/>
  <c r="Y198" i="1"/>
  <c r="Y97" i="7" s="1"/>
  <c r="Z165" i="1"/>
  <c r="Z64" i="7" s="1"/>
  <c r="X197" i="1"/>
  <c r="X96" i="7" s="1"/>
  <c r="W202" i="1"/>
  <c r="W101" i="7" s="1"/>
  <c r="Z1321" i="1"/>
  <c r="Z317" i="7" s="1"/>
  <c r="W115" i="1"/>
  <c r="W14" i="7" s="1"/>
  <c r="Z107" i="1"/>
  <c r="Z6" i="7" s="1"/>
  <c r="Z1031" i="1"/>
  <c r="Z1034" i="1"/>
  <c r="T203" i="1"/>
  <c r="T102" i="7" s="1"/>
  <c r="T222" i="1"/>
  <c r="T121" i="7" s="1"/>
  <c r="U203" i="1"/>
  <c r="U102" i="7" s="1"/>
  <c r="U222" i="1"/>
  <c r="U121" i="7" s="1"/>
  <c r="S200" i="1"/>
  <c r="S99" i="7" s="1"/>
  <c r="Z1051" i="1"/>
  <c r="Z95" i="1"/>
  <c r="Y98" i="1"/>
  <c r="Y729" i="1"/>
  <c r="AB1790" i="1"/>
  <c r="AA1791" i="1"/>
  <c r="AB1792" i="1" s="1"/>
  <c r="Y562" i="1"/>
  <c r="Y561" i="1"/>
  <c r="Y645" i="1"/>
  <c r="Y652" i="1" s="1"/>
  <c r="Y124" i="1" s="1"/>
  <c r="Y23" i="7" s="1"/>
  <c r="Y644" i="1"/>
  <c r="Y658" i="1" s="1"/>
  <c r="Y643" i="1"/>
  <c r="Y642" i="1"/>
  <c r="Y656" i="1" s="1"/>
  <c r="Y650" i="1"/>
  <c r="Y1335" i="1" s="1"/>
  <c r="Y331" i="7" s="1"/>
  <c r="Z641" i="1"/>
  <c r="Z639" i="1"/>
  <c r="Z654" i="1" s="1"/>
  <c r="Z631" i="1"/>
  <c r="Z629" i="1"/>
  <c r="Z427" i="1"/>
  <c r="Z425" i="1"/>
  <c r="Z379" i="1"/>
  <c r="Z377" i="1"/>
  <c r="Z311" i="1"/>
  <c r="Z309" i="1"/>
  <c r="Z292" i="1"/>
  <c r="Z555" i="1" s="1"/>
  <c r="Z290" i="1"/>
  <c r="AA29" i="1"/>
  <c r="Z630" i="1"/>
  <c r="Z628" i="1"/>
  <c r="Z638" i="1" s="1"/>
  <c r="Z529" i="1"/>
  <c r="Z526" i="1"/>
  <c r="Z431" i="1"/>
  <c r="Z426" i="1"/>
  <c r="Z383" i="1"/>
  <c r="Z378" i="1"/>
  <c r="Z315" i="1"/>
  <c r="Z310" i="1"/>
  <c r="Z291" i="1"/>
  <c r="Z554" i="1" s="1"/>
  <c r="Z30" i="1"/>
  <c r="Z471" i="1"/>
  <c r="Z605" i="1" s="1"/>
  <c r="Z470" i="1"/>
  <c r="Z603" i="1" s="1"/>
  <c r="Z469" i="1"/>
  <c r="Z602" i="1" s="1"/>
  <c r="Z468" i="1"/>
  <c r="Z331" i="1"/>
  <c r="Z330" i="1"/>
  <c r="Z351" i="1"/>
  <c r="Z352" i="1"/>
  <c r="Z336" i="1"/>
  <c r="Z332" i="1"/>
  <c r="Z353" i="1"/>
  <c r="Z357" i="1"/>
  <c r="Z492" i="1"/>
  <c r="Z617" i="1" s="1"/>
  <c r="Z488" i="1"/>
  <c r="Z487" i="1"/>
  <c r="Z486" i="1"/>
  <c r="Z1172" i="1"/>
  <c r="Z1337" i="1"/>
  <c r="Z333" i="7" s="1"/>
  <c r="Z1033" i="1"/>
  <c r="Z1030" i="1"/>
  <c r="Z889" i="1"/>
  <c r="Z888" i="1" s="1"/>
  <c r="Z907" i="1" s="1"/>
  <c r="Z871" i="1"/>
  <c r="Z898" i="1"/>
  <c r="Z897" i="1" s="1"/>
  <c r="Z908" i="1" s="1"/>
  <c r="Z880" i="1"/>
  <c r="Z879" i="1" s="1"/>
  <c r="Z906" i="1" s="1"/>
  <c r="Z973" i="1"/>
  <c r="Z962" i="1"/>
  <c r="Z951" i="1"/>
  <c r="Z954" i="1" s="1"/>
  <c r="Z947" i="1"/>
  <c r="Z950" i="1" s="1"/>
  <c r="Z930" i="1"/>
  <c r="Z925" i="1"/>
  <c r="Z1348" i="1"/>
  <c r="Z344" i="7" s="1"/>
  <c r="Z1190" i="1"/>
  <c r="Z1334" i="1"/>
  <c r="Z330" i="7" s="1"/>
  <c r="Z1169" i="1"/>
  <c r="Z618" i="1"/>
  <c r="Z1199" i="1"/>
  <c r="Z190" i="7" s="1"/>
  <c r="Z813" i="1"/>
  <c r="Z992" i="1"/>
  <c r="Z1322" i="1" s="1"/>
  <c r="Z318" i="7" s="1"/>
  <c r="Z814" i="1"/>
  <c r="Z1344" i="1"/>
  <c r="Z340" i="7" s="1"/>
  <c r="Z1179" i="1"/>
  <c r="AB88" i="1"/>
  <c r="AA1990" i="1"/>
  <c r="AA1988" i="1"/>
  <c r="AA1984" i="1"/>
  <c r="AA1989" i="1"/>
  <c r="AA1983" i="1"/>
  <c r="AA1122" i="1"/>
  <c r="AA1075" i="1"/>
  <c r="AA817" i="1"/>
  <c r="AA811" i="1"/>
  <c r="AA809" i="1"/>
  <c r="AA1013" i="1" s="1"/>
  <c r="AA807" i="1"/>
  <c r="AA805" i="1"/>
  <c r="AA770" i="1"/>
  <c r="AA721" i="1"/>
  <c r="AA184" i="7" s="1"/>
  <c r="AA719" i="1"/>
  <c r="AA182" i="7" s="1"/>
  <c r="AA717" i="1"/>
  <c r="AA180" i="7" s="1"/>
  <c r="AA715" i="1"/>
  <c r="AA178" i="7" s="1"/>
  <c r="AA609" i="1"/>
  <c r="AA559" i="1"/>
  <c r="AA551" i="1"/>
  <c r="AA1985" i="1"/>
  <c r="AA1123" i="1"/>
  <c r="AA812" i="1"/>
  <c r="AA808" i="1"/>
  <c r="AA806" i="1"/>
  <c r="AA108" i="1" s="1"/>
  <c r="AA7" i="7" s="1"/>
  <c r="AA804" i="1"/>
  <c r="AA720" i="1"/>
  <c r="AA183" i="7" s="1"/>
  <c r="AA718" i="1"/>
  <c r="AA181" i="7" s="1"/>
  <c r="AA716" i="1"/>
  <c r="AA179" i="7" s="1"/>
  <c r="AA598" i="1"/>
  <c r="AA586" i="1"/>
  <c r="Y2010" i="1"/>
  <c r="Y965" i="1"/>
  <c r="Y1002" i="1" s="1"/>
  <c r="Y1000" i="1"/>
  <c r="Y977" i="1"/>
  <c r="Y1005" i="1" s="1"/>
  <c r="Y1003" i="1"/>
  <c r="AA1862" i="1"/>
  <c r="Z1863" i="1"/>
  <c r="AA1864" i="1" s="1"/>
  <c r="Y1801" i="1"/>
  <c r="Y2024" i="1"/>
  <c r="Y2023" i="1"/>
  <c r="Y1946" i="1"/>
  <c r="Y1800" i="1"/>
  <c r="Y116" i="1"/>
  <c r="Y15" i="7" s="1"/>
  <c r="Y1945" i="1"/>
  <c r="Y942" i="1"/>
  <c r="Y970" i="1"/>
  <c r="X1490" i="1"/>
  <c r="X1469" i="1"/>
  <c r="AC91" i="1"/>
  <c r="AC92" i="1" s="1"/>
  <c r="AB92" i="1"/>
  <c r="AA164" i="1"/>
  <c r="AA63" i="7" s="1"/>
  <c r="Z163" i="1"/>
  <c r="Z62" i="7" s="1"/>
  <c r="Y75" i="1"/>
  <c r="V494" i="8"/>
  <c r="V493" i="8" s="1"/>
  <c r="Z272" i="1"/>
  <c r="Y273" i="1"/>
  <c r="Y611" i="1"/>
  <c r="Y464" i="1"/>
  <c r="Y601" i="1" s="1"/>
  <c r="Y600" i="1"/>
  <c r="Y1477" i="1" s="1"/>
  <c r="Y553" i="1"/>
  <c r="Y293" i="1"/>
  <c r="Y556" i="1" s="1"/>
  <c r="Y1473" i="1" s="1"/>
  <c r="Y568" i="1"/>
  <c r="Y576" i="1"/>
  <c r="Y564" i="1"/>
  <c r="Z1336" i="1"/>
  <c r="Z332" i="7" s="1"/>
  <c r="Z1171" i="1"/>
  <c r="Z1170" i="1"/>
  <c r="Z1333" i="1"/>
  <c r="Z329" i="7" s="1"/>
  <c r="Z1338" i="1"/>
  <c r="Z334" i="7" s="1"/>
  <c r="Z1174" i="1"/>
  <c r="Z1347" i="1"/>
  <c r="Z343" i="7" s="1"/>
  <c r="Z1183" i="1"/>
  <c r="Y1870" i="1"/>
  <c r="Y2021" i="1"/>
  <c r="Y933" i="1"/>
  <c r="Y999" i="1" s="1"/>
  <c r="Y997" i="1"/>
  <c r="Y918" i="1"/>
  <c r="Y870" i="1"/>
  <c r="Y905" i="1" s="1"/>
  <c r="Y959" i="1"/>
  <c r="Z167" i="1"/>
  <c r="Z66" i="7" s="1"/>
  <c r="Y162" i="1"/>
  <c r="Y61" i="7" s="1"/>
  <c r="AA152" i="1"/>
  <c r="AA51" i="7" s="1"/>
  <c r="AA31" i="1"/>
  <c r="Z32" i="1"/>
  <c r="X1029" i="1"/>
  <c r="X1462" i="1" s="1"/>
  <c r="W2018" i="1"/>
  <c r="W297" i="8"/>
  <c r="W296" i="8" s="1"/>
  <c r="W934" i="8" s="1"/>
  <c r="R277" i="8"/>
  <c r="V165" i="8"/>
  <c r="V164" i="8" s="1"/>
  <c r="O279" i="8"/>
  <c r="V149" i="8"/>
  <c r="V148" i="8" s="1"/>
  <c r="R141" i="8"/>
  <c r="R140" i="8" s="1"/>
  <c r="X116" i="1"/>
  <c r="X15" i="7" s="1"/>
  <c r="I481" i="1"/>
  <c r="K429" i="1"/>
  <c r="T997" i="1"/>
  <c r="T933" i="1"/>
  <c r="T999" i="1" s="1"/>
  <c r="S999" i="1"/>
  <c r="S998" i="1" s="1"/>
  <c r="S986" i="1" s="1"/>
  <c r="S1206" i="1" s="1"/>
  <c r="S197" i="7" s="1"/>
  <c r="X965" i="1"/>
  <c r="X1002" i="1" s="1"/>
  <c r="X1000" i="1"/>
  <c r="W1002" i="1"/>
  <c r="W1001" i="1" s="1"/>
  <c r="W990" i="1" s="1"/>
  <c r="W1210" i="1" s="1"/>
  <c r="W201" i="7" s="1"/>
  <c r="L380" i="1"/>
  <c r="L381" i="1" s="1"/>
  <c r="M370" i="1" s="1"/>
  <c r="X273" i="1"/>
  <c r="X1328" i="1" s="1"/>
  <c r="X324" i="7" s="1"/>
  <c r="X1102" i="1"/>
  <c r="Y1102" i="1" s="1"/>
  <c r="W1130" i="1"/>
  <c r="W1489" i="1" s="1"/>
  <c r="W1104" i="1"/>
  <c r="W1101" i="1" s="1"/>
  <c r="X257" i="1"/>
  <c r="S490" i="8"/>
  <c r="S489" i="8" s="1"/>
  <c r="R490" i="8"/>
  <c r="R489" i="8" s="1"/>
  <c r="S277" i="8"/>
  <c r="S276" i="8" s="1"/>
  <c r="O484" i="8"/>
  <c r="O483" i="8" s="1"/>
  <c r="W1495" i="1"/>
  <c r="V504" i="8"/>
  <c r="V503" i="8" s="1"/>
  <c r="X904" i="8"/>
  <c r="X162" i="1"/>
  <c r="X61" i="7" s="1"/>
  <c r="X98" i="1"/>
  <c r="X1103" i="1" s="1"/>
  <c r="W927" i="1"/>
  <c r="W904" i="1"/>
  <c r="X1051" i="1"/>
  <c r="X1322" i="1"/>
  <c r="X318" i="7" s="1"/>
  <c r="X147" i="1"/>
  <c r="X46" i="7" s="1"/>
  <c r="X726" i="1"/>
  <c r="Y35" i="8"/>
  <c r="Y36" i="8" s="1"/>
  <c r="X36" i="8"/>
  <c r="X657" i="1"/>
  <c r="X640" i="1"/>
  <c r="X655" i="1" s="1"/>
  <c r="X1218" i="1"/>
  <c r="X209" i="7" s="1"/>
  <c r="X2021" i="1"/>
  <c r="X1870" i="1"/>
  <c r="X918" i="1"/>
  <c r="X870" i="1"/>
  <c r="X906" i="1"/>
  <c r="V994" i="1"/>
  <c r="V225" i="1"/>
  <c r="V124" i="7" s="1"/>
  <c r="V206" i="1"/>
  <c r="V105" i="7" s="1"/>
  <c r="V1974" i="1"/>
  <c r="W691" i="8"/>
  <c r="W767" i="8"/>
  <c r="W836" i="8"/>
  <c r="W762" i="8"/>
  <c r="W939" i="8"/>
  <c r="W913" i="8"/>
  <c r="W763" i="8"/>
  <c r="X496" i="8"/>
  <c r="X495" i="8" s="1"/>
  <c r="X464" i="8"/>
  <c r="X463" i="8" s="1"/>
  <c r="X457" i="8"/>
  <c r="X456" i="8" s="1"/>
  <c r="X319" i="8"/>
  <c r="X318" i="8" s="1"/>
  <c r="X315" i="8"/>
  <c r="X314" i="8" s="1"/>
  <c r="X301" i="8"/>
  <c r="X293" i="8"/>
  <c r="X287" i="8"/>
  <c r="X286" i="8" s="1"/>
  <c r="X167" i="8"/>
  <c r="X166" i="8" s="1"/>
  <c r="X161" i="8"/>
  <c r="X160" i="8" s="1"/>
  <c r="X159" i="8"/>
  <c r="X158" i="8" s="1"/>
  <c r="X128" i="8"/>
  <c r="X116" i="8"/>
  <c r="X115" i="8" s="1"/>
  <c r="X113" i="8"/>
  <c r="X112" i="8" s="1"/>
  <c r="X110" i="8"/>
  <c r="X98" i="8"/>
  <c r="X97" i="8" s="1"/>
  <c r="X96" i="8"/>
  <c r="X95" i="8" s="1"/>
  <c r="X94" i="8"/>
  <c r="X93" i="8" s="1"/>
  <c r="X92" i="8"/>
  <c r="X91" i="8" s="1"/>
  <c r="X90" i="8"/>
  <c r="X82" i="8"/>
  <c r="X80" i="8"/>
  <c r="X79" i="8" s="1"/>
  <c r="X78" i="8"/>
  <c r="X76" i="8"/>
  <c r="X74" i="8"/>
  <c r="X72" i="8"/>
  <c r="Y33" i="8"/>
  <c r="X321" i="8"/>
  <c r="X313" i="8"/>
  <c r="X303" i="8"/>
  <c r="X295" i="8"/>
  <c r="X53" i="8"/>
  <c r="X52" i="8" s="1"/>
  <c r="X307" i="8"/>
  <c r="X306" i="8" s="1"/>
  <c r="X34" i="8"/>
  <c r="X317" i="8"/>
  <c r="X316" i="8" s="1"/>
  <c r="X299" i="8"/>
  <c r="X271" i="8"/>
  <c r="Y899" i="8"/>
  <c r="Y902" i="8" s="1"/>
  <c r="Y903" i="8" s="1"/>
  <c r="B905" i="8"/>
  <c r="W1218" i="1"/>
  <c r="W209" i="7" s="1"/>
  <c r="W1328" i="1"/>
  <c r="W324" i="7" s="1"/>
  <c r="U266" i="1"/>
  <c r="V268" i="1" s="1"/>
  <c r="V269" i="1" s="1"/>
  <c r="U1324" i="1"/>
  <c r="U320" i="7" s="1"/>
  <c r="U1056" i="1"/>
  <c r="U1487" i="1" s="1"/>
  <c r="X1800" i="1"/>
  <c r="X2023" i="1"/>
  <c r="X1946" i="1"/>
  <c r="X1050" i="1"/>
  <c r="X2024" i="1"/>
  <c r="X1801" i="1"/>
  <c r="X2010" i="1"/>
  <c r="W248" i="1"/>
  <c r="X251" i="1" s="1"/>
  <c r="X252" i="1" s="1"/>
  <c r="Y827" i="8"/>
  <c r="Y828" i="8" s="1"/>
  <c r="X828" i="8"/>
  <c r="Y829" i="8" s="1"/>
  <c r="W896" i="8"/>
  <c r="W268" i="8"/>
  <c r="W924" i="8"/>
  <c r="W670" i="8"/>
  <c r="W567" i="8"/>
  <c r="W125" i="8"/>
  <c r="W39" i="8"/>
  <c r="W746" i="8"/>
  <c r="W66" i="8"/>
  <c r="W822" i="8"/>
  <c r="W438" i="8"/>
  <c r="W2008" i="1"/>
  <c r="W1957" i="1"/>
  <c r="W1859" i="1"/>
  <c r="W1711" i="1"/>
  <c r="W596" i="7" s="1"/>
  <c r="W1319" i="1"/>
  <c r="W315" i="7" s="1"/>
  <c r="W1008" i="1"/>
  <c r="W866" i="1"/>
  <c r="W820" i="1"/>
  <c r="W768" i="1"/>
  <c r="W748" i="1"/>
  <c r="W724" i="1"/>
  <c r="W676" i="1"/>
  <c r="W138" i="7" s="1"/>
  <c r="W661" i="1"/>
  <c r="W280" i="1"/>
  <c r="W230" i="1"/>
  <c r="W1785" i="1"/>
  <c r="W1657" i="1"/>
  <c r="W541" i="7" s="1"/>
  <c r="W1554" i="1"/>
  <c r="W434" i="7" s="1"/>
  <c r="W1459" i="1"/>
  <c r="W1073" i="1"/>
  <c r="W1931" i="1"/>
  <c r="W1275" i="1"/>
  <c r="W269" i="7" s="1"/>
  <c r="W1197" i="1"/>
  <c r="W188" i="7" s="1"/>
  <c r="W1165" i="1"/>
  <c r="W1096" i="1"/>
  <c r="W921" i="1"/>
  <c r="W738" i="1"/>
  <c r="W695" i="1"/>
  <c r="W158" i="7" s="1"/>
  <c r="W669" i="1"/>
  <c r="W130" i="7" s="1"/>
  <c r="W621" i="1"/>
  <c r="W102" i="1"/>
  <c r="W1" i="7" s="1"/>
  <c r="X652" i="1"/>
  <c r="X124" i="1" s="1"/>
  <c r="X23" i="7" s="1"/>
  <c r="W945" i="1"/>
  <c r="W996" i="1" s="1"/>
  <c r="W985" i="1"/>
  <c r="X1177" i="1"/>
  <c r="X87" i="8" s="1"/>
  <c r="X86" i="8" s="1"/>
  <c r="X907" i="1"/>
  <c r="X908" i="1"/>
  <c r="X1488" i="1"/>
  <c r="V239" i="1"/>
  <c r="W242" i="1" s="1"/>
  <c r="W926" i="8"/>
  <c r="W835" i="8"/>
  <c r="W937" i="8"/>
  <c r="W940" i="8"/>
  <c r="W764" i="8"/>
  <c r="X75" i="1"/>
  <c r="V1945" i="1"/>
  <c r="V297" i="8"/>
  <c r="V2018" i="1"/>
  <c r="X650" i="1"/>
  <c r="X1335" i="1" s="1"/>
  <c r="X331" i="7" s="1"/>
  <c r="J355" i="1"/>
  <c r="J566" i="1" s="1"/>
  <c r="J1474" i="1" s="1"/>
  <c r="P1004" i="1"/>
  <c r="P989" i="1" s="1"/>
  <c r="P1042" i="1"/>
  <c r="P1041" i="1" s="1"/>
  <c r="P1484" i="1" s="1"/>
  <c r="P1325" i="1"/>
  <c r="P321" i="7" s="1"/>
  <c r="P1045" i="1"/>
  <c r="P1044" i="1" s="1"/>
  <c r="O989" i="1"/>
  <c r="K324" i="1"/>
  <c r="K323" i="1"/>
  <c r="Q977" i="1"/>
  <c r="Q1005" i="1" s="1"/>
  <c r="Q121" i="1" s="1"/>
  <c r="Q20" i="7" s="1"/>
  <c r="Q1003" i="1"/>
  <c r="T1324" i="1"/>
  <c r="T320" i="7" s="1"/>
  <c r="T1056" i="1"/>
  <c r="T1487" i="1" s="1"/>
  <c r="T916" i="1"/>
  <c r="R200" i="1"/>
  <c r="R99" i="7" s="1"/>
  <c r="R1667" i="1"/>
  <c r="S779" i="1"/>
  <c r="R784" i="1"/>
  <c r="S783" i="1" s="1"/>
  <c r="R136" i="8"/>
  <c r="L302" i="1"/>
  <c r="L303" i="1"/>
  <c r="Z613" i="1" l="1"/>
  <c r="Z612" i="1"/>
  <c r="X194" i="1"/>
  <c r="W93" i="7"/>
  <c r="W103" i="7"/>
  <c r="X204" i="1"/>
  <c r="U993" i="1"/>
  <c r="U1323" i="1" s="1"/>
  <c r="U859" i="1"/>
  <c r="U1043" i="1" s="1"/>
  <c r="U860" i="1"/>
  <c r="U1046" i="1" s="1"/>
  <c r="Y48" i="7"/>
  <c r="Z149" i="1"/>
  <c r="Y148" i="1"/>
  <c r="Y47" i="7" s="1"/>
  <c r="Y823" i="1"/>
  <c r="Y822" i="1"/>
  <c r="Y828" i="1"/>
  <c r="Y854" i="1"/>
  <c r="Y926" i="1" s="1"/>
  <c r="X855" i="1"/>
  <c r="X1021" i="1" s="1"/>
  <c r="X830" i="1"/>
  <c r="X829" i="1"/>
  <c r="X856" i="1" s="1"/>
  <c r="X836" i="1"/>
  <c r="X863" i="1" s="1"/>
  <c r="X1017" i="1" s="1"/>
  <c r="X1015" i="1" s="1"/>
  <c r="X1465" i="1" s="1"/>
  <c r="X449" i="8" s="1"/>
  <c r="X448" i="8" s="1"/>
  <c r="W122" i="7"/>
  <c r="X223" i="1"/>
  <c r="W835" i="1"/>
  <c r="X834" i="1" s="1"/>
  <c r="W1668" i="1"/>
  <c r="W552" i="7" s="1"/>
  <c r="Z825" i="1"/>
  <c r="AA824" i="1"/>
  <c r="H505" i="1"/>
  <c r="H506" i="1" s="1"/>
  <c r="Z581" i="1"/>
  <c r="W831" i="1"/>
  <c r="W857" i="1"/>
  <c r="V833" i="1"/>
  <c r="V832" i="1"/>
  <c r="V858" i="1"/>
  <c r="Y95" i="7"/>
  <c r="Z196" i="1"/>
  <c r="AA518" i="1"/>
  <c r="AA520" i="1"/>
  <c r="AA524" i="1"/>
  <c r="AA519" i="1"/>
  <c r="AA402" i="1"/>
  <c r="AA407" i="1"/>
  <c r="AA504" i="1"/>
  <c r="AA508" i="1"/>
  <c r="AA502" i="1"/>
  <c r="AA503" i="1"/>
  <c r="P991" i="1"/>
  <c r="J836" i="8"/>
  <c r="J762" i="8"/>
  <c r="J937" i="8"/>
  <c r="Z1050" i="1"/>
  <c r="Z1032" i="1"/>
  <c r="L796" i="1"/>
  <c r="K810" i="1"/>
  <c r="K1014" i="1" s="1"/>
  <c r="K801" i="1"/>
  <c r="L800" i="1" s="1"/>
  <c r="L801" i="1" s="1"/>
  <c r="M800" i="1" s="1"/>
  <c r="K1691" i="1"/>
  <c r="K815" i="1"/>
  <c r="J1675" i="1"/>
  <c r="J816" i="1"/>
  <c r="J1022" i="1" s="1"/>
  <c r="J1699" i="1"/>
  <c r="J1693" i="1" s="1"/>
  <c r="J577" i="7" s="1"/>
  <c r="J981" i="1"/>
  <c r="J1202" i="1" s="1"/>
  <c r="H1464" i="1"/>
  <c r="H447" i="8" s="1"/>
  <c r="H446" i="8" s="1"/>
  <c r="H1065" i="1"/>
  <c r="I1011" i="1"/>
  <c r="I1069" i="1"/>
  <c r="J575" i="7"/>
  <c r="J1700" i="1"/>
  <c r="R1676" i="1"/>
  <c r="R551" i="7"/>
  <c r="Q1679" i="1"/>
  <c r="Q563" i="7" s="1"/>
  <c r="Q560" i="7"/>
  <c r="H218" i="1"/>
  <c r="H117" i="7" s="1"/>
  <c r="T522" i="1"/>
  <c r="U513" i="1" s="1"/>
  <c r="U521" i="1" s="1"/>
  <c r="AA120" i="1"/>
  <c r="AA19" i="7" s="1"/>
  <c r="AA937" i="1"/>
  <c r="Z145" i="1"/>
  <c r="Z44" i="7" s="1"/>
  <c r="K991" i="1"/>
  <c r="K200" i="1"/>
  <c r="K99" i="7" s="1"/>
  <c r="K277" i="8"/>
  <c r="K276" i="8" s="1"/>
  <c r="N277" i="8"/>
  <c r="N276" i="8" s="1"/>
  <c r="L277" i="8"/>
  <c r="L276" i="8" s="1"/>
  <c r="M200" i="1"/>
  <c r="M99" i="7" s="1"/>
  <c r="P277" i="8"/>
  <c r="P276" i="8" s="1"/>
  <c r="J200" i="1"/>
  <c r="J99" i="7" s="1"/>
  <c r="J1669" i="1"/>
  <c r="J553" i="7" s="1"/>
  <c r="O277" i="8"/>
  <c r="O276" i="8" s="1"/>
  <c r="Q277" i="8"/>
  <c r="Q276" i="8" s="1"/>
  <c r="P200" i="1"/>
  <c r="P99" i="7" s="1"/>
  <c r="J991" i="1"/>
  <c r="O200" i="1"/>
  <c r="O99" i="7" s="1"/>
  <c r="M277" i="8"/>
  <c r="M276" i="8" s="1"/>
  <c r="N200" i="1"/>
  <c r="N99" i="7" s="1"/>
  <c r="L200" i="1"/>
  <c r="L99" i="7" s="1"/>
  <c r="L136" i="1"/>
  <c r="L35" i="7" s="1"/>
  <c r="L991" i="1"/>
  <c r="J277" i="8"/>
  <c r="J276" i="8" s="1"/>
  <c r="Q200" i="1"/>
  <c r="Q99" i="7" s="1"/>
  <c r="Z1488" i="1"/>
  <c r="Z116" i="1"/>
  <c r="Z15" i="7" s="1"/>
  <c r="Z1029" i="1"/>
  <c r="Z1462" i="1" s="1"/>
  <c r="O733" i="1"/>
  <c r="N730" i="1"/>
  <c r="L135" i="8"/>
  <c r="L134" i="8" s="1"/>
  <c r="M982" i="1"/>
  <c r="M1203" i="1" s="1"/>
  <c r="M194" i="7" s="1"/>
  <c r="M862" i="1"/>
  <c r="N851" i="1"/>
  <c r="O850" i="1" s="1"/>
  <c r="N1692" i="1"/>
  <c r="N576" i="7" s="1"/>
  <c r="N861" i="1"/>
  <c r="F62" i="8"/>
  <c r="F61" i="8" s="1"/>
  <c r="G214" i="1"/>
  <c r="G113" i="7" s="1"/>
  <c r="H216" i="1"/>
  <c r="H115" i="7" s="1"/>
  <c r="P1211" i="1"/>
  <c r="P202" i="7" s="1"/>
  <c r="AB714" i="1"/>
  <c r="AB177" i="7" s="1"/>
  <c r="AB838" i="1"/>
  <c r="AB787" i="1"/>
  <c r="Y2018" i="1"/>
  <c r="T137" i="8"/>
  <c r="T136" i="8" s="1"/>
  <c r="Z141" i="1"/>
  <c r="Z40" i="7" s="1"/>
  <c r="U960" i="1"/>
  <c r="U984" i="1"/>
  <c r="U1209" i="1" s="1"/>
  <c r="U200" i="7" s="1"/>
  <c r="W138" i="1"/>
  <c r="W37" i="7" s="1"/>
  <c r="V912" i="1"/>
  <c r="V943" i="1" s="1"/>
  <c r="V913" i="1"/>
  <c r="V914" i="1"/>
  <c r="V971" i="1" s="1"/>
  <c r="V911" i="1"/>
  <c r="U983" i="1"/>
  <c r="U1204" i="1" s="1"/>
  <c r="U195" i="7" s="1"/>
  <c r="U928" i="1"/>
  <c r="U910" i="1"/>
  <c r="T147" i="8"/>
  <c r="T146" i="8" s="1"/>
  <c r="X1748" i="1"/>
  <c r="X633" i="7" s="1"/>
  <c r="Y197" i="1"/>
  <c r="Y96" i="7" s="1"/>
  <c r="X202" i="1"/>
  <c r="X101" i="7" s="1"/>
  <c r="AA165" i="1"/>
  <c r="AA64" i="7" s="1"/>
  <c r="Z198" i="1"/>
  <c r="Z97" i="7" s="1"/>
  <c r="Z160" i="1"/>
  <c r="Z59" i="7" s="1"/>
  <c r="Z153" i="1"/>
  <c r="Z52" i="7" s="1"/>
  <c r="Y151" i="1"/>
  <c r="Y50" i="7" s="1"/>
  <c r="Y199" i="1"/>
  <c r="Y98" i="7" s="1"/>
  <c r="Y171" i="1"/>
  <c r="Y70" i="7" s="1"/>
  <c r="Y143" i="1"/>
  <c r="Y42" i="7" s="1"/>
  <c r="Z144" i="1"/>
  <c r="Z43" i="7" s="1"/>
  <c r="X115" i="1"/>
  <c r="X14" i="7" s="1"/>
  <c r="Y115" i="1"/>
  <c r="Y14" i="7" s="1"/>
  <c r="AA1321" i="1"/>
  <c r="AA317" i="7" s="1"/>
  <c r="AA107" i="1"/>
  <c r="AA6" i="7" s="1"/>
  <c r="AA1031" i="1"/>
  <c r="AA1034" i="1"/>
  <c r="V222" i="1"/>
  <c r="V121" i="7" s="1"/>
  <c r="V203" i="1"/>
  <c r="V102" i="7" s="1"/>
  <c r="S201" i="1"/>
  <c r="S100" i="7" s="1"/>
  <c r="U200" i="1"/>
  <c r="U99" i="7" s="1"/>
  <c r="T200" i="1"/>
  <c r="T99" i="7" s="1"/>
  <c r="Z576" i="1"/>
  <c r="AA1051" i="1"/>
  <c r="Z1102" i="1"/>
  <c r="Y1104" i="1"/>
  <c r="Y1103" i="1"/>
  <c r="Y1130" i="1"/>
  <c r="Y1489" i="1" s="1"/>
  <c r="AB31" i="1"/>
  <c r="AA32" i="1"/>
  <c r="AB152" i="1"/>
  <c r="AB51" i="7" s="1"/>
  <c r="Z2023" i="1"/>
  <c r="Z1946" i="1"/>
  <c r="Z1800" i="1"/>
  <c r="Y1328" i="1"/>
  <c r="Y324" i="7" s="1"/>
  <c r="Y1218" i="1"/>
  <c r="Y209" i="7" s="1"/>
  <c r="AA167" i="1"/>
  <c r="AA66" i="7" s="1"/>
  <c r="Z162" i="1"/>
  <c r="Z61" i="7" s="1"/>
  <c r="Y1004" i="1"/>
  <c r="Y989" i="1" s="1"/>
  <c r="Y1211" i="1" s="1"/>
  <c r="Y202" i="7" s="1"/>
  <c r="Y1001" i="1"/>
  <c r="Y990" i="1" s="1"/>
  <c r="Y1210" i="1" s="1"/>
  <c r="Y201" i="7" s="1"/>
  <c r="AA1336" i="1"/>
  <c r="AA332" i="7" s="1"/>
  <c r="AA1171" i="1"/>
  <c r="AA1170" i="1"/>
  <c r="AA1333" i="1"/>
  <c r="AA329" i="7" s="1"/>
  <c r="AA1338" i="1"/>
  <c r="AA334" i="7" s="1"/>
  <c r="AA1174" i="1"/>
  <c r="AA1347" i="1"/>
  <c r="AA343" i="7" s="1"/>
  <c r="AA1183" i="1"/>
  <c r="Z1177" i="1"/>
  <c r="Z2024" i="1"/>
  <c r="Z1801" i="1"/>
  <c r="Z965" i="1"/>
  <c r="Z1002" i="1" s="1"/>
  <c r="Z1000" i="1"/>
  <c r="Z942" i="1"/>
  <c r="Z918" i="1"/>
  <c r="Z870" i="1"/>
  <c r="Z905" i="1" s="1"/>
  <c r="Z611" i="1"/>
  <c r="Z464" i="1"/>
  <c r="Z601" i="1" s="1"/>
  <c r="Z600" i="1"/>
  <c r="Z1477" i="1" s="1"/>
  <c r="Z562" i="1"/>
  <c r="Z553" i="1"/>
  <c r="Z293" i="1"/>
  <c r="Z556" i="1" s="1"/>
  <c r="Z1473" i="1" s="1"/>
  <c r="Z561" i="1"/>
  <c r="Z645" i="1"/>
  <c r="Z652" i="1" s="1"/>
  <c r="Z124" i="1" s="1"/>
  <c r="Z23" i="7" s="1"/>
  <c r="Z642" i="1"/>
  <c r="Z656" i="1" s="1"/>
  <c r="Z643" i="1"/>
  <c r="Z644" i="1"/>
  <c r="Z658" i="1" s="1"/>
  <c r="Y657" i="1"/>
  <c r="Y640" i="1"/>
  <c r="Y655" i="1" s="1"/>
  <c r="AC1790" i="1"/>
  <c r="AC1791" i="1" s="1"/>
  <c r="AB1791" i="1"/>
  <c r="AC1792" i="1" s="1"/>
  <c r="Y260" i="1"/>
  <c r="Y261" i="1" s="1"/>
  <c r="W494" i="8"/>
  <c r="W493" i="8" s="1"/>
  <c r="Z1137" i="1"/>
  <c r="Z75" i="1"/>
  <c r="Z1134" i="1"/>
  <c r="Z1092" i="1"/>
  <c r="Y904" i="1"/>
  <c r="Y927" i="1"/>
  <c r="Y1325" i="1"/>
  <c r="Y321" i="7" s="1"/>
  <c r="Y998" i="1"/>
  <c r="Y986" i="1" s="1"/>
  <c r="Y1206" i="1" s="1"/>
  <c r="Y197" i="7" s="1"/>
  <c r="Y1045" i="1"/>
  <c r="Y1042" i="1"/>
  <c r="AA272" i="1"/>
  <c r="Z273" i="1"/>
  <c r="Y1931" i="1"/>
  <c r="Y1785" i="1"/>
  <c r="Y1657" i="1"/>
  <c r="Y541" i="7" s="1"/>
  <c r="Y1554" i="1"/>
  <c r="Y434" i="7" s="1"/>
  <c r="Y1459" i="1"/>
  <c r="Y1275" i="1"/>
  <c r="Y269" i="7" s="1"/>
  <c r="Y1197" i="1"/>
  <c r="Y188" i="7" s="1"/>
  <c r="Y1165" i="1"/>
  <c r="Y2008" i="1"/>
  <c r="Y1957" i="1"/>
  <c r="Y1859" i="1"/>
  <c r="Y1711" i="1"/>
  <c r="Y596" i="7" s="1"/>
  <c r="Y1319" i="1"/>
  <c r="Y315" i="7" s="1"/>
  <c r="Y1008" i="1"/>
  <c r="Y921" i="1"/>
  <c r="Y738" i="1"/>
  <c r="Y1096" i="1"/>
  <c r="Y820" i="1"/>
  <c r="Y724" i="1"/>
  <c r="Y695" i="1"/>
  <c r="Y158" i="7" s="1"/>
  <c r="Y676" i="1"/>
  <c r="Y138" i="7" s="1"/>
  <c r="Y669" i="1"/>
  <c r="Y130" i="7" s="1"/>
  <c r="Y621" i="1"/>
  <c r="Y102" i="1"/>
  <c r="Y1" i="7" s="1"/>
  <c r="Y1073" i="1"/>
  <c r="Y866" i="1"/>
  <c r="Y768" i="1"/>
  <c r="Y748" i="1"/>
  <c r="Y661" i="1"/>
  <c r="Y280" i="1"/>
  <c r="Y230" i="1"/>
  <c r="AB164" i="1"/>
  <c r="AB63" i="7" s="1"/>
  <c r="AA163" i="1"/>
  <c r="AA62" i="7" s="1"/>
  <c r="Y1469" i="1"/>
  <c r="Z1469" i="1" s="1"/>
  <c r="AA1469" i="1" s="1"/>
  <c r="AB1469" i="1" s="1"/>
  <c r="AC1469" i="1" s="1"/>
  <c r="Y1490" i="1"/>
  <c r="Z1490" i="1" s="1"/>
  <c r="AA1490" i="1" s="1"/>
  <c r="AB1490" i="1" s="1"/>
  <c r="AC1490" i="1" s="1"/>
  <c r="AB1862" i="1"/>
  <c r="AA1863" i="1"/>
  <c r="AB1864" i="1" s="1"/>
  <c r="AA1172" i="1"/>
  <c r="AA1337" i="1"/>
  <c r="AA333" i="7" s="1"/>
  <c r="AA1033" i="1"/>
  <c r="AA1030" i="1"/>
  <c r="AA1029" i="1" s="1"/>
  <c r="AA1462" i="1" s="1"/>
  <c r="AA880" i="1"/>
  <c r="AA879" i="1" s="1"/>
  <c r="AA906" i="1" s="1"/>
  <c r="AA898" i="1"/>
  <c r="AA897" i="1" s="1"/>
  <c r="AA908" i="1" s="1"/>
  <c r="AA889" i="1"/>
  <c r="AA888" i="1" s="1"/>
  <c r="AA907" i="1" s="1"/>
  <c r="AA871" i="1"/>
  <c r="AA973" i="1"/>
  <c r="AA962" i="1"/>
  <c r="AA951" i="1"/>
  <c r="AA947" i="1"/>
  <c r="AA950" i="1" s="1"/>
  <c r="AA930" i="1"/>
  <c r="AA925" i="1"/>
  <c r="AA1348" i="1"/>
  <c r="AA344" i="7" s="1"/>
  <c r="AA1190" i="1"/>
  <c r="AA1334" i="1"/>
  <c r="AA330" i="7" s="1"/>
  <c r="AA1169" i="1"/>
  <c r="AA618" i="1"/>
  <c r="AA1199" i="1"/>
  <c r="AA190" i="7" s="1"/>
  <c r="AA813" i="1"/>
  <c r="AA992" i="1"/>
  <c r="AA1322" i="1" s="1"/>
  <c r="AA318" i="7" s="1"/>
  <c r="AA814" i="1"/>
  <c r="AA1344" i="1"/>
  <c r="AA340" i="7" s="1"/>
  <c r="AA1179" i="1"/>
  <c r="AB1989" i="1"/>
  <c r="AB1985" i="1"/>
  <c r="AB1983" i="1"/>
  <c r="AC88" i="1"/>
  <c r="AB1990" i="1"/>
  <c r="AB1988" i="1"/>
  <c r="AB1984" i="1"/>
  <c r="AB1122" i="1"/>
  <c r="AB1075" i="1"/>
  <c r="AB817" i="1"/>
  <c r="AB811" i="1"/>
  <c r="AB809" i="1"/>
  <c r="AB1013" i="1" s="1"/>
  <c r="AB807" i="1"/>
  <c r="AB1123" i="1"/>
  <c r="AB812" i="1"/>
  <c r="AB808" i="1"/>
  <c r="AB937" i="1" s="1"/>
  <c r="AB805" i="1"/>
  <c r="AB770" i="1"/>
  <c r="AB721" i="1"/>
  <c r="AB184" i="7" s="1"/>
  <c r="AB719" i="1"/>
  <c r="AB182" i="7" s="1"/>
  <c r="AB717" i="1"/>
  <c r="AB180" i="7" s="1"/>
  <c r="AB715" i="1"/>
  <c r="AB178" i="7" s="1"/>
  <c r="AB609" i="1"/>
  <c r="AB559" i="1"/>
  <c r="AB551" i="1"/>
  <c r="AB806" i="1"/>
  <c r="AB804" i="1"/>
  <c r="AB720" i="1"/>
  <c r="AB183" i="7" s="1"/>
  <c r="AB718" i="1"/>
  <c r="AB181" i="7" s="1"/>
  <c r="AB716" i="1"/>
  <c r="AB179" i="7" s="1"/>
  <c r="AB598" i="1"/>
  <c r="AB586" i="1"/>
  <c r="Z2021" i="1"/>
  <c r="Z1870" i="1"/>
  <c r="Z2010" i="1"/>
  <c r="Z933" i="1"/>
  <c r="Z999" i="1" s="1"/>
  <c r="Z997" i="1"/>
  <c r="Z977" i="1"/>
  <c r="Z1005" i="1" s="1"/>
  <c r="Z1003" i="1"/>
  <c r="Z970" i="1"/>
  <c r="Z959" i="1"/>
  <c r="Z568" i="1"/>
  <c r="AA641" i="1"/>
  <c r="AA639" i="1"/>
  <c r="AA654" i="1" s="1"/>
  <c r="AA631" i="1"/>
  <c r="AA629" i="1"/>
  <c r="AA427" i="1"/>
  <c r="AA425" i="1"/>
  <c r="AA379" i="1"/>
  <c r="AA377" i="1"/>
  <c r="AA311" i="1"/>
  <c r="AA309" i="1"/>
  <c r="AA292" i="1"/>
  <c r="AA555" i="1" s="1"/>
  <c r="AA290" i="1"/>
  <c r="AB29" i="1"/>
  <c r="AA630" i="1"/>
  <c r="AA628" i="1"/>
  <c r="AA638" i="1" s="1"/>
  <c r="AA529" i="1"/>
  <c r="AA526" i="1"/>
  <c r="AA431" i="1"/>
  <c r="AA426" i="1"/>
  <c r="AA383" i="1"/>
  <c r="AA378" i="1"/>
  <c r="AA315" i="1"/>
  <c r="AA310" i="1"/>
  <c r="AA291" i="1"/>
  <c r="AA554" i="1" s="1"/>
  <c r="AA30" i="1"/>
  <c r="AA471" i="1"/>
  <c r="AA470" i="1"/>
  <c r="AA603" i="1" s="1"/>
  <c r="AA469" i="1"/>
  <c r="AA602" i="1" s="1"/>
  <c r="AA468" i="1"/>
  <c r="AA331" i="1"/>
  <c r="AA330" i="1"/>
  <c r="AA351" i="1"/>
  <c r="AA352" i="1"/>
  <c r="AA336" i="1"/>
  <c r="AA332" i="1"/>
  <c r="AA353" i="1"/>
  <c r="AA357" i="1"/>
  <c r="AA492" i="1"/>
  <c r="AA488" i="1"/>
  <c r="AA487" i="1"/>
  <c r="AA486" i="1"/>
  <c r="Z564" i="1"/>
  <c r="Z729" i="1"/>
  <c r="Y726" i="1"/>
  <c r="AA95" i="1"/>
  <c r="Z98" i="1"/>
  <c r="X443" i="8"/>
  <c r="X442" i="8" s="1"/>
  <c r="W912" i="8"/>
  <c r="X492" i="8"/>
  <c r="X491" i="8" s="1"/>
  <c r="U490" i="8"/>
  <c r="U489" i="8" s="1"/>
  <c r="X1945" i="1"/>
  <c r="X285" i="8"/>
  <c r="X284" i="8" s="1"/>
  <c r="W149" i="8"/>
  <c r="W148" i="8" s="1"/>
  <c r="P484" i="8"/>
  <c r="P483" i="8" s="1"/>
  <c r="X165" i="8"/>
  <c r="X164" i="8" s="1"/>
  <c r="X273" i="8"/>
  <c r="X272" i="8" s="1"/>
  <c r="S141" i="8"/>
  <c r="S140" i="8" s="1"/>
  <c r="I489" i="1"/>
  <c r="L419" i="1"/>
  <c r="L418" i="1"/>
  <c r="T998" i="1"/>
  <c r="T986" i="1" s="1"/>
  <c r="T1206" i="1" s="1"/>
  <c r="T197" i="7" s="1"/>
  <c r="U933" i="1"/>
  <c r="U997" i="1"/>
  <c r="X1001" i="1"/>
  <c r="X990" i="1" s="1"/>
  <c r="X1210" i="1" s="1"/>
  <c r="X201" i="7" s="1"/>
  <c r="M371" i="1"/>
  <c r="M380" i="1" s="1"/>
  <c r="M381" i="1" s="1"/>
  <c r="B906" i="8"/>
  <c r="X1130" i="1"/>
  <c r="X1489" i="1" s="1"/>
  <c r="X1104" i="1"/>
  <c r="X1101" i="1" s="1"/>
  <c r="V266" i="1"/>
  <c r="W268" i="1" s="1"/>
  <c r="W269" i="1" s="1"/>
  <c r="T490" i="8"/>
  <c r="T489" i="8" s="1"/>
  <c r="P279" i="8"/>
  <c r="P278" i="8" s="1"/>
  <c r="V296" i="8"/>
  <c r="W243" i="1"/>
  <c r="X970" i="1"/>
  <c r="W165" i="8"/>
  <c r="X298" i="8"/>
  <c r="X302" i="8"/>
  <c r="X320" i="8"/>
  <c r="X913" i="8" s="1"/>
  <c r="X73" i="8"/>
  <c r="X77" i="8"/>
  <c r="X81" i="8"/>
  <c r="X109" i="8"/>
  <c r="X127" i="8"/>
  <c r="X297" i="8"/>
  <c r="X296" i="8" s="1"/>
  <c r="X836" i="8"/>
  <c r="X762" i="8"/>
  <c r="X942" i="1"/>
  <c r="Y924" i="8"/>
  <c r="Y822" i="8"/>
  <c r="Y746" i="8"/>
  <c r="Y670" i="8"/>
  <c r="Y567" i="8"/>
  <c r="Y896" i="8"/>
  <c r="Y268" i="8"/>
  <c r="Y438" i="8"/>
  <c r="Y125" i="8"/>
  <c r="Y66" i="8"/>
  <c r="Y39" i="8"/>
  <c r="X2018" i="1"/>
  <c r="W994" i="1"/>
  <c r="W225" i="1"/>
  <c r="W124" i="7" s="1"/>
  <c r="W1974" i="1"/>
  <c r="W206" i="1"/>
  <c r="W105" i="7" s="1"/>
  <c r="T277" i="8"/>
  <c r="T276" i="8" s="1"/>
  <c r="J466" i="8"/>
  <c r="J465" i="8" s="1"/>
  <c r="X2008" i="1"/>
  <c r="X1957" i="1"/>
  <c r="X1859" i="1"/>
  <c r="X1711" i="1"/>
  <c r="X596" i="7" s="1"/>
  <c r="X1319" i="1"/>
  <c r="X315" i="7" s="1"/>
  <c r="X1008" i="1"/>
  <c r="X866" i="1"/>
  <c r="X820" i="1"/>
  <c r="X768" i="1"/>
  <c r="X748" i="1"/>
  <c r="X724" i="1"/>
  <c r="X676" i="1"/>
  <c r="X138" i="7" s="1"/>
  <c r="X661" i="1"/>
  <c r="X280" i="1"/>
  <c r="X230" i="1"/>
  <c r="X1931" i="1"/>
  <c r="X1275" i="1"/>
  <c r="X269" i="7" s="1"/>
  <c r="X1197" i="1"/>
  <c r="X188" i="7" s="1"/>
  <c r="X1165" i="1"/>
  <c r="X1096" i="1"/>
  <c r="X921" i="1"/>
  <c r="X738" i="1"/>
  <c r="X695" i="1"/>
  <c r="X158" i="7" s="1"/>
  <c r="X669" i="1"/>
  <c r="X130" i="7" s="1"/>
  <c r="X621" i="1"/>
  <c r="X1785" i="1"/>
  <c r="X1657" i="1"/>
  <c r="X541" i="7" s="1"/>
  <c r="X1554" i="1"/>
  <c r="X434" i="7" s="1"/>
  <c r="X1459" i="1"/>
  <c r="X1073" i="1"/>
  <c r="X102" i="1"/>
  <c r="X1" i="7" s="1"/>
  <c r="X959" i="1"/>
  <c r="X248" i="1"/>
  <c r="U277" i="8"/>
  <c r="U276" i="8" s="1"/>
  <c r="W285" i="8"/>
  <c r="X270" i="8"/>
  <c r="X294" i="8"/>
  <c r="X312" i="8"/>
  <c r="Y496" i="8"/>
  <c r="Y495" i="8" s="1"/>
  <c r="Y317" i="8"/>
  <c r="Y315" i="8"/>
  <c r="Y307" i="8"/>
  <c r="Y287" i="8"/>
  <c r="Y457" i="8"/>
  <c r="Y456" i="8" s="1"/>
  <c r="Y167" i="8"/>
  <c r="Y161" i="8"/>
  <c r="Y159" i="8"/>
  <c r="Y53" i="8"/>
  <c r="Y34" i="8"/>
  <c r="Y116" i="8"/>
  <c r="Y115" i="8" s="1"/>
  <c r="Y96" i="8"/>
  <c r="Y92" i="8"/>
  <c r="Y113" i="8"/>
  <c r="Y112" i="8" s="1"/>
  <c r="Y94" i="8"/>
  <c r="Y80" i="8"/>
  <c r="X71" i="8"/>
  <c r="X75" i="8"/>
  <c r="X89" i="8"/>
  <c r="X767" i="8"/>
  <c r="X691" i="8"/>
  <c r="X292" i="8"/>
  <c r="X300" i="8"/>
  <c r="X939" i="8"/>
  <c r="X763" i="8"/>
  <c r="V1324" i="1"/>
  <c r="V320" i="7" s="1"/>
  <c r="V1056" i="1"/>
  <c r="V1487" i="1" s="1"/>
  <c r="X905" i="1"/>
  <c r="X924" i="8"/>
  <c r="X822" i="8"/>
  <c r="X746" i="8"/>
  <c r="X670" i="8"/>
  <c r="X567" i="8"/>
  <c r="X438" i="8"/>
  <c r="X125" i="8"/>
  <c r="X66" i="8"/>
  <c r="X39" i="8"/>
  <c r="X896" i="8"/>
  <c r="X268" i="8"/>
  <c r="X985" i="1"/>
  <c r="X945" i="1"/>
  <c r="Y904" i="8"/>
  <c r="X1495" i="1"/>
  <c r="W504" i="8"/>
  <c r="W503" i="8" s="1"/>
  <c r="K333" i="1"/>
  <c r="O1211" i="1"/>
  <c r="O202" i="7" s="1"/>
  <c r="O278" i="8"/>
  <c r="Q1325" i="1"/>
  <c r="Q321" i="7" s="1"/>
  <c r="Q1042" i="1"/>
  <c r="Q1041" i="1" s="1"/>
  <c r="Q1484" i="1" s="1"/>
  <c r="Q1004" i="1"/>
  <c r="Q1045" i="1"/>
  <c r="Q1044" i="1" s="1"/>
  <c r="Q991" i="1"/>
  <c r="R977" i="1"/>
  <c r="R1005" i="1" s="1"/>
  <c r="R121" i="1" s="1"/>
  <c r="R20" i="7" s="1"/>
  <c r="R1003" i="1"/>
  <c r="K345" i="1"/>
  <c r="K344" i="1"/>
  <c r="R276" i="8"/>
  <c r="S1667" i="1"/>
  <c r="R201" i="1"/>
  <c r="R100" i="7" s="1"/>
  <c r="T779" i="1"/>
  <c r="U779" i="1" s="1"/>
  <c r="S784" i="1"/>
  <c r="T783" i="1" s="1"/>
  <c r="L312" i="1"/>
  <c r="AA612" i="1" l="1"/>
  <c r="X831" i="1"/>
  <c r="X857" i="1"/>
  <c r="Y204" i="1"/>
  <c r="X103" i="7"/>
  <c r="Z828" i="1"/>
  <c r="Z823" i="1"/>
  <c r="Z854" i="1"/>
  <c r="Z926" i="1" s="1"/>
  <c r="Z822" i="1"/>
  <c r="AA613" i="1"/>
  <c r="Z95" i="7"/>
  <c r="AA196" i="1"/>
  <c r="W858" i="1"/>
  <c r="W993" i="1" s="1"/>
  <c r="W1323" i="1" s="1"/>
  <c r="W833" i="1"/>
  <c r="W832" i="1"/>
  <c r="X1668" i="1"/>
  <c r="X552" i="7" s="1"/>
  <c r="X835" i="1"/>
  <c r="Y834" i="1" s="1"/>
  <c r="Y1668" i="1" s="1"/>
  <c r="Y552" i="7" s="1"/>
  <c r="Z48" i="7"/>
  <c r="AA149" i="1"/>
  <c r="Z148" i="1"/>
  <c r="Z47" i="7" s="1"/>
  <c r="Z650" i="1"/>
  <c r="Z1335" i="1" s="1"/>
  <c r="Z2018" i="1" s="1"/>
  <c r="Y835" i="1"/>
  <c r="Z834" i="1" s="1"/>
  <c r="Y223" i="1"/>
  <c r="X122" i="7"/>
  <c r="X832" i="1"/>
  <c r="AB518" i="1"/>
  <c r="AB520" i="1"/>
  <c r="AB519" i="1"/>
  <c r="AB524" i="1"/>
  <c r="AB402" i="1"/>
  <c r="AB407" i="1"/>
  <c r="AB502" i="1"/>
  <c r="AB504" i="1"/>
  <c r="AB503" i="1"/>
  <c r="AB508" i="1"/>
  <c r="V993" i="1"/>
  <c r="V1323" i="1" s="1"/>
  <c r="V860" i="1"/>
  <c r="V1046" i="1" s="1"/>
  <c r="V859" i="1"/>
  <c r="V1043" i="1" s="1"/>
  <c r="I497" i="1"/>
  <c r="H615" i="1"/>
  <c r="H1468" i="1" s="1"/>
  <c r="H455" i="8" s="1"/>
  <c r="H454" i="8" s="1"/>
  <c r="Y829" i="1"/>
  <c r="Y856" i="1" s="1"/>
  <c r="Y121" i="1" s="1"/>
  <c r="Y20" i="7" s="1"/>
  <c r="Y836" i="1"/>
  <c r="Y863" i="1" s="1"/>
  <c r="Y1017" i="1" s="1"/>
  <c r="Y1015" i="1" s="1"/>
  <c r="Y1465" i="1" s="1"/>
  <c r="Y830" i="1"/>
  <c r="Y855" i="1"/>
  <c r="Y1021" i="1" s="1"/>
  <c r="Y194" i="1"/>
  <c r="X93" i="7"/>
  <c r="U319" i="7"/>
  <c r="U275" i="8"/>
  <c r="U274" i="8" s="1"/>
  <c r="AB824" i="1"/>
  <c r="AA825" i="1"/>
  <c r="Z115" i="1"/>
  <c r="Z14" i="7" s="1"/>
  <c r="K816" i="1"/>
  <c r="K1022" i="1" s="1"/>
  <c r="K1019" i="1" s="1"/>
  <c r="K1464" i="1" s="1"/>
  <c r="K447" i="8" s="1"/>
  <c r="K446" i="8" s="1"/>
  <c r="J1019" i="1"/>
  <c r="J1069" i="1"/>
  <c r="K575" i="7"/>
  <c r="K1700" i="1"/>
  <c r="I1466" i="1"/>
  <c r="I451" i="8" s="1"/>
  <c r="I450" i="8" s="1"/>
  <c r="I1065" i="1"/>
  <c r="J559" i="7"/>
  <c r="J1665" i="1"/>
  <c r="J549" i="7" s="1"/>
  <c r="J1673" i="1"/>
  <c r="J557" i="7" s="1"/>
  <c r="J1674" i="1"/>
  <c r="J558" i="7" s="1"/>
  <c r="J1672" i="1"/>
  <c r="J556" i="7" s="1"/>
  <c r="L1691" i="1"/>
  <c r="L815" i="1"/>
  <c r="J1703" i="1"/>
  <c r="J587" i="7" s="1"/>
  <c r="J584" i="7"/>
  <c r="J193" i="7"/>
  <c r="J133" i="8"/>
  <c r="J132" i="8" s="1"/>
  <c r="M1691" i="1"/>
  <c r="M815" i="1"/>
  <c r="K1011" i="1"/>
  <c r="J583" i="7"/>
  <c r="J1689" i="1"/>
  <c r="J573" i="7" s="1"/>
  <c r="J1697" i="1"/>
  <c r="J581" i="7" s="1"/>
  <c r="J1698" i="1"/>
  <c r="J582" i="7" s="1"/>
  <c r="J1696" i="1"/>
  <c r="J580" i="7" s="1"/>
  <c r="K1675" i="1"/>
  <c r="K1699" i="1"/>
  <c r="K981" i="1"/>
  <c r="K1202" i="1" s="1"/>
  <c r="M796" i="1"/>
  <c r="L810" i="1"/>
  <c r="L1014" i="1" s="1"/>
  <c r="R1679" i="1"/>
  <c r="R563" i="7" s="1"/>
  <c r="R560" i="7"/>
  <c r="S1676" i="1"/>
  <c r="S551" i="7"/>
  <c r="Z1945" i="1"/>
  <c r="U522" i="1"/>
  <c r="V513" i="1" s="1"/>
  <c r="V521" i="1" s="1"/>
  <c r="AA145" i="1"/>
  <c r="AA44" i="7" s="1"/>
  <c r="K201" i="1"/>
  <c r="K100" i="7" s="1"/>
  <c r="P201" i="1"/>
  <c r="P100" i="7" s="1"/>
  <c r="M201" i="1"/>
  <c r="M100" i="7" s="1"/>
  <c r="Q201" i="1"/>
  <c r="Q100" i="7" s="1"/>
  <c r="L201" i="1"/>
  <c r="L100" i="7" s="1"/>
  <c r="N201" i="1"/>
  <c r="N100" i="7" s="1"/>
  <c r="O201" i="1"/>
  <c r="O100" i="7" s="1"/>
  <c r="J201" i="1"/>
  <c r="J100" i="7" s="1"/>
  <c r="P151" i="8"/>
  <c r="P150" i="8" s="1"/>
  <c r="AA1032" i="1"/>
  <c r="AA1050" i="1"/>
  <c r="O851" i="1"/>
  <c r="O1692" i="1"/>
  <c r="O576" i="7" s="1"/>
  <c r="O861" i="1"/>
  <c r="G215" i="1"/>
  <c r="G114" i="7" s="1"/>
  <c r="N982" i="1"/>
  <c r="N1203" i="1" s="1"/>
  <c r="N194" i="7" s="1"/>
  <c r="N862" i="1"/>
  <c r="M135" i="8"/>
  <c r="M134" i="8" s="1"/>
  <c r="H217" i="1"/>
  <c r="H116" i="7" s="1"/>
  <c r="P850" i="1"/>
  <c r="O730" i="1"/>
  <c r="P733" i="1"/>
  <c r="AC714" i="1"/>
  <c r="AC838" i="1"/>
  <c r="AE838" i="1" s="1"/>
  <c r="AC787" i="1"/>
  <c r="AE787" i="1" s="1"/>
  <c r="V910" i="1"/>
  <c r="V983" i="1"/>
  <c r="V1204" i="1" s="1"/>
  <c r="V195" i="7" s="1"/>
  <c r="V928" i="1"/>
  <c r="V960" i="1"/>
  <c r="V984" i="1"/>
  <c r="V1209" i="1" s="1"/>
  <c r="V200" i="7" s="1"/>
  <c r="U147" i="8"/>
  <c r="U146" i="8" s="1"/>
  <c r="U995" i="1"/>
  <c r="U136" i="1" s="1"/>
  <c r="U35" i="7" s="1"/>
  <c r="U916" i="1"/>
  <c r="U137" i="8"/>
  <c r="U136" i="8" s="1"/>
  <c r="X138" i="1"/>
  <c r="X37" i="7" s="1"/>
  <c r="W914" i="1"/>
  <c r="W971" i="1" s="1"/>
  <c r="W912" i="1"/>
  <c r="W943" i="1" s="1"/>
  <c r="W913" i="1"/>
  <c r="W911" i="1"/>
  <c r="AA141" i="1"/>
  <c r="AA40" i="7" s="1"/>
  <c r="Y1748" i="1"/>
  <c r="Y633" i="7" s="1"/>
  <c r="Z155" i="1"/>
  <c r="Z54" i="7" s="1"/>
  <c r="Y147" i="1"/>
  <c r="Y46" i="7" s="1"/>
  <c r="AA153" i="1"/>
  <c r="AA52" i="7" s="1"/>
  <c r="Z151" i="1"/>
  <c r="Z50" i="7" s="1"/>
  <c r="AA160" i="1"/>
  <c r="AA59" i="7" s="1"/>
  <c r="AA198" i="1"/>
  <c r="AA97" i="7" s="1"/>
  <c r="AB165" i="1"/>
  <c r="AB64" i="7" s="1"/>
  <c r="Z143" i="1"/>
  <c r="Z42" i="7" s="1"/>
  <c r="AA144" i="1"/>
  <c r="AA43" i="7" s="1"/>
  <c r="Z171" i="1"/>
  <c r="Z70" i="7" s="1"/>
  <c r="Z199" i="1"/>
  <c r="Z98" i="7" s="1"/>
  <c r="Z197" i="1"/>
  <c r="Z96" i="7" s="1"/>
  <c r="Y202" i="1"/>
  <c r="Y101" i="7" s="1"/>
  <c r="AB1031" i="1"/>
  <c r="AB1034" i="1"/>
  <c r="W203" i="1"/>
  <c r="W102" i="7" s="1"/>
  <c r="W222" i="1"/>
  <c r="W121" i="7" s="1"/>
  <c r="T201" i="1"/>
  <c r="T100" i="7" s="1"/>
  <c r="U201" i="1"/>
  <c r="U100" i="7" s="1"/>
  <c r="V200" i="1"/>
  <c r="V99" i="7" s="1"/>
  <c r="AB1321" i="1"/>
  <c r="AB317" i="7" s="1"/>
  <c r="AB107" i="1"/>
  <c r="AB6" i="7" s="1"/>
  <c r="Z1004" i="1"/>
  <c r="Z989" i="1" s="1"/>
  <c r="Z1211" i="1" s="1"/>
  <c r="Z202" i="7" s="1"/>
  <c r="Y1495" i="1"/>
  <c r="Y251" i="1"/>
  <c r="Y252" i="1" s="1"/>
  <c r="AB95" i="1"/>
  <c r="AA98" i="1"/>
  <c r="AA729" i="1"/>
  <c r="Z726" i="1"/>
  <c r="Z1668" i="1"/>
  <c r="Z552" i="7" s="1"/>
  <c r="AA611" i="1"/>
  <c r="AA464" i="1"/>
  <c r="AA600" i="1"/>
  <c r="AA1477" i="1" s="1"/>
  <c r="AA562" i="1"/>
  <c r="AC29" i="1"/>
  <c r="AB641" i="1"/>
  <c r="AB639" i="1"/>
  <c r="AB654" i="1" s="1"/>
  <c r="AB631" i="1"/>
  <c r="AB629" i="1"/>
  <c r="AB427" i="1"/>
  <c r="AB425" i="1"/>
  <c r="AB379" i="1"/>
  <c r="AB377" i="1"/>
  <c r="AB311" i="1"/>
  <c r="AB309" i="1"/>
  <c r="AB292" i="1"/>
  <c r="AB555" i="1" s="1"/>
  <c r="AB290" i="1"/>
  <c r="AB630" i="1"/>
  <c r="AB628" i="1"/>
  <c r="AB638" i="1" s="1"/>
  <c r="AB529" i="1"/>
  <c r="AB526" i="1"/>
  <c r="AB431" i="1"/>
  <c r="AB426" i="1"/>
  <c r="AB383" i="1"/>
  <c r="AB581" i="1" s="1"/>
  <c r="AB378" i="1"/>
  <c r="AB315" i="1"/>
  <c r="AB310" i="1"/>
  <c r="AB291" i="1"/>
  <c r="AB554" i="1" s="1"/>
  <c r="AB30" i="1"/>
  <c r="AB471" i="1"/>
  <c r="AB605" i="1" s="1"/>
  <c r="AB470" i="1"/>
  <c r="AB603" i="1" s="1"/>
  <c r="AB469" i="1"/>
  <c r="AB602" i="1" s="1"/>
  <c r="AB468" i="1"/>
  <c r="AB331" i="1"/>
  <c r="AB330" i="1"/>
  <c r="AB351" i="1"/>
  <c r="AB352" i="1"/>
  <c r="AB336" i="1"/>
  <c r="AB332" i="1"/>
  <c r="AB353" i="1"/>
  <c r="AB357" i="1"/>
  <c r="AB492" i="1"/>
  <c r="AB617" i="1" s="1"/>
  <c r="AB488" i="1"/>
  <c r="AB487" i="1"/>
  <c r="AB612" i="1" s="1"/>
  <c r="AB486" i="1"/>
  <c r="AA564" i="1"/>
  <c r="AB1172" i="1"/>
  <c r="AB1337" i="1"/>
  <c r="AB333" i="7" s="1"/>
  <c r="AB1033" i="1"/>
  <c r="AB1030" i="1"/>
  <c r="AB889" i="1"/>
  <c r="AB888" i="1" s="1"/>
  <c r="AB880" i="1"/>
  <c r="AB879" i="1" s="1"/>
  <c r="AB898" i="1"/>
  <c r="AB897" i="1" s="1"/>
  <c r="AB871" i="1"/>
  <c r="AB962" i="1"/>
  <c r="AB973" i="1"/>
  <c r="AB951" i="1"/>
  <c r="AB954" i="1" s="1"/>
  <c r="AB947" i="1"/>
  <c r="AB930" i="1"/>
  <c r="AB925" i="1"/>
  <c r="AB1170" i="1"/>
  <c r="AB1333" i="1"/>
  <c r="AB329" i="7" s="1"/>
  <c r="AB1338" i="1"/>
  <c r="AB334" i="7" s="1"/>
  <c r="AB1174" i="1"/>
  <c r="AB813" i="1"/>
  <c r="AB992" i="1"/>
  <c r="AB814" i="1"/>
  <c r="AB1344" i="1"/>
  <c r="AB340" i="7" s="1"/>
  <c r="AB1179" i="1"/>
  <c r="AC1990" i="1"/>
  <c r="AE1990" i="1" s="1"/>
  <c r="AC1988" i="1"/>
  <c r="AE1988" i="1" s="1"/>
  <c r="AC1984" i="1"/>
  <c r="AE1984" i="1" s="1"/>
  <c r="AC1989" i="1"/>
  <c r="AE1989" i="1" s="1"/>
  <c r="AC1985" i="1"/>
  <c r="AE1985" i="1" s="1"/>
  <c r="AC1983" i="1"/>
  <c r="AE1983" i="1" s="1"/>
  <c r="AC1122" i="1"/>
  <c r="AC1075" i="1"/>
  <c r="AC1123" i="1"/>
  <c r="AC812" i="1"/>
  <c r="AE812" i="1" s="1"/>
  <c r="AC808" i="1"/>
  <c r="AC806" i="1"/>
  <c r="AC108" i="1" s="1"/>
  <c r="AC7" i="7" s="1"/>
  <c r="AC804" i="1"/>
  <c r="AC720" i="1"/>
  <c r="AC183" i="7" s="1"/>
  <c r="AC718" i="1"/>
  <c r="AC181" i="7" s="1"/>
  <c r="AC716" i="1"/>
  <c r="AC179" i="7" s="1"/>
  <c r="AC598" i="1"/>
  <c r="AC586" i="1"/>
  <c r="AC817" i="1"/>
  <c r="AC811" i="1"/>
  <c r="AE811" i="1" s="1"/>
  <c r="AC809" i="1"/>
  <c r="AC1013" i="1" s="1"/>
  <c r="AC807" i="1"/>
  <c r="AC805" i="1"/>
  <c r="AC770" i="1"/>
  <c r="AE770" i="1" s="1"/>
  <c r="AC721" i="1"/>
  <c r="AC184" i="7" s="1"/>
  <c r="AC719" i="1"/>
  <c r="AC182" i="7" s="1"/>
  <c r="AC717" i="1"/>
  <c r="AC180" i="7" s="1"/>
  <c r="AC715" i="1"/>
  <c r="AC178" i="7" s="1"/>
  <c r="AC609" i="1"/>
  <c r="AE609" i="1" s="1"/>
  <c r="AC559" i="1"/>
  <c r="AE559" i="1" s="1"/>
  <c r="AC551" i="1"/>
  <c r="AE551" i="1" s="1"/>
  <c r="AA2021" i="1"/>
  <c r="AA1870" i="1"/>
  <c r="AA2024" i="1"/>
  <c r="AA1801" i="1"/>
  <c r="AA933" i="1"/>
  <c r="AA997" i="1"/>
  <c r="AA954" i="1"/>
  <c r="AA977" i="1"/>
  <c r="AA1005" i="1" s="1"/>
  <c r="AA1003" i="1"/>
  <c r="AA959" i="1"/>
  <c r="AA942" i="1"/>
  <c r="AC164" i="1"/>
  <c r="AC63" i="7" s="1"/>
  <c r="AB163" i="1"/>
  <c r="AB62" i="7" s="1"/>
  <c r="Z1328" i="1"/>
  <c r="Z324" i="7" s="1"/>
  <c r="Z1218" i="1"/>
  <c r="Z209" i="7" s="1"/>
  <c r="Y1974" i="1"/>
  <c r="Y994" i="1"/>
  <c r="Y206" i="1"/>
  <c r="Y105" i="7" s="1"/>
  <c r="Y225" i="1"/>
  <c r="Y124" i="7" s="1"/>
  <c r="Z2008" i="1"/>
  <c r="Z1957" i="1"/>
  <c r="Z1859" i="1"/>
  <c r="Z1711" i="1"/>
  <c r="Z596" i="7" s="1"/>
  <c r="Z1319" i="1"/>
  <c r="Z315" i="7" s="1"/>
  <c r="Z1008" i="1"/>
  <c r="Z921" i="1"/>
  <c r="Z738" i="1"/>
  <c r="Z695" i="1"/>
  <c r="Z158" i="7" s="1"/>
  <c r="Z676" i="1"/>
  <c r="Z138" i="7" s="1"/>
  <c r="Z669" i="1"/>
  <c r="Z130" i="7" s="1"/>
  <c r="Z621" i="1"/>
  <c r="Z102" i="1"/>
  <c r="Z1" i="7" s="1"/>
  <c r="Z1931" i="1"/>
  <c r="Z1785" i="1"/>
  <c r="Z1657" i="1"/>
  <c r="Z541" i="7" s="1"/>
  <c r="Z1554" i="1"/>
  <c r="Z434" i="7" s="1"/>
  <c r="Z1459" i="1"/>
  <c r="Z1275" i="1"/>
  <c r="Z269" i="7" s="1"/>
  <c r="Z1197" i="1"/>
  <c r="Z188" i="7" s="1"/>
  <c r="Z1165" i="1"/>
  <c r="Z1096" i="1"/>
  <c r="Z1073" i="1"/>
  <c r="Z866" i="1"/>
  <c r="Z820" i="1"/>
  <c r="Z768" i="1"/>
  <c r="Z748" i="1"/>
  <c r="Z724" i="1"/>
  <c r="Z661" i="1"/>
  <c r="Z280" i="1"/>
  <c r="Z230" i="1"/>
  <c r="AA1488" i="1"/>
  <c r="AA1102" i="1"/>
  <c r="Z1104" i="1"/>
  <c r="Z1103" i="1"/>
  <c r="Z1130" i="1"/>
  <c r="Z1489" i="1" s="1"/>
  <c r="Z835" i="1"/>
  <c r="X494" i="8"/>
  <c r="X493" i="8" s="1"/>
  <c r="AA617" i="1"/>
  <c r="AA605" i="1"/>
  <c r="AA568" i="1"/>
  <c r="AA581" i="1"/>
  <c r="AA576" i="1"/>
  <c r="AA553" i="1"/>
  <c r="AA293" i="1"/>
  <c r="AA556" i="1" s="1"/>
  <c r="AA1473" i="1" s="1"/>
  <c r="AA561" i="1"/>
  <c r="AA645" i="1"/>
  <c r="AA644" i="1"/>
  <c r="AA643" i="1"/>
  <c r="AA642" i="1"/>
  <c r="AA656" i="1" s="1"/>
  <c r="AA650" i="1"/>
  <c r="AA1335" i="1" s="1"/>
  <c r="AA331" i="7" s="1"/>
  <c r="Z998" i="1"/>
  <c r="Z986" i="1" s="1"/>
  <c r="Z1206" i="1" s="1"/>
  <c r="Z197" i="7" s="1"/>
  <c r="Z1325" i="1"/>
  <c r="Z321" i="7" s="1"/>
  <c r="AB1336" i="1"/>
  <c r="AB332" i="7" s="1"/>
  <c r="AB1171" i="1"/>
  <c r="AB108" i="1"/>
  <c r="AB7" i="7" s="1"/>
  <c r="AB1334" i="1"/>
  <c r="AB330" i="7" s="1"/>
  <c r="AB1169" i="1"/>
  <c r="AB618" i="1"/>
  <c r="AB1199" i="1"/>
  <c r="AB190" i="7" s="1"/>
  <c r="AB120" i="1"/>
  <c r="AB19" i="7" s="1"/>
  <c r="AB1348" i="1"/>
  <c r="AB344" i="7" s="1"/>
  <c r="AB1190" i="1"/>
  <c r="AB1347" i="1"/>
  <c r="AB343" i="7" s="1"/>
  <c r="AB1183" i="1"/>
  <c r="AA1177" i="1"/>
  <c r="AA2010" i="1"/>
  <c r="AA965" i="1"/>
  <c r="AA1002" i="1" s="1"/>
  <c r="AA1000" i="1"/>
  <c r="AA918" i="1"/>
  <c r="AA870" i="1"/>
  <c r="AA905" i="1" s="1"/>
  <c r="AA970" i="1"/>
  <c r="AC1862" i="1"/>
  <c r="AC1863" i="1" s="1"/>
  <c r="AB1863" i="1"/>
  <c r="AC1864" i="1" s="1"/>
  <c r="AB167" i="1"/>
  <c r="AB66" i="7" s="1"/>
  <c r="AA162" i="1"/>
  <c r="AA61" i="7" s="1"/>
  <c r="AB272" i="1"/>
  <c r="AA273" i="1"/>
  <c r="Y257" i="1"/>
  <c r="Z260" i="1" s="1"/>
  <c r="Z657" i="1"/>
  <c r="Z640" i="1"/>
  <c r="Z655" i="1" s="1"/>
  <c r="Z904" i="1"/>
  <c r="Z927" i="1"/>
  <c r="Z1001" i="1"/>
  <c r="Z990" i="1" s="1"/>
  <c r="Z1210" i="1" s="1"/>
  <c r="Z201" i="7" s="1"/>
  <c r="AA1800" i="1"/>
  <c r="AA2023" i="1"/>
  <c r="AA1946" i="1"/>
  <c r="AA116" i="1"/>
  <c r="AA15" i="7" s="1"/>
  <c r="AC152" i="1"/>
  <c r="AC51" i="7" s="1"/>
  <c r="AA1137" i="1"/>
  <c r="AA1134" i="1"/>
  <c r="AA1092" i="1"/>
  <c r="AA75" i="1"/>
  <c r="AC31" i="1"/>
  <c r="AB32" i="1"/>
  <c r="Y1101" i="1"/>
  <c r="V490" i="8"/>
  <c r="V489" i="8" s="1"/>
  <c r="Q279" i="8"/>
  <c r="T141" i="8"/>
  <c r="T140" i="8" s="1"/>
  <c r="Q484" i="8"/>
  <c r="Q483" i="8" s="1"/>
  <c r="O151" i="8"/>
  <c r="I490" i="1"/>
  <c r="L428" i="1"/>
  <c r="U999" i="1"/>
  <c r="U998" i="1" s="1"/>
  <c r="V997" i="1"/>
  <c r="V933" i="1"/>
  <c r="V999" i="1" s="1"/>
  <c r="V779" i="1"/>
  <c r="X149" i="8"/>
  <c r="V277" i="8"/>
  <c r="V276" i="8" s="1"/>
  <c r="Y95" i="8"/>
  <c r="AA95" i="8" s="1"/>
  <c r="AA96" i="8"/>
  <c r="Y52" i="8"/>
  <c r="AA52" i="8" s="1"/>
  <c r="AA53" i="8"/>
  <c r="Y160" i="8"/>
  <c r="AA160" i="8" s="1"/>
  <c r="AA161" i="8"/>
  <c r="Y286" i="8"/>
  <c r="AA287" i="8"/>
  <c r="Y314" i="8"/>
  <c r="W284" i="8"/>
  <c r="W1324" i="1"/>
  <c r="W320" i="7" s="1"/>
  <c r="W1056" i="1"/>
  <c r="W1487" i="1" s="1"/>
  <c r="V934" i="8"/>
  <c r="V912" i="8"/>
  <c r="X504" i="8"/>
  <c r="X503" i="8" s="1"/>
  <c r="X996" i="1"/>
  <c r="X927" i="1"/>
  <c r="X904" i="1"/>
  <c r="X911" i="1"/>
  <c r="X934" i="8"/>
  <c r="X912" i="8"/>
  <c r="Y79" i="8"/>
  <c r="Y93" i="8"/>
  <c r="Y691" i="8"/>
  <c r="AA691" i="8" s="1"/>
  <c r="Y767" i="8"/>
  <c r="AA767" i="8" s="1"/>
  <c r="Y91" i="8"/>
  <c r="AA91" i="8" s="1"/>
  <c r="AA92" i="8"/>
  <c r="Y158" i="8"/>
  <c r="AA158" i="8" s="1"/>
  <c r="AA159" i="8"/>
  <c r="Y166" i="8"/>
  <c r="AA166" i="8" s="1"/>
  <c r="AA167" i="8"/>
  <c r="Y306" i="8"/>
  <c r="AA306" i="8" s="1"/>
  <c r="AA307" i="8"/>
  <c r="Y316" i="8"/>
  <c r="AA316" i="8" s="1"/>
  <c r="AA317" i="8"/>
  <c r="X937" i="8"/>
  <c r="X835" i="8"/>
  <c r="X926" i="8"/>
  <c r="X940" i="8"/>
  <c r="X764" i="8"/>
  <c r="W164" i="8"/>
  <c r="W239" i="1"/>
  <c r="X242" i="1" s="1"/>
  <c r="X243" i="1" s="1"/>
  <c r="W266" i="1"/>
  <c r="X268" i="1" s="1"/>
  <c r="X269" i="1" s="1"/>
  <c r="K565" i="1"/>
  <c r="K354" i="1"/>
  <c r="S977" i="1"/>
  <c r="S1005" i="1" s="1"/>
  <c r="S121" i="1" s="1"/>
  <c r="S20" i="7" s="1"/>
  <c r="S1003" i="1"/>
  <c r="Q989" i="1"/>
  <c r="R1004" i="1"/>
  <c r="R989" i="1" s="1"/>
  <c r="R1042" i="1"/>
  <c r="R1041" i="1" s="1"/>
  <c r="R1484" i="1" s="1"/>
  <c r="R1325" i="1"/>
  <c r="R321" i="7" s="1"/>
  <c r="R1045" i="1"/>
  <c r="R1044" i="1" s="1"/>
  <c r="R991" i="1"/>
  <c r="K334" i="1"/>
  <c r="T784" i="1"/>
  <c r="U783" i="1" s="1"/>
  <c r="U784" i="1" s="1"/>
  <c r="V783" i="1" s="1"/>
  <c r="T1667" i="1"/>
  <c r="L313" i="1"/>
  <c r="N370" i="1"/>
  <c r="N371" i="1"/>
  <c r="Z1042" i="1" l="1"/>
  <c r="Z1045" i="1"/>
  <c r="Z331" i="7"/>
  <c r="AB613" i="1"/>
  <c r="W319" i="7"/>
  <c r="W275" i="8"/>
  <c r="W274" i="8" s="1"/>
  <c r="Y831" i="1"/>
  <c r="Y857" i="1"/>
  <c r="Y833" i="1"/>
  <c r="V319" i="7"/>
  <c r="V275" i="8"/>
  <c r="V274" i="8" s="1"/>
  <c r="AA48" i="7"/>
  <c r="AB149" i="1"/>
  <c r="AA148" i="1"/>
  <c r="AA47" i="7" s="1"/>
  <c r="X858" i="1"/>
  <c r="X833" i="1"/>
  <c r="Y122" i="7"/>
  <c r="Z223" i="1"/>
  <c r="AA95" i="7"/>
  <c r="AB196" i="1"/>
  <c r="W859" i="1"/>
  <c r="W1043" i="1" s="1"/>
  <c r="Z855" i="1"/>
  <c r="Z1021" i="1" s="1"/>
  <c r="Z836" i="1"/>
  <c r="Z863" i="1" s="1"/>
  <c r="Z1017" i="1" s="1"/>
  <c r="Z1015" i="1" s="1"/>
  <c r="Z1465" i="1" s="1"/>
  <c r="Z830" i="1"/>
  <c r="W860" i="1"/>
  <c r="W1046" i="1" s="1"/>
  <c r="AC519" i="1"/>
  <c r="AC518" i="1"/>
  <c r="AC524" i="1"/>
  <c r="AE524" i="1" s="1"/>
  <c r="AC520" i="1"/>
  <c r="AC402" i="1"/>
  <c r="AC407" i="1"/>
  <c r="AC502" i="1"/>
  <c r="AC508" i="1"/>
  <c r="AE508" i="1" s="1"/>
  <c r="AC503" i="1"/>
  <c r="AC504" i="1"/>
  <c r="AA854" i="1"/>
  <c r="AA926" i="1" s="1"/>
  <c r="AA828" i="1"/>
  <c r="AA822" i="1"/>
  <c r="AA823" i="1"/>
  <c r="Z194" i="1"/>
  <c r="Y93" i="7"/>
  <c r="I505" i="1"/>
  <c r="I506" i="1" s="1"/>
  <c r="J497" i="1" s="1"/>
  <c r="J505" i="1" s="1"/>
  <c r="J506" i="1" s="1"/>
  <c r="K497" i="1" s="1"/>
  <c r="K505" i="1" s="1"/>
  <c r="K506" i="1" s="1"/>
  <c r="L497" i="1" s="1"/>
  <c r="L505" i="1" s="1"/>
  <c r="L506" i="1" s="1"/>
  <c r="M497" i="1" s="1"/>
  <c r="M505" i="1" s="1"/>
  <c r="M506" i="1" s="1"/>
  <c r="N497" i="1" s="1"/>
  <c r="N505" i="1" s="1"/>
  <c r="N506" i="1" s="1"/>
  <c r="O497" i="1" s="1"/>
  <c r="O505" i="1" s="1"/>
  <c r="O506" i="1" s="1"/>
  <c r="P497" i="1" s="1"/>
  <c r="P505" i="1" s="1"/>
  <c r="P506" i="1" s="1"/>
  <c r="Q497" i="1" s="1"/>
  <c r="Q505" i="1" s="1"/>
  <c r="Q506" i="1" s="1"/>
  <c r="R497" i="1" s="1"/>
  <c r="R505" i="1" s="1"/>
  <c r="R506" i="1" s="1"/>
  <c r="S497" i="1" s="1"/>
  <c r="S505" i="1" s="1"/>
  <c r="S506" i="1" s="1"/>
  <c r="T497" i="1" s="1"/>
  <c r="T505" i="1" s="1"/>
  <c r="T506" i="1" s="1"/>
  <c r="U497" i="1" s="1"/>
  <c r="U505" i="1" s="1"/>
  <c r="U506" i="1" s="1"/>
  <c r="V497" i="1" s="1"/>
  <c r="V505" i="1" s="1"/>
  <c r="V506" i="1" s="1"/>
  <c r="W497" i="1" s="1"/>
  <c r="W505" i="1" s="1"/>
  <c r="I614" i="1"/>
  <c r="AC824" i="1"/>
  <c r="AC825" i="1" s="1"/>
  <c r="AB825" i="1"/>
  <c r="AE825" i="1" s="1"/>
  <c r="Z829" i="1"/>
  <c r="Y103" i="7"/>
  <c r="Z204" i="1"/>
  <c r="K1069" i="1"/>
  <c r="L1011" i="1"/>
  <c r="K559" i="7"/>
  <c r="K1672" i="1"/>
  <c r="K556" i="7" s="1"/>
  <c r="K1673" i="1"/>
  <c r="K557" i="7" s="1"/>
  <c r="K1665" i="1"/>
  <c r="K549" i="7" s="1"/>
  <c r="K1674" i="1"/>
  <c r="K558" i="7" s="1"/>
  <c r="K1669" i="1"/>
  <c r="K553" i="7" s="1"/>
  <c r="M981" i="1"/>
  <c r="M1202" i="1" s="1"/>
  <c r="M1675" i="1"/>
  <c r="M1699" i="1"/>
  <c r="L575" i="7"/>
  <c r="L1700" i="1"/>
  <c r="K584" i="7"/>
  <c r="K1703" i="1"/>
  <c r="K587" i="7" s="1"/>
  <c r="N796" i="1"/>
  <c r="M810" i="1"/>
  <c r="M1014" i="1" s="1"/>
  <c r="M1011" i="1" s="1"/>
  <c r="M1466" i="1" s="1"/>
  <c r="M451" i="8" s="1"/>
  <c r="M450" i="8" s="1"/>
  <c r="M575" i="7"/>
  <c r="M1700" i="1"/>
  <c r="K193" i="7"/>
  <c r="K133" i="8"/>
  <c r="K132" i="8" s="1"/>
  <c r="M801" i="1"/>
  <c r="N800" i="1" s="1"/>
  <c r="K583" i="7"/>
  <c r="K1689" i="1"/>
  <c r="K573" i="7" s="1"/>
  <c r="K1697" i="1"/>
  <c r="K581" i="7" s="1"/>
  <c r="K1698" i="1"/>
  <c r="K582" i="7" s="1"/>
  <c r="K1696" i="1"/>
  <c r="K580" i="7" s="1"/>
  <c r="K1693" i="1"/>
  <c r="K577" i="7" s="1"/>
  <c r="K1466" i="1"/>
  <c r="K451" i="8" s="1"/>
  <c r="K450" i="8" s="1"/>
  <c r="K1065" i="1"/>
  <c r="L816" i="1"/>
  <c r="L1022" i="1" s="1"/>
  <c r="L1019" i="1" s="1"/>
  <c r="L1464" i="1" s="1"/>
  <c r="L447" i="8" s="1"/>
  <c r="L446" i="8" s="1"/>
  <c r="L1699" i="1"/>
  <c r="L981" i="1"/>
  <c r="L1202" i="1" s="1"/>
  <c r="L1675" i="1"/>
  <c r="J1464" i="1"/>
  <c r="J447" i="8" s="1"/>
  <c r="J446" i="8" s="1"/>
  <c r="J1065" i="1"/>
  <c r="S1679" i="1"/>
  <c r="S563" i="7" s="1"/>
  <c r="S560" i="7"/>
  <c r="T1676" i="1"/>
  <c r="T551" i="7"/>
  <c r="AE714" i="1"/>
  <c r="AE177" i="7" s="1"/>
  <c r="AC177" i="7"/>
  <c r="AE805" i="1"/>
  <c r="V522" i="1"/>
  <c r="W513" i="1" s="1"/>
  <c r="W521" i="1" s="1"/>
  <c r="AB145" i="1"/>
  <c r="AB44" i="7" s="1"/>
  <c r="AC120" i="1"/>
  <c r="AC19" i="7" s="1"/>
  <c r="AB1488" i="1"/>
  <c r="AB1032" i="1"/>
  <c r="H220" i="1"/>
  <c r="H119" i="7" s="1"/>
  <c r="G62" i="8"/>
  <c r="G61" i="8" s="1"/>
  <c r="Q733" i="1"/>
  <c r="P730" i="1"/>
  <c r="P851" i="1"/>
  <c r="Q850" i="1" s="1"/>
  <c r="P861" i="1"/>
  <c r="P1692" i="1"/>
  <c r="P576" i="7" s="1"/>
  <c r="H219" i="1"/>
  <c r="H118" i="7" s="1"/>
  <c r="N135" i="8"/>
  <c r="N134" i="8" s="1"/>
  <c r="O982" i="1"/>
  <c r="O1203" i="1" s="1"/>
  <c r="O194" i="7" s="1"/>
  <c r="O862" i="1"/>
  <c r="R1211" i="1"/>
  <c r="R202" i="7" s="1"/>
  <c r="AB1050" i="1"/>
  <c r="AB1029" i="1"/>
  <c r="AB1462" i="1" s="1"/>
  <c r="AB141" i="1"/>
  <c r="AB40" i="7" s="1"/>
  <c r="W960" i="1"/>
  <c r="W984" i="1"/>
  <c r="W1209" i="1" s="1"/>
  <c r="W200" i="7" s="1"/>
  <c r="Y138" i="1"/>
  <c r="Y37" i="7" s="1"/>
  <c r="X912" i="1"/>
  <c r="X943" i="1" s="1"/>
  <c r="X913" i="1"/>
  <c r="X914" i="1"/>
  <c r="X971" i="1" s="1"/>
  <c r="V137" i="8"/>
  <c r="V136" i="8" s="1"/>
  <c r="W983" i="1"/>
  <c r="W1204" i="1" s="1"/>
  <c r="W195" i="7" s="1"/>
  <c r="W928" i="1"/>
  <c r="W910" i="1"/>
  <c r="V147" i="8"/>
  <c r="V146" i="8" s="1"/>
  <c r="V995" i="1"/>
  <c r="V136" i="1" s="1"/>
  <c r="V35" i="7" s="1"/>
  <c r="V916" i="1"/>
  <c r="Z1748" i="1"/>
  <c r="Z633" i="7" s="1"/>
  <c r="AB576" i="1"/>
  <c r="AA197" i="1"/>
  <c r="AA96" i="7" s="1"/>
  <c r="Z202" i="1"/>
  <c r="Z101" i="7" s="1"/>
  <c r="AA199" i="1"/>
  <c r="AA98" i="7" s="1"/>
  <c r="AA171" i="1"/>
  <c r="AA70" i="7" s="1"/>
  <c r="Z147" i="1"/>
  <c r="Z46" i="7" s="1"/>
  <c r="AA155" i="1"/>
  <c r="AA54" i="7" s="1"/>
  <c r="AB153" i="1"/>
  <c r="AB52" i="7" s="1"/>
  <c r="AA151" i="1"/>
  <c r="AA50" i="7" s="1"/>
  <c r="Y985" i="1"/>
  <c r="AA143" i="1"/>
  <c r="AA42" i="7" s="1"/>
  <c r="AB144" i="1"/>
  <c r="AB43" i="7" s="1"/>
  <c r="AC165" i="1"/>
  <c r="AC64" i="7" s="1"/>
  <c r="AB198" i="1"/>
  <c r="AB97" i="7" s="1"/>
  <c r="AB160" i="1"/>
  <c r="AB59" i="7" s="1"/>
  <c r="Y945" i="1"/>
  <c r="Y996" i="1" s="1"/>
  <c r="AE717" i="1"/>
  <c r="AE180" i="7" s="1"/>
  <c r="AE718" i="1"/>
  <c r="AE181" i="7" s="1"/>
  <c r="AA115" i="1"/>
  <c r="AA14" i="7" s="1"/>
  <c r="AE715" i="1"/>
  <c r="AE178" i="7" s="1"/>
  <c r="AE716" i="1"/>
  <c r="AE179" i="7" s="1"/>
  <c r="Y203" i="1"/>
  <c r="Y102" i="7" s="1"/>
  <c r="Y222" i="1"/>
  <c r="Y121" i="7" s="1"/>
  <c r="V201" i="1"/>
  <c r="V100" i="7" s="1"/>
  <c r="W200" i="1"/>
  <c r="W99" i="7" s="1"/>
  <c r="AA1945" i="1"/>
  <c r="AC1051" i="1"/>
  <c r="AE808" i="1"/>
  <c r="AE806" i="1"/>
  <c r="AA1001" i="1"/>
  <c r="AA990" i="1" s="1"/>
  <c r="AA1210" i="1" s="1"/>
  <c r="AA201" i="7" s="1"/>
  <c r="AB906" i="1"/>
  <c r="AB942" i="1" s="1"/>
  <c r="AE719" i="1"/>
  <c r="AE182" i="7" s="1"/>
  <c r="AB908" i="1"/>
  <c r="AB970" i="1" s="1"/>
  <c r="AB907" i="1"/>
  <c r="AC813" i="1"/>
  <c r="AB116" i="1"/>
  <c r="AB15" i="7" s="1"/>
  <c r="AC32" i="1"/>
  <c r="AC272" i="1"/>
  <c r="AC273" i="1" s="1"/>
  <c r="AB273" i="1"/>
  <c r="AA904" i="1"/>
  <c r="AA927" i="1"/>
  <c r="AB2023" i="1"/>
  <c r="AB1946" i="1"/>
  <c r="AB1800" i="1"/>
  <c r="AB2010" i="1"/>
  <c r="AB1051" i="1"/>
  <c r="AE108" i="1"/>
  <c r="AE7" i="7" s="1"/>
  <c r="AA658" i="1"/>
  <c r="AB1102" i="1"/>
  <c r="AA1104" i="1"/>
  <c r="AA1103" i="1"/>
  <c r="AA1130" i="1"/>
  <c r="AA1489" i="1" s="1"/>
  <c r="AA2018" i="1"/>
  <c r="Y1324" i="1"/>
  <c r="Y320" i="7" s="1"/>
  <c r="Y1056" i="1"/>
  <c r="Y1487" i="1" s="1"/>
  <c r="AA999" i="1"/>
  <c r="AC1334" i="1"/>
  <c r="AC330" i="7" s="1"/>
  <c r="AC1169" i="1"/>
  <c r="AE1169" i="1" s="1"/>
  <c r="AC618" i="1"/>
  <c r="AC1199" i="1"/>
  <c r="AC190" i="7" s="1"/>
  <c r="AC992" i="1"/>
  <c r="AC1322" i="1" s="1"/>
  <c r="AC318" i="7" s="1"/>
  <c r="AC814" i="1"/>
  <c r="AC1172" i="1"/>
  <c r="AC1337" i="1"/>
  <c r="AC333" i="7" s="1"/>
  <c r="AC1033" i="1"/>
  <c r="AC116" i="1" s="1"/>
  <c r="AC15" i="7" s="1"/>
  <c r="AC1030" i="1"/>
  <c r="AC880" i="1"/>
  <c r="AC879" i="1" s="1"/>
  <c r="AC906" i="1" s="1"/>
  <c r="AC871" i="1"/>
  <c r="AC898" i="1"/>
  <c r="AC897" i="1" s="1"/>
  <c r="AC908" i="1" s="1"/>
  <c r="AC889" i="1"/>
  <c r="AC888" i="1" s="1"/>
  <c r="AC907" i="1" s="1"/>
  <c r="AC1321" i="1"/>
  <c r="AC317" i="7" s="1"/>
  <c r="AC973" i="1"/>
  <c r="AC962" i="1"/>
  <c r="AE962" i="1" s="1"/>
  <c r="AC951" i="1"/>
  <c r="AC947" i="1"/>
  <c r="AC950" i="1" s="1"/>
  <c r="AC930" i="1"/>
  <c r="AC925" i="1"/>
  <c r="AE925" i="1" s="1"/>
  <c r="AC1344" i="1"/>
  <c r="AC340" i="7" s="1"/>
  <c r="AC1179" i="1"/>
  <c r="AE1075" i="1"/>
  <c r="AB1870" i="1"/>
  <c r="AB2021" i="1"/>
  <c r="AE807" i="1"/>
  <c r="AB950" i="1"/>
  <c r="AB977" i="1"/>
  <c r="AB1005" i="1" s="1"/>
  <c r="AB1003" i="1"/>
  <c r="AB918" i="1"/>
  <c r="AB870" i="1"/>
  <c r="AE598" i="1"/>
  <c r="AB568" i="1"/>
  <c r="AB553" i="1"/>
  <c r="AB293" i="1"/>
  <c r="AB556" i="1" s="1"/>
  <c r="AB1473" i="1" s="1"/>
  <c r="AB561" i="1"/>
  <c r="AB645" i="1"/>
  <c r="AB652" i="1" s="1"/>
  <c r="AB124" i="1" s="1"/>
  <c r="AB23" i="7" s="1"/>
  <c r="AB642" i="1"/>
  <c r="AB656" i="1" s="1"/>
  <c r="AB643" i="1"/>
  <c r="AB644" i="1"/>
  <c r="AB658" i="1" s="1"/>
  <c r="AB650" i="1"/>
  <c r="AC630" i="1"/>
  <c r="AE630" i="1" s="1"/>
  <c r="B636" i="1" s="1"/>
  <c r="AC628" i="1"/>
  <c r="AC638" i="1" s="1"/>
  <c r="AC529" i="1"/>
  <c r="AC526" i="1"/>
  <c r="AE526" i="1" s="1"/>
  <c r="AC431" i="1"/>
  <c r="AE431" i="1" s="1"/>
  <c r="AC426" i="1"/>
  <c r="AC383" i="1"/>
  <c r="AC378" i="1"/>
  <c r="AC641" i="1"/>
  <c r="AC639" i="1"/>
  <c r="AC654" i="1" s="1"/>
  <c r="AC631" i="1"/>
  <c r="AC629" i="1"/>
  <c r="AC427" i="1"/>
  <c r="AC425" i="1"/>
  <c r="AC379" i="1"/>
  <c r="AC377" i="1"/>
  <c r="AC315" i="1"/>
  <c r="AC311" i="1"/>
  <c r="AC309" i="1"/>
  <c r="AC292" i="1"/>
  <c r="AC555" i="1" s="1"/>
  <c r="AC290" i="1"/>
  <c r="AC310" i="1"/>
  <c r="AC291" i="1"/>
  <c r="AC554" i="1" s="1"/>
  <c r="AC30" i="1"/>
  <c r="AC470" i="1"/>
  <c r="AC603" i="1" s="1"/>
  <c r="AC471" i="1"/>
  <c r="AC468" i="1"/>
  <c r="AC469" i="1"/>
  <c r="AC602" i="1" s="1"/>
  <c r="AC331" i="1"/>
  <c r="AC330" i="1"/>
  <c r="AC352" i="1"/>
  <c r="AC351" i="1"/>
  <c r="AC336" i="1"/>
  <c r="AE336" i="1" s="1"/>
  <c r="AC332" i="1"/>
  <c r="AC357" i="1"/>
  <c r="AE357" i="1" s="1"/>
  <c r="AC353" i="1"/>
  <c r="AC488" i="1"/>
  <c r="AC613" i="1" s="1"/>
  <c r="AC492" i="1"/>
  <c r="AC486" i="1"/>
  <c r="AC487" i="1"/>
  <c r="AB729" i="1"/>
  <c r="AA726" i="1"/>
  <c r="AC95" i="1"/>
  <c r="AC98" i="1" s="1"/>
  <c r="AB98" i="1"/>
  <c r="Z1495" i="1"/>
  <c r="AB1137" i="1"/>
  <c r="AB1092" i="1"/>
  <c r="AB1134" i="1"/>
  <c r="AB75" i="1"/>
  <c r="AA2008" i="1"/>
  <c r="AA1957" i="1"/>
  <c r="AA1859" i="1"/>
  <c r="AA1711" i="1"/>
  <c r="AA596" i="7" s="1"/>
  <c r="AA1785" i="1"/>
  <c r="AA1657" i="1"/>
  <c r="AA541" i="7" s="1"/>
  <c r="AA1554" i="1"/>
  <c r="AA434" i="7" s="1"/>
  <c r="AA1319" i="1"/>
  <c r="AA315" i="7" s="1"/>
  <c r="AA1008" i="1"/>
  <c r="AA921" i="1"/>
  <c r="AA738" i="1"/>
  <c r="AA695" i="1"/>
  <c r="AA158" i="7" s="1"/>
  <c r="AA676" i="1"/>
  <c r="AA138" i="7" s="1"/>
  <c r="AA669" i="1"/>
  <c r="AA130" i="7" s="1"/>
  <c r="AA621" i="1"/>
  <c r="AA1931" i="1"/>
  <c r="AA1459" i="1"/>
  <c r="AA1275" i="1"/>
  <c r="AA269" i="7" s="1"/>
  <c r="AA1197" i="1"/>
  <c r="AA188" i="7" s="1"/>
  <c r="AA1165" i="1"/>
  <c r="AA1096" i="1"/>
  <c r="AA1073" i="1"/>
  <c r="AA866" i="1"/>
  <c r="AA820" i="1"/>
  <c r="AA768" i="1"/>
  <c r="AA748" i="1"/>
  <c r="AA724" i="1"/>
  <c r="AA661" i="1"/>
  <c r="AA280" i="1"/>
  <c r="AA230" i="1"/>
  <c r="AA102" i="1"/>
  <c r="AA1" i="7" s="1"/>
  <c r="Z1974" i="1"/>
  <c r="Z994" i="1"/>
  <c r="Z206" i="1"/>
  <c r="Z105" i="7" s="1"/>
  <c r="Z225" i="1"/>
  <c r="Z124" i="7" s="1"/>
  <c r="Z261" i="1"/>
  <c r="AE273" i="1"/>
  <c r="AB1801" i="1"/>
  <c r="AB2024" i="1"/>
  <c r="AA657" i="1"/>
  <c r="AA640" i="1"/>
  <c r="AA655" i="1" s="1"/>
  <c r="AA652" i="1"/>
  <c r="AA124" i="1" s="1"/>
  <c r="AA23" i="7" s="1"/>
  <c r="Z1101" i="1"/>
  <c r="AC167" i="1"/>
  <c r="AC66" i="7" s="1"/>
  <c r="AB162" i="1"/>
  <c r="AB61" i="7" s="1"/>
  <c r="AA1004" i="1"/>
  <c r="AA989" i="1" s="1"/>
  <c r="AA1211" i="1" s="1"/>
  <c r="AA202" i="7" s="1"/>
  <c r="AA1325" i="1"/>
  <c r="AA321" i="7" s="1"/>
  <c r="AA1042" i="1"/>
  <c r="AA1045" i="1"/>
  <c r="AC1170" i="1"/>
  <c r="AC1333" i="1"/>
  <c r="AC329" i="7" s="1"/>
  <c r="AC1338" i="1"/>
  <c r="AC334" i="7" s="1"/>
  <c r="AC1174" i="1"/>
  <c r="AC1034" i="1"/>
  <c r="AC1336" i="1"/>
  <c r="AC332" i="7" s="1"/>
  <c r="AC1171" i="1"/>
  <c r="Y76" i="8" s="1"/>
  <c r="AC107" i="1"/>
  <c r="AC6" i="7" s="1"/>
  <c r="AC1031" i="1"/>
  <c r="AC1348" i="1"/>
  <c r="AC344" i="7" s="1"/>
  <c r="AC1190" i="1"/>
  <c r="Y110" i="8" s="1"/>
  <c r="AC1347" i="1"/>
  <c r="AC343" i="7" s="1"/>
  <c r="AC1183" i="1"/>
  <c r="Y98" i="8" s="1"/>
  <c r="Y97" i="8" s="1"/>
  <c r="AB1177" i="1"/>
  <c r="AB1322" i="1"/>
  <c r="AB318" i="7" s="1"/>
  <c r="AE804" i="1"/>
  <c r="AB933" i="1"/>
  <c r="AB997" i="1"/>
  <c r="AB965" i="1"/>
  <c r="AB1000" i="1"/>
  <c r="AB611" i="1"/>
  <c r="AB464" i="1"/>
  <c r="AB601" i="1" s="1"/>
  <c r="AB600" i="1"/>
  <c r="AB1477" i="1" s="1"/>
  <c r="AB562" i="1"/>
  <c r="AB564" i="1"/>
  <c r="AE629" i="1"/>
  <c r="AA601" i="1"/>
  <c r="AA1328" i="1" s="1"/>
  <c r="AA324" i="7" s="1"/>
  <c r="Y248" i="1"/>
  <c r="Z251" i="1" s="1"/>
  <c r="Z252" i="1" s="1"/>
  <c r="AE1123" i="1"/>
  <c r="W490" i="8"/>
  <c r="W489" i="8" s="1"/>
  <c r="R484" i="8"/>
  <c r="R483" i="8" s="1"/>
  <c r="J481" i="1"/>
  <c r="L429" i="1"/>
  <c r="V998" i="1"/>
  <c r="V986" i="1" s="1"/>
  <c r="V1206" i="1" s="1"/>
  <c r="V197" i="7" s="1"/>
  <c r="W997" i="1"/>
  <c r="W933" i="1"/>
  <c r="W999" i="1" s="1"/>
  <c r="U986" i="1"/>
  <c r="V1667" i="1"/>
  <c r="U977" i="1"/>
  <c r="U1005" i="1" s="1"/>
  <c r="U121" i="1" s="1"/>
  <c r="U20" i="7" s="1"/>
  <c r="U1003" i="1"/>
  <c r="X239" i="1"/>
  <c r="Y242" i="1" s="1"/>
  <c r="Y243" i="1" s="1"/>
  <c r="X928" i="1"/>
  <c r="X983" i="1"/>
  <c r="X148" i="8"/>
  <c r="U1667" i="1"/>
  <c r="R279" i="8"/>
  <c r="R278" i="8" s="1"/>
  <c r="X266" i="1"/>
  <c r="X994" i="1"/>
  <c r="X225" i="1"/>
  <c r="X124" i="7" s="1"/>
  <c r="X1974" i="1"/>
  <c r="X206" i="1"/>
  <c r="X105" i="7" s="1"/>
  <c r="W277" i="8"/>
  <c r="W276" i="8" s="1"/>
  <c r="Y836" i="8"/>
  <c r="Y762" i="8"/>
  <c r="AA286" i="8"/>
  <c r="V784" i="1"/>
  <c r="W783" i="1" s="1"/>
  <c r="W779" i="1"/>
  <c r="L323" i="1"/>
  <c r="L324" i="1"/>
  <c r="O150" i="8"/>
  <c r="Q278" i="8"/>
  <c r="Q1211" i="1"/>
  <c r="Q202" i="7" s="1"/>
  <c r="T977" i="1"/>
  <c r="T1005" i="1" s="1"/>
  <c r="T121" i="1" s="1"/>
  <c r="T20" i="7" s="1"/>
  <c r="T1003" i="1"/>
  <c r="K355" i="1"/>
  <c r="K566" i="1" s="1"/>
  <c r="K1474" i="1" s="1"/>
  <c r="N380" i="1"/>
  <c r="N381" i="1" s="1"/>
  <c r="S1325" i="1"/>
  <c r="S321" i="7" s="1"/>
  <c r="S1045" i="1"/>
  <c r="S1044" i="1" s="1"/>
  <c r="S1004" i="1"/>
  <c r="S1042" i="1"/>
  <c r="S1041" i="1" s="1"/>
  <c r="S1484" i="1" s="1"/>
  <c r="S991" i="1"/>
  <c r="M302" i="1"/>
  <c r="M303" i="1"/>
  <c r="I615" i="1" l="1"/>
  <c r="I1468" i="1" s="1"/>
  <c r="AC612" i="1"/>
  <c r="AA829" i="1"/>
  <c r="AA855" i="1"/>
  <c r="AA1021" i="1" s="1"/>
  <c r="AA830" i="1"/>
  <c r="AA836" i="1"/>
  <c r="AA863" i="1" s="1"/>
  <c r="AA1017" i="1" s="1"/>
  <c r="AA1015" i="1" s="1"/>
  <c r="AA1465" i="1" s="1"/>
  <c r="AA834" i="1"/>
  <c r="X860" i="1"/>
  <c r="X1046" i="1" s="1"/>
  <c r="X993" i="1"/>
  <c r="X1323" i="1" s="1"/>
  <c r="X859" i="1"/>
  <c r="X1043" i="1" s="1"/>
  <c r="Z103" i="7"/>
  <c r="AA204" i="1"/>
  <c r="AB95" i="7"/>
  <c r="AC196" i="1"/>
  <c r="AC95" i="7" s="1"/>
  <c r="AB48" i="7"/>
  <c r="AC149" i="1"/>
  <c r="AB148" i="1"/>
  <c r="AB47" i="7" s="1"/>
  <c r="Y858" i="1"/>
  <c r="Y993" i="1" s="1"/>
  <c r="Y1323" i="1" s="1"/>
  <c r="Y319" i="7" s="1"/>
  <c r="Y832" i="1"/>
  <c r="Z856" i="1"/>
  <c r="AA194" i="1"/>
  <c r="Z93" i="7"/>
  <c r="Z831" i="1"/>
  <c r="Z857" i="1"/>
  <c r="Z122" i="7"/>
  <c r="AA223" i="1"/>
  <c r="AB829" i="1"/>
  <c r="AB856" i="1" s="1"/>
  <c r="AB823" i="1"/>
  <c r="AE823" i="1" s="1"/>
  <c r="AB822" i="1"/>
  <c r="AB854" i="1"/>
  <c r="AB1045" i="1" s="1"/>
  <c r="AB828" i="1"/>
  <c r="AE828" i="1" s="1"/>
  <c r="AC823" i="1"/>
  <c r="AC828" i="1"/>
  <c r="AC829" i="1"/>
  <c r="AC822" i="1"/>
  <c r="AE822" i="1" s="1"/>
  <c r="AC854" i="1"/>
  <c r="AC926" i="1" s="1"/>
  <c r="M816" i="1"/>
  <c r="M1022" i="1" s="1"/>
  <c r="M1019" i="1" s="1"/>
  <c r="M1464" i="1" s="1"/>
  <c r="M447" i="8" s="1"/>
  <c r="M446" i="8" s="1"/>
  <c r="M1703" i="1"/>
  <c r="M587" i="7" s="1"/>
  <c r="M584" i="7"/>
  <c r="M583" i="7"/>
  <c r="M1689" i="1"/>
  <c r="M573" i="7" s="1"/>
  <c r="M1693" i="1"/>
  <c r="M577" i="7" s="1"/>
  <c r="M1696" i="1"/>
  <c r="M580" i="7" s="1"/>
  <c r="M1698" i="1"/>
  <c r="M582" i="7" s="1"/>
  <c r="M1697" i="1"/>
  <c r="M581" i="7" s="1"/>
  <c r="L559" i="7"/>
  <c r="L1674" i="1"/>
  <c r="L558" i="7" s="1"/>
  <c r="L1673" i="1"/>
  <c r="L557" i="7" s="1"/>
  <c r="L1669" i="1"/>
  <c r="L553" i="7" s="1"/>
  <c r="L1672" i="1"/>
  <c r="L556" i="7" s="1"/>
  <c r="L1665" i="1"/>
  <c r="L549" i="7" s="1"/>
  <c r="N801" i="1"/>
  <c r="O800" i="1" s="1"/>
  <c r="N815" i="1"/>
  <c r="N1691" i="1"/>
  <c r="M559" i="7"/>
  <c r="M1672" i="1"/>
  <c r="M556" i="7" s="1"/>
  <c r="M1673" i="1"/>
  <c r="M557" i="7" s="1"/>
  <c r="M1674" i="1"/>
  <c r="M558" i="7" s="1"/>
  <c r="M1665" i="1"/>
  <c r="M549" i="7" s="1"/>
  <c r="M1669" i="1"/>
  <c r="M553" i="7" s="1"/>
  <c r="L1069" i="1"/>
  <c r="L193" i="7"/>
  <c r="L133" i="8"/>
  <c r="L132" i="8" s="1"/>
  <c r="L1703" i="1"/>
  <c r="L587" i="7" s="1"/>
  <c r="L584" i="7"/>
  <c r="M193" i="7"/>
  <c r="M133" i="8"/>
  <c r="M132" i="8" s="1"/>
  <c r="L1466" i="1"/>
  <c r="L451" i="8" s="1"/>
  <c r="L450" i="8" s="1"/>
  <c r="L1065" i="1"/>
  <c r="L583" i="7"/>
  <c r="L1696" i="1"/>
  <c r="L580" i="7" s="1"/>
  <c r="L1698" i="1"/>
  <c r="L582" i="7" s="1"/>
  <c r="L1697" i="1"/>
  <c r="L581" i="7" s="1"/>
  <c r="L1693" i="1"/>
  <c r="L577" i="7" s="1"/>
  <c r="L1689" i="1"/>
  <c r="L573" i="7" s="1"/>
  <c r="O796" i="1"/>
  <c r="N810" i="1"/>
  <c r="N1014" i="1" s="1"/>
  <c r="U1676" i="1"/>
  <c r="U551" i="7"/>
  <c r="V1676" i="1"/>
  <c r="V551" i="7"/>
  <c r="T1679" i="1"/>
  <c r="T563" i="7" s="1"/>
  <c r="T560" i="7"/>
  <c r="AE950" i="1"/>
  <c r="AE120" i="1"/>
  <c r="AE19" i="7" s="1"/>
  <c r="W522" i="1"/>
  <c r="X513" i="1" s="1"/>
  <c r="X521" i="1" s="1"/>
  <c r="W506" i="1"/>
  <c r="X497" i="1" s="1"/>
  <c r="X505" i="1" s="1"/>
  <c r="AC937" i="1"/>
  <c r="AE937" i="1" s="1"/>
  <c r="AE934" i="1"/>
  <c r="AC145" i="1"/>
  <c r="AC44" i="7" s="1"/>
  <c r="R151" i="8"/>
  <c r="R150" i="8" s="1"/>
  <c r="X910" i="1"/>
  <c r="X916" i="1" s="1"/>
  <c r="AC1488" i="1"/>
  <c r="Y492" i="8" s="1"/>
  <c r="Y491" i="8" s="1"/>
  <c r="O135" i="8"/>
  <c r="O134" i="8" s="1"/>
  <c r="I218" i="1"/>
  <c r="I117" i="7" s="1"/>
  <c r="P982" i="1"/>
  <c r="P1203" i="1" s="1"/>
  <c r="P194" i="7" s="1"/>
  <c r="P862" i="1"/>
  <c r="Q851" i="1"/>
  <c r="Q1692" i="1"/>
  <c r="Q576" i="7" s="1"/>
  <c r="Q861" i="1"/>
  <c r="R850" i="1"/>
  <c r="Q730" i="1"/>
  <c r="R733" i="1"/>
  <c r="H214" i="1"/>
  <c r="H113" i="7" s="1"/>
  <c r="I216" i="1"/>
  <c r="I115" i="7" s="1"/>
  <c r="W995" i="1"/>
  <c r="W136" i="1" s="1"/>
  <c r="W35" i="7" s="1"/>
  <c r="W916" i="1"/>
  <c r="W137" i="8"/>
  <c r="W136" i="8" s="1"/>
  <c r="X984" i="1"/>
  <c r="X1209" i="1" s="1"/>
  <c r="X200" i="7" s="1"/>
  <c r="X960" i="1"/>
  <c r="W147" i="8"/>
  <c r="W146" i="8" s="1"/>
  <c r="Z138" i="1"/>
  <c r="Z37" i="7" s="1"/>
  <c r="Y912" i="1"/>
  <c r="Y943" i="1" s="1"/>
  <c r="Y914" i="1"/>
  <c r="Y971" i="1" s="1"/>
  <c r="Y913" i="1"/>
  <c r="Y911" i="1"/>
  <c r="AC141" i="1"/>
  <c r="AC40" i="7" s="1"/>
  <c r="AB959" i="1"/>
  <c r="AA1748" i="1"/>
  <c r="AA633" i="7" s="1"/>
  <c r="AE992" i="1"/>
  <c r="AB143" i="1"/>
  <c r="AB42" i="7" s="1"/>
  <c r="AC144" i="1"/>
  <c r="AC43" i="7" s="1"/>
  <c r="AB171" i="1"/>
  <c r="AB70" i="7" s="1"/>
  <c r="AB199" i="1"/>
  <c r="AB98" i="7" s="1"/>
  <c r="AC160" i="1"/>
  <c r="AC59" i="7" s="1"/>
  <c r="AC198" i="1"/>
  <c r="AC97" i="7" s="1"/>
  <c r="AB155" i="1"/>
  <c r="AB54" i="7" s="1"/>
  <c r="AA147" i="1"/>
  <c r="AA46" i="7" s="1"/>
  <c r="AC153" i="1"/>
  <c r="AC52" i="7" s="1"/>
  <c r="AB151" i="1"/>
  <c r="AB50" i="7" s="1"/>
  <c r="Z945" i="1"/>
  <c r="Z996" i="1" s="1"/>
  <c r="Z985" i="1"/>
  <c r="AB197" i="1"/>
  <c r="AB96" i="7" s="1"/>
  <c r="AA202" i="1"/>
  <c r="AA101" i="7" s="1"/>
  <c r="AC163" i="1"/>
  <c r="AC62" i="7" s="1"/>
  <c r="AE107" i="1"/>
  <c r="AE6" i="7" s="1"/>
  <c r="AE1199" i="1"/>
  <c r="AE190" i="7" s="1"/>
  <c r="AC115" i="1"/>
  <c r="AC14" i="7" s="1"/>
  <c r="AE1321" i="1"/>
  <c r="AE317" i="7" s="1"/>
  <c r="AE1333" i="1"/>
  <c r="AE329" i="7" s="1"/>
  <c r="Z222" i="1"/>
  <c r="Z121" i="7" s="1"/>
  <c r="Z203" i="1"/>
  <c r="Z102" i="7" s="1"/>
  <c r="W201" i="1"/>
  <c r="W100" i="7" s="1"/>
  <c r="Y200" i="1"/>
  <c r="Y99" i="7" s="1"/>
  <c r="AB999" i="1"/>
  <c r="AB998" i="1" s="1"/>
  <c r="AB986" i="1" s="1"/>
  <c r="AB1206" i="1" s="1"/>
  <c r="AB197" i="7" s="1"/>
  <c r="AA998" i="1"/>
  <c r="AA986" i="1" s="1"/>
  <c r="AA1206" i="1" s="1"/>
  <c r="AA197" i="7" s="1"/>
  <c r="AB905" i="1"/>
  <c r="AB904" i="1" s="1"/>
  <c r="AE888" i="1"/>
  <c r="AE897" i="1"/>
  <c r="AE879" i="1"/>
  <c r="AB115" i="1"/>
  <c r="AB14" i="7" s="1"/>
  <c r="AE116" i="1"/>
  <c r="AE15" i="7" s="1"/>
  <c r="AE907" i="1"/>
  <c r="AE908" i="1"/>
  <c r="AE906" i="1"/>
  <c r="AE1322" i="1"/>
  <c r="AE318" i="7" s="1"/>
  <c r="AC636" i="1"/>
  <c r="AB636" i="1"/>
  <c r="AA636" i="1"/>
  <c r="Z636" i="1"/>
  <c r="Y636" i="1"/>
  <c r="X636" i="1"/>
  <c r="V636" i="1"/>
  <c r="G636" i="1"/>
  <c r="F631" i="1"/>
  <c r="AE631" i="1" s="1"/>
  <c r="W636" i="1"/>
  <c r="U636" i="1"/>
  <c r="L636" i="1"/>
  <c r="R636" i="1"/>
  <c r="O636" i="1"/>
  <c r="I636" i="1"/>
  <c r="H636" i="1"/>
  <c r="F636" i="1"/>
  <c r="P636" i="1"/>
  <c r="S636" i="1"/>
  <c r="K636" i="1"/>
  <c r="M636" i="1"/>
  <c r="N636" i="1"/>
  <c r="J636" i="1"/>
  <c r="T636" i="1"/>
  <c r="Q636" i="1"/>
  <c r="Y239" i="1"/>
  <c r="Z242" i="1" s="1"/>
  <c r="Y530" i="1"/>
  <c r="Z530" i="1"/>
  <c r="F530" i="1"/>
  <c r="G530" i="1"/>
  <c r="L530" i="1"/>
  <c r="R530" i="1"/>
  <c r="M530" i="1"/>
  <c r="H530" i="1"/>
  <c r="H575" i="1" s="1"/>
  <c r="Q530" i="1"/>
  <c r="T530" i="1"/>
  <c r="V530" i="1"/>
  <c r="X530" i="1"/>
  <c r="I530" i="1"/>
  <c r="I575" i="1" s="1"/>
  <c r="N530" i="1"/>
  <c r="P530" i="1"/>
  <c r="K530" i="1"/>
  <c r="J530" i="1"/>
  <c r="O530" i="1"/>
  <c r="S530" i="1"/>
  <c r="U530" i="1"/>
  <c r="W530" i="1"/>
  <c r="AA530" i="1"/>
  <c r="AB530" i="1"/>
  <c r="AC530" i="1"/>
  <c r="Y268" i="1"/>
  <c r="Y269" i="1" s="1"/>
  <c r="Z248" i="1"/>
  <c r="AA251" i="1" s="1"/>
  <c r="AB1002" i="1"/>
  <c r="Y109" i="8"/>
  <c r="AA109" i="8" s="1"/>
  <c r="AA110" i="8"/>
  <c r="Y75" i="8"/>
  <c r="Y303" i="8"/>
  <c r="AE1338" i="1"/>
  <c r="AE334" i="7" s="1"/>
  <c r="Y74" i="8"/>
  <c r="AE1170" i="1"/>
  <c r="Z1324" i="1"/>
  <c r="Z320" i="7" s="1"/>
  <c r="Z1056" i="1"/>
  <c r="Z1487" i="1" s="1"/>
  <c r="AA1495" i="1"/>
  <c r="AC729" i="1"/>
  <c r="AC726" i="1" s="1"/>
  <c r="AB726" i="1"/>
  <c r="AC611" i="1"/>
  <c r="AC600" i="1"/>
  <c r="AC1477" i="1" s="1"/>
  <c r="AC464" i="1"/>
  <c r="AC553" i="1"/>
  <c r="AC293" i="1"/>
  <c r="AC556" i="1" s="1"/>
  <c r="AC1473" i="1" s="1"/>
  <c r="AC561" i="1"/>
  <c r="AC568" i="1"/>
  <c r="AE315" i="1"/>
  <c r="AB1335" i="1"/>
  <c r="AB331" i="7" s="1"/>
  <c r="AB657" i="1"/>
  <c r="AB640" i="1"/>
  <c r="AB655" i="1" s="1"/>
  <c r="AB1004" i="1"/>
  <c r="AB989" i="1" s="1"/>
  <c r="AB1211" i="1" s="1"/>
  <c r="AB202" i="7" s="1"/>
  <c r="AE947" i="1"/>
  <c r="AC2021" i="1"/>
  <c r="AC1870" i="1"/>
  <c r="AE1870" i="1" s="1"/>
  <c r="Y313" i="8"/>
  <c r="AE1344" i="1"/>
  <c r="AE340" i="7" s="1"/>
  <c r="AC933" i="1"/>
  <c r="AC997" i="1"/>
  <c r="AC954" i="1"/>
  <c r="AE954" i="1" s="1"/>
  <c r="AE951" i="1"/>
  <c r="AC977" i="1"/>
  <c r="AC1005" i="1" s="1"/>
  <c r="AC1003" i="1"/>
  <c r="Y271" i="8"/>
  <c r="AC959" i="1"/>
  <c r="AC918" i="1"/>
  <c r="AC870" i="1"/>
  <c r="AC905" i="1" s="1"/>
  <c r="AC1029" i="1"/>
  <c r="AC1462" i="1" s="1"/>
  <c r="Y301" i="8"/>
  <c r="AE1337" i="1"/>
  <c r="AE333" i="7" s="1"/>
  <c r="Y273" i="8"/>
  <c r="AC2010" i="1"/>
  <c r="Y128" i="8"/>
  <c r="Y72" i="8"/>
  <c r="AA1101" i="1"/>
  <c r="AB1328" i="1"/>
  <c r="AB324" i="7" s="1"/>
  <c r="AB1218" i="1"/>
  <c r="AB209" i="7" s="1"/>
  <c r="AE1190" i="1"/>
  <c r="AB1325" i="1"/>
  <c r="AB321" i="7" s="1"/>
  <c r="AC1800" i="1"/>
  <c r="AC2023" i="1"/>
  <c r="AC1946" i="1"/>
  <c r="Y319" i="8"/>
  <c r="Y318" i="8" s="1"/>
  <c r="AC2024" i="1"/>
  <c r="AC1801" i="1"/>
  <c r="AE1801" i="1" s="1"/>
  <c r="Y321" i="8"/>
  <c r="AC1050" i="1"/>
  <c r="Y299" i="8"/>
  <c r="Y82" i="8"/>
  <c r="AE1174" i="1"/>
  <c r="Y293" i="8"/>
  <c r="AE1348" i="1"/>
  <c r="AE344" i="7" s="1"/>
  <c r="AA1218" i="1"/>
  <c r="AA209" i="7" s="1"/>
  <c r="Z257" i="1"/>
  <c r="AA260" i="1" s="1"/>
  <c r="AA261" i="1" s="1"/>
  <c r="AB1931" i="1"/>
  <c r="AB1785" i="1"/>
  <c r="AB1657" i="1"/>
  <c r="AB541" i="7" s="1"/>
  <c r="AB1554" i="1"/>
  <c r="AB434" i="7" s="1"/>
  <c r="AB2008" i="1"/>
  <c r="AB1957" i="1"/>
  <c r="AB1859" i="1"/>
  <c r="AB1711" i="1"/>
  <c r="AB596" i="7" s="1"/>
  <c r="AB1319" i="1"/>
  <c r="AB315" i="7" s="1"/>
  <c r="AB1008" i="1"/>
  <c r="AB921" i="1"/>
  <c r="AB1459" i="1"/>
  <c r="AB1073" i="1"/>
  <c r="AB866" i="1"/>
  <c r="AB738" i="1"/>
  <c r="AB695" i="1"/>
  <c r="AB158" i="7" s="1"/>
  <c r="AB676" i="1"/>
  <c r="AB138" i="7" s="1"/>
  <c r="AB669" i="1"/>
  <c r="AB130" i="7" s="1"/>
  <c r="AB621" i="1"/>
  <c r="AB1275" i="1"/>
  <c r="AB269" i="7" s="1"/>
  <c r="AB1197" i="1"/>
  <c r="AB188" i="7" s="1"/>
  <c r="AB1165" i="1"/>
  <c r="AB1096" i="1"/>
  <c r="AB820" i="1"/>
  <c r="AB768" i="1"/>
  <c r="AB748" i="1"/>
  <c r="AB724" i="1"/>
  <c r="AB661" i="1"/>
  <c r="AB280" i="1"/>
  <c r="AB230" i="1"/>
  <c r="AB102" i="1"/>
  <c r="AB1" i="7" s="1"/>
  <c r="AC617" i="1"/>
  <c r="AE617" i="1" s="1"/>
  <c r="AE492" i="1"/>
  <c r="AC605" i="1"/>
  <c r="AE605" i="1" s="1"/>
  <c r="AE471" i="1"/>
  <c r="AC562" i="1"/>
  <c r="AC564" i="1"/>
  <c r="AC645" i="1"/>
  <c r="AC642" i="1"/>
  <c r="AC656" i="1" s="1"/>
  <c r="AC643" i="1"/>
  <c r="AC644" i="1"/>
  <c r="AC658" i="1" s="1"/>
  <c r="AE658" i="1" s="1"/>
  <c r="AC650" i="1"/>
  <c r="AC1335" i="1" s="1"/>
  <c r="AC331" i="7" s="1"/>
  <c r="AE641" i="1"/>
  <c r="AC581" i="1"/>
  <c r="AE383" i="1"/>
  <c r="AC576" i="1"/>
  <c r="AC1177" i="1"/>
  <c r="Y87" i="8" s="1"/>
  <c r="Y86" i="8" s="1"/>
  <c r="Y90" i="8"/>
  <c r="AE1179" i="1"/>
  <c r="AC965" i="1"/>
  <c r="AC1002" i="1" s="1"/>
  <c r="AC1000" i="1"/>
  <c r="AC970" i="1"/>
  <c r="AE970" i="1" s="1"/>
  <c r="AC942" i="1"/>
  <c r="AE942" i="1" s="1"/>
  <c r="AC1032" i="1"/>
  <c r="Y78" i="8"/>
  <c r="AE1172" i="1"/>
  <c r="Y295" i="8"/>
  <c r="AC1102" i="1"/>
  <c r="AB1104" i="1"/>
  <c r="AB1103" i="1"/>
  <c r="AB1130" i="1"/>
  <c r="AB1489" i="1" s="1"/>
  <c r="AE1334" i="1"/>
  <c r="AE330" i="7" s="1"/>
  <c r="AA1974" i="1"/>
  <c r="AA994" i="1"/>
  <c r="AA225" i="1"/>
  <c r="AA124" i="7" s="1"/>
  <c r="AA206" i="1"/>
  <c r="AA105" i="7" s="1"/>
  <c r="AC1137" i="1"/>
  <c r="AC1134" i="1"/>
  <c r="AC1092" i="1"/>
  <c r="AC75" i="1"/>
  <c r="S484" i="8"/>
  <c r="S483" i="8" s="1"/>
  <c r="I455" i="8"/>
  <c r="I454" i="8" s="1"/>
  <c r="S279" i="8"/>
  <c r="Q151" i="8"/>
  <c r="V141" i="8"/>
  <c r="V140" i="8" s="1"/>
  <c r="J614" i="1"/>
  <c r="J489" i="1"/>
  <c r="M419" i="1"/>
  <c r="M418" i="1"/>
  <c r="U1206" i="1"/>
  <c r="U197" i="7" s="1"/>
  <c r="W998" i="1"/>
  <c r="X933" i="1"/>
  <c r="X997" i="1"/>
  <c r="K466" i="8"/>
  <c r="K465" i="8" s="1"/>
  <c r="W784" i="1"/>
  <c r="X783" i="1" s="1"/>
  <c r="X779" i="1"/>
  <c r="Y779" i="1" s="1"/>
  <c r="X222" i="1"/>
  <c r="X121" i="7" s="1"/>
  <c r="X995" i="1"/>
  <c r="U1004" i="1"/>
  <c r="U989" i="1" s="1"/>
  <c r="U1211" i="1" s="1"/>
  <c r="U202" i="7" s="1"/>
  <c r="U1325" i="1"/>
  <c r="U321" i="7" s="1"/>
  <c r="U991" i="1"/>
  <c r="U1045" i="1"/>
  <c r="U1044" i="1" s="1"/>
  <c r="U1042" i="1"/>
  <c r="U1041" i="1" s="1"/>
  <c r="W1667" i="1"/>
  <c r="X203" i="1"/>
  <c r="X102" i="7" s="1"/>
  <c r="X1324" i="1"/>
  <c r="X320" i="7" s="1"/>
  <c r="X1056" i="1"/>
  <c r="X1487" i="1" s="1"/>
  <c r="X1204" i="1"/>
  <c r="X195" i="7" s="1"/>
  <c r="V977" i="1"/>
  <c r="V1005" i="1" s="1"/>
  <c r="V121" i="1" s="1"/>
  <c r="V20" i="7" s="1"/>
  <c r="V1003" i="1"/>
  <c r="L345" i="1"/>
  <c r="L344" i="1"/>
  <c r="T1004" i="1"/>
  <c r="T989" i="1" s="1"/>
  <c r="T1045" i="1"/>
  <c r="T1044" i="1" s="1"/>
  <c r="T1325" i="1"/>
  <c r="T321" i="7" s="1"/>
  <c r="T1042" i="1"/>
  <c r="T1041" i="1" s="1"/>
  <c r="T1484" i="1" s="1"/>
  <c r="T991" i="1"/>
  <c r="L333" i="1"/>
  <c r="S989" i="1"/>
  <c r="M312" i="1"/>
  <c r="M313" i="1" s="1"/>
  <c r="O370" i="1"/>
  <c r="O371" i="1"/>
  <c r="AB1042" i="1" l="1"/>
  <c r="Y860" i="1"/>
  <c r="Y1046" i="1" s="1"/>
  <c r="Y1044" i="1" s="1"/>
  <c r="AB926" i="1"/>
  <c r="AE926" i="1" s="1"/>
  <c r="AE854" i="1"/>
  <c r="Z121" i="1"/>
  <c r="Z20" i="7" s="1"/>
  <c r="AA835" i="1"/>
  <c r="AB834" i="1" s="1"/>
  <c r="AA1668" i="1"/>
  <c r="AA552" i="7" s="1"/>
  <c r="AE829" i="1"/>
  <c r="AC856" i="1"/>
  <c r="AA103" i="7"/>
  <c r="AB204" i="1"/>
  <c r="AC855" i="1"/>
  <c r="AC836" i="1"/>
  <c r="AC863" i="1" s="1"/>
  <c r="AC1017" i="1" s="1"/>
  <c r="AC1015" i="1" s="1"/>
  <c r="AC1465" i="1" s="1"/>
  <c r="Y449" i="8" s="1"/>
  <c r="Y448" i="8" s="1"/>
  <c r="AC830" i="1"/>
  <c r="Z858" i="1"/>
  <c r="Z859" i="1" s="1"/>
  <c r="Z1043" i="1" s="1"/>
  <c r="Z1041" i="1" s="1"/>
  <c r="Z1484" i="1" s="1"/>
  <c r="Z833" i="1"/>
  <c r="Y859" i="1"/>
  <c r="Y1043" i="1" s="1"/>
  <c r="Y1041" i="1" s="1"/>
  <c r="Y1484" i="1" s="1"/>
  <c r="AA831" i="1"/>
  <c r="AA857" i="1"/>
  <c r="AA122" i="7"/>
  <c r="AB223" i="1"/>
  <c r="AB194" i="1"/>
  <c r="AA93" i="7"/>
  <c r="X319" i="7"/>
  <c r="X275" i="8"/>
  <c r="X274" i="8" s="1"/>
  <c r="AB855" i="1"/>
  <c r="AB830" i="1"/>
  <c r="AB836" i="1"/>
  <c r="AB863" i="1" s="1"/>
  <c r="AB1017" i="1" s="1"/>
  <c r="AB1015" i="1" s="1"/>
  <c r="AB1465" i="1" s="1"/>
  <c r="Z832" i="1"/>
  <c r="AC48" i="7"/>
  <c r="AC148" i="1"/>
  <c r="AA856" i="1"/>
  <c r="AA832" i="1"/>
  <c r="M1069" i="1"/>
  <c r="P796" i="1"/>
  <c r="O810" i="1"/>
  <c r="O1014" i="1" s="1"/>
  <c r="N575" i="7"/>
  <c r="N1700" i="1"/>
  <c r="N816" i="1"/>
  <c r="N1022" i="1" s="1"/>
  <c r="N1019" i="1" s="1"/>
  <c r="N1464" i="1" s="1"/>
  <c r="N447" i="8" s="1"/>
  <c r="N446" i="8" s="1"/>
  <c r="N1675" i="1"/>
  <c r="N1699" i="1"/>
  <c r="N981" i="1"/>
  <c r="N1202" i="1" s="1"/>
  <c r="O1691" i="1"/>
  <c r="O815" i="1"/>
  <c r="N1011" i="1"/>
  <c r="O801" i="1"/>
  <c r="P800" i="1" s="1"/>
  <c r="M1065" i="1"/>
  <c r="W1676" i="1"/>
  <c r="W551" i="7"/>
  <c r="V1679" i="1"/>
  <c r="V563" i="7" s="1"/>
  <c r="V560" i="7"/>
  <c r="U1679" i="1"/>
  <c r="U563" i="7" s="1"/>
  <c r="U560" i="7"/>
  <c r="X522" i="1"/>
  <c r="Y513" i="1" s="1"/>
  <c r="Y521" i="1" s="1"/>
  <c r="X506" i="1"/>
  <c r="Y497" i="1" s="1"/>
  <c r="Y505" i="1" s="1"/>
  <c r="X147" i="8"/>
  <c r="X146" i="8" s="1"/>
  <c r="I217" i="1"/>
  <c r="I116" i="7" s="1"/>
  <c r="R730" i="1"/>
  <c r="S733" i="1"/>
  <c r="R851" i="1"/>
  <c r="S850" i="1" s="1"/>
  <c r="R1692" i="1"/>
  <c r="R576" i="7" s="1"/>
  <c r="R861" i="1"/>
  <c r="H215" i="1"/>
  <c r="H114" i="7" s="1"/>
  <c r="Q982" i="1"/>
  <c r="Q1203" i="1" s="1"/>
  <c r="Q194" i="7" s="1"/>
  <c r="Q862" i="1"/>
  <c r="P135" i="8"/>
  <c r="P134" i="8" s="1"/>
  <c r="T1211" i="1"/>
  <c r="T202" i="7" s="1"/>
  <c r="AE959" i="1"/>
  <c r="AB121" i="1"/>
  <c r="AB20" i="7" s="1"/>
  <c r="Y960" i="1"/>
  <c r="Y984" i="1"/>
  <c r="Y1209" i="1" s="1"/>
  <c r="Y200" i="7" s="1"/>
  <c r="AA138" i="1"/>
  <c r="AA37" i="7" s="1"/>
  <c r="Z913" i="1"/>
  <c r="Z912" i="1"/>
  <c r="Z943" i="1" s="1"/>
  <c r="Z914" i="1"/>
  <c r="Z971" i="1" s="1"/>
  <c r="Z911" i="1"/>
  <c r="Y983" i="1"/>
  <c r="Y1204" i="1" s="1"/>
  <c r="Y195" i="7" s="1"/>
  <c r="Y928" i="1"/>
  <c r="Y910" i="1"/>
  <c r="AB1748" i="1"/>
  <c r="AB633" i="7" s="1"/>
  <c r="AC197" i="1"/>
  <c r="AC96" i="7" s="1"/>
  <c r="AB202" i="1"/>
  <c r="AB101" i="7" s="1"/>
  <c r="AB147" i="1"/>
  <c r="AB46" i="7" s="1"/>
  <c r="AC155" i="1"/>
  <c r="AC54" i="7" s="1"/>
  <c r="AC151" i="1"/>
  <c r="AC50" i="7" s="1"/>
  <c r="AA945" i="1"/>
  <c r="AA996" i="1" s="1"/>
  <c r="AC162" i="1"/>
  <c r="AC61" i="7" s="1"/>
  <c r="AE163" i="1"/>
  <c r="AE62" i="7" s="1"/>
  <c r="AA985" i="1"/>
  <c r="AC199" i="1"/>
  <c r="AC98" i="7" s="1"/>
  <c r="AC171" i="1"/>
  <c r="AC70" i="7" s="1"/>
  <c r="AC143" i="1"/>
  <c r="AC42" i="7" s="1"/>
  <c r="AA222" i="1"/>
  <c r="AA121" i="7" s="1"/>
  <c r="Y201" i="1"/>
  <c r="Y100" i="7" s="1"/>
  <c r="Z200" i="1"/>
  <c r="Z99" i="7" s="1"/>
  <c r="AA203" i="1"/>
  <c r="AA102" i="7" s="1"/>
  <c r="AC1945" i="1"/>
  <c r="AE115" i="1"/>
  <c r="AE14" i="7" s="1"/>
  <c r="AB1001" i="1"/>
  <c r="AB990" i="1" s="1"/>
  <c r="AB1210" i="1" s="1"/>
  <c r="AB201" i="7" s="1"/>
  <c r="AB927" i="1"/>
  <c r="AE870" i="1"/>
  <c r="AE2010" i="1"/>
  <c r="AE905" i="1"/>
  <c r="AC1004" i="1"/>
  <c r="AC989" i="1" s="1"/>
  <c r="AC1211" i="1" s="1"/>
  <c r="AC202" i="7" s="1"/>
  <c r="Z779" i="1"/>
  <c r="AB1101" i="1"/>
  <c r="Y77" i="8"/>
  <c r="AA77" i="8" s="1"/>
  <c r="AA78" i="8"/>
  <c r="AC1001" i="1"/>
  <c r="AA257" i="1"/>
  <c r="AB260" i="1" s="1"/>
  <c r="AB261" i="1" s="1"/>
  <c r="Y298" i="8"/>
  <c r="Y939" i="8"/>
  <c r="Y763" i="8"/>
  <c r="AE1000" i="1"/>
  <c r="Y300" i="8"/>
  <c r="AA300" i="8" s="1"/>
  <c r="AA301" i="8"/>
  <c r="Y443" i="8"/>
  <c r="Y442" i="8" s="1"/>
  <c r="Y270" i="8"/>
  <c r="AA270" i="8" s="1"/>
  <c r="AA271" i="8"/>
  <c r="AC1325" i="1"/>
  <c r="AC321" i="7" s="1"/>
  <c r="AC1042" i="1"/>
  <c r="AC1045" i="1"/>
  <c r="AB1974" i="1"/>
  <c r="AB994" i="1"/>
  <c r="AB206" i="1"/>
  <c r="AB105" i="7" s="1"/>
  <c r="AB225" i="1"/>
  <c r="AB124" i="7" s="1"/>
  <c r="AB2018" i="1"/>
  <c r="AB1945" i="1"/>
  <c r="AE568" i="1"/>
  <c r="Y464" i="8"/>
  <c r="Y463" i="8" s="1"/>
  <c r="AC601" i="1"/>
  <c r="AE464" i="1"/>
  <c r="AB1495" i="1"/>
  <c r="Y73" i="8"/>
  <c r="AA73" i="8" s="1"/>
  <c r="AA74" i="8"/>
  <c r="Y302" i="8"/>
  <c r="AA302" i="8" s="1"/>
  <c r="AA303" i="8"/>
  <c r="AE965" i="1"/>
  <c r="Y266" i="1"/>
  <c r="Z268" i="1" s="1"/>
  <c r="Z269" i="1" s="1"/>
  <c r="F528" i="1"/>
  <c r="F575" i="1"/>
  <c r="F531" i="1"/>
  <c r="F579" i="1" s="1"/>
  <c r="AE636" i="1"/>
  <c r="AC632" i="1"/>
  <c r="AB632" i="1"/>
  <c r="AA632" i="1"/>
  <c r="Z632" i="1"/>
  <c r="Y632" i="1"/>
  <c r="X632" i="1"/>
  <c r="V632" i="1"/>
  <c r="Q632" i="1"/>
  <c r="J632" i="1"/>
  <c r="G632" i="1"/>
  <c r="P632" i="1"/>
  <c r="I632" i="1"/>
  <c r="M632" i="1"/>
  <c r="T632" i="1"/>
  <c r="F632" i="1"/>
  <c r="W632" i="1"/>
  <c r="U632" i="1"/>
  <c r="L632" i="1"/>
  <c r="R632" i="1"/>
  <c r="N632" i="1"/>
  <c r="K632" i="1"/>
  <c r="O632" i="1"/>
  <c r="H632" i="1"/>
  <c r="S632" i="1"/>
  <c r="AC2008" i="1"/>
  <c r="AC1957" i="1"/>
  <c r="AC1859" i="1"/>
  <c r="AC1711" i="1"/>
  <c r="AC596" i="7" s="1"/>
  <c r="AC1931" i="1"/>
  <c r="AC1785" i="1"/>
  <c r="AC1657" i="1"/>
  <c r="AC541" i="7" s="1"/>
  <c r="AC1554" i="1"/>
  <c r="AC434" i="7" s="1"/>
  <c r="AC1319" i="1"/>
  <c r="AC315" i="7" s="1"/>
  <c r="AC1459" i="1"/>
  <c r="AC1275" i="1"/>
  <c r="AC269" i="7" s="1"/>
  <c r="AC1197" i="1"/>
  <c r="AC188" i="7" s="1"/>
  <c r="AC1165" i="1"/>
  <c r="AC1096" i="1"/>
  <c r="AC1073" i="1"/>
  <c r="AC1008" i="1"/>
  <c r="AC866" i="1"/>
  <c r="AC820" i="1"/>
  <c r="AC768" i="1"/>
  <c r="AC748" i="1"/>
  <c r="AC724" i="1"/>
  <c r="AC661" i="1"/>
  <c r="AC921" i="1"/>
  <c r="AC738" i="1"/>
  <c r="AC695" i="1"/>
  <c r="AC158" i="7" s="1"/>
  <c r="AC676" i="1"/>
  <c r="AC138" i="7" s="1"/>
  <c r="AC669" i="1"/>
  <c r="AC130" i="7" s="1"/>
  <c r="AC621" i="1"/>
  <c r="AC102" i="1"/>
  <c r="AC1" i="7" s="1"/>
  <c r="AC280" i="1"/>
  <c r="AC230" i="1"/>
  <c r="AA1324" i="1"/>
  <c r="AA320" i="7" s="1"/>
  <c r="AA1056" i="1"/>
  <c r="AA1487" i="1" s="1"/>
  <c r="AC1104" i="1"/>
  <c r="AC1103" i="1"/>
  <c r="AE1103" i="1" s="1"/>
  <c r="AC1130" i="1"/>
  <c r="AC1489" i="1" s="1"/>
  <c r="AD1102" i="1"/>
  <c r="Y294" i="8"/>
  <c r="AA294" i="8" s="1"/>
  <c r="AA295" i="8"/>
  <c r="Y89" i="8"/>
  <c r="AA89" i="8" s="1"/>
  <c r="AA90" i="8"/>
  <c r="Y297" i="8"/>
  <c r="AC657" i="1"/>
  <c r="AC640" i="1"/>
  <c r="AC655" i="1" s="1"/>
  <c r="AC652" i="1"/>
  <c r="AC124" i="1" s="1"/>
  <c r="AC23" i="7" s="1"/>
  <c r="AE645" i="1"/>
  <c r="Y292" i="8"/>
  <c r="AA293" i="8"/>
  <c r="AC2018" i="1"/>
  <c r="Y81" i="8"/>
  <c r="AA81" i="8" s="1"/>
  <c r="AA82" i="8"/>
  <c r="Y320" i="8"/>
  <c r="AA321" i="8"/>
  <c r="AE2024" i="1"/>
  <c r="AE644" i="1"/>
  <c r="Y71" i="8"/>
  <c r="AA71" i="8" s="1"/>
  <c r="AA72" i="8"/>
  <c r="Y127" i="8"/>
  <c r="AA128" i="8"/>
  <c r="Y272" i="8"/>
  <c r="AA272" i="8" s="1"/>
  <c r="AA273" i="8"/>
  <c r="AC927" i="1"/>
  <c r="AC904" i="1"/>
  <c r="AE904" i="1" s="1"/>
  <c r="AC999" i="1"/>
  <c r="AC121" i="1" s="1"/>
  <c r="AC20" i="7" s="1"/>
  <c r="Y312" i="8"/>
  <c r="AA313" i="8"/>
  <c r="AE650" i="1"/>
  <c r="Y472" i="8"/>
  <c r="Y471" i="8" s="1"/>
  <c r="AE1002" i="1"/>
  <c r="AA252" i="1"/>
  <c r="G575" i="1"/>
  <c r="G528" i="1"/>
  <c r="G578" i="1" s="1"/>
  <c r="Z243" i="1"/>
  <c r="X490" i="8"/>
  <c r="X489" i="8" s="1"/>
  <c r="T484" i="8"/>
  <c r="T483" i="8" s="1"/>
  <c r="U151" i="8"/>
  <c r="U150" i="8" s="1"/>
  <c r="J490" i="1"/>
  <c r="M428" i="1"/>
  <c r="X999" i="1"/>
  <c r="X998" i="1" s="1"/>
  <c r="AE930" i="1"/>
  <c r="W986" i="1"/>
  <c r="U141" i="8"/>
  <c r="T279" i="8"/>
  <c r="T278" i="8" s="1"/>
  <c r="W977" i="1"/>
  <c r="W1005" i="1" s="1"/>
  <c r="W121" i="1" s="1"/>
  <c r="W20" i="7" s="1"/>
  <c r="W1003" i="1"/>
  <c r="X137" i="8"/>
  <c r="X277" i="8"/>
  <c r="U1484" i="1"/>
  <c r="X1667" i="1"/>
  <c r="V1004" i="1"/>
  <c r="V989" i="1" s="1"/>
  <c r="V1325" i="1"/>
  <c r="V321" i="7" s="1"/>
  <c r="V1045" i="1"/>
  <c r="V1044" i="1" s="1"/>
  <c r="V1042" i="1"/>
  <c r="V1041" i="1" s="1"/>
  <c r="V991" i="1"/>
  <c r="X200" i="1"/>
  <c r="X99" i="7" s="1"/>
  <c r="U279" i="8"/>
  <c r="U278" i="8" s="1"/>
  <c r="X136" i="1"/>
  <c r="X35" i="7" s="1"/>
  <c r="X784" i="1"/>
  <c r="L565" i="1"/>
  <c r="L354" i="1"/>
  <c r="L355" i="1" s="1"/>
  <c r="S278" i="8"/>
  <c r="S1211" i="1"/>
  <c r="S202" i="7" s="1"/>
  <c r="L334" i="1"/>
  <c r="Q150" i="8"/>
  <c r="O380" i="1"/>
  <c r="O381" i="1" s="1"/>
  <c r="P370" i="1" s="1"/>
  <c r="N303" i="1"/>
  <c r="N302" i="1"/>
  <c r="AB103" i="7" l="1"/>
  <c r="AC204" i="1"/>
  <c r="AC103" i="7" s="1"/>
  <c r="AB1668" i="1"/>
  <c r="AB552" i="7" s="1"/>
  <c r="AB835" i="1"/>
  <c r="AC834" i="1" s="1"/>
  <c r="AC194" i="1"/>
  <c r="AC93" i="7" s="1"/>
  <c r="AB93" i="7"/>
  <c r="AE856" i="1"/>
  <c r="AA121" i="1"/>
  <c r="AA20" i="7" s="1"/>
  <c r="AB857" i="1"/>
  <c r="AB831" i="1"/>
  <c r="AB858" i="1" s="1"/>
  <c r="AB833" i="1"/>
  <c r="AC833" i="1"/>
  <c r="AB832" i="1"/>
  <c r="AE830" i="1"/>
  <c r="AB122" i="7"/>
  <c r="AC223" i="1"/>
  <c r="AC122" i="7" s="1"/>
  <c r="Z860" i="1"/>
  <c r="Z1046" i="1" s="1"/>
  <c r="Z1044" i="1" s="1"/>
  <c r="Z993" i="1"/>
  <c r="AC47" i="7"/>
  <c r="AE148" i="1"/>
  <c r="AE47" i="7" s="1"/>
  <c r="AB1021" i="1"/>
  <c r="AC831" i="1"/>
  <c r="AC858" i="1" s="1"/>
  <c r="AC857" i="1"/>
  <c r="AA858" i="1"/>
  <c r="AA860" i="1" s="1"/>
  <c r="AA1046" i="1" s="1"/>
  <c r="AA1044" i="1" s="1"/>
  <c r="AE855" i="1"/>
  <c r="AC1021" i="1"/>
  <c r="AA833" i="1"/>
  <c r="P801" i="1"/>
  <c r="Q800" i="1" s="1"/>
  <c r="Q815" i="1" s="1"/>
  <c r="N1069" i="1"/>
  <c r="N1466" i="1"/>
  <c r="N451" i="8" s="1"/>
  <c r="N450" i="8" s="1"/>
  <c r="N1065" i="1"/>
  <c r="N193" i="7"/>
  <c r="N133" i="8"/>
  <c r="N132" i="8" s="1"/>
  <c r="N1703" i="1"/>
  <c r="N587" i="7" s="1"/>
  <c r="N584" i="7"/>
  <c r="N583" i="7"/>
  <c r="N1689" i="1"/>
  <c r="N573" i="7" s="1"/>
  <c r="N1693" i="1"/>
  <c r="N577" i="7" s="1"/>
  <c r="N1696" i="1"/>
  <c r="N580" i="7" s="1"/>
  <c r="N1697" i="1"/>
  <c r="N581" i="7" s="1"/>
  <c r="N1698" i="1"/>
  <c r="N582" i="7" s="1"/>
  <c r="P815" i="1"/>
  <c r="P1691" i="1"/>
  <c r="O816" i="1"/>
  <c r="O1022" i="1" s="1"/>
  <c r="O1019" i="1" s="1"/>
  <c r="O1464" i="1" s="1"/>
  <c r="O447" i="8" s="1"/>
  <c r="O446" i="8" s="1"/>
  <c r="O1699" i="1"/>
  <c r="O981" i="1"/>
  <c r="O1202" i="1" s="1"/>
  <c r="O1675" i="1"/>
  <c r="N559" i="7"/>
  <c r="N1669" i="1"/>
  <c r="N553" i="7" s="1"/>
  <c r="N1672" i="1"/>
  <c r="N556" i="7" s="1"/>
  <c r="N1665" i="1"/>
  <c r="N549" i="7" s="1"/>
  <c r="N1674" i="1"/>
  <c r="N558" i="7" s="1"/>
  <c r="N1673" i="1"/>
  <c r="N557" i="7" s="1"/>
  <c r="O1011" i="1"/>
  <c r="O575" i="7"/>
  <c r="O1700" i="1"/>
  <c r="P810" i="1"/>
  <c r="P1014" i="1" s="1"/>
  <c r="P1011" i="1" s="1"/>
  <c r="P1466" i="1" s="1"/>
  <c r="P451" i="8" s="1"/>
  <c r="P450" i="8" s="1"/>
  <c r="Q796" i="1"/>
  <c r="Q801" i="1" s="1"/>
  <c r="R800" i="1" s="1"/>
  <c r="X1676" i="1"/>
  <c r="X551" i="7"/>
  <c r="W1679" i="1"/>
  <c r="W563" i="7" s="1"/>
  <c r="W560" i="7"/>
  <c r="Y522" i="1"/>
  <c r="Z513" i="1" s="1"/>
  <c r="Z521" i="1" s="1"/>
  <c r="Y506" i="1"/>
  <c r="Z497" i="1" s="1"/>
  <c r="Z505" i="1" s="1"/>
  <c r="AE927" i="1"/>
  <c r="T151" i="8"/>
  <c r="T150" i="8" s="1"/>
  <c r="S851" i="1"/>
  <c r="S1692" i="1"/>
  <c r="S576" i="7" s="1"/>
  <c r="S861" i="1"/>
  <c r="Q135" i="8"/>
  <c r="Q134" i="8" s="1"/>
  <c r="H62" i="8"/>
  <c r="H61" i="8" s="1"/>
  <c r="T733" i="1"/>
  <c r="T850" i="1"/>
  <c r="S730" i="1"/>
  <c r="I220" i="1"/>
  <c r="I119" i="7" s="1"/>
  <c r="R982" i="1"/>
  <c r="R1203" i="1" s="1"/>
  <c r="R194" i="7" s="1"/>
  <c r="R862" i="1"/>
  <c r="I219" i="1"/>
  <c r="I118" i="7" s="1"/>
  <c r="V1211" i="1"/>
  <c r="V202" i="7" s="1"/>
  <c r="Y995" i="1"/>
  <c r="Y916" i="1"/>
  <c r="Z960" i="1"/>
  <c r="Z984" i="1"/>
  <c r="Z1209" i="1" s="1"/>
  <c r="Z200" i="7" s="1"/>
  <c r="AB138" i="1"/>
  <c r="AB37" i="7" s="1"/>
  <c r="AA913" i="1"/>
  <c r="AA914" i="1"/>
  <c r="AA912" i="1"/>
  <c r="AA911" i="1"/>
  <c r="Z983" i="1"/>
  <c r="Z1204" i="1" s="1"/>
  <c r="Z195" i="7" s="1"/>
  <c r="Z910" i="1"/>
  <c r="Z928" i="1"/>
  <c r="AC1748" i="1"/>
  <c r="AC633" i="7" s="1"/>
  <c r="AB985" i="1"/>
  <c r="AB945" i="1"/>
  <c r="AE143" i="1"/>
  <c r="AE42" i="7" s="1"/>
  <c r="AE162" i="1"/>
  <c r="AE61" i="7" s="1"/>
  <c r="AC147" i="1"/>
  <c r="AC46" i="7" s="1"/>
  <c r="AE151" i="1"/>
  <c r="AE50" i="7" s="1"/>
  <c r="AC202" i="1"/>
  <c r="AC101" i="7" s="1"/>
  <c r="AA200" i="1"/>
  <c r="AA99" i="7" s="1"/>
  <c r="Z201" i="1"/>
  <c r="Z100" i="7" s="1"/>
  <c r="AB222" i="1"/>
  <c r="AB121" i="7" s="1"/>
  <c r="AB203" i="1"/>
  <c r="AB102" i="7" s="1"/>
  <c r="Y783" i="1"/>
  <c r="AA248" i="1"/>
  <c r="AB251" i="1" s="1"/>
  <c r="AB252" i="1" s="1"/>
  <c r="AA127" i="8"/>
  <c r="Y926" i="8"/>
  <c r="AA926" i="8" s="1"/>
  <c r="Y764" i="8"/>
  <c r="AA764" i="8" s="1"/>
  <c r="Y940" i="8"/>
  <c r="AA940" i="8" s="1"/>
  <c r="AA320" i="8"/>
  <c r="AA292" i="8"/>
  <c r="AD1130" i="1"/>
  <c r="AD1129" i="1"/>
  <c r="Y494" i="8"/>
  <c r="Y493" i="8" s="1"/>
  <c r="AC1101" i="1"/>
  <c r="S649" i="1"/>
  <c r="S1349" i="1" s="1"/>
  <c r="S345" i="7" s="1"/>
  <c r="S635" i="1"/>
  <c r="S651" i="1" s="1"/>
  <c r="S123" i="1" s="1"/>
  <c r="S22" i="7" s="1"/>
  <c r="O649" i="1"/>
  <c r="O1349" i="1" s="1"/>
  <c r="O345" i="7" s="1"/>
  <c r="O635" i="1"/>
  <c r="O651" i="1" s="1"/>
  <c r="O123" i="1" s="1"/>
  <c r="O22" i="7" s="1"/>
  <c r="N649" i="1"/>
  <c r="N1349" i="1" s="1"/>
  <c r="N345" i="7" s="1"/>
  <c r="N635" i="1"/>
  <c r="N651" i="1" s="1"/>
  <c r="N123" i="1" s="1"/>
  <c r="N22" i="7" s="1"/>
  <c r="L649" i="1"/>
  <c r="L1349" i="1" s="1"/>
  <c r="L345" i="7" s="1"/>
  <c r="L635" i="1"/>
  <c r="L651" i="1" s="1"/>
  <c r="L123" i="1" s="1"/>
  <c r="L22" i="7" s="1"/>
  <c r="W649" i="1"/>
  <c r="W1349" i="1" s="1"/>
  <c r="W345" i="7" s="1"/>
  <c r="W635" i="1"/>
  <c r="W651" i="1" s="1"/>
  <c r="W123" i="1" s="1"/>
  <c r="W22" i="7" s="1"/>
  <c r="T649" i="1"/>
  <c r="T1349" i="1" s="1"/>
  <c r="T345" i="7" s="1"/>
  <c r="T635" i="1"/>
  <c r="T651" i="1" s="1"/>
  <c r="T123" i="1" s="1"/>
  <c r="T22" i="7" s="1"/>
  <c r="I649" i="1"/>
  <c r="I1349" i="1" s="1"/>
  <c r="I345" i="7" s="1"/>
  <c r="I635" i="1"/>
  <c r="I651" i="1" s="1"/>
  <c r="I123" i="1" s="1"/>
  <c r="I22" i="7" s="1"/>
  <c r="G649" i="1"/>
  <c r="G1349" i="1" s="1"/>
  <c r="G345" i="7" s="1"/>
  <c r="G635" i="1"/>
  <c r="G651" i="1" s="1"/>
  <c r="G123" i="1" s="1"/>
  <c r="G22" i="7" s="1"/>
  <c r="Q649" i="1"/>
  <c r="Q1349" i="1" s="1"/>
  <c r="Q345" i="7" s="1"/>
  <c r="Q635" i="1"/>
  <c r="Q651" i="1" s="1"/>
  <c r="Q123" i="1" s="1"/>
  <c r="Q22" i="7" s="1"/>
  <c r="X649" i="1"/>
  <c r="X1349" i="1" s="1"/>
  <c r="X345" i="7" s="1"/>
  <c r="X635" i="1"/>
  <c r="X651" i="1" s="1"/>
  <c r="X123" i="1" s="1"/>
  <c r="X22" i="7" s="1"/>
  <c r="Z635" i="1"/>
  <c r="Z651" i="1" s="1"/>
  <c r="Z123" i="1" s="1"/>
  <c r="Z22" i="7" s="1"/>
  <c r="Z649" i="1"/>
  <c r="Z1349" i="1" s="1"/>
  <c r="Z345" i="7" s="1"/>
  <c r="AB635" i="1"/>
  <c r="AB651" i="1" s="1"/>
  <c r="AB123" i="1" s="1"/>
  <c r="AB22" i="7" s="1"/>
  <c r="AB649" i="1"/>
  <c r="AB1349" i="1" s="1"/>
  <c r="AB345" i="7" s="1"/>
  <c r="F158" i="1"/>
  <c r="F57" i="7" s="1"/>
  <c r="F1475" i="1"/>
  <c r="F578" i="1"/>
  <c r="G531" i="1"/>
  <c r="Z266" i="1"/>
  <c r="AA268" i="1" s="1"/>
  <c r="AA269" i="1" s="1"/>
  <c r="AC1495" i="1"/>
  <c r="AE601" i="1"/>
  <c r="AC1328" i="1"/>
  <c r="AC324" i="7" s="1"/>
  <c r="AC1218" i="1"/>
  <c r="AC209" i="7" s="1"/>
  <c r="AB1324" i="1"/>
  <c r="AB320" i="7" s="1"/>
  <c r="AB1056" i="1"/>
  <c r="AB1487" i="1" s="1"/>
  <c r="AC998" i="1"/>
  <c r="AC986" i="1" s="1"/>
  <c r="AC1206" i="1" s="1"/>
  <c r="AC197" i="7" s="1"/>
  <c r="AB257" i="1"/>
  <c r="AC260" i="1" s="1"/>
  <c r="AE260" i="1" s="1"/>
  <c r="AE1104" i="1"/>
  <c r="AA779" i="1"/>
  <c r="Z239" i="1"/>
  <c r="AA242" i="1" s="1"/>
  <c r="AA243" i="1" s="1"/>
  <c r="Y835" i="8"/>
  <c r="AA835" i="8" s="1"/>
  <c r="AA312" i="8"/>
  <c r="Y937" i="8"/>
  <c r="AC1974" i="1"/>
  <c r="AE1974" i="1" s="1"/>
  <c r="AC994" i="1"/>
  <c r="AE994" i="1" s="1"/>
  <c r="AC206" i="1"/>
  <c r="AC105" i="7" s="1"/>
  <c r="AC225" i="1"/>
  <c r="AC124" i="7" s="1"/>
  <c r="Y296" i="8"/>
  <c r="H635" i="1"/>
  <c r="H651" i="1" s="1"/>
  <c r="H123" i="1" s="1"/>
  <c r="H22" i="7" s="1"/>
  <c r="H649" i="1"/>
  <c r="H1349" i="1" s="1"/>
  <c r="H345" i="7" s="1"/>
  <c r="K635" i="1"/>
  <c r="K651" i="1" s="1"/>
  <c r="K123" i="1" s="1"/>
  <c r="K22" i="7" s="1"/>
  <c r="K649" i="1"/>
  <c r="K1349" i="1" s="1"/>
  <c r="K345" i="7" s="1"/>
  <c r="R649" i="1"/>
  <c r="R1349" i="1" s="1"/>
  <c r="R345" i="7" s="1"/>
  <c r="R635" i="1"/>
  <c r="R651" i="1" s="1"/>
  <c r="R123" i="1" s="1"/>
  <c r="R22" i="7" s="1"/>
  <c r="U649" i="1"/>
  <c r="U1349" i="1" s="1"/>
  <c r="U345" i="7" s="1"/>
  <c r="U635" i="1"/>
  <c r="U651" i="1" s="1"/>
  <c r="U123" i="1" s="1"/>
  <c r="U22" i="7" s="1"/>
  <c r="F635" i="1"/>
  <c r="AE632" i="1"/>
  <c r="B633" i="1" s="1"/>
  <c r="F649" i="1"/>
  <c r="M649" i="1"/>
  <c r="M1349" i="1" s="1"/>
  <c r="M345" i="7" s="1"/>
  <c r="M635" i="1"/>
  <c r="M651" i="1" s="1"/>
  <c r="M123" i="1" s="1"/>
  <c r="M22" i="7" s="1"/>
  <c r="P649" i="1"/>
  <c r="P1349" i="1" s="1"/>
  <c r="P345" i="7" s="1"/>
  <c r="P635" i="1"/>
  <c r="P651" i="1" s="1"/>
  <c r="P123" i="1" s="1"/>
  <c r="P22" i="7" s="1"/>
  <c r="J649" i="1"/>
  <c r="J1349" i="1" s="1"/>
  <c r="J345" i="7" s="1"/>
  <c r="J635" i="1"/>
  <c r="J651" i="1" s="1"/>
  <c r="J123" i="1" s="1"/>
  <c r="J22" i="7" s="1"/>
  <c r="V649" i="1"/>
  <c r="V1349" i="1" s="1"/>
  <c r="V345" i="7" s="1"/>
  <c r="V635" i="1"/>
  <c r="V651" i="1" s="1"/>
  <c r="V123" i="1" s="1"/>
  <c r="V22" i="7" s="1"/>
  <c r="Y635" i="1"/>
  <c r="Y651" i="1" s="1"/>
  <c r="Y123" i="1" s="1"/>
  <c r="Y22" i="7" s="1"/>
  <c r="Y649" i="1"/>
  <c r="Y1349" i="1" s="1"/>
  <c r="Y345" i="7" s="1"/>
  <c r="AA635" i="1"/>
  <c r="AA651" i="1" s="1"/>
  <c r="AA123" i="1" s="1"/>
  <c r="AA22" i="7" s="1"/>
  <c r="AA649" i="1"/>
  <c r="AA1349" i="1" s="1"/>
  <c r="AA345" i="7" s="1"/>
  <c r="AC635" i="1"/>
  <c r="AC651" i="1" s="1"/>
  <c r="AC123" i="1" s="1"/>
  <c r="AC22" i="7" s="1"/>
  <c r="AC649" i="1"/>
  <c r="AC1349" i="1" s="1"/>
  <c r="AC345" i="7" s="1"/>
  <c r="Y913" i="8"/>
  <c r="AC990" i="1"/>
  <c r="AE1001" i="1"/>
  <c r="V151" i="8"/>
  <c r="V150" i="8" s="1"/>
  <c r="S151" i="8"/>
  <c r="K481" i="1"/>
  <c r="J615" i="1"/>
  <c r="J1468" i="1" s="1"/>
  <c r="M429" i="1"/>
  <c r="AE999" i="1"/>
  <c r="AE933" i="1"/>
  <c r="X986" i="1"/>
  <c r="X1206" i="1" s="1"/>
  <c r="X197" i="7" s="1"/>
  <c r="U140" i="8"/>
  <c r="W1206" i="1"/>
  <c r="W197" i="7" s="1"/>
  <c r="AE997" i="1"/>
  <c r="X201" i="1"/>
  <c r="X100" i="7" s="1"/>
  <c r="V1484" i="1"/>
  <c r="V279" i="8"/>
  <c r="V278" i="8" s="1"/>
  <c r="U484" i="8"/>
  <c r="U483" i="8" s="1"/>
  <c r="X276" i="8"/>
  <c r="X136" i="8"/>
  <c r="W1004" i="1"/>
  <c r="W989" i="1" s="1"/>
  <c r="W991" i="1"/>
  <c r="W1325" i="1"/>
  <c r="W321" i="7" s="1"/>
  <c r="W1045" i="1"/>
  <c r="W1044" i="1" s="1"/>
  <c r="W1042" i="1"/>
  <c r="W1041" i="1" s="1"/>
  <c r="X977" i="1"/>
  <c r="X1003" i="1"/>
  <c r="M344" i="1"/>
  <c r="M345" i="1"/>
  <c r="M323" i="1"/>
  <c r="M324" i="1"/>
  <c r="L566" i="1"/>
  <c r="L1474" i="1" s="1"/>
  <c r="P371" i="1"/>
  <c r="P380" i="1" s="1"/>
  <c r="P381" i="1" s="1"/>
  <c r="N312" i="1"/>
  <c r="AC859" i="1" l="1"/>
  <c r="AC1043" i="1" s="1"/>
  <c r="AC1041" i="1" s="1"/>
  <c r="AC1484" i="1" s="1"/>
  <c r="Q1691" i="1"/>
  <c r="AE831" i="1"/>
  <c r="AC993" i="1"/>
  <c r="AC1323" i="1" s="1"/>
  <c r="AA859" i="1"/>
  <c r="AA1043" i="1" s="1"/>
  <c r="AA1041" i="1" s="1"/>
  <c r="AA1484" i="1" s="1"/>
  <c r="Z1323" i="1"/>
  <c r="AC835" i="1"/>
  <c r="AC1668" i="1"/>
  <c r="AC552" i="7" s="1"/>
  <c r="AE834" i="1"/>
  <c r="AC860" i="1"/>
  <c r="AC1046" i="1" s="1"/>
  <c r="AC1044" i="1" s="1"/>
  <c r="AB859" i="1"/>
  <c r="AB1043" i="1" s="1"/>
  <c r="AB1041" i="1" s="1"/>
  <c r="AB1484" i="1" s="1"/>
  <c r="AE858" i="1"/>
  <c r="AA993" i="1"/>
  <c r="AA1323" i="1" s="1"/>
  <c r="AA319" i="7" s="1"/>
  <c r="AE857" i="1"/>
  <c r="AB860" i="1"/>
  <c r="AB1046" i="1" s="1"/>
  <c r="AB1044" i="1" s="1"/>
  <c r="AB993" i="1"/>
  <c r="AB1323" i="1" s="1"/>
  <c r="AB319" i="7" s="1"/>
  <c r="AC832" i="1"/>
  <c r="P816" i="1"/>
  <c r="P1022" i="1" s="1"/>
  <c r="P1019" i="1" s="1"/>
  <c r="P1464" i="1" s="1"/>
  <c r="P447" i="8" s="1"/>
  <c r="P446" i="8" s="1"/>
  <c r="O1069" i="1"/>
  <c r="R796" i="1"/>
  <c r="Q810" i="1"/>
  <c r="Q1014" i="1" s="1"/>
  <c r="Q1011" i="1" s="1"/>
  <c r="Q1466" i="1" s="1"/>
  <c r="Q451" i="8" s="1"/>
  <c r="Q450" i="8" s="1"/>
  <c r="O1466" i="1"/>
  <c r="O451" i="8" s="1"/>
  <c r="O450" i="8" s="1"/>
  <c r="O1065" i="1"/>
  <c r="O559" i="7"/>
  <c r="O1672" i="1"/>
  <c r="O556" i="7" s="1"/>
  <c r="O1674" i="1"/>
  <c r="O558" i="7" s="1"/>
  <c r="O1669" i="1"/>
  <c r="O553" i="7" s="1"/>
  <c r="O1665" i="1"/>
  <c r="O549" i="7" s="1"/>
  <c r="O1673" i="1"/>
  <c r="O557" i="7" s="1"/>
  <c r="R1691" i="1"/>
  <c r="R815" i="1"/>
  <c r="Q981" i="1"/>
  <c r="Q1202" i="1" s="1"/>
  <c r="Q1699" i="1"/>
  <c r="Q1675" i="1"/>
  <c r="O1703" i="1"/>
  <c r="O587" i="7" s="1"/>
  <c r="O584" i="7"/>
  <c r="O193" i="7"/>
  <c r="O133" i="8"/>
  <c r="O132" i="8" s="1"/>
  <c r="P575" i="7"/>
  <c r="P1700" i="1"/>
  <c r="R801" i="1"/>
  <c r="S800" i="1" s="1"/>
  <c r="Q575" i="7"/>
  <c r="Q1700" i="1"/>
  <c r="O583" i="7"/>
  <c r="O1693" i="1"/>
  <c r="O577" i="7" s="1"/>
  <c r="O1696" i="1"/>
  <c r="O580" i="7" s="1"/>
  <c r="O1698" i="1"/>
  <c r="O582" i="7" s="1"/>
  <c r="O1689" i="1"/>
  <c r="O573" i="7" s="1"/>
  <c r="O1697" i="1"/>
  <c r="O581" i="7" s="1"/>
  <c r="P1699" i="1"/>
  <c r="P1675" i="1"/>
  <c r="P981" i="1"/>
  <c r="P1202" i="1" s="1"/>
  <c r="X1679" i="1"/>
  <c r="X563" i="7" s="1"/>
  <c r="X560" i="7"/>
  <c r="Z522" i="1"/>
  <c r="AA513" i="1" s="1"/>
  <c r="AA521" i="1" s="1"/>
  <c r="Z506" i="1"/>
  <c r="AA497" i="1" s="1"/>
  <c r="AA505" i="1" s="1"/>
  <c r="R135" i="8"/>
  <c r="R134" i="8" s="1"/>
  <c r="J218" i="1"/>
  <c r="J117" i="7" s="1"/>
  <c r="T1692" i="1"/>
  <c r="T576" i="7" s="1"/>
  <c r="T861" i="1"/>
  <c r="T851" i="1"/>
  <c r="U850" i="1" s="1"/>
  <c r="S982" i="1"/>
  <c r="S1203" i="1" s="1"/>
  <c r="S194" i="7" s="1"/>
  <c r="S862" i="1"/>
  <c r="I214" i="1"/>
  <c r="I113" i="7" s="1"/>
  <c r="J216" i="1"/>
  <c r="J115" i="7" s="1"/>
  <c r="U733" i="1"/>
  <c r="T730" i="1"/>
  <c r="W1211" i="1"/>
  <c r="W202" i="7" s="1"/>
  <c r="AD1131" i="1"/>
  <c r="Z995" i="1"/>
  <c r="Z916" i="1"/>
  <c r="AA983" i="1"/>
  <c r="AA1204" i="1" s="1"/>
  <c r="AA195" i="7" s="1"/>
  <c r="AA910" i="1"/>
  <c r="AA928" i="1"/>
  <c r="AA971" i="1"/>
  <c r="AA943" i="1"/>
  <c r="AA960" i="1"/>
  <c r="AA984" i="1"/>
  <c r="AC138" i="1"/>
  <c r="AC37" i="7" s="1"/>
  <c r="AB912" i="1"/>
  <c r="AB943" i="1" s="1"/>
  <c r="AB914" i="1"/>
  <c r="AB971" i="1" s="1"/>
  <c r="AB913" i="1"/>
  <c r="AB911" i="1"/>
  <c r="Y136" i="1"/>
  <c r="Y35" i="7" s="1"/>
  <c r="Y991" i="1"/>
  <c r="AE202" i="1"/>
  <c r="AE101" i="7" s="1"/>
  <c r="AE147" i="1"/>
  <c r="AE46" i="7" s="1"/>
  <c r="AC985" i="1"/>
  <c r="AE985" i="1" s="1"/>
  <c r="AC945" i="1"/>
  <c r="AC996" i="1" s="1"/>
  <c r="AB996" i="1"/>
  <c r="AC203" i="1"/>
  <c r="AC222" i="1"/>
  <c r="AC121" i="7" s="1"/>
  <c r="AA201" i="1"/>
  <c r="AA100" i="7" s="1"/>
  <c r="F56" i="7"/>
  <c r="AC119" i="1"/>
  <c r="AC18" i="7" s="1"/>
  <c r="W119" i="1"/>
  <c r="W18" i="7" s="1"/>
  <c r="AB200" i="1"/>
  <c r="AB99" i="7" s="1"/>
  <c r="AE206" i="1"/>
  <c r="AE105" i="7" s="1"/>
  <c r="AE225" i="1"/>
  <c r="AE124" i="7" s="1"/>
  <c r="AB248" i="1"/>
  <c r="AC251" i="1" s="1"/>
  <c r="AE251" i="1" s="1"/>
  <c r="AC1210" i="1"/>
  <c r="AC201" i="7" s="1"/>
  <c r="AE990" i="1"/>
  <c r="AC1802" i="1"/>
  <c r="AC1874" i="1"/>
  <c r="AC1728" i="1"/>
  <c r="AC613" i="7" s="1"/>
  <c r="Y323" i="8"/>
  <c r="Y322" i="8" s="1"/>
  <c r="AA1802" i="1"/>
  <c r="AA1874" i="1"/>
  <c r="AA1728" i="1"/>
  <c r="AA613" i="7" s="1"/>
  <c r="Y1874" i="1"/>
  <c r="Y1728" i="1"/>
  <c r="Y613" i="7" s="1"/>
  <c r="Y1802" i="1"/>
  <c r="V119" i="1"/>
  <c r="V18" i="7" s="1"/>
  <c r="J119" i="1"/>
  <c r="J18" i="7" s="1"/>
  <c r="P119" i="1"/>
  <c r="P18" i="7" s="1"/>
  <c r="M119" i="1"/>
  <c r="M18" i="7" s="1"/>
  <c r="F1349" i="1"/>
  <c r="F345" i="7" s="1"/>
  <c r="AE649" i="1"/>
  <c r="F651" i="1"/>
  <c r="AE635" i="1"/>
  <c r="U119" i="1"/>
  <c r="U18" i="7" s="1"/>
  <c r="R119" i="1"/>
  <c r="R18" i="7" s="1"/>
  <c r="K1802" i="1"/>
  <c r="K1874" i="1"/>
  <c r="K323" i="8"/>
  <c r="K322" i="8" s="1"/>
  <c r="K1728" i="1"/>
  <c r="K613" i="7" s="1"/>
  <c r="H1802" i="1"/>
  <c r="H1728" i="1"/>
  <c r="H613" i="7" s="1"/>
  <c r="H323" i="8"/>
  <c r="H322" i="8" s="1"/>
  <c r="H1874" i="1"/>
  <c r="AC1324" i="1"/>
  <c r="AC320" i="7" s="1"/>
  <c r="AC1056" i="1"/>
  <c r="AC1487" i="1" s="1"/>
  <c r="AA239" i="1"/>
  <c r="AB242" i="1" s="1"/>
  <c r="AB243" i="1" s="1"/>
  <c r="AB779" i="1"/>
  <c r="Y285" i="8"/>
  <c r="AE1328" i="1"/>
  <c r="AE324" i="7" s="1"/>
  <c r="AA266" i="1"/>
  <c r="AB268" i="1" s="1"/>
  <c r="AB269" i="1" s="1"/>
  <c r="AB119" i="1"/>
  <c r="AB18" i="7" s="1"/>
  <c r="Z119" i="1"/>
  <c r="Z18" i="7" s="1"/>
  <c r="X1802" i="1"/>
  <c r="X1728" i="1"/>
  <c r="X613" i="7" s="1"/>
  <c r="X1874" i="1"/>
  <c r="X323" i="8"/>
  <c r="X322" i="8" s="1"/>
  <c r="Q323" i="8"/>
  <c r="Q322" i="8" s="1"/>
  <c r="Q1802" i="1"/>
  <c r="Q1728" i="1"/>
  <c r="Q613" i="7" s="1"/>
  <c r="Q1874" i="1"/>
  <c r="G323" i="8"/>
  <c r="G322" i="8" s="1"/>
  <c r="G1874" i="1"/>
  <c r="G1802" i="1"/>
  <c r="G1728" i="1"/>
  <c r="G613" i="7" s="1"/>
  <c r="I323" i="8"/>
  <c r="I322" i="8" s="1"/>
  <c r="I1728" i="1"/>
  <c r="I613" i="7" s="1"/>
  <c r="I1802" i="1"/>
  <c r="I1874" i="1"/>
  <c r="T323" i="8"/>
  <c r="T322" i="8" s="1"/>
  <c r="T1728" i="1"/>
  <c r="T613" i="7" s="1"/>
  <c r="T1874" i="1"/>
  <c r="T1802" i="1"/>
  <c r="W1802" i="1"/>
  <c r="W1728" i="1"/>
  <c r="W613" i="7" s="1"/>
  <c r="W1874" i="1"/>
  <c r="W323" i="8"/>
  <c r="W322" i="8" s="1"/>
  <c r="L323" i="8"/>
  <c r="L322" i="8" s="1"/>
  <c r="L1802" i="1"/>
  <c r="L1874" i="1"/>
  <c r="L1728" i="1"/>
  <c r="L613" i="7" s="1"/>
  <c r="N323" i="8"/>
  <c r="N322" i="8" s="1"/>
  <c r="N1802" i="1"/>
  <c r="N1874" i="1"/>
  <c r="N1728" i="1"/>
  <c r="N613" i="7" s="1"/>
  <c r="O323" i="8"/>
  <c r="O322" i="8" s="1"/>
  <c r="O1802" i="1"/>
  <c r="O1874" i="1"/>
  <c r="O1728" i="1"/>
  <c r="O613" i="7" s="1"/>
  <c r="S323" i="8"/>
  <c r="S322" i="8" s="1"/>
  <c r="S1802" i="1"/>
  <c r="S1874" i="1"/>
  <c r="S1728" i="1"/>
  <c r="S613" i="7" s="1"/>
  <c r="AE1101" i="1"/>
  <c r="Y934" i="8"/>
  <c r="Y1667" i="1"/>
  <c r="Y784" i="1"/>
  <c r="Z783" i="1" s="1"/>
  <c r="AA119" i="1"/>
  <c r="AA18" i="7" s="1"/>
  <c r="Y119" i="1"/>
  <c r="Y18" i="7" s="1"/>
  <c r="V1802" i="1"/>
  <c r="V1728" i="1"/>
  <c r="V613" i="7" s="1"/>
  <c r="V1874" i="1"/>
  <c r="V323" i="8"/>
  <c r="V322" i="8" s="1"/>
  <c r="J323" i="8"/>
  <c r="J322" i="8" s="1"/>
  <c r="J1728" i="1"/>
  <c r="J613" i="7" s="1"/>
  <c r="J1874" i="1"/>
  <c r="J1802" i="1"/>
  <c r="P323" i="8"/>
  <c r="P322" i="8" s="1"/>
  <c r="P1728" i="1"/>
  <c r="P613" i="7" s="1"/>
  <c r="P1802" i="1"/>
  <c r="P1874" i="1"/>
  <c r="M323" i="8"/>
  <c r="M322" i="8" s="1"/>
  <c r="M1802" i="1"/>
  <c r="M1874" i="1"/>
  <c r="M1728" i="1"/>
  <c r="M613" i="7" s="1"/>
  <c r="AC633" i="1"/>
  <c r="AB633" i="1"/>
  <c r="AA633" i="1"/>
  <c r="Z633" i="1"/>
  <c r="Y633" i="1"/>
  <c r="W633" i="1"/>
  <c r="V633" i="1"/>
  <c r="H633" i="1"/>
  <c r="S633" i="1"/>
  <c r="J633" i="1"/>
  <c r="P633" i="1"/>
  <c r="L633" i="1"/>
  <c r="O633" i="1"/>
  <c r="G633" i="1"/>
  <c r="X633" i="1"/>
  <c r="U633" i="1"/>
  <c r="N633" i="1"/>
  <c r="F633" i="1"/>
  <c r="Q633" i="1"/>
  <c r="M633" i="1"/>
  <c r="I633" i="1"/>
  <c r="K633" i="1"/>
  <c r="T633" i="1"/>
  <c r="R633" i="1"/>
  <c r="U1802" i="1"/>
  <c r="U1728" i="1"/>
  <c r="U613" i="7" s="1"/>
  <c r="U1874" i="1"/>
  <c r="U323" i="8"/>
  <c r="U322" i="8" s="1"/>
  <c r="R323" i="8"/>
  <c r="R322" i="8" s="1"/>
  <c r="R1728" i="1"/>
  <c r="R613" i="7" s="1"/>
  <c r="R1802" i="1"/>
  <c r="R1874" i="1"/>
  <c r="K119" i="1"/>
  <c r="K18" i="7" s="1"/>
  <c r="H119" i="1"/>
  <c r="H18" i="7" s="1"/>
  <c r="AC261" i="1"/>
  <c r="AC257" i="1" s="1"/>
  <c r="Y165" i="8"/>
  <c r="AE1218" i="1"/>
  <c r="AE209" i="7" s="1"/>
  <c r="Y504" i="8"/>
  <c r="Y503" i="8" s="1"/>
  <c r="H528" i="1"/>
  <c r="G579" i="1"/>
  <c r="F468" i="8"/>
  <c r="F467" i="8" s="1"/>
  <c r="AB1874" i="1"/>
  <c r="AB1728" i="1"/>
  <c r="AB613" i="7" s="1"/>
  <c r="AB1802" i="1"/>
  <c r="Z1802" i="1"/>
  <c r="Z1874" i="1"/>
  <c r="Z1728" i="1"/>
  <c r="Z613" i="7" s="1"/>
  <c r="Q119" i="1"/>
  <c r="Q18" i="7" s="1"/>
  <c r="T119" i="1"/>
  <c r="T18" i="7" s="1"/>
  <c r="L119" i="1"/>
  <c r="L18" i="7" s="1"/>
  <c r="N119" i="1"/>
  <c r="N18" i="7" s="1"/>
  <c r="O119" i="1"/>
  <c r="O18" i="7" s="1"/>
  <c r="S119" i="1"/>
  <c r="S18" i="7" s="1"/>
  <c r="Y912" i="8"/>
  <c r="X141" i="8"/>
  <c r="X140" i="8" s="1"/>
  <c r="J455" i="8"/>
  <c r="J454" i="8" s="1"/>
  <c r="Y141" i="8"/>
  <c r="Y140" i="8" s="1"/>
  <c r="K614" i="1"/>
  <c r="K489" i="1"/>
  <c r="N419" i="1"/>
  <c r="N418" i="1"/>
  <c r="AE986" i="1"/>
  <c r="AE998" i="1"/>
  <c r="W141" i="8"/>
  <c r="AE1206" i="1"/>
  <c r="AE197" i="7" s="1"/>
  <c r="L466" i="8"/>
  <c r="L465" i="8" s="1"/>
  <c r="X991" i="1"/>
  <c r="X1045" i="1"/>
  <c r="X1044" i="1" s="1"/>
  <c r="X1042" i="1"/>
  <c r="X1041" i="1" s="1"/>
  <c r="X1325" i="1"/>
  <c r="X321" i="7" s="1"/>
  <c r="X1005" i="1"/>
  <c r="W1484" i="1"/>
  <c r="W279" i="8"/>
  <c r="W278" i="8" s="1"/>
  <c r="V484" i="8"/>
  <c r="V483" i="8" s="1"/>
  <c r="G1122" i="1"/>
  <c r="AE973" i="1"/>
  <c r="M565" i="1"/>
  <c r="S150" i="8"/>
  <c r="M333" i="1"/>
  <c r="M354" i="1"/>
  <c r="N313" i="1"/>
  <c r="Q371" i="1"/>
  <c r="Q370" i="1"/>
  <c r="AE993" i="1" l="1"/>
  <c r="Z319" i="7"/>
  <c r="AE1323" i="1"/>
  <c r="AE319" i="7" s="1"/>
  <c r="AC319" i="7"/>
  <c r="Y275" i="8"/>
  <c r="P1065" i="1"/>
  <c r="P1069" i="1"/>
  <c r="Q816" i="1"/>
  <c r="Q1022" i="1" s="1"/>
  <c r="Q1019" i="1" s="1"/>
  <c r="Q1464" i="1" s="1"/>
  <c r="Q447" i="8" s="1"/>
  <c r="Q446" i="8" s="1"/>
  <c r="P559" i="7"/>
  <c r="P1672" i="1"/>
  <c r="P556" i="7" s="1"/>
  <c r="P1674" i="1"/>
  <c r="P558" i="7" s="1"/>
  <c r="P1665" i="1"/>
  <c r="P549" i="7" s="1"/>
  <c r="P1669" i="1"/>
  <c r="P553" i="7" s="1"/>
  <c r="P1673" i="1"/>
  <c r="P557" i="7" s="1"/>
  <c r="P1703" i="1"/>
  <c r="P587" i="7" s="1"/>
  <c r="P584" i="7"/>
  <c r="Q193" i="7"/>
  <c r="Q133" i="8"/>
  <c r="Q132" i="8" s="1"/>
  <c r="P583" i="7"/>
  <c r="P1696" i="1"/>
  <c r="P580" i="7" s="1"/>
  <c r="P1698" i="1"/>
  <c r="P582" i="7" s="1"/>
  <c r="P1693" i="1"/>
  <c r="P577" i="7" s="1"/>
  <c r="P1697" i="1"/>
  <c r="P581" i="7" s="1"/>
  <c r="P1689" i="1"/>
  <c r="P573" i="7" s="1"/>
  <c r="Q1703" i="1"/>
  <c r="Q587" i="7" s="1"/>
  <c r="Q584" i="7"/>
  <c r="R1699" i="1"/>
  <c r="R1675" i="1"/>
  <c r="R981" i="1"/>
  <c r="R1202" i="1" s="1"/>
  <c r="S796" i="1"/>
  <c r="S801" i="1" s="1"/>
  <c r="T800" i="1" s="1"/>
  <c r="R810" i="1"/>
  <c r="R1014" i="1" s="1"/>
  <c r="Q559" i="7"/>
  <c r="Q1665" i="1"/>
  <c r="Q549" i="7" s="1"/>
  <c r="Q1674" i="1"/>
  <c r="Q558" i="7" s="1"/>
  <c r="Q1669" i="1"/>
  <c r="Q553" i="7" s="1"/>
  <c r="Q1673" i="1"/>
  <c r="Q557" i="7" s="1"/>
  <c r="Q1672" i="1"/>
  <c r="Q556" i="7" s="1"/>
  <c r="R575" i="7"/>
  <c r="R1700" i="1"/>
  <c r="P193" i="7"/>
  <c r="P133" i="8"/>
  <c r="P132" i="8" s="1"/>
  <c r="S815" i="1"/>
  <c r="S1691" i="1"/>
  <c r="Q583" i="7"/>
  <c r="Q1693" i="1"/>
  <c r="Q577" i="7" s="1"/>
  <c r="Q1696" i="1"/>
  <c r="Q580" i="7" s="1"/>
  <c r="Q1689" i="1"/>
  <c r="Q573" i="7" s="1"/>
  <c r="Q1697" i="1"/>
  <c r="Q581" i="7" s="1"/>
  <c r="Q1698" i="1"/>
  <c r="Q582" i="7" s="1"/>
  <c r="Y1676" i="1"/>
  <c r="Y551" i="7"/>
  <c r="AE203" i="1"/>
  <c r="AE102" i="7" s="1"/>
  <c r="AC102" i="7"/>
  <c r="AA522" i="1"/>
  <c r="AB513" i="1" s="1"/>
  <c r="AB521" i="1" s="1"/>
  <c r="AA506" i="1"/>
  <c r="AB497" i="1" s="1"/>
  <c r="AB505" i="1" s="1"/>
  <c r="W151" i="8"/>
  <c r="W150" i="8" s="1"/>
  <c r="U1692" i="1"/>
  <c r="U576" i="7" s="1"/>
  <c r="U861" i="1"/>
  <c r="U851" i="1"/>
  <c r="V850" i="1" s="1"/>
  <c r="I215" i="1"/>
  <c r="I114" i="7" s="1"/>
  <c r="S135" i="8"/>
  <c r="S134" i="8" s="1"/>
  <c r="V733" i="1"/>
  <c r="U730" i="1"/>
  <c r="J217" i="1"/>
  <c r="T982" i="1"/>
  <c r="T862" i="1"/>
  <c r="AE222" i="1"/>
  <c r="AE121" i="7" s="1"/>
  <c r="AB983" i="1"/>
  <c r="AB928" i="1"/>
  <c r="AB910" i="1"/>
  <c r="AA995" i="1"/>
  <c r="AA916" i="1"/>
  <c r="AB960" i="1"/>
  <c r="AB984" i="1"/>
  <c r="AB1209" i="1" s="1"/>
  <c r="AB200" i="7" s="1"/>
  <c r="AC913" i="1"/>
  <c r="AE913" i="1" s="1"/>
  <c r="AC914" i="1"/>
  <c r="AC912" i="1"/>
  <c r="AC943" i="1" s="1"/>
  <c r="AE943" i="1" s="1"/>
  <c r="AC911" i="1"/>
  <c r="AA1209" i="1"/>
  <c r="AA200" i="7" s="1"/>
  <c r="Z991" i="1"/>
  <c r="Z136" i="1"/>
  <c r="Z35" i="7" s="1"/>
  <c r="AE945" i="1"/>
  <c r="AE996" i="1"/>
  <c r="Z1667" i="1"/>
  <c r="Z784" i="1"/>
  <c r="AA783" i="1" s="1"/>
  <c r="AA784" i="1" s="1"/>
  <c r="AB783" i="1" s="1"/>
  <c r="F1053" i="1"/>
  <c r="AC200" i="1"/>
  <c r="F1212" i="1"/>
  <c r="F203" i="7" s="1"/>
  <c r="AE1324" i="1"/>
  <c r="AE320" i="7" s="1"/>
  <c r="AB201" i="1"/>
  <c r="AB100" i="7" s="1"/>
  <c r="AB239" i="1"/>
  <c r="AC242" i="1" s="1"/>
  <c r="AE242" i="1" s="1"/>
  <c r="H578" i="1"/>
  <c r="H531" i="1"/>
  <c r="Y164" i="8"/>
  <c r="AA164" i="8" s="1"/>
  <c r="AA165" i="8"/>
  <c r="R689" i="8"/>
  <c r="R765" i="8"/>
  <c r="R839" i="8"/>
  <c r="U839" i="8"/>
  <c r="U689" i="8"/>
  <c r="U765" i="8"/>
  <c r="R634" i="1"/>
  <c r="R647" i="1" s="1"/>
  <c r="R648" i="1"/>
  <c r="R1189" i="1" s="1"/>
  <c r="R108" i="8" s="1"/>
  <c r="R107" i="8" s="1"/>
  <c r="K634" i="1"/>
  <c r="K647" i="1" s="1"/>
  <c r="K1695" i="1" s="1"/>
  <c r="K579" i="7" s="1"/>
  <c r="K648" i="1"/>
  <c r="K1189" i="1" s="1"/>
  <c r="K108" i="8" s="1"/>
  <c r="K107" i="8" s="1"/>
  <c r="M634" i="1"/>
  <c r="M647" i="1" s="1"/>
  <c r="M1695" i="1" s="1"/>
  <c r="M579" i="7" s="1"/>
  <c r="M648" i="1"/>
  <c r="M1189" i="1" s="1"/>
  <c r="M108" i="8" s="1"/>
  <c r="M107" i="8" s="1"/>
  <c r="AE633" i="1"/>
  <c r="F648" i="1"/>
  <c r="F634" i="1"/>
  <c r="U648" i="1"/>
  <c r="U1189" i="1" s="1"/>
  <c r="U108" i="8" s="1"/>
  <c r="U107" i="8" s="1"/>
  <c r="U634" i="1"/>
  <c r="U647" i="1" s="1"/>
  <c r="G648" i="1"/>
  <c r="G1189" i="1" s="1"/>
  <c r="G108" i="8" s="1"/>
  <c r="G107" i="8" s="1"/>
  <c r="G634" i="1"/>
  <c r="G647" i="1" s="1"/>
  <c r="G987" i="1" s="1"/>
  <c r="L634" i="1"/>
  <c r="L647" i="1" s="1"/>
  <c r="L1695" i="1" s="1"/>
  <c r="L579" i="7" s="1"/>
  <c r="L648" i="1"/>
  <c r="L1189" i="1" s="1"/>
  <c r="L108" i="8" s="1"/>
  <c r="L107" i="8" s="1"/>
  <c r="J634" i="1"/>
  <c r="J647" i="1" s="1"/>
  <c r="J1695" i="1" s="1"/>
  <c r="J579" i="7" s="1"/>
  <c r="J648" i="1"/>
  <c r="J1189" i="1" s="1"/>
  <c r="J108" i="8" s="1"/>
  <c r="J107" i="8" s="1"/>
  <c r="H634" i="1"/>
  <c r="H647" i="1" s="1"/>
  <c r="H987" i="1" s="1"/>
  <c r="H1205" i="1" s="1"/>
  <c r="H196" i="7" s="1"/>
  <c r="H648" i="1"/>
  <c r="H1189" i="1" s="1"/>
  <c r="H108" i="8" s="1"/>
  <c r="H107" i="8" s="1"/>
  <c r="W634" i="1"/>
  <c r="W647" i="1" s="1"/>
  <c r="W648" i="1"/>
  <c r="W1189" i="1" s="1"/>
  <c r="W108" i="8" s="1"/>
  <c r="W107" i="8" s="1"/>
  <c r="Z634" i="1"/>
  <c r="Z647" i="1" s="1"/>
  <c r="Z648" i="1"/>
  <c r="Z1189" i="1" s="1"/>
  <c r="AB634" i="1"/>
  <c r="AB647" i="1" s="1"/>
  <c r="AB987" i="1" s="1"/>
  <c r="AB648" i="1"/>
  <c r="AB1189" i="1" s="1"/>
  <c r="P839" i="8"/>
  <c r="P689" i="8"/>
  <c r="P765" i="8"/>
  <c r="S765" i="8"/>
  <c r="S839" i="8"/>
  <c r="S689" i="8"/>
  <c r="N765" i="8"/>
  <c r="N839" i="8"/>
  <c r="N689" i="8"/>
  <c r="I839" i="8"/>
  <c r="I765" i="8"/>
  <c r="I689" i="8"/>
  <c r="Q689" i="8"/>
  <c r="Q839" i="8"/>
  <c r="Q765" i="8"/>
  <c r="X689" i="8"/>
  <c r="X839" i="8"/>
  <c r="X765" i="8"/>
  <c r="AC269" i="1"/>
  <c r="AC266" i="1" s="1"/>
  <c r="AB266" i="1"/>
  <c r="AC268" i="1" s="1"/>
  <c r="AE268" i="1" s="1"/>
  <c r="Y284" i="8"/>
  <c r="AA284" i="8" s="1"/>
  <c r="AA285" i="8"/>
  <c r="Y490" i="8"/>
  <c r="Y489" i="8" s="1"/>
  <c r="K689" i="8"/>
  <c r="K765" i="8"/>
  <c r="K839" i="8"/>
  <c r="AE651" i="1"/>
  <c r="F123" i="1"/>
  <c r="F22" i="7" s="1"/>
  <c r="F1874" i="1"/>
  <c r="AE1874" i="1" s="1"/>
  <c r="F1802" i="1"/>
  <c r="AE1802" i="1" s="1"/>
  <c r="F1728" i="1"/>
  <c r="F613" i="7" s="1"/>
  <c r="AE1349" i="1"/>
  <c r="AE345" i="7" s="1"/>
  <c r="F323" i="8"/>
  <c r="Y149" i="8"/>
  <c r="AE1210" i="1"/>
  <c r="AE201" i="7" s="1"/>
  <c r="G158" i="1"/>
  <c r="G57" i="7" s="1"/>
  <c r="G1475" i="1"/>
  <c r="T634" i="1"/>
  <c r="T647" i="1" s="1"/>
  <c r="T648" i="1"/>
  <c r="T1189" i="1" s="1"/>
  <c r="T108" i="8" s="1"/>
  <c r="T107" i="8" s="1"/>
  <c r="I634" i="1"/>
  <c r="I647" i="1" s="1"/>
  <c r="I987" i="1" s="1"/>
  <c r="I1205" i="1" s="1"/>
  <c r="I196" i="7" s="1"/>
  <c r="I648" i="1"/>
  <c r="I1189" i="1" s="1"/>
  <c r="I108" i="8" s="1"/>
  <c r="I107" i="8" s="1"/>
  <c r="Q634" i="1"/>
  <c r="Q647" i="1" s="1"/>
  <c r="Q1695" i="1" s="1"/>
  <c r="Q579" i="7" s="1"/>
  <c r="Q648" i="1"/>
  <c r="Q1189" i="1" s="1"/>
  <c r="Q108" i="8" s="1"/>
  <c r="Q107" i="8" s="1"/>
  <c r="N634" i="1"/>
  <c r="N647" i="1" s="1"/>
  <c r="N1695" i="1" s="1"/>
  <c r="N579" i="7" s="1"/>
  <c r="N648" i="1"/>
  <c r="N1189" i="1" s="1"/>
  <c r="N108" i="8" s="1"/>
  <c r="N107" i="8" s="1"/>
  <c r="X634" i="1"/>
  <c r="X647" i="1" s="1"/>
  <c r="X648" i="1"/>
  <c r="X1189" i="1" s="1"/>
  <c r="X108" i="8" s="1"/>
  <c r="X107" i="8" s="1"/>
  <c r="O634" i="1"/>
  <c r="O647" i="1" s="1"/>
  <c r="O1695" i="1" s="1"/>
  <c r="O579" i="7" s="1"/>
  <c r="O648" i="1"/>
  <c r="O1189" i="1" s="1"/>
  <c r="O108" i="8" s="1"/>
  <c r="O107" i="8" s="1"/>
  <c r="P634" i="1"/>
  <c r="P647" i="1" s="1"/>
  <c r="P1695" i="1" s="1"/>
  <c r="P579" i="7" s="1"/>
  <c r="P648" i="1"/>
  <c r="P1189" i="1" s="1"/>
  <c r="P108" i="8" s="1"/>
  <c r="P107" i="8" s="1"/>
  <c r="S648" i="1"/>
  <c r="S1189" i="1" s="1"/>
  <c r="S108" i="8" s="1"/>
  <c r="S107" i="8" s="1"/>
  <c r="S634" i="1"/>
  <c r="S647" i="1" s="1"/>
  <c r="V648" i="1"/>
  <c r="V1189" i="1" s="1"/>
  <c r="V108" i="8" s="1"/>
  <c r="V107" i="8" s="1"/>
  <c r="V634" i="1"/>
  <c r="V647" i="1" s="1"/>
  <c r="Y634" i="1"/>
  <c r="Y647" i="1" s="1"/>
  <c r="Y987" i="1" s="1"/>
  <c r="Y1205" i="1" s="1"/>
  <c r="Y196" i="7" s="1"/>
  <c r="Y648" i="1"/>
  <c r="Y1189" i="1" s="1"/>
  <c r="AA634" i="1"/>
  <c r="AA647" i="1" s="1"/>
  <c r="AA987" i="1" s="1"/>
  <c r="AA648" i="1"/>
  <c r="AA1189" i="1" s="1"/>
  <c r="AC634" i="1"/>
  <c r="AC647" i="1" s="1"/>
  <c r="AC987" i="1" s="1"/>
  <c r="AC648" i="1"/>
  <c r="AC1189" i="1" s="1"/>
  <c r="Y108" i="8" s="1"/>
  <c r="Y107" i="8" s="1"/>
  <c r="M765" i="8"/>
  <c r="M839" i="8"/>
  <c r="M689" i="8"/>
  <c r="J839" i="8"/>
  <c r="J765" i="8"/>
  <c r="J689" i="8"/>
  <c r="V839" i="8"/>
  <c r="V689" i="8"/>
  <c r="V765" i="8"/>
  <c r="O765" i="8"/>
  <c r="O689" i="8"/>
  <c r="O839" i="8"/>
  <c r="L689" i="8"/>
  <c r="L765" i="8"/>
  <c r="L839" i="8"/>
  <c r="W765" i="8"/>
  <c r="W839" i="8"/>
  <c r="W689" i="8"/>
  <c r="T765" i="8"/>
  <c r="T839" i="8"/>
  <c r="T689" i="8"/>
  <c r="G689" i="8"/>
  <c r="G839" i="8"/>
  <c r="G765" i="8"/>
  <c r="AC779" i="1"/>
  <c r="Y277" i="8"/>
  <c r="H765" i="8"/>
  <c r="H839" i="8"/>
  <c r="H689" i="8"/>
  <c r="Y839" i="8"/>
  <c r="Y689" i="8"/>
  <c r="Y765" i="8"/>
  <c r="AC252" i="1"/>
  <c r="AC248" i="1" s="1"/>
  <c r="K490" i="1"/>
  <c r="N428" i="1"/>
  <c r="W140" i="8"/>
  <c r="AA140" i="8" s="1"/>
  <c r="AA141" i="8"/>
  <c r="AE977" i="1"/>
  <c r="AE1003" i="1"/>
  <c r="X1484" i="1"/>
  <c r="G1347" i="1"/>
  <c r="G343" i="7" s="1"/>
  <c r="G1183" i="1"/>
  <c r="W484" i="8"/>
  <c r="W483" i="8" s="1"/>
  <c r="X121" i="1"/>
  <c r="X20" i="7" s="1"/>
  <c r="AE1005" i="1"/>
  <c r="X279" i="8"/>
  <c r="X1004" i="1"/>
  <c r="M355" i="1"/>
  <c r="M334" i="1"/>
  <c r="Q380" i="1"/>
  <c r="Q381" i="1" s="1"/>
  <c r="O302" i="1"/>
  <c r="O303" i="1"/>
  <c r="Y274" i="8" l="1"/>
  <c r="AA274" i="8" s="1"/>
  <c r="AA275" i="8"/>
  <c r="R1695" i="1"/>
  <c r="R579" i="7" s="1"/>
  <c r="Q1065" i="1"/>
  <c r="Q1069" i="1"/>
  <c r="S981" i="1"/>
  <c r="S1202" i="1" s="1"/>
  <c r="S1699" i="1"/>
  <c r="S1695" i="1" s="1"/>
  <c r="S579" i="7" s="1"/>
  <c r="S1675" i="1"/>
  <c r="R1703" i="1"/>
  <c r="R587" i="7" s="1"/>
  <c r="R584" i="7"/>
  <c r="R1011" i="1"/>
  <c r="R583" i="7"/>
  <c r="R1693" i="1"/>
  <c r="R577" i="7" s="1"/>
  <c r="R1698" i="1"/>
  <c r="R582" i="7" s="1"/>
  <c r="R1696" i="1"/>
  <c r="R580" i="7" s="1"/>
  <c r="R1697" i="1"/>
  <c r="R581" i="7" s="1"/>
  <c r="R1689" i="1"/>
  <c r="R573" i="7" s="1"/>
  <c r="S810" i="1"/>
  <c r="S1014" i="1" s="1"/>
  <c r="T796" i="1"/>
  <c r="R816" i="1"/>
  <c r="R1022" i="1" s="1"/>
  <c r="R1019" i="1" s="1"/>
  <c r="R1464" i="1" s="1"/>
  <c r="R447" i="8" s="1"/>
  <c r="R446" i="8" s="1"/>
  <c r="T1691" i="1"/>
  <c r="T801" i="1"/>
  <c r="U800" i="1" s="1"/>
  <c r="T815" i="1"/>
  <c r="R193" i="7"/>
  <c r="R133" i="8"/>
  <c r="R132" i="8" s="1"/>
  <c r="S1700" i="1"/>
  <c r="S575" i="7"/>
  <c r="R559" i="7"/>
  <c r="R1673" i="1"/>
  <c r="R557" i="7" s="1"/>
  <c r="R1665" i="1"/>
  <c r="R549" i="7" s="1"/>
  <c r="R1672" i="1"/>
  <c r="R556" i="7" s="1"/>
  <c r="R1669" i="1"/>
  <c r="R553" i="7" s="1"/>
  <c r="R1674" i="1"/>
  <c r="R558" i="7" s="1"/>
  <c r="Z1676" i="1"/>
  <c r="Z551" i="7"/>
  <c r="Y1679" i="1"/>
  <c r="Y563" i="7" s="1"/>
  <c r="Y560" i="7"/>
  <c r="AE200" i="1"/>
  <c r="AE99" i="7" s="1"/>
  <c r="AC99" i="7"/>
  <c r="J219" i="1"/>
  <c r="J118" i="7" s="1"/>
  <c r="J116" i="7"/>
  <c r="AB522" i="1"/>
  <c r="AC513" i="1" s="1"/>
  <c r="AE513" i="1" s="1"/>
  <c r="AB506" i="1"/>
  <c r="AC497" i="1" s="1"/>
  <c r="AE497" i="1" s="1"/>
  <c r="V1692" i="1"/>
  <c r="V576" i="7" s="1"/>
  <c r="V851" i="1"/>
  <c r="W850" i="1" s="1"/>
  <c r="V861" i="1"/>
  <c r="U982" i="1"/>
  <c r="U1203" i="1" s="1"/>
  <c r="U194" i="7" s="1"/>
  <c r="U862" i="1"/>
  <c r="T1203" i="1"/>
  <c r="T194" i="7" s="1"/>
  <c r="W733" i="1"/>
  <c r="V730" i="1"/>
  <c r="I62" i="8"/>
  <c r="I61" i="8" s="1"/>
  <c r="AE912" i="1"/>
  <c r="AC960" i="1"/>
  <c r="AE960" i="1" s="1"/>
  <c r="AC984" i="1"/>
  <c r="AB995" i="1"/>
  <c r="AB916" i="1"/>
  <c r="AB1204" i="1"/>
  <c r="AB195" i="7" s="1"/>
  <c r="AE911" i="1"/>
  <c r="AC928" i="1"/>
  <c r="AE928" i="1" s="1"/>
  <c r="AC910" i="1"/>
  <c r="AE910" i="1" s="1"/>
  <c r="AC983" i="1"/>
  <c r="AC1204" i="1" s="1"/>
  <c r="AC195" i="7" s="1"/>
  <c r="AC971" i="1"/>
  <c r="AE971" i="1" s="1"/>
  <c r="AE914" i="1"/>
  <c r="AA136" i="1"/>
  <c r="AA35" i="7" s="1"/>
  <c r="AA991" i="1"/>
  <c r="AB784" i="1"/>
  <c r="AC783" i="1" s="1"/>
  <c r="AC1667" i="1" s="1"/>
  <c r="AB1667" i="1"/>
  <c r="AA1667" i="1"/>
  <c r="AC201" i="1"/>
  <c r="AC100" i="7" s="1"/>
  <c r="F153" i="8"/>
  <c r="F152" i="8" s="1"/>
  <c r="G56" i="7"/>
  <c r="Z987" i="1"/>
  <c r="Z1205" i="1" s="1"/>
  <c r="Z196" i="7" s="1"/>
  <c r="V987" i="1"/>
  <c r="V1205" i="1" s="1"/>
  <c r="V196" i="7" s="1"/>
  <c r="S1671" i="1"/>
  <c r="S555" i="7" s="1"/>
  <c r="S987" i="1"/>
  <c r="S1205" i="1" s="1"/>
  <c r="S196" i="7" s="1"/>
  <c r="G468" i="8"/>
  <c r="G467" i="8" s="1"/>
  <c r="AE123" i="1"/>
  <c r="AE22" i="7" s="1"/>
  <c r="F119" i="1"/>
  <c r="F18" i="7" s="1"/>
  <c r="G1205" i="1"/>
  <c r="G196" i="7" s="1"/>
  <c r="U987" i="1"/>
  <c r="U1205" i="1" s="1"/>
  <c r="U196" i="7" s="1"/>
  <c r="F647" i="1"/>
  <c r="AE634" i="1"/>
  <c r="B634" i="1" s="1"/>
  <c r="O637" i="1"/>
  <c r="K637" i="1"/>
  <c r="M637" i="1"/>
  <c r="V637" i="1"/>
  <c r="U637" i="1"/>
  <c r="P637" i="1"/>
  <c r="L637" i="1"/>
  <c r="J637" i="1"/>
  <c r="Q637" i="1"/>
  <c r="Z637" i="1"/>
  <c r="Y637" i="1"/>
  <c r="AC637" i="1"/>
  <c r="F637" i="1"/>
  <c r="I637" i="1"/>
  <c r="T637" i="1"/>
  <c r="S637" i="1"/>
  <c r="N637" i="1"/>
  <c r="R637" i="1"/>
  <c r="W637" i="1"/>
  <c r="X637" i="1"/>
  <c r="H637" i="1"/>
  <c r="G637" i="1"/>
  <c r="AB637" i="1"/>
  <c r="AA637" i="1"/>
  <c r="M1671" i="1"/>
  <c r="M555" i="7" s="1"/>
  <c r="M987" i="1"/>
  <c r="M1205" i="1" s="1"/>
  <c r="M196" i="7" s="1"/>
  <c r="K1671" i="1"/>
  <c r="K555" i="7" s="1"/>
  <c r="K987" i="1"/>
  <c r="K1205" i="1" s="1"/>
  <c r="K196" i="7" s="1"/>
  <c r="R1671" i="1"/>
  <c r="R555" i="7" s="1"/>
  <c r="R987" i="1"/>
  <c r="R1205" i="1" s="1"/>
  <c r="R196" i="7" s="1"/>
  <c r="Y276" i="8"/>
  <c r="AA276" i="8" s="1"/>
  <c r="AA277" i="8"/>
  <c r="AC1205" i="1"/>
  <c r="AC196" i="7" s="1"/>
  <c r="AA1205" i="1"/>
  <c r="AA196" i="7" s="1"/>
  <c r="P1671" i="1"/>
  <c r="P555" i="7" s="1"/>
  <c r="P987" i="1"/>
  <c r="P1205" i="1" s="1"/>
  <c r="P196" i="7" s="1"/>
  <c r="O1671" i="1"/>
  <c r="O555" i="7" s="1"/>
  <c r="O987" i="1"/>
  <c r="O1205" i="1" s="1"/>
  <c r="O196" i="7" s="1"/>
  <c r="X987" i="1"/>
  <c r="X1205" i="1" s="1"/>
  <c r="X196" i="7" s="1"/>
  <c r="N1671" i="1"/>
  <c r="N555" i="7" s="1"/>
  <c r="N987" i="1"/>
  <c r="N1205" i="1" s="1"/>
  <c r="N196" i="7" s="1"/>
  <c r="Q1671" i="1"/>
  <c r="Q555" i="7" s="1"/>
  <c r="Q987" i="1"/>
  <c r="Q1205" i="1" s="1"/>
  <c r="Q196" i="7" s="1"/>
  <c r="I139" i="8"/>
  <c r="I138" i="8" s="1"/>
  <c r="T987" i="1"/>
  <c r="T1205" i="1" s="1"/>
  <c r="T196" i="7" s="1"/>
  <c r="Y148" i="8"/>
  <c r="AA148" i="8" s="1"/>
  <c r="AA149" i="8"/>
  <c r="AA323" i="8"/>
  <c r="F322" i="8"/>
  <c r="AE1728" i="1"/>
  <c r="AE613" i="7" s="1"/>
  <c r="AB1205" i="1"/>
  <c r="AB196" i="7" s="1"/>
  <c r="W987" i="1"/>
  <c r="W1205" i="1" s="1"/>
  <c r="W196" i="7" s="1"/>
  <c r="H139" i="8"/>
  <c r="H138" i="8" s="1"/>
  <c r="J1671" i="1"/>
  <c r="J555" i="7" s="1"/>
  <c r="J987" i="1"/>
  <c r="J1205" i="1" s="1"/>
  <c r="J196" i="7" s="1"/>
  <c r="L1671" i="1"/>
  <c r="L555" i="7" s="1"/>
  <c r="L987" i="1"/>
  <c r="L1205" i="1" s="1"/>
  <c r="L196" i="7" s="1"/>
  <c r="AE648" i="1"/>
  <c r="F1189" i="1"/>
  <c r="H579" i="1"/>
  <c r="I528" i="1"/>
  <c r="AC243" i="1"/>
  <c r="AC239" i="1" s="1"/>
  <c r="AE1325" i="1"/>
  <c r="AE321" i="7" s="1"/>
  <c r="Y151" i="8"/>
  <c r="Y150" i="8" s="1"/>
  <c r="L481" i="1"/>
  <c r="K615" i="1"/>
  <c r="K1468" i="1" s="1"/>
  <c r="N429" i="1"/>
  <c r="X278" i="8"/>
  <c r="X119" i="1"/>
  <c r="X18" i="7" s="1"/>
  <c r="AE121" i="1"/>
  <c r="AE20" i="7" s="1"/>
  <c r="G98" i="8"/>
  <c r="G97" i="8" s="1"/>
  <c r="Y279" i="8"/>
  <c r="Y278" i="8" s="1"/>
  <c r="X989" i="1"/>
  <c r="AE1004" i="1"/>
  <c r="G319" i="8"/>
  <c r="G318" i="8" s="1"/>
  <c r="G2023" i="1"/>
  <c r="G1800" i="1"/>
  <c r="G1946" i="1"/>
  <c r="H1122" i="1"/>
  <c r="X484" i="8"/>
  <c r="X483" i="8" s="1"/>
  <c r="O312" i="1"/>
  <c r="O313" i="1" s="1"/>
  <c r="P303" i="1" s="1"/>
  <c r="N324" i="1"/>
  <c r="N323" i="1"/>
  <c r="M566" i="1"/>
  <c r="N344" i="1"/>
  <c r="N345" i="1"/>
  <c r="R371" i="1"/>
  <c r="R370" i="1"/>
  <c r="R1069" i="1" l="1"/>
  <c r="T575" i="7"/>
  <c r="T1700" i="1"/>
  <c r="R1466" i="1"/>
  <c r="R451" i="8" s="1"/>
  <c r="R450" i="8" s="1"/>
  <c r="R1065" i="1"/>
  <c r="S583" i="7"/>
  <c r="S1696" i="1"/>
  <c r="S580" i="7" s="1"/>
  <c r="S1689" i="1"/>
  <c r="S573" i="7" s="1"/>
  <c r="S1697" i="1"/>
  <c r="S581" i="7" s="1"/>
  <c r="S1698" i="1"/>
  <c r="S582" i="7" s="1"/>
  <c r="S1693" i="1"/>
  <c r="S577" i="7" s="1"/>
  <c r="S193" i="7"/>
  <c r="S133" i="8"/>
  <c r="S132" i="8" s="1"/>
  <c r="T981" i="1"/>
  <c r="T1202" i="1" s="1"/>
  <c r="T1675" i="1"/>
  <c r="T1699" i="1"/>
  <c r="U796" i="1"/>
  <c r="T810" i="1"/>
  <c r="T1014" i="1" s="1"/>
  <c r="S816" i="1"/>
  <c r="S1022" i="1" s="1"/>
  <c r="S1019" i="1" s="1"/>
  <c r="S1464" i="1" s="1"/>
  <c r="S447" i="8" s="1"/>
  <c r="S446" i="8" s="1"/>
  <c r="S1703" i="1"/>
  <c r="S587" i="7" s="1"/>
  <c r="S584" i="7"/>
  <c r="U815" i="1"/>
  <c r="U1691" i="1"/>
  <c r="S1011" i="1"/>
  <c r="S559" i="7"/>
  <c r="S1665" i="1"/>
  <c r="S549" i="7" s="1"/>
  <c r="S1674" i="1"/>
  <c r="S558" i="7" s="1"/>
  <c r="S1672" i="1"/>
  <c r="S556" i="7" s="1"/>
  <c r="S1673" i="1"/>
  <c r="S557" i="7" s="1"/>
  <c r="S1669" i="1"/>
  <c r="S553" i="7" s="1"/>
  <c r="AB1676" i="1"/>
  <c r="AB551" i="7"/>
  <c r="AC1676" i="1"/>
  <c r="AC551" i="7"/>
  <c r="AA1676" i="1"/>
  <c r="AA551" i="7"/>
  <c r="Z1679" i="1"/>
  <c r="Z563" i="7" s="1"/>
  <c r="Z560" i="7"/>
  <c r="J220" i="1"/>
  <c r="J119" i="7" s="1"/>
  <c r="K218" i="1"/>
  <c r="K117" i="7" s="1"/>
  <c r="AC521" i="1"/>
  <c r="AC522" i="1" s="1"/>
  <c r="AC505" i="1"/>
  <c r="AC506" i="1" s="1"/>
  <c r="AC784" i="1"/>
  <c r="G1053" i="1"/>
  <c r="W730" i="1"/>
  <c r="X733" i="1"/>
  <c r="T135" i="8"/>
  <c r="W1692" i="1"/>
  <c r="W576" i="7" s="1"/>
  <c r="W861" i="1"/>
  <c r="W851" i="1"/>
  <c r="X850" i="1" s="1"/>
  <c r="U135" i="8"/>
  <c r="U134" i="8" s="1"/>
  <c r="V862" i="1"/>
  <c r="V982" i="1"/>
  <c r="AE783" i="1"/>
  <c r="Y137" i="8"/>
  <c r="AE983" i="1"/>
  <c r="AB136" i="1"/>
  <c r="AB35" i="7" s="1"/>
  <c r="AB991" i="1"/>
  <c r="AC1209" i="1"/>
  <c r="AC200" i="7" s="1"/>
  <c r="AE984" i="1"/>
  <c r="AC995" i="1"/>
  <c r="AC916" i="1"/>
  <c r="AE916" i="1" s="1"/>
  <c r="AE1204" i="1"/>
  <c r="AE195" i="7" s="1"/>
  <c r="AE201" i="1"/>
  <c r="AE100" i="7" s="1"/>
  <c r="G1212" i="1"/>
  <c r="G203" i="7" s="1"/>
  <c r="H1475" i="1"/>
  <c r="H158" i="1"/>
  <c r="H57" i="7" s="1"/>
  <c r="W139" i="8"/>
  <c r="W138" i="8" s="1"/>
  <c r="T139" i="8"/>
  <c r="T138" i="8" s="1"/>
  <c r="X139" i="8"/>
  <c r="X138" i="8" s="1"/>
  <c r="Y139" i="8"/>
  <c r="Y138" i="8" s="1"/>
  <c r="R139" i="8"/>
  <c r="R138" i="8" s="1"/>
  <c r="K139" i="8"/>
  <c r="K138" i="8" s="1"/>
  <c r="M139" i="8"/>
  <c r="M138" i="8" s="1"/>
  <c r="S139" i="8"/>
  <c r="S138" i="8" s="1"/>
  <c r="I531" i="1"/>
  <c r="I578" i="1"/>
  <c r="F108" i="8"/>
  <c r="AE1189" i="1"/>
  <c r="L139" i="8"/>
  <c r="L138" i="8" s="1"/>
  <c r="J139" i="8"/>
  <c r="J138" i="8" s="1"/>
  <c r="F689" i="8"/>
  <c r="AA689" i="8" s="1"/>
  <c r="AA322" i="8"/>
  <c r="F839" i="8"/>
  <c r="AA839" i="8" s="1"/>
  <c r="F765" i="8"/>
  <c r="AA765" i="8" s="1"/>
  <c r="Q139" i="8"/>
  <c r="Q138" i="8" s="1"/>
  <c r="N139" i="8"/>
  <c r="N138" i="8" s="1"/>
  <c r="O139" i="8"/>
  <c r="O138" i="8" s="1"/>
  <c r="P139" i="8"/>
  <c r="P138" i="8" s="1"/>
  <c r="F987" i="1"/>
  <c r="AE647" i="1"/>
  <c r="L653" i="1"/>
  <c r="W653" i="1"/>
  <c r="S653" i="1"/>
  <c r="Q653" i="1"/>
  <c r="F653" i="1"/>
  <c r="V653" i="1"/>
  <c r="O653" i="1"/>
  <c r="H653" i="1"/>
  <c r="K653" i="1"/>
  <c r="T653" i="1"/>
  <c r="AB653" i="1"/>
  <c r="Y653" i="1"/>
  <c r="AC653" i="1"/>
  <c r="J653" i="1"/>
  <c r="N653" i="1"/>
  <c r="M653" i="1"/>
  <c r="R653" i="1"/>
  <c r="X653" i="1"/>
  <c r="U653" i="1"/>
  <c r="I653" i="1"/>
  <c r="P653" i="1"/>
  <c r="G653" i="1"/>
  <c r="Z653" i="1"/>
  <c r="AA653" i="1"/>
  <c r="U139" i="8"/>
  <c r="U138" i="8" s="1"/>
  <c r="G139" i="8"/>
  <c r="G138" i="8" s="1"/>
  <c r="V139" i="8"/>
  <c r="V138" i="8" s="1"/>
  <c r="K455" i="8"/>
  <c r="K454" i="8" s="1"/>
  <c r="L614" i="1"/>
  <c r="L489" i="1"/>
  <c r="O419" i="1"/>
  <c r="O418" i="1"/>
  <c r="P302" i="1"/>
  <c r="P312" i="1" s="1"/>
  <c r="P313" i="1" s="1"/>
  <c r="Y484" i="8"/>
  <c r="Y483" i="8" s="1"/>
  <c r="G913" i="8"/>
  <c r="G939" i="8"/>
  <c r="G763" i="8"/>
  <c r="X1211" i="1"/>
  <c r="X202" i="7" s="1"/>
  <c r="AE989" i="1"/>
  <c r="AA278" i="8"/>
  <c r="H1347" i="1"/>
  <c r="H343" i="7" s="1"/>
  <c r="H1183" i="1"/>
  <c r="F1122" i="1"/>
  <c r="F1118" i="1"/>
  <c r="F1116" i="1" s="1"/>
  <c r="AA279" i="8"/>
  <c r="N354" i="1"/>
  <c r="M1474" i="1"/>
  <c r="N333" i="1"/>
  <c r="N565" i="1"/>
  <c r="R380" i="1"/>
  <c r="S1069" i="1" l="1"/>
  <c r="U575" i="7"/>
  <c r="U1700" i="1"/>
  <c r="T559" i="7"/>
  <c r="T1672" i="1"/>
  <c r="T556" i="7" s="1"/>
  <c r="T1669" i="1"/>
  <c r="T553" i="7" s="1"/>
  <c r="T1674" i="1"/>
  <c r="T558" i="7" s="1"/>
  <c r="T1665" i="1"/>
  <c r="T549" i="7" s="1"/>
  <c r="T1673" i="1"/>
  <c r="T557" i="7" s="1"/>
  <c r="T1671" i="1"/>
  <c r="T555" i="7" s="1"/>
  <c r="U1699" i="1"/>
  <c r="U981" i="1"/>
  <c r="U1202" i="1" s="1"/>
  <c r="U1675" i="1"/>
  <c r="T1011" i="1"/>
  <c r="T193" i="7"/>
  <c r="T133" i="8"/>
  <c r="T132" i="8" s="1"/>
  <c r="T1703" i="1"/>
  <c r="T587" i="7" s="1"/>
  <c r="T584" i="7"/>
  <c r="S1466" i="1"/>
  <c r="S451" i="8" s="1"/>
  <c r="S450" i="8" s="1"/>
  <c r="S1065" i="1"/>
  <c r="V796" i="1"/>
  <c r="U810" i="1"/>
  <c r="U1014" i="1" s="1"/>
  <c r="U1011" i="1" s="1"/>
  <c r="U1466" i="1" s="1"/>
  <c r="U451" i="8" s="1"/>
  <c r="U450" i="8" s="1"/>
  <c r="T816" i="1"/>
  <c r="T1022" i="1" s="1"/>
  <c r="T1019" i="1" s="1"/>
  <c r="T1464" i="1" s="1"/>
  <c r="T447" i="8" s="1"/>
  <c r="T446" i="8" s="1"/>
  <c r="U801" i="1"/>
  <c r="V800" i="1" s="1"/>
  <c r="T583" i="7"/>
  <c r="T1697" i="1"/>
  <c r="T581" i="7" s="1"/>
  <c r="T1689" i="1"/>
  <c r="T573" i="7" s="1"/>
  <c r="T1695" i="1"/>
  <c r="T579" i="7" s="1"/>
  <c r="T1696" i="1"/>
  <c r="T580" i="7" s="1"/>
  <c r="T1698" i="1"/>
  <c r="T582" i="7" s="1"/>
  <c r="T1693" i="1"/>
  <c r="T577" i="7" s="1"/>
  <c r="AA1679" i="1"/>
  <c r="AA563" i="7" s="1"/>
  <c r="AA560" i="7"/>
  <c r="AC1679" i="1"/>
  <c r="AC563" i="7" s="1"/>
  <c r="AC560" i="7"/>
  <c r="AB1679" i="1"/>
  <c r="AB563" i="7" s="1"/>
  <c r="AB560" i="7"/>
  <c r="J214" i="1"/>
  <c r="J113" i="7" s="1"/>
  <c r="K216" i="1"/>
  <c r="K115" i="7" s="1"/>
  <c r="X1692" i="1"/>
  <c r="X576" i="7" s="1"/>
  <c r="X851" i="1"/>
  <c r="X861" i="1"/>
  <c r="V1203" i="1"/>
  <c r="V194" i="7" s="1"/>
  <c r="W982" i="1"/>
  <c r="W1203" i="1" s="1"/>
  <c r="W194" i="7" s="1"/>
  <c r="W862" i="1"/>
  <c r="T134" i="8"/>
  <c r="Y850" i="1"/>
  <c r="Y733" i="1"/>
  <c r="X730" i="1"/>
  <c r="AA137" i="8"/>
  <c r="Y136" i="8"/>
  <c r="AA136" i="8" s="1"/>
  <c r="AC136" i="1"/>
  <c r="AC35" i="7" s="1"/>
  <c r="AC991" i="1"/>
  <c r="AE991" i="1" s="1"/>
  <c r="AE995" i="1"/>
  <c r="Y147" i="8"/>
  <c r="AE1209" i="1"/>
  <c r="AE200" i="7" s="1"/>
  <c r="G153" i="8"/>
  <c r="G152" i="8" s="1"/>
  <c r="H56" i="7"/>
  <c r="F1049" i="1"/>
  <c r="AA1463" i="1"/>
  <c r="G1463" i="1"/>
  <c r="I1463" i="1"/>
  <c r="X1463" i="1"/>
  <c r="M1463" i="1"/>
  <c r="J1463" i="1"/>
  <c r="Y1463" i="1"/>
  <c r="T1463" i="1"/>
  <c r="H1463" i="1"/>
  <c r="V1463" i="1"/>
  <c r="Q1463" i="1"/>
  <c r="W1463" i="1"/>
  <c r="Z1463" i="1"/>
  <c r="P1463" i="1"/>
  <c r="U1463" i="1"/>
  <c r="R1463" i="1"/>
  <c r="N1463" i="1"/>
  <c r="AC1463" i="1"/>
  <c r="AB1463" i="1"/>
  <c r="K1463" i="1"/>
  <c r="O1463" i="1"/>
  <c r="F1463" i="1"/>
  <c r="S1463" i="1"/>
  <c r="L1463" i="1"/>
  <c r="F1205" i="1"/>
  <c r="F196" i="7" s="1"/>
  <c r="AE987" i="1"/>
  <c r="F107" i="8"/>
  <c r="AA107" i="8" s="1"/>
  <c r="AA108" i="8"/>
  <c r="J528" i="1"/>
  <c r="I579" i="1"/>
  <c r="H468" i="8"/>
  <c r="H467" i="8" s="1"/>
  <c r="M466" i="8"/>
  <c r="M465" i="8" s="1"/>
  <c r="L490" i="1"/>
  <c r="O428" i="1"/>
  <c r="Q303" i="1"/>
  <c r="Q302" i="1"/>
  <c r="F1129" i="1"/>
  <c r="F1131" i="1" s="1"/>
  <c r="F1493" i="1" s="1"/>
  <c r="H319" i="8"/>
  <c r="H318" i="8" s="1"/>
  <c r="H1946" i="1"/>
  <c r="H2023" i="1"/>
  <c r="H1800" i="1"/>
  <c r="F1117" i="1"/>
  <c r="F1115" i="1" s="1"/>
  <c r="F1124" i="1" s="1"/>
  <c r="G1118" i="1"/>
  <c r="G1116" i="1" s="1"/>
  <c r="H98" i="8"/>
  <c r="H97" i="8" s="1"/>
  <c r="H1177" i="1"/>
  <c r="I1122" i="1"/>
  <c r="X151" i="8"/>
  <c r="AE1211" i="1"/>
  <c r="AE202" i="7" s="1"/>
  <c r="F1347" i="1"/>
  <c r="F343" i="7" s="1"/>
  <c r="F1183" i="1"/>
  <c r="N355" i="1"/>
  <c r="N334" i="1"/>
  <c r="R381" i="1"/>
  <c r="T1069" i="1" l="1"/>
  <c r="U816" i="1"/>
  <c r="U1022" i="1" s="1"/>
  <c r="U1019" i="1" s="1"/>
  <c r="U1065" i="1" s="1"/>
  <c r="V801" i="1"/>
  <c r="W800" i="1" s="1"/>
  <c r="V815" i="1"/>
  <c r="V1691" i="1"/>
  <c r="U559" i="7"/>
  <c r="U1665" i="1"/>
  <c r="U549" i="7" s="1"/>
  <c r="U1672" i="1"/>
  <c r="U556" i="7" s="1"/>
  <c r="U1674" i="1"/>
  <c r="U558" i="7" s="1"/>
  <c r="U1669" i="1"/>
  <c r="U553" i="7" s="1"/>
  <c r="U1671" i="1"/>
  <c r="U555" i="7" s="1"/>
  <c r="U1673" i="1"/>
  <c r="U557" i="7" s="1"/>
  <c r="U193" i="7"/>
  <c r="U133" i="8"/>
  <c r="U132" i="8" s="1"/>
  <c r="U583" i="7"/>
  <c r="U1693" i="1"/>
  <c r="U577" i="7" s="1"/>
  <c r="U1695" i="1"/>
  <c r="U579" i="7" s="1"/>
  <c r="U1696" i="1"/>
  <c r="U580" i="7" s="1"/>
  <c r="U1689" i="1"/>
  <c r="U573" i="7" s="1"/>
  <c r="U1697" i="1"/>
  <c r="U581" i="7" s="1"/>
  <c r="U1698" i="1"/>
  <c r="U582" i="7" s="1"/>
  <c r="U584" i="7"/>
  <c r="U1703" i="1"/>
  <c r="U587" i="7" s="1"/>
  <c r="W796" i="1"/>
  <c r="V810" i="1"/>
  <c r="V1014" i="1" s="1"/>
  <c r="V1011" i="1" s="1"/>
  <c r="V1466" i="1" s="1"/>
  <c r="V451" i="8" s="1"/>
  <c r="V450" i="8" s="1"/>
  <c r="T1466" i="1"/>
  <c r="T451" i="8" s="1"/>
  <c r="T450" i="8" s="1"/>
  <c r="T1065" i="1"/>
  <c r="J215" i="1"/>
  <c r="J114" i="7" s="1"/>
  <c r="AE136" i="1"/>
  <c r="AE35" i="7" s="1"/>
  <c r="K217" i="1"/>
  <c r="K116" i="7" s="1"/>
  <c r="Y730" i="1"/>
  <c r="Z733" i="1"/>
  <c r="W135" i="8"/>
  <c r="W134" i="8" s="1"/>
  <c r="V135" i="8"/>
  <c r="Y851" i="1"/>
  <c r="Z850" i="1" s="1"/>
  <c r="Y1692" i="1"/>
  <c r="Y576" i="7" s="1"/>
  <c r="Y861" i="1"/>
  <c r="U1464" i="1"/>
  <c r="U447" i="8" s="1"/>
  <c r="U446" i="8" s="1"/>
  <c r="X982" i="1"/>
  <c r="X862" i="1"/>
  <c r="AA147" i="8"/>
  <c r="Y146" i="8"/>
  <c r="AA146" i="8" s="1"/>
  <c r="H1212" i="1"/>
  <c r="H203" i="7" s="1"/>
  <c r="H1053" i="1"/>
  <c r="G1049" i="1"/>
  <c r="F501" i="8"/>
  <c r="F500" i="8" s="1"/>
  <c r="J531" i="1"/>
  <c r="Y445" i="8"/>
  <c r="Y444" i="8" s="1"/>
  <c r="N445" i="8"/>
  <c r="N444" i="8" s="1"/>
  <c r="R445" i="8"/>
  <c r="R444" i="8" s="1"/>
  <c r="U445" i="8"/>
  <c r="U444" i="8" s="1"/>
  <c r="P445" i="8"/>
  <c r="P444" i="8" s="1"/>
  <c r="W445" i="8"/>
  <c r="W444" i="8" s="1"/>
  <c r="V445" i="8"/>
  <c r="V444" i="8" s="1"/>
  <c r="X445" i="8"/>
  <c r="X444" i="8" s="1"/>
  <c r="I445" i="8"/>
  <c r="I444" i="8" s="1"/>
  <c r="I158" i="1"/>
  <c r="I57" i="7" s="1"/>
  <c r="I1475" i="1"/>
  <c r="AE1205" i="1"/>
  <c r="AE196" i="7" s="1"/>
  <c r="F139" i="8"/>
  <c r="L445" i="8"/>
  <c r="L444" i="8" s="1"/>
  <c r="S445" i="8"/>
  <c r="S444" i="8" s="1"/>
  <c r="F445" i="8"/>
  <c r="F444" i="8" s="1"/>
  <c r="O445" i="8"/>
  <c r="O444" i="8" s="1"/>
  <c r="K445" i="8"/>
  <c r="K444" i="8" s="1"/>
  <c r="Q445" i="8"/>
  <c r="Q444" i="8" s="1"/>
  <c r="H445" i="8"/>
  <c r="H444" i="8" s="1"/>
  <c r="T445" i="8"/>
  <c r="T444" i="8" s="1"/>
  <c r="J445" i="8"/>
  <c r="J444" i="8" s="1"/>
  <c r="M445" i="8"/>
  <c r="M444" i="8" s="1"/>
  <c r="G445" i="8"/>
  <c r="G444" i="8" s="1"/>
  <c r="M481" i="1"/>
  <c r="L615" i="1"/>
  <c r="L1468" i="1" s="1"/>
  <c r="O429" i="1"/>
  <c r="Q312" i="1"/>
  <c r="Q313" i="1" s="1"/>
  <c r="F1177" i="1"/>
  <c r="F87" i="8" s="1"/>
  <c r="F86" i="8" s="1"/>
  <c r="F98" i="8"/>
  <c r="F97" i="8" s="1"/>
  <c r="I1347" i="1"/>
  <c r="I343" i="7" s="1"/>
  <c r="I1183" i="1"/>
  <c r="H87" i="8"/>
  <c r="H86" i="8" s="1"/>
  <c r="G1117" i="1"/>
  <c r="H1118" i="1"/>
  <c r="G1115" i="1"/>
  <c r="G1124" i="1" s="1"/>
  <c r="F1120" i="1"/>
  <c r="F1119" i="1"/>
  <c r="F1125" i="1" s="1"/>
  <c r="F178" i="1" s="1"/>
  <c r="F77" i="7" s="1"/>
  <c r="H913" i="8"/>
  <c r="H763" i="8"/>
  <c r="H939" i="8"/>
  <c r="F1800" i="1"/>
  <c r="F319" i="8"/>
  <c r="F318" i="8" s="1"/>
  <c r="F2023" i="1"/>
  <c r="F1946" i="1"/>
  <c r="X150" i="8"/>
  <c r="AA150" i="8" s="1"/>
  <c r="AA151" i="8"/>
  <c r="F1327" i="1"/>
  <c r="F323" i="7" s="1"/>
  <c r="F1187" i="1"/>
  <c r="F104" i="8" s="1"/>
  <c r="F103" i="8" s="1"/>
  <c r="H1116" i="1"/>
  <c r="G1129" i="1"/>
  <c r="O323" i="1"/>
  <c r="O324" i="1"/>
  <c r="N566" i="1"/>
  <c r="O345" i="1"/>
  <c r="O344" i="1"/>
  <c r="S370" i="1"/>
  <c r="S371" i="1"/>
  <c r="U1069" i="1" l="1"/>
  <c r="V575" i="7"/>
  <c r="V1700" i="1"/>
  <c r="V981" i="1"/>
  <c r="V1202" i="1" s="1"/>
  <c r="V1675" i="1"/>
  <c r="V816" i="1"/>
  <c r="V1022" i="1" s="1"/>
  <c r="V1019" i="1" s="1"/>
  <c r="V1464" i="1" s="1"/>
  <c r="V447" i="8" s="1"/>
  <c r="V446" i="8" s="1"/>
  <c r="V1699" i="1"/>
  <c r="W815" i="1"/>
  <c r="W1691" i="1"/>
  <c r="X796" i="1"/>
  <c r="W810" i="1"/>
  <c r="W1014" i="1" s="1"/>
  <c r="W1011" i="1" s="1"/>
  <c r="W1466" i="1" s="1"/>
  <c r="W451" i="8" s="1"/>
  <c r="W450" i="8" s="1"/>
  <c r="W801" i="1"/>
  <c r="X800" i="1" s="1"/>
  <c r="X801" i="1" s="1"/>
  <c r="Y800" i="1" s="1"/>
  <c r="J62" i="8"/>
  <c r="J61" i="8" s="1"/>
  <c r="K219" i="1"/>
  <c r="K220" i="1" s="1"/>
  <c r="Z851" i="1"/>
  <c r="AA850" i="1" s="1"/>
  <c r="Z1692" i="1"/>
  <c r="Z576" i="7" s="1"/>
  <c r="Z861" i="1"/>
  <c r="Y982" i="1"/>
  <c r="Y1203" i="1" s="1"/>
  <c r="Y194" i="7" s="1"/>
  <c r="Y862" i="1"/>
  <c r="V134" i="8"/>
  <c r="X1203" i="1"/>
  <c r="X194" i="7" s="1"/>
  <c r="AA733" i="1"/>
  <c r="Z730" i="1"/>
  <c r="H153" i="8"/>
  <c r="H152" i="8" s="1"/>
  <c r="F179" i="1"/>
  <c r="F78" i="7" s="1"/>
  <c r="H1049" i="1"/>
  <c r="I56" i="7"/>
  <c r="F138" i="8"/>
  <c r="AA138" i="8" s="1"/>
  <c r="AA139" i="8"/>
  <c r="I468" i="8"/>
  <c r="I467" i="8" s="1"/>
  <c r="K528" i="1"/>
  <c r="L455" i="8"/>
  <c r="L454" i="8" s="1"/>
  <c r="M614" i="1"/>
  <c r="M489" i="1"/>
  <c r="P419" i="1"/>
  <c r="P418" i="1"/>
  <c r="H1129" i="1"/>
  <c r="F1128" i="1"/>
  <c r="F1126" i="1"/>
  <c r="H1117" i="1"/>
  <c r="I1118" i="1"/>
  <c r="I1116" i="1" s="1"/>
  <c r="H1115" i="1"/>
  <c r="H1124" i="1" s="1"/>
  <c r="I319" i="8"/>
  <c r="I318" i="8" s="1"/>
  <c r="I1946" i="1"/>
  <c r="I1800" i="1"/>
  <c r="I2023" i="1"/>
  <c r="G1131" i="1"/>
  <c r="G1493" i="1" s="1"/>
  <c r="J1122" i="1"/>
  <c r="F283" i="8"/>
  <c r="F282" i="8" s="1"/>
  <c r="F2025" i="1"/>
  <c r="F1578" i="1"/>
  <c r="F458" i="7" s="1"/>
  <c r="F1722" i="1"/>
  <c r="F607" i="7" s="1"/>
  <c r="F1868" i="1"/>
  <c r="F763" i="8"/>
  <c r="F939" i="8"/>
  <c r="F913" i="8"/>
  <c r="G1187" i="1"/>
  <c r="G1327" i="1"/>
  <c r="G323" i="7" s="1"/>
  <c r="G1119" i="1"/>
  <c r="G1125" i="1" s="1"/>
  <c r="G178" i="1" s="1"/>
  <c r="G77" i="7" s="1"/>
  <c r="G1120" i="1"/>
  <c r="I98" i="8"/>
  <c r="I97" i="8" s="1"/>
  <c r="O354" i="1"/>
  <c r="O355" i="1" s="1"/>
  <c r="O333" i="1"/>
  <c r="N1474" i="1"/>
  <c r="O565" i="1"/>
  <c r="S380" i="1"/>
  <c r="S381" i="1" s="1"/>
  <c r="T371" i="1" s="1"/>
  <c r="R303" i="1"/>
  <c r="R302" i="1"/>
  <c r="V1065" i="1" l="1"/>
  <c r="W816" i="1"/>
  <c r="W1022" i="1" s="1"/>
  <c r="W1019" i="1" s="1"/>
  <c r="Y815" i="1"/>
  <c r="Y1691" i="1"/>
  <c r="Y796" i="1"/>
  <c r="X810" i="1"/>
  <c r="X1014" i="1" s="1"/>
  <c r="X1011" i="1" s="1"/>
  <c r="X1466" i="1" s="1"/>
  <c r="X451" i="8" s="1"/>
  <c r="X450" i="8" s="1"/>
  <c r="V193" i="7"/>
  <c r="V133" i="8"/>
  <c r="V132" i="8" s="1"/>
  <c r="V583" i="7"/>
  <c r="V1696" i="1"/>
  <c r="V580" i="7" s="1"/>
  <c r="V1697" i="1"/>
  <c r="V581" i="7" s="1"/>
  <c r="V1689" i="1"/>
  <c r="V573" i="7" s="1"/>
  <c r="V1695" i="1"/>
  <c r="V579" i="7" s="1"/>
  <c r="V1693" i="1"/>
  <c r="V577" i="7" s="1"/>
  <c r="V1698" i="1"/>
  <c r="V582" i="7" s="1"/>
  <c r="V1703" i="1"/>
  <c r="V587" i="7" s="1"/>
  <c r="V584" i="7"/>
  <c r="X815" i="1"/>
  <c r="X1691" i="1"/>
  <c r="Y801" i="1"/>
  <c r="Z800" i="1" s="1"/>
  <c r="W1700" i="1"/>
  <c r="W575" i="7"/>
  <c r="W981" i="1"/>
  <c r="W1202" i="1" s="1"/>
  <c r="W1699" i="1"/>
  <c r="W1675" i="1"/>
  <c r="V559" i="7"/>
  <c r="V1665" i="1"/>
  <c r="V549" i="7" s="1"/>
  <c r="V1671" i="1"/>
  <c r="V555" i="7" s="1"/>
  <c r="V1669" i="1"/>
  <c r="V553" i="7" s="1"/>
  <c r="V1673" i="1"/>
  <c r="V557" i="7" s="1"/>
  <c r="V1674" i="1"/>
  <c r="V558" i="7" s="1"/>
  <c r="V1672" i="1"/>
  <c r="V556" i="7" s="1"/>
  <c r="V1069" i="1"/>
  <c r="L218" i="1"/>
  <c r="L117" i="7" s="1"/>
  <c r="K118" i="7"/>
  <c r="K119" i="7"/>
  <c r="K214" i="1"/>
  <c r="K113" i="7" s="1"/>
  <c r="L216" i="1"/>
  <c r="L115" i="7" s="1"/>
  <c r="AA730" i="1"/>
  <c r="AB733" i="1"/>
  <c r="Z982" i="1"/>
  <c r="Z862" i="1"/>
  <c r="AA851" i="1"/>
  <c r="AB850" i="1" s="1"/>
  <c r="AA1692" i="1"/>
  <c r="AA576" i="7" s="1"/>
  <c r="AA861" i="1"/>
  <c r="AA982" i="1" s="1"/>
  <c r="AA1203" i="1" s="1"/>
  <c r="AA194" i="7" s="1"/>
  <c r="X135" i="8"/>
  <c r="G179" i="1"/>
  <c r="G78" i="7" s="1"/>
  <c r="F51" i="8"/>
  <c r="F50" i="8" s="1"/>
  <c r="T370" i="1"/>
  <c r="T380" i="1" s="1"/>
  <c r="I1212" i="1"/>
  <c r="I203" i="7" s="1"/>
  <c r="I1053" i="1"/>
  <c r="I1049" i="1"/>
  <c r="F1133" i="1"/>
  <c r="K531" i="1"/>
  <c r="N466" i="8"/>
  <c r="N465" i="8" s="1"/>
  <c r="M490" i="1"/>
  <c r="P428" i="1"/>
  <c r="I1129" i="1"/>
  <c r="G51" i="8"/>
  <c r="G50" i="8" s="1"/>
  <c r="G104" i="8"/>
  <c r="G103" i="8" s="1"/>
  <c r="J1347" i="1"/>
  <c r="J343" i="7" s="1"/>
  <c r="J1183" i="1"/>
  <c r="H1327" i="1"/>
  <c r="H323" i="7" s="1"/>
  <c r="H1187" i="1"/>
  <c r="H1119" i="1"/>
  <c r="H1125" i="1" s="1"/>
  <c r="H178" i="1" s="1"/>
  <c r="H77" i="7" s="1"/>
  <c r="H1120" i="1"/>
  <c r="G1126" i="1"/>
  <c r="G1128" i="1"/>
  <c r="G283" i="8"/>
  <c r="G282" i="8" s="1"/>
  <c r="G1722" i="1"/>
  <c r="G607" i="7" s="1"/>
  <c r="G1868" i="1"/>
  <c r="G2025" i="1"/>
  <c r="F591" i="8"/>
  <c r="F1134" i="1" s="1"/>
  <c r="F941" i="8"/>
  <c r="F683" i="8"/>
  <c r="F833" i="8"/>
  <c r="G501" i="8"/>
  <c r="G500" i="8" s="1"/>
  <c r="I763" i="8"/>
  <c r="I939" i="8"/>
  <c r="I913" i="8"/>
  <c r="I1117" i="1"/>
  <c r="J1118" i="1"/>
  <c r="F1282" i="1"/>
  <c r="F276" i="7" s="1"/>
  <c r="F1213" i="1"/>
  <c r="F204" i="7" s="1"/>
  <c r="F1127" i="1"/>
  <c r="F119" i="8" s="1"/>
  <c r="F118" i="8" s="1"/>
  <c r="H1131" i="1"/>
  <c r="H1493" i="1" s="1"/>
  <c r="O334" i="1"/>
  <c r="P344" i="1"/>
  <c r="P345" i="1"/>
  <c r="R312" i="1"/>
  <c r="R313" i="1" s="1"/>
  <c r="S303" i="1" s="1"/>
  <c r="W1069" i="1" l="1"/>
  <c r="W1065" i="1"/>
  <c r="W1464" i="1"/>
  <c r="W447" i="8" s="1"/>
  <c r="W446" i="8" s="1"/>
  <c r="X816" i="1"/>
  <c r="X1022" i="1" s="1"/>
  <c r="X1675" i="1"/>
  <c r="X1699" i="1"/>
  <c r="X981" i="1"/>
  <c r="X1202" i="1" s="1"/>
  <c r="Y575" i="7"/>
  <c r="Y1700" i="1"/>
  <c r="W559" i="7"/>
  <c r="W1672" i="1"/>
  <c r="W556" i="7" s="1"/>
  <c r="W1669" i="1"/>
  <c r="W553" i="7" s="1"/>
  <c r="W1673" i="1"/>
  <c r="W557" i="7" s="1"/>
  <c r="W1674" i="1"/>
  <c r="W558" i="7" s="1"/>
  <c r="W1665" i="1"/>
  <c r="W549" i="7" s="1"/>
  <c r="W1671" i="1"/>
  <c r="W555" i="7" s="1"/>
  <c r="W1703" i="1"/>
  <c r="W587" i="7" s="1"/>
  <c r="W584" i="7"/>
  <c r="Y1699" i="1"/>
  <c r="Y1675" i="1"/>
  <c r="Y981" i="1"/>
  <c r="Y1202" i="1" s="1"/>
  <c r="Y193" i="7" s="1"/>
  <c r="W583" i="7"/>
  <c r="W1697" i="1"/>
  <c r="W581" i="7" s="1"/>
  <c r="W1698" i="1"/>
  <c r="W582" i="7" s="1"/>
  <c r="W1693" i="1"/>
  <c r="W577" i="7" s="1"/>
  <c r="W1695" i="1"/>
  <c r="W579" i="7" s="1"/>
  <c r="W1696" i="1"/>
  <c r="W580" i="7" s="1"/>
  <c r="W1689" i="1"/>
  <c r="W573" i="7" s="1"/>
  <c r="Z815" i="1"/>
  <c r="Z1691" i="1"/>
  <c r="Y810" i="1"/>
  <c r="Y1014" i="1" s="1"/>
  <c r="Z796" i="1"/>
  <c r="W193" i="7"/>
  <c r="W133" i="8"/>
  <c r="W132" i="8" s="1"/>
  <c r="X575" i="7"/>
  <c r="X1700" i="1"/>
  <c r="Z801" i="1"/>
  <c r="AA800" i="1" s="1"/>
  <c r="K215" i="1"/>
  <c r="K114" i="7" s="1"/>
  <c r="L217" i="1"/>
  <c r="L116" i="7" s="1"/>
  <c r="I153" i="8"/>
  <c r="I152" i="8" s="1"/>
  <c r="AB851" i="1"/>
  <c r="AC850" i="1" s="1"/>
  <c r="AB1692" i="1"/>
  <c r="AB576" i="7" s="1"/>
  <c r="AB861" i="1"/>
  <c r="AB730" i="1"/>
  <c r="AC733" i="1"/>
  <c r="AC730" i="1" s="1"/>
  <c r="X134" i="8"/>
  <c r="AA862" i="1"/>
  <c r="Z1203" i="1"/>
  <c r="Z194" i="7" s="1"/>
  <c r="H179" i="1"/>
  <c r="H78" i="7" s="1"/>
  <c r="J1049" i="1"/>
  <c r="F1217" i="1"/>
  <c r="F208" i="7" s="1"/>
  <c r="L528" i="1"/>
  <c r="F163" i="8"/>
  <c r="F162" i="8" s="1"/>
  <c r="M615" i="1"/>
  <c r="M1468" i="1" s="1"/>
  <c r="N481" i="1"/>
  <c r="P429" i="1"/>
  <c r="H501" i="8"/>
  <c r="H500" i="8" s="1"/>
  <c r="F155" i="8"/>
  <c r="F154" i="8" s="1"/>
  <c r="F592" i="8" s="1"/>
  <c r="F1579" i="1"/>
  <c r="F459" i="7" s="1"/>
  <c r="I1119" i="1"/>
  <c r="I1125" i="1" s="1"/>
  <c r="I178" i="1" s="1"/>
  <c r="I77" i="7" s="1"/>
  <c r="J1117" i="1"/>
  <c r="I1120" i="1"/>
  <c r="K1122" i="1"/>
  <c r="H51" i="8"/>
  <c r="H50" i="8" s="1"/>
  <c r="H283" i="8"/>
  <c r="H282" i="8" s="1"/>
  <c r="H1868" i="1"/>
  <c r="H2025" i="1"/>
  <c r="H1722" i="1"/>
  <c r="H607" i="7" s="1"/>
  <c r="J319" i="8"/>
  <c r="J318" i="8" s="1"/>
  <c r="J2023" i="1"/>
  <c r="J1800" i="1"/>
  <c r="J1946" i="1"/>
  <c r="I1131" i="1"/>
  <c r="I1493" i="1" s="1"/>
  <c r="T381" i="1"/>
  <c r="I1115" i="1"/>
  <c r="I1124" i="1" s="1"/>
  <c r="G941" i="8"/>
  <c r="G833" i="8"/>
  <c r="G683" i="8"/>
  <c r="G1127" i="1"/>
  <c r="G1213" i="1"/>
  <c r="G204" i="7" s="1"/>
  <c r="H1126" i="1"/>
  <c r="H1128" i="1"/>
  <c r="H104" i="8"/>
  <c r="H103" i="8" s="1"/>
  <c r="J98" i="8"/>
  <c r="J97" i="8" s="1"/>
  <c r="J1177" i="1"/>
  <c r="G1282" i="1"/>
  <c r="G276" i="7" s="1"/>
  <c r="J1116" i="1"/>
  <c r="P354" i="1"/>
  <c r="P355" i="1" s="1"/>
  <c r="P323" i="1"/>
  <c r="P324" i="1"/>
  <c r="O566" i="1"/>
  <c r="S302" i="1"/>
  <c r="S312" i="1" s="1"/>
  <c r="AA1691" i="1" l="1"/>
  <c r="AA815" i="1"/>
  <c r="Z1699" i="1"/>
  <c r="Z981" i="1"/>
  <c r="Z1202" i="1" s="1"/>
  <c r="Z193" i="7" s="1"/>
  <c r="Z1675" i="1"/>
  <c r="X193" i="7"/>
  <c r="X133" i="8"/>
  <c r="X132" i="8" s="1"/>
  <c r="X1703" i="1"/>
  <c r="X587" i="7" s="1"/>
  <c r="X584" i="7"/>
  <c r="AA796" i="1"/>
  <c r="AA801" i="1" s="1"/>
  <c r="AB800" i="1" s="1"/>
  <c r="Z810" i="1"/>
  <c r="Z1014" i="1" s="1"/>
  <c r="Y559" i="7"/>
  <c r="Y1674" i="1"/>
  <c r="Y558" i="7" s="1"/>
  <c r="Y1671" i="1"/>
  <c r="Y555" i="7" s="1"/>
  <c r="Y1673" i="1"/>
  <c r="Y557" i="7" s="1"/>
  <c r="Y1665" i="1"/>
  <c r="Y549" i="7" s="1"/>
  <c r="Y1669" i="1"/>
  <c r="Y553" i="7" s="1"/>
  <c r="Y1672" i="1"/>
  <c r="Y556" i="7" s="1"/>
  <c r="X583" i="7"/>
  <c r="X1696" i="1"/>
  <c r="X580" i="7" s="1"/>
  <c r="X1697" i="1"/>
  <c r="X581" i="7" s="1"/>
  <c r="X1695" i="1"/>
  <c r="X579" i="7" s="1"/>
  <c r="X1693" i="1"/>
  <c r="X577" i="7" s="1"/>
  <c r="X1689" i="1"/>
  <c r="X573" i="7" s="1"/>
  <c r="X1698" i="1"/>
  <c r="X582" i="7" s="1"/>
  <c r="Y1011" i="1"/>
  <c r="Y583" i="7"/>
  <c r="Y1689" i="1"/>
  <c r="Y573" i="7" s="1"/>
  <c r="Y1697" i="1"/>
  <c r="Y581" i="7" s="1"/>
  <c r="Y1698" i="1"/>
  <c r="Y582" i="7" s="1"/>
  <c r="Y1693" i="1"/>
  <c r="Y577" i="7" s="1"/>
  <c r="Y1696" i="1"/>
  <c r="Y580" i="7" s="1"/>
  <c r="Y1695" i="1"/>
  <c r="Y579" i="7" s="1"/>
  <c r="Y1703" i="1"/>
  <c r="Y587" i="7" s="1"/>
  <c r="Y584" i="7"/>
  <c r="X559" i="7"/>
  <c r="X1672" i="1"/>
  <c r="X556" i="7" s="1"/>
  <c r="X1673" i="1"/>
  <c r="X557" i="7" s="1"/>
  <c r="X1671" i="1"/>
  <c r="X555" i="7" s="1"/>
  <c r="X1669" i="1"/>
  <c r="X553" i="7" s="1"/>
  <c r="X1665" i="1"/>
  <c r="X549" i="7" s="1"/>
  <c r="X1674" i="1"/>
  <c r="X558" i="7" s="1"/>
  <c r="Z575" i="7"/>
  <c r="Z1700" i="1"/>
  <c r="Y816" i="1"/>
  <c r="Y1022" i="1" s="1"/>
  <c r="Y1019" i="1" s="1"/>
  <c r="Y1464" i="1" s="1"/>
  <c r="X1019" i="1"/>
  <c r="X1069" i="1"/>
  <c r="K62" i="8"/>
  <c r="K61" i="8" s="1"/>
  <c r="L219" i="1"/>
  <c r="L220" i="1" s="1"/>
  <c r="L119" i="7" s="1"/>
  <c r="AE850" i="1"/>
  <c r="AC851" i="1"/>
  <c r="AC1692" i="1"/>
  <c r="AC576" i="7" s="1"/>
  <c r="AC861" i="1"/>
  <c r="AB862" i="1"/>
  <c r="AB982" i="1"/>
  <c r="I179" i="1"/>
  <c r="I78" i="7" s="1"/>
  <c r="K1049" i="1"/>
  <c r="G1217" i="1"/>
  <c r="G208" i="7" s="1"/>
  <c r="L531" i="1"/>
  <c r="M455" i="8"/>
  <c r="M454" i="8" s="1"/>
  <c r="N614" i="1"/>
  <c r="N489" i="1"/>
  <c r="Q419" i="1"/>
  <c r="Q418" i="1"/>
  <c r="K1118" i="1"/>
  <c r="K1117" i="1" s="1"/>
  <c r="K1115" i="1" s="1"/>
  <c r="K1124" i="1" s="1"/>
  <c r="H1127" i="1"/>
  <c r="H1213" i="1"/>
  <c r="H204" i="7" s="1"/>
  <c r="H1282" i="1"/>
  <c r="H276" i="7" s="1"/>
  <c r="G119" i="8"/>
  <c r="G118" i="8" s="1"/>
  <c r="I1327" i="1"/>
  <c r="I323" i="7" s="1"/>
  <c r="I1187" i="1"/>
  <c r="U371" i="1"/>
  <c r="U370" i="1"/>
  <c r="I501" i="8"/>
  <c r="I500" i="8" s="1"/>
  <c r="J939" i="8"/>
  <c r="J763" i="8"/>
  <c r="J913" i="8"/>
  <c r="K1183" i="1"/>
  <c r="K1347" i="1"/>
  <c r="K343" i="7" s="1"/>
  <c r="J1119" i="1"/>
  <c r="J1125" i="1" s="1"/>
  <c r="J178" i="1" s="1"/>
  <c r="J77" i="7" s="1"/>
  <c r="J1120" i="1"/>
  <c r="J1115" i="1"/>
  <c r="J1124" i="1" s="1"/>
  <c r="J1129" i="1"/>
  <c r="J87" i="8"/>
  <c r="J86" i="8" s="1"/>
  <c r="G155" i="8"/>
  <c r="G154" i="8" s="1"/>
  <c r="H833" i="8"/>
  <c r="H941" i="8"/>
  <c r="H683" i="8"/>
  <c r="I1126" i="1"/>
  <c r="I1128" i="1"/>
  <c r="I51" i="8"/>
  <c r="I50" i="8" s="1"/>
  <c r="P565" i="1"/>
  <c r="P333" i="1"/>
  <c r="O1474" i="1"/>
  <c r="Q344" i="1"/>
  <c r="Q345" i="1"/>
  <c r="S313" i="1"/>
  <c r="K1116" i="1" l="1"/>
  <c r="Y1069" i="1"/>
  <c r="X1464" i="1"/>
  <c r="X447" i="8" s="1"/>
  <c r="X446" i="8" s="1"/>
  <c r="X1065" i="1"/>
  <c r="Z1703" i="1"/>
  <c r="Z587" i="7" s="1"/>
  <c r="Z584" i="7"/>
  <c r="Z559" i="7"/>
  <c r="Z1673" i="1"/>
  <c r="Z557" i="7" s="1"/>
  <c r="Z1671" i="1"/>
  <c r="Z555" i="7" s="1"/>
  <c r="Z1674" i="1"/>
  <c r="Z558" i="7" s="1"/>
  <c r="Z1672" i="1"/>
  <c r="Z556" i="7" s="1"/>
  <c r="Z1669" i="1"/>
  <c r="Z553" i="7" s="1"/>
  <c r="Z1665" i="1"/>
  <c r="Z549" i="7" s="1"/>
  <c r="AB1691" i="1"/>
  <c r="AB815" i="1"/>
  <c r="AA1675" i="1"/>
  <c r="AA1699" i="1"/>
  <c r="AA981" i="1"/>
  <c r="AA1202" i="1" s="1"/>
  <c r="AA193" i="7" s="1"/>
  <c r="Z1011" i="1"/>
  <c r="Z583" i="7"/>
  <c r="Z1697" i="1"/>
  <c r="Z581" i="7" s="1"/>
  <c r="Z1696" i="1"/>
  <c r="Z580" i="7" s="1"/>
  <c r="Z1689" i="1"/>
  <c r="Z573" i="7" s="1"/>
  <c r="Z1693" i="1"/>
  <c r="Z577" i="7" s="1"/>
  <c r="Z1698" i="1"/>
  <c r="Z582" i="7" s="1"/>
  <c r="Z1695" i="1"/>
  <c r="Z579" i="7" s="1"/>
  <c r="AA575" i="7"/>
  <c r="AA1700" i="1"/>
  <c r="Y1466" i="1"/>
  <c r="Y1065" i="1"/>
  <c r="AB796" i="1"/>
  <c r="AA810" i="1"/>
  <c r="AA1014" i="1" s="1"/>
  <c r="Z816" i="1"/>
  <c r="Z1022" i="1" s="1"/>
  <c r="Z1019" i="1" s="1"/>
  <c r="Z1464" i="1" s="1"/>
  <c r="M218" i="1"/>
  <c r="M117" i="7" s="1"/>
  <c r="L118" i="7"/>
  <c r="L214" i="1"/>
  <c r="L113" i="7" s="1"/>
  <c r="M216" i="1"/>
  <c r="M115" i="7" s="1"/>
  <c r="G163" i="8"/>
  <c r="G162" i="8" s="1"/>
  <c r="AC982" i="1"/>
  <c r="AC1203" i="1" s="1"/>
  <c r="AC194" i="7" s="1"/>
  <c r="AC862" i="1"/>
  <c r="AE861" i="1"/>
  <c r="AB1203" i="1"/>
  <c r="AB194" i="7" s="1"/>
  <c r="J179" i="1"/>
  <c r="J78" i="7" s="1"/>
  <c r="L1049" i="1"/>
  <c r="H1217" i="1"/>
  <c r="H208" i="7" s="1"/>
  <c r="M528" i="1"/>
  <c r="O466" i="8"/>
  <c r="O465" i="8" s="1"/>
  <c r="N490" i="1"/>
  <c r="Q428" i="1"/>
  <c r="K1119" i="1"/>
  <c r="K1125" i="1" s="1"/>
  <c r="K178" i="1" s="1"/>
  <c r="K77" i="7" s="1"/>
  <c r="K1120" i="1"/>
  <c r="I1127" i="1"/>
  <c r="I1213" i="1"/>
  <c r="I204" i="7" s="1"/>
  <c r="K1129" i="1"/>
  <c r="J1327" i="1"/>
  <c r="J323" i="7" s="1"/>
  <c r="J1187" i="1"/>
  <c r="J51" i="8"/>
  <c r="J50" i="8" s="1"/>
  <c r="K98" i="8"/>
  <c r="K97" i="8" s="1"/>
  <c r="K1177" i="1"/>
  <c r="U380" i="1"/>
  <c r="I283" i="8"/>
  <c r="I282" i="8" s="1"/>
  <c r="I1722" i="1"/>
  <c r="I607" i="7" s="1"/>
  <c r="I2025" i="1"/>
  <c r="I1868" i="1"/>
  <c r="H119" i="8"/>
  <c r="H118" i="8" s="1"/>
  <c r="K1187" i="1"/>
  <c r="K1327" i="1"/>
  <c r="K323" i="7" s="1"/>
  <c r="I1282" i="1"/>
  <c r="I276" i="7" s="1"/>
  <c r="J1131" i="1"/>
  <c r="J1493" i="1" s="1"/>
  <c r="J1126" i="1"/>
  <c r="J1282" i="1" s="1"/>
  <c r="J276" i="7" s="1"/>
  <c r="J1128" i="1"/>
  <c r="K319" i="8"/>
  <c r="K318" i="8" s="1"/>
  <c r="K1946" i="1"/>
  <c r="K1800" i="1"/>
  <c r="K2023" i="1"/>
  <c r="I104" i="8"/>
  <c r="I103" i="8" s="1"/>
  <c r="H155" i="8"/>
  <c r="H154" i="8" s="1"/>
  <c r="Q354" i="1"/>
  <c r="Q355" i="1" s="1"/>
  <c r="P334" i="1"/>
  <c r="T302" i="1"/>
  <c r="T303" i="1"/>
  <c r="H163" i="8" l="1"/>
  <c r="H162" i="8" s="1"/>
  <c r="AB810" i="1"/>
  <c r="AB1014" i="1" s="1"/>
  <c r="AB1011" i="1" s="1"/>
  <c r="AB1466" i="1" s="1"/>
  <c r="AC796" i="1"/>
  <c r="AC810" i="1" s="1"/>
  <c r="AC1014" i="1" s="1"/>
  <c r="AC1011" i="1" s="1"/>
  <c r="AC1466" i="1" s="1"/>
  <c r="Y451" i="8" s="1"/>
  <c r="Y450" i="8" s="1"/>
  <c r="Z1069" i="1"/>
  <c r="AA559" i="7"/>
  <c r="AA1672" i="1"/>
  <c r="AA556" i="7" s="1"/>
  <c r="AA1671" i="1"/>
  <c r="AA555" i="7" s="1"/>
  <c r="AA1673" i="1"/>
  <c r="AA557" i="7" s="1"/>
  <c r="AA1669" i="1"/>
  <c r="AA553" i="7" s="1"/>
  <c r="AA1674" i="1"/>
  <c r="AA558" i="7" s="1"/>
  <c r="AA1665" i="1"/>
  <c r="AA549" i="7" s="1"/>
  <c r="AB801" i="1"/>
  <c r="AC800" i="1" s="1"/>
  <c r="Z1466" i="1"/>
  <c r="Z1065" i="1"/>
  <c r="AA816" i="1"/>
  <c r="AA1022" i="1" s="1"/>
  <c r="AA1019" i="1" s="1"/>
  <c r="AA1464" i="1" s="1"/>
  <c r="AB981" i="1"/>
  <c r="AB1202" i="1" s="1"/>
  <c r="AB193" i="7" s="1"/>
  <c r="AB1699" i="1"/>
  <c r="AB1675" i="1"/>
  <c r="AA1011" i="1"/>
  <c r="AA584" i="7"/>
  <c r="AA1703" i="1"/>
  <c r="AA587" i="7" s="1"/>
  <c r="AA583" i="7"/>
  <c r="AA1693" i="1"/>
  <c r="AA577" i="7" s="1"/>
  <c r="AA1697" i="1"/>
  <c r="AA581" i="7" s="1"/>
  <c r="AA1698" i="1"/>
  <c r="AA582" i="7" s="1"/>
  <c r="AA1695" i="1"/>
  <c r="AA579" i="7" s="1"/>
  <c r="AA1696" i="1"/>
  <c r="AA580" i="7" s="1"/>
  <c r="AA1689" i="1"/>
  <c r="AA573" i="7" s="1"/>
  <c r="AB575" i="7"/>
  <c r="AB1700" i="1"/>
  <c r="AE982" i="1"/>
  <c r="M217" i="1"/>
  <c r="M116" i="7" s="1"/>
  <c r="L215" i="1"/>
  <c r="L114" i="7" s="1"/>
  <c r="Y135" i="8"/>
  <c r="AE1203" i="1"/>
  <c r="AE194" i="7" s="1"/>
  <c r="K179" i="1"/>
  <c r="K78" i="7" s="1"/>
  <c r="M1049" i="1"/>
  <c r="J1217" i="1"/>
  <c r="J208" i="7" s="1"/>
  <c r="M531" i="1"/>
  <c r="I1217" i="1"/>
  <c r="I208" i="7" s="1"/>
  <c r="G1579" i="1"/>
  <c r="G459" i="7" s="1"/>
  <c r="O481" i="1"/>
  <c r="N615" i="1"/>
  <c r="N1468" i="1" s="1"/>
  <c r="Q429" i="1"/>
  <c r="J163" i="8"/>
  <c r="J162" i="8" s="1"/>
  <c r="I163" i="8"/>
  <c r="I162" i="8" s="1"/>
  <c r="K104" i="8"/>
  <c r="K103" i="8" s="1"/>
  <c r="U381" i="1"/>
  <c r="J283" i="8"/>
  <c r="J282" i="8" s="1"/>
  <c r="J1868" i="1"/>
  <c r="J2025" i="1"/>
  <c r="J1722" i="1"/>
  <c r="J607" i="7" s="1"/>
  <c r="K1131" i="1"/>
  <c r="K1493" i="1" s="1"/>
  <c r="I119" i="8"/>
  <c r="I118" i="8" s="1"/>
  <c r="K1128" i="1"/>
  <c r="K1126" i="1"/>
  <c r="L1122" i="1"/>
  <c r="L1118" i="1"/>
  <c r="L1117" i="1" s="1"/>
  <c r="K913" i="8"/>
  <c r="K939" i="8"/>
  <c r="K763" i="8"/>
  <c r="J1127" i="1"/>
  <c r="J1213" i="1"/>
  <c r="J204" i="7" s="1"/>
  <c r="J501" i="8"/>
  <c r="J500" i="8" s="1"/>
  <c r="K283" i="8"/>
  <c r="K282" i="8" s="1"/>
  <c r="K2025" i="1"/>
  <c r="K1868" i="1"/>
  <c r="K1722" i="1"/>
  <c r="K607" i="7" s="1"/>
  <c r="I941" i="8"/>
  <c r="I683" i="8"/>
  <c r="I833" i="8"/>
  <c r="K87" i="8"/>
  <c r="K86" i="8" s="1"/>
  <c r="J104" i="8"/>
  <c r="J103" i="8" s="1"/>
  <c r="L1116" i="1"/>
  <c r="I155" i="8"/>
  <c r="I154" i="8" s="1"/>
  <c r="R344" i="1"/>
  <c r="R345" i="1"/>
  <c r="Q324" i="1"/>
  <c r="Q323" i="1"/>
  <c r="P566" i="1"/>
  <c r="T312" i="1"/>
  <c r="AB583" i="7" l="1"/>
  <c r="AB1693" i="1"/>
  <c r="AB577" i="7" s="1"/>
  <c r="AB1698" i="1"/>
  <c r="AB582" i="7" s="1"/>
  <c r="AB1695" i="1"/>
  <c r="AB579" i="7" s="1"/>
  <c r="AB1697" i="1"/>
  <c r="AB581" i="7" s="1"/>
  <c r="AB1696" i="1"/>
  <c r="AB580" i="7" s="1"/>
  <c r="AB1689" i="1"/>
  <c r="AB573" i="7" s="1"/>
  <c r="AB1703" i="1"/>
  <c r="AB587" i="7" s="1"/>
  <c r="AB584" i="7"/>
  <c r="AA1466" i="1"/>
  <c r="AA1065" i="1"/>
  <c r="AC815" i="1"/>
  <c r="AE800" i="1"/>
  <c r="AC801" i="1"/>
  <c r="AC1691" i="1"/>
  <c r="AB559" i="7"/>
  <c r="AB1669" i="1"/>
  <c r="AB553" i="7" s="1"/>
  <c r="AB1665" i="1"/>
  <c r="AB549" i="7" s="1"/>
  <c r="AB1672" i="1"/>
  <c r="AB556" i="7" s="1"/>
  <c r="AB1671" i="1"/>
  <c r="AB555" i="7" s="1"/>
  <c r="AB1674" i="1"/>
  <c r="AB558" i="7" s="1"/>
  <c r="AB1673" i="1"/>
  <c r="AB557" i="7" s="1"/>
  <c r="AA1069" i="1"/>
  <c r="AB816" i="1"/>
  <c r="AB1022" i="1" s="1"/>
  <c r="AB1019" i="1" s="1"/>
  <c r="AB1464" i="1" s="1"/>
  <c r="L62" i="8"/>
  <c r="L61" i="8" s="1"/>
  <c r="M219" i="1"/>
  <c r="M118" i="7" s="1"/>
  <c r="Y134" i="8"/>
  <c r="AA134" i="8" s="1"/>
  <c r="AA135" i="8"/>
  <c r="K51" i="8"/>
  <c r="K50" i="8" s="1"/>
  <c r="N1049" i="1"/>
  <c r="N528" i="1"/>
  <c r="H1579" i="1"/>
  <c r="H459" i="7" s="1"/>
  <c r="N455" i="8"/>
  <c r="N454" i="8" s="1"/>
  <c r="O614" i="1"/>
  <c r="O489" i="1"/>
  <c r="R419" i="1"/>
  <c r="R418" i="1"/>
  <c r="Q565" i="1"/>
  <c r="L1119" i="1"/>
  <c r="L1125" i="1" s="1"/>
  <c r="L178" i="1" s="1"/>
  <c r="L77" i="7" s="1"/>
  <c r="L1120" i="1"/>
  <c r="L1129" i="1"/>
  <c r="L1131" i="1" s="1"/>
  <c r="L1493" i="1" s="1"/>
  <c r="M1122" i="1"/>
  <c r="K683" i="8"/>
  <c r="K833" i="8"/>
  <c r="K941" i="8"/>
  <c r="J119" i="8"/>
  <c r="J118" i="8" s="1"/>
  <c r="L1115" i="1"/>
  <c r="L1124" i="1" s="1"/>
  <c r="K1127" i="1"/>
  <c r="K1213" i="1"/>
  <c r="K204" i="7" s="1"/>
  <c r="K1282" i="1"/>
  <c r="K276" i="7" s="1"/>
  <c r="J833" i="8"/>
  <c r="J941" i="8"/>
  <c r="J683" i="8"/>
  <c r="J155" i="8"/>
  <c r="J154" i="8" s="1"/>
  <c r="L1347" i="1"/>
  <c r="L343" i="7" s="1"/>
  <c r="L1183" i="1"/>
  <c r="K501" i="8"/>
  <c r="K500" i="8" s="1"/>
  <c r="V371" i="1"/>
  <c r="V370" i="1"/>
  <c r="P1474" i="1"/>
  <c r="Q333" i="1"/>
  <c r="R354" i="1"/>
  <c r="T313" i="1"/>
  <c r="AC575" i="7" l="1"/>
  <c r="AC1700" i="1"/>
  <c r="AB1069" i="1"/>
  <c r="AB1065" i="1"/>
  <c r="AE815" i="1"/>
  <c r="AC981" i="1"/>
  <c r="AC1699" i="1"/>
  <c r="AC1675" i="1"/>
  <c r="AC816" i="1"/>
  <c r="AC1022" i="1" s="1"/>
  <c r="N218" i="1"/>
  <c r="N117" i="7" s="1"/>
  <c r="M220" i="1"/>
  <c r="M214" i="1" s="1"/>
  <c r="M113" i="7" s="1"/>
  <c r="L179" i="1"/>
  <c r="L78" i="7" s="1"/>
  <c r="O1049" i="1"/>
  <c r="K1217" i="1"/>
  <c r="K208" i="7" s="1"/>
  <c r="N531" i="1"/>
  <c r="I1579" i="1"/>
  <c r="I459" i="7" s="1"/>
  <c r="P466" i="8"/>
  <c r="P465" i="8" s="1"/>
  <c r="O490" i="1"/>
  <c r="R428" i="1"/>
  <c r="M1118" i="1"/>
  <c r="M1117" i="1" s="1"/>
  <c r="U303" i="1"/>
  <c r="U302" i="1"/>
  <c r="L319" i="8"/>
  <c r="L318" i="8" s="1"/>
  <c r="L1946" i="1"/>
  <c r="L2023" i="1"/>
  <c r="L1800" i="1"/>
  <c r="K155" i="8"/>
  <c r="K154" i="8" s="1"/>
  <c r="M1347" i="1"/>
  <c r="M343" i="7" s="1"/>
  <c r="M1183" i="1"/>
  <c r="L501" i="8"/>
  <c r="L500" i="8" s="1"/>
  <c r="L1128" i="1"/>
  <c r="L1126" i="1"/>
  <c r="V380" i="1"/>
  <c r="L98" i="8"/>
  <c r="L97" i="8" s="1"/>
  <c r="L1177" i="1"/>
  <c r="K163" i="8"/>
  <c r="K162" i="8" s="1"/>
  <c r="K119" i="8"/>
  <c r="K118" i="8" s="1"/>
  <c r="L1187" i="1"/>
  <c r="L1327" i="1"/>
  <c r="L323" i="7" s="1"/>
  <c r="M1116" i="1"/>
  <c r="L51" i="8"/>
  <c r="L50" i="8" s="1"/>
  <c r="R355" i="1"/>
  <c r="Q334" i="1"/>
  <c r="AC559" i="7" l="1"/>
  <c r="AC1665" i="1"/>
  <c r="AC549" i="7" s="1"/>
  <c r="AC1674" i="1"/>
  <c r="AC558" i="7" s="1"/>
  <c r="AC1673" i="1"/>
  <c r="AC557" i="7" s="1"/>
  <c r="AC1669" i="1"/>
  <c r="AC553" i="7" s="1"/>
  <c r="AC1672" i="1"/>
  <c r="AC556" i="7" s="1"/>
  <c r="AC1671" i="1"/>
  <c r="AC555" i="7" s="1"/>
  <c r="AC583" i="7"/>
  <c r="AC1696" i="1"/>
  <c r="AC580" i="7" s="1"/>
  <c r="AC1693" i="1"/>
  <c r="AC577" i="7" s="1"/>
  <c r="AC1689" i="1"/>
  <c r="AC573" i="7" s="1"/>
  <c r="AC1697" i="1"/>
  <c r="AC581" i="7" s="1"/>
  <c r="AC1698" i="1"/>
  <c r="AC582" i="7" s="1"/>
  <c r="AC1695" i="1"/>
  <c r="AC579" i="7" s="1"/>
  <c r="AE981" i="1"/>
  <c r="AC1202" i="1"/>
  <c r="AC1703" i="1"/>
  <c r="AC587" i="7" s="1"/>
  <c r="AC584" i="7"/>
  <c r="AC1019" i="1"/>
  <c r="AC1069" i="1"/>
  <c r="N216" i="1"/>
  <c r="N115" i="7" s="1"/>
  <c r="M119" i="7"/>
  <c r="M215" i="1"/>
  <c r="M114" i="7" s="1"/>
  <c r="P1049" i="1"/>
  <c r="O528" i="1"/>
  <c r="J1579" i="1"/>
  <c r="J459" i="7" s="1"/>
  <c r="P481" i="1"/>
  <c r="O615" i="1"/>
  <c r="O1468" i="1" s="1"/>
  <c r="R429" i="1"/>
  <c r="U312" i="1"/>
  <c r="U313" i="1" s="1"/>
  <c r="L104" i="8"/>
  <c r="L103" i="8" s="1"/>
  <c r="L1127" i="1"/>
  <c r="L1213" i="1"/>
  <c r="L204" i="7" s="1"/>
  <c r="L1282" i="1"/>
  <c r="L276" i="7" s="1"/>
  <c r="M319" i="8"/>
  <c r="M318" i="8" s="1"/>
  <c r="M1946" i="1"/>
  <c r="M1800" i="1"/>
  <c r="M2023" i="1"/>
  <c r="M1119" i="1"/>
  <c r="M1125" i="1" s="1"/>
  <c r="M178" i="1" s="1"/>
  <c r="M77" i="7" s="1"/>
  <c r="M1120" i="1"/>
  <c r="M1129" i="1"/>
  <c r="M1131" i="1" s="1"/>
  <c r="M1493" i="1" s="1"/>
  <c r="L283" i="8"/>
  <c r="L282" i="8" s="1"/>
  <c r="L1722" i="1"/>
  <c r="L607" i="7" s="1"/>
  <c r="L1868" i="1"/>
  <c r="L2025" i="1"/>
  <c r="L87" i="8"/>
  <c r="L86" i="8" s="1"/>
  <c r="V381" i="1"/>
  <c r="M98" i="8"/>
  <c r="M97" i="8" s="1"/>
  <c r="M1177" i="1"/>
  <c r="M1115" i="1"/>
  <c r="M1124" i="1" s="1"/>
  <c r="L939" i="8"/>
  <c r="L913" i="8"/>
  <c r="L763" i="8"/>
  <c r="R323" i="1"/>
  <c r="R324" i="1"/>
  <c r="Q566" i="1"/>
  <c r="S345" i="1"/>
  <c r="S344" i="1"/>
  <c r="AC193" i="7" l="1"/>
  <c r="Y133" i="8"/>
  <c r="AE1202" i="1"/>
  <c r="AE193" i="7" s="1"/>
  <c r="AC1464" i="1"/>
  <c r="Y447" i="8" s="1"/>
  <c r="Y446" i="8" s="1"/>
  <c r="AC1065" i="1"/>
  <c r="N217" i="1"/>
  <c r="N116" i="7" s="1"/>
  <c r="M62" i="8"/>
  <c r="M61" i="8" s="1"/>
  <c r="M179" i="1"/>
  <c r="M78" i="7" s="1"/>
  <c r="Q1049" i="1"/>
  <c r="L1217" i="1"/>
  <c r="L208" i="7" s="1"/>
  <c r="O531" i="1"/>
  <c r="O455" i="8"/>
  <c r="O454" i="8" s="1"/>
  <c r="K1579" i="1"/>
  <c r="K459" i="7" s="1"/>
  <c r="P614" i="1"/>
  <c r="P489" i="1"/>
  <c r="S419" i="1"/>
  <c r="S418" i="1"/>
  <c r="R565" i="1"/>
  <c r="M87" i="8"/>
  <c r="M86" i="8" s="1"/>
  <c r="L833" i="8"/>
  <c r="L941" i="8"/>
  <c r="L683" i="8"/>
  <c r="M501" i="8"/>
  <c r="M500" i="8" s="1"/>
  <c r="M1126" i="1"/>
  <c r="M1128" i="1"/>
  <c r="M939" i="8"/>
  <c r="M763" i="8"/>
  <c r="M913" i="8"/>
  <c r="L155" i="8"/>
  <c r="L154" i="8" s="1"/>
  <c r="V303" i="1"/>
  <c r="V302" i="1"/>
  <c r="M1187" i="1"/>
  <c r="M1327" i="1"/>
  <c r="M323" i="7" s="1"/>
  <c r="W371" i="1"/>
  <c r="W370" i="1"/>
  <c r="M51" i="8"/>
  <c r="M50" i="8" s="1"/>
  <c r="L163" i="8"/>
  <c r="L162" i="8" s="1"/>
  <c r="L119" i="8"/>
  <c r="L118" i="8" s="1"/>
  <c r="N1122" i="1"/>
  <c r="N1118" i="1"/>
  <c r="Q1474" i="1"/>
  <c r="S354" i="1"/>
  <c r="R333" i="1"/>
  <c r="AA133" i="8" l="1"/>
  <c r="Y132" i="8"/>
  <c r="AA132" i="8" s="1"/>
  <c r="N219" i="1"/>
  <c r="N118" i="7" s="1"/>
  <c r="R1049" i="1"/>
  <c r="P528" i="1"/>
  <c r="Q466" i="8"/>
  <c r="Q465" i="8" s="1"/>
  <c r="P490" i="1"/>
  <c r="S428" i="1"/>
  <c r="N1117" i="1"/>
  <c r="N1116" i="1"/>
  <c r="N1129" i="1" s="1"/>
  <c r="N1131" i="1" s="1"/>
  <c r="N1493" i="1" s="1"/>
  <c r="M283" i="8"/>
  <c r="M282" i="8" s="1"/>
  <c r="M1722" i="1"/>
  <c r="M607" i="7" s="1"/>
  <c r="M1868" i="1"/>
  <c r="M2025" i="1"/>
  <c r="N1347" i="1"/>
  <c r="N343" i="7" s="1"/>
  <c r="N1183" i="1"/>
  <c r="W380" i="1"/>
  <c r="M104" i="8"/>
  <c r="M103" i="8" s="1"/>
  <c r="V312" i="1"/>
  <c r="M1282" i="1"/>
  <c r="M276" i="7" s="1"/>
  <c r="M1213" i="1"/>
  <c r="M204" i="7" s="1"/>
  <c r="M1127" i="1"/>
  <c r="R334" i="1"/>
  <c r="S355" i="1"/>
  <c r="O218" i="1" l="1"/>
  <c r="O117" i="7" s="1"/>
  <c r="N220" i="1"/>
  <c r="O216" i="1" s="1"/>
  <c r="O115" i="7" s="1"/>
  <c r="S1049" i="1"/>
  <c r="M1217" i="1"/>
  <c r="M208" i="7" s="1"/>
  <c r="P531" i="1"/>
  <c r="L1579" i="1"/>
  <c r="L459" i="7" s="1"/>
  <c r="P615" i="1"/>
  <c r="P1468" i="1" s="1"/>
  <c r="Q481" i="1"/>
  <c r="S429" i="1"/>
  <c r="M155" i="8"/>
  <c r="M154" i="8" s="1"/>
  <c r="W381" i="1"/>
  <c r="O1122" i="1"/>
  <c r="AE1113" i="1"/>
  <c r="N98" i="8"/>
  <c r="N1177" i="1"/>
  <c r="M833" i="8"/>
  <c r="M941" i="8"/>
  <c r="M683" i="8"/>
  <c r="N1120" i="1"/>
  <c r="N1119" i="1"/>
  <c r="N1125" i="1" s="1"/>
  <c r="N178" i="1" s="1"/>
  <c r="N77" i="7" s="1"/>
  <c r="N1115" i="1"/>
  <c r="N1124" i="1" s="1"/>
  <c r="M119" i="8"/>
  <c r="M118" i="8" s="1"/>
  <c r="V313" i="1"/>
  <c r="N319" i="8"/>
  <c r="N1946" i="1"/>
  <c r="N1800" i="1"/>
  <c r="N2023" i="1"/>
  <c r="N501" i="8"/>
  <c r="N500" i="8" s="1"/>
  <c r="O1118" i="1"/>
  <c r="T344" i="1"/>
  <c r="T345" i="1"/>
  <c r="S323" i="1"/>
  <c r="R566" i="1"/>
  <c r="S324" i="1"/>
  <c r="M163" i="8" l="1"/>
  <c r="M162" i="8" s="1"/>
  <c r="O217" i="1"/>
  <c r="O116" i="7" s="1"/>
  <c r="N214" i="1"/>
  <c r="N113" i="7" s="1"/>
  <c r="N119" i="7"/>
  <c r="N179" i="1"/>
  <c r="N78" i="7" s="1"/>
  <c r="T1049" i="1"/>
  <c r="Q528" i="1"/>
  <c r="P455" i="8"/>
  <c r="P454" i="8" s="1"/>
  <c r="Q614" i="1"/>
  <c r="Q489" i="1"/>
  <c r="T419" i="1"/>
  <c r="T418" i="1"/>
  <c r="N1187" i="1"/>
  <c r="N1327" i="1"/>
  <c r="N323" i="7" s="1"/>
  <c r="N51" i="8"/>
  <c r="N50" i="8" s="1"/>
  <c r="N97" i="8"/>
  <c r="X371" i="1"/>
  <c r="X370" i="1"/>
  <c r="O1116" i="1"/>
  <c r="P1118" i="1"/>
  <c r="N318" i="8"/>
  <c r="W303" i="1"/>
  <c r="W302" i="1"/>
  <c r="O1117" i="1"/>
  <c r="O1115" i="1" s="1"/>
  <c r="O1124" i="1" s="1"/>
  <c r="N1128" i="1"/>
  <c r="N1126" i="1"/>
  <c r="N87" i="8"/>
  <c r="O1347" i="1"/>
  <c r="O343" i="7" s="1"/>
  <c r="O1183" i="1"/>
  <c r="AE1122" i="1"/>
  <c r="S333" i="1"/>
  <c r="S565" i="1"/>
  <c r="T354" i="1"/>
  <c r="R1474" i="1"/>
  <c r="O219" i="1" l="1"/>
  <c r="O220" i="1" s="1"/>
  <c r="O119" i="7" s="1"/>
  <c r="N215" i="1"/>
  <c r="U1049" i="1"/>
  <c r="Q531" i="1"/>
  <c r="R466" i="8"/>
  <c r="R465" i="8" s="1"/>
  <c r="M1579" i="1"/>
  <c r="M459" i="7" s="1"/>
  <c r="Q490" i="1"/>
  <c r="T428" i="1"/>
  <c r="O98" i="8"/>
  <c r="O1177" i="1"/>
  <c r="AE1183" i="1"/>
  <c r="N939" i="8"/>
  <c r="N763" i="8"/>
  <c r="N913" i="8"/>
  <c r="O1327" i="1"/>
  <c r="O323" i="7" s="1"/>
  <c r="O1187" i="1"/>
  <c r="O1129" i="1"/>
  <c r="P1116" i="1"/>
  <c r="X380" i="1"/>
  <c r="N283" i="8"/>
  <c r="N282" i="8" s="1"/>
  <c r="N1722" i="1"/>
  <c r="N607" i="7" s="1"/>
  <c r="N1868" i="1"/>
  <c r="N2025" i="1"/>
  <c r="O319" i="8"/>
  <c r="O2023" i="1"/>
  <c r="O1800" i="1"/>
  <c r="AE1800" i="1" s="1"/>
  <c r="O1946" i="1"/>
  <c r="AE1946" i="1" s="1"/>
  <c r="AE1347" i="1"/>
  <c r="AE343" i="7" s="1"/>
  <c r="N86" i="8"/>
  <c r="N1213" i="1"/>
  <c r="N204" i="7" s="1"/>
  <c r="N1127" i="1"/>
  <c r="N1282" i="1"/>
  <c r="N276" i="7" s="1"/>
  <c r="O1119" i="1"/>
  <c r="O1125" i="1" s="1"/>
  <c r="O178" i="1" s="1"/>
  <c r="O77" i="7" s="1"/>
  <c r="O1120" i="1"/>
  <c r="P1117" i="1"/>
  <c r="P1115" i="1" s="1"/>
  <c r="P1124" i="1" s="1"/>
  <c r="W312" i="1"/>
  <c r="Q1118" i="1"/>
  <c r="R1118" i="1" s="1"/>
  <c r="N104" i="8"/>
  <c r="N103" i="8" s="1"/>
  <c r="S334" i="1"/>
  <c r="T355" i="1"/>
  <c r="O214" i="1" l="1"/>
  <c r="O113" i="7" s="1"/>
  <c r="P216" i="1"/>
  <c r="P115" i="7" s="1"/>
  <c r="O118" i="7"/>
  <c r="P218" i="1"/>
  <c r="P117" i="7" s="1"/>
  <c r="N114" i="7"/>
  <c r="N62" i="8"/>
  <c r="N61" i="8" s="1"/>
  <c r="O179" i="1"/>
  <c r="O78" i="7" s="1"/>
  <c r="V1049" i="1"/>
  <c r="N1217" i="1"/>
  <c r="N208" i="7" s="1"/>
  <c r="AE2023" i="1"/>
  <c r="R528" i="1"/>
  <c r="R481" i="1"/>
  <c r="Q615" i="1"/>
  <c r="Q1468" i="1" s="1"/>
  <c r="T429" i="1"/>
  <c r="P1327" i="1"/>
  <c r="P323" i="7" s="1"/>
  <c r="P1187" i="1"/>
  <c r="W313" i="1"/>
  <c r="P1120" i="1"/>
  <c r="P1119" i="1"/>
  <c r="P1125" i="1" s="1"/>
  <c r="P178" i="1" s="1"/>
  <c r="P77" i="7" s="1"/>
  <c r="Q1117" i="1"/>
  <c r="O51" i="8"/>
  <c r="O50" i="8" s="1"/>
  <c r="N119" i="8"/>
  <c r="N118" i="8" s="1"/>
  <c r="B1997" i="1"/>
  <c r="F1997" i="1" s="1"/>
  <c r="F1716" i="1"/>
  <c r="F601" i="7" s="1"/>
  <c r="B1934" i="1"/>
  <c r="F1934" i="1" s="1"/>
  <c r="B1756" i="1"/>
  <c r="B641" i="7" s="1"/>
  <c r="B1757" i="1"/>
  <c r="B642" i="7" s="1"/>
  <c r="O318" i="8"/>
  <c r="AA319" i="8"/>
  <c r="X381" i="1"/>
  <c r="P1129" i="1"/>
  <c r="Q1116" i="1"/>
  <c r="O104" i="8"/>
  <c r="O103" i="8" s="1"/>
  <c r="O87" i="8"/>
  <c r="U345" i="1"/>
  <c r="U344" i="1"/>
  <c r="S1118" i="1"/>
  <c r="T1118" i="1" s="1"/>
  <c r="U1118" i="1" s="1"/>
  <c r="O1126" i="1"/>
  <c r="O1282" i="1" s="1"/>
  <c r="O276" i="7" s="1"/>
  <c r="O1128" i="1"/>
  <c r="N163" i="8"/>
  <c r="N162" i="8" s="1"/>
  <c r="N155" i="8"/>
  <c r="N154" i="8" s="1"/>
  <c r="N833" i="8"/>
  <c r="N941" i="8"/>
  <c r="N683" i="8"/>
  <c r="O1131" i="1"/>
  <c r="O1493" i="1" s="1"/>
  <c r="O283" i="8"/>
  <c r="O282" i="8" s="1"/>
  <c r="O1722" i="1"/>
  <c r="O607" i="7" s="1"/>
  <c r="O2025" i="1"/>
  <c r="O1868" i="1"/>
  <c r="O97" i="8"/>
  <c r="AA97" i="8" s="1"/>
  <c r="AA98" i="8"/>
  <c r="T324" i="1"/>
  <c r="S566" i="1"/>
  <c r="T323" i="1"/>
  <c r="P217" i="1" l="1"/>
  <c r="P219" i="1" s="1"/>
  <c r="P118" i="7" s="1"/>
  <c r="O215" i="1"/>
  <c r="O114" i="7" s="1"/>
  <c r="P179" i="1"/>
  <c r="P78" i="7" s="1"/>
  <c r="O1217" i="1"/>
  <c r="O208" i="7" s="1"/>
  <c r="R531" i="1"/>
  <c r="W1049" i="1"/>
  <c r="Y371" i="1"/>
  <c r="Y370" i="1"/>
  <c r="Q455" i="8"/>
  <c r="Q454" i="8" s="1"/>
  <c r="G1578" i="1"/>
  <c r="G458" i="7" s="1"/>
  <c r="R614" i="1"/>
  <c r="R489" i="1"/>
  <c r="U419" i="1"/>
  <c r="U418" i="1"/>
  <c r="G591" i="8"/>
  <c r="G1134" i="1" s="1"/>
  <c r="U354" i="1"/>
  <c r="U355" i="1" s="1"/>
  <c r="O683" i="8"/>
  <c r="O833" i="8"/>
  <c r="O941" i="8"/>
  <c r="O501" i="8"/>
  <c r="O500" i="8" s="1"/>
  <c r="O1213" i="1"/>
  <c r="O204" i="7" s="1"/>
  <c r="O1127" i="1"/>
  <c r="V1118" i="1"/>
  <c r="O86" i="8"/>
  <c r="P1131" i="1"/>
  <c r="P1493" i="1" s="1"/>
  <c r="G1934" i="1"/>
  <c r="F1935" i="1"/>
  <c r="G1997" i="1"/>
  <c r="F1998" i="1"/>
  <c r="P51" i="8"/>
  <c r="P50" i="8" s="1"/>
  <c r="X303" i="1"/>
  <c r="X302" i="1"/>
  <c r="P104" i="8"/>
  <c r="P103" i="8" s="1"/>
  <c r="O163" i="8"/>
  <c r="O162" i="8" s="1"/>
  <c r="Q1129" i="1"/>
  <c r="R1116" i="1"/>
  <c r="O939" i="8"/>
  <c r="AA939" i="8" s="1"/>
  <c r="O763" i="8"/>
  <c r="AA763" i="8" s="1"/>
  <c r="O913" i="8"/>
  <c r="AA913" i="8" s="1"/>
  <c r="AA318" i="8"/>
  <c r="F1717" i="1"/>
  <c r="F602" i="7" s="1"/>
  <c r="G1716" i="1"/>
  <c r="G601" i="7" s="1"/>
  <c r="Q1115" i="1"/>
  <c r="Q1119" i="1"/>
  <c r="Q1125" i="1" s="1"/>
  <c r="Q178" i="1" s="1"/>
  <c r="Q77" i="7" s="1"/>
  <c r="Q1120" i="1"/>
  <c r="R1117" i="1"/>
  <c r="P1128" i="1"/>
  <c r="P1126" i="1"/>
  <c r="P1282" i="1" s="1"/>
  <c r="P276" i="7" s="1"/>
  <c r="P283" i="8"/>
  <c r="P282" i="8" s="1"/>
  <c r="P1722" i="1"/>
  <c r="P607" i="7" s="1"/>
  <c r="P2025" i="1"/>
  <c r="P1868" i="1"/>
  <c r="T565" i="1"/>
  <c r="T333" i="1"/>
  <c r="S1474" i="1"/>
  <c r="Q218" i="1" l="1"/>
  <c r="Q117" i="7" s="1"/>
  <c r="P220" i="1"/>
  <c r="P119" i="7" s="1"/>
  <c r="P116" i="7"/>
  <c r="O62" i="8"/>
  <c r="O61" i="8" s="1"/>
  <c r="Q179" i="1"/>
  <c r="Q78" i="7" s="1"/>
  <c r="X1049" i="1"/>
  <c r="P1217" i="1"/>
  <c r="P208" i="7" s="1"/>
  <c r="G1133" i="1"/>
  <c r="Y380" i="1"/>
  <c r="S528" i="1"/>
  <c r="G1718" i="1"/>
  <c r="G603" i="7" s="1"/>
  <c r="I1578" i="1"/>
  <c r="I458" i="7" s="1"/>
  <c r="H1578" i="1"/>
  <c r="H458" i="7" s="1"/>
  <c r="S466" i="8"/>
  <c r="S465" i="8" s="1"/>
  <c r="N1579" i="1"/>
  <c r="N459" i="7" s="1"/>
  <c r="R490" i="1"/>
  <c r="U428" i="1"/>
  <c r="H591" i="8"/>
  <c r="H1134" i="1" s="1"/>
  <c r="P163" i="8"/>
  <c r="P162" i="8" s="1"/>
  <c r="P833" i="8"/>
  <c r="P683" i="8"/>
  <c r="P941" i="8"/>
  <c r="Q1126" i="1"/>
  <c r="Q1128" i="1"/>
  <c r="Q1124" i="1"/>
  <c r="Q1131" i="1"/>
  <c r="Q1493" i="1" s="1"/>
  <c r="G1998" i="1"/>
  <c r="G1999" i="1" s="1"/>
  <c r="H1997" i="1"/>
  <c r="G1935" i="1"/>
  <c r="H1934" i="1"/>
  <c r="V345" i="1"/>
  <c r="V344" i="1"/>
  <c r="O119" i="8"/>
  <c r="O118" i="8" s="1"/>
  <c r="P1213" i="1"/>
  <c r="P204" i="7" s="1"/>
  <c r="P1127" i="1"/>
  <c r="R1119" i="1"/>
  <c r="S1117" i="1"/>
  <c r="R1120" i="1"/>
  <c r="R1115" i="1"/>
  <c r="R1124" i="1" s="1"/>
  <c r="H1716" i="1"/>
  <c r="H601" i="7" s="1"/>
  <c r="G1717" i="1"/>
  <c r="G602" i="7" s="1"/>
  <c r="R1129" i="1"/>
  <c r="R1131" i="1" s="1"/>
  <c r="R1493" i="1" s="1"/>
  <c r="S1116" i="1"/>
  <c r="X312" i="1"/>
  <c r="F1936" i="1"/>
  <c r="F1937" i="1"/>
  <c r="P501" i="8"/>
  <c r="P500" i="8" s="1"/>
  <c r="W1118" i="1"/>
  <c r="O155" i="8"/>
  <c r="O154" i="8" s="1"/>
  <c r="T334" i="1"/>
  <c r="Q51" i="8" l="1"/>
  <c r="Q50" i="8" s="1"/>
  <c r="P214" i="1"/>
  <c r="P113" i="7" s="1"/>
  <c r="Q216" i="1"/>
  <c r="Q115" i="7" s="1"/>
  <c r="H1133" i="1"/>
  <c r="I1133" i="1"/>
  <c r="S531" i="1"/>
  <c r="Y381" i="1"/>
  <c r="Y1049" i="1"/>
  <c r="H1718" i="1"/>
  <c r="H603" i="7" s="1"/>
  <c r="S481" i="1"/>
  <c r="R615" i="1"/>
  <c r="R1468" i="1" s="1"/>
  <c r="U429" i="1"/>
  <c r="Q1282" i="1"/>
  <c r="Q276" i="7" s="1"/>
  <c r="I591" i="8"/>
  <c r="I1134" i="1" s="1"/>
  <c r="J591" i="8"/>
  <c r="J1134" i="1" s="1"/>
  <c r="G1937" i="1"/>
  <c r="U324" i="1"/>
  <c r="U323" i="1"/>
  <c r="X1118" i="1"/>
  <c r="Y1118" i="1" s="1"/>
  <c r="X313" i="1"/>
  <c r="S1129" i="1"/>
  <c r="T1116" i="1"/>
  <c r="R1327" i="1"/>
  <c r="R323" i="7" s="1"/>
  <c r="R1187" i="1"/>
  <c r="S1115" i="1"/>
  <c r="S1124" i="1" s="1"/>
  <c r="S1120" i="1"/>
  <c r="S1119" i="1"/>
  <c r="S1125" i="1" s="1"/>
  <c r="S178" i="1" s="1"/>
  <c r="S77" i="7" s="1"/>
  <c r="T1117" i="1"/>
  <c r="P119" i="8"/>
  <c r="P118" i="8" s="1"/>
  <c r="V354" i="1"/>
  <c r="Q501" i="8"/>
  <c r="Q500" i="8" s="1"/>
  <c r="G1936" i="1"/>
  <c r="R501" i="8"/>
  <c r="R500" i="8" s="1"/>
  <c r="H1717" i="1"/>
  <c r="H602" i="7" s="1"/>
  <c r="I1716" i="1"/>
  <c r="I601" i="7" s="1"/>
  <c r="R1128" i="1"/>
  <c r="R1126" i="1"/>
  <c r="R1125" i="1"/>
  <c r="P155" i="8"/>
  <c r="P154" i="8" s="1"/>
  <c r="I1934" i="1"/>
  <c r="H1935" i="1"/>
  <c r="H1937" i="1" s="1"/>
  <c r="H1998" i="1"/>
  <c r="H1999" i="1" s="1"/>
  <c r="I1997" i="1"/>
  <c r="Q1187" i="1"/>
  <c r="Q1327" i="1"/>
  <c r="Q323" i="7" s="1"/>
  <c r="Q1213" i="1"/>
  <c r="Q204" i="7" s="1"/>
  <c r="Q1127" i="1"/>
  <c r="T566" i="1"/>
  <c r="P215" i="1" l="1"/>
  <c r="P114" i="7" s="1"/>
  <c r="Q217" i="1"/>
  <c r="Q116" i="7" s="1"/>
  <c r="S179" i="1"/>
  <c r="S78" i="7" s="1"/>
  <c r="Y303" i="1"/>
  <c r="Y302" i="1"/>
  <c r="Q1217" i="1"/>
  <c r="Q208" i="7" s="1"/>
  <c r="Z1049" i="1"/>
  <c r="Z371" i="1"/>
  <c r="Z370" i="1"/>
  <c r="T528" i="1"/>
  <c r="Z1118" i="1"/>
  <c r="I1718" i="1"/>
  <c r="I603" i="7" s="1"/>
  <c r="Q163" i="8"/>
  <c r="Q162" i="8" s="1"/>
  <c r="R455" i="8"/>
  <c r="R454" i="8" s="1"/>
  <c r="J1578" i="1"/>
  <c r="J458" i="7" s="1"/>
  <c r="O1579" i="1"/>
  <c r="O459" i="7" s="1"/>
  <c r="S614" i="1"/>
  <c r="S489" i="1"/>
  <c r="V419" i="1"/>
  <c r="V418" i="1"/>
  <c r="K591" i="8"/>
  <c r="K1134" i="1" s="1"/>
  <c r="U333" i="1"/>
  <c r="U334" i="1" s="1"/>
  <c r="Q155" i="8"/>
  <c r="Q283" i="8"/>
  <c r="Q2025" i="1"/>
  <c r="Q1868" i="1"/>
  <c r="Q1722" i="1"/>
  <c r="Q607" i="7" s="1"/>
  <c r="I1935" i="1"/>
  <c r="I1937" i="1" s="1"/>
  <c r="J1934" i="1"/>
  <c r="R178" i="1"/>
  <c r="R77" i="7" s="1"/>
  <c r="R1282" i="1"/>
  <c r="R276" i="7" s="1"/>
  <c r="R1213" i="1"/>
  <c r="R204" i="7" s="1"/>
  <c r="R1127" i="1"/>
  <c r="J1716" i="1"/>
  <c r="J601" i="7" s="1"/>
  <c r="I1717" i="1"/>
  <c r="I602" i="7" s="1"/>
  <c r="H1936" i="1"/>
  <c r="T1115" i="1"/>
  <c r="U1117" i="1"/>
  <c r="T1119" i="1"/>
  <c r="T1120" i="1"/>
  <c r="S1126" i="1"/>
  <c r="S1282" i="1" s="1"/>
  <c r="S276" i="7" s="1"/>
  <c r="S1128" i="1"/>
  <c r="R104" i="8"/>
  <c r="R103" i="8" s="1"/>
  <c r="U1116" i="1"/>
  <c r="T1129" i="1"/>
  <c r="Q119" i="8"/>
  <c r="Q118" i="8" s="1"/>
  <c r="Q104" i="8"/>
  <c r="Q103" i="8" s="1"/>
  <c r="J1997" i="1"/>
  <c r="I1998" i="1"/>
  <c r="I1999" i="1" s="1"/>
  <c r="V355" i="1"/>
  <c r="S51" i="8"/>
  <c r="S50" i="8" s="1"/>
  <c r="S1327" i="1"/>
  <c r="S323" i="7" s="1"/>
  <c r="S1187" i="1"/>
  <c r="S104" i="8" s="1"/>
  <c r="S103" i="8" s="1"/>
  <c r="R283" i="8"/>
  <c r="R282" i="8" s="1"/>
  <c r="R1722" i="1"/>
  <c r="R607" i="7" s="1"/>
  <c r="R1868" i="1"/>
  <c r="R2025" i="1"/>
  <c r="S1131" i="1"/>
  <c r="S1493" i="1" s="1"/>
  <c r="U565" i="1"/>
  <c r="T1474" i="1"/>
  <c r="P62" i="8" l="1"/>
  <c r="P61" i="8" s="1"/>
  <c r="Q219" i="1"/>
  <c r="Q118" i="7" s="1"/>
  <c r="S1217" i="1"/>
  <c r="S208" i="7" s="1"/>
  <c r="AA1118" i="1"/>
  <c r="T531" i="1"/>
  <c r="Z380" i="1"/>
  <c r="J1133" i="1"/>
  <c r="AA1049" i="1"/>
  <c r="Y312" i="1"/>
  <c r="J1718" i="1"/>
  <c r="J603" i="7" s="1"/>
  <c r="T466" i="8"/>
  <c r="T465" i="8" s="1"/>
  <c r="P1579" i="1"/>
  <c r="P459" i="7" s="1"/>
  <c r="S163" i="8"/>
  <c r="S162" i="8" s="1"/>
  <c r="S490" i="1"/>
  <c r="V428" i="1"/>
  <c r="W345" i="1"/>
  <c r="W344" i="1"/>
  <c r="V324" i="1"/>
  <c r="V323" i="1"/>
  <c r="U566" i="1"/>
  <c r="V1116" i="1"/>
  <c r="U1129" i="1"/>
  <c r="S1213" i="1"/>
  <c r="S204" i="7" s="1"/>
  <c r="S1127" i="1"/>
  <c r="T1125" i="1"/>
  <c r="T1124" i="1"/>
  <c r="J1717" i="1"/>
  <c r="J602" i="7" s="1"/>
  <c r="K1716" i="1"/>
  <c r="K601" i="7" s="1"/>
  <c r="R155" i="8"/>
  <c r="R154" i="8" s="1"/>
  <c r="Q154" i="8"/>
  <c r="S501" i="8"/>
  <c r="S500" i="8" s="1"/>
  <c r="R833" i="8"/>
  <c r="R683" i="8"/>
  <c r="R941" i="8"/>
  <c r="S283" i="8"/>
  <c r="S282" i="8" s="1"/>
  <c r="S1868" i="1"/>
  <c r="S2025" i="1"/>
  <c r="S1722" i="1"/>
  <c r="S607" i="7" s="1"/>
  <c r="K1997" i="1"/>
  <c r="J1998" i="1"/>
  <c r="J1999" i="1" s="1"/>
  <c r="T1131" i="1"/>
  <c r="T1493" i="1" s="1"/>
  <c r="T1128" i="1"/>
  <c r="T1126" i="1"/>
  <c r="V1117" i="1"/>
  <c r="U1119" i="1"/>
  <c r="U1125" i="1" s="1"/>
  <c r="U178" i="1" s="1"/>
  <c r="U77" i="7" s="1"/>
  <c r="U1120" i="1"/>
  <c r="U1115" i="1"/>
  <c r="U1124" i="1" s="1"/>
  <c r="I1936" i="1"/>
  <c r="R119" i="8"/>
  <c r="R118" i="8" s="1"/>
  <c r="R1217" i="1"/>
  <c r="R208" i="7" s="1"/>
  <c r="R179" i="1"/>
  <c r="R78" i="7" s="1"/>
  <c r="J1935" i="1"/>
  <c r="J1937" i="1" s="1"/>
  <c r="K1934" i="1"/>
  <c r="Q282" i="8"/>
  <c r="Q220" i="1" l="1"/>
  <c r="R216" i="1" s="1"/>
  <c r="R115" i="7" s="1"/>
  <c r="R218" i="1"/>
  <c r="R117" i="7" s="1"/>
  <c r="U179" i="1"/>
  <c r="U78" i="7" s="1"/>
  <c r="AB1049" i="1"/>
  <c r="Z381" i="1"/>
  <c r="U528" i="1"/>
  <c r="Y313" i="1"/>
  <c r="AB1118" i="1"/>
  <c r="K1718" i="1"/>
  <c r="K603" i="7" s="1"/>
  <c r="Q1579" i="1"/>
  <c r="Q459" i="7" s="1"/>
  <c r="S615" i="1"/>
  <c r="S1468" i="1" s="1"/>
  <c r="T481" i="1"/>
  <c r="V429" i="1"/>
  <c r="L591" i="8"/>
  <c r="L1134" i="1" s="1"/>
  <c r="T1282" i="1"/>
  <c r="T276" i="7" s="1"/>
  <c r="J1936" i="1"/>
  <c r="U1327" i="1"/>
  <c r="U323" i="7" s="1"/>
  <c r="U1187" i="1"/>
  <c r="K1998" i="1"/>
  <c r="K1999" i="1" s="1"/>
  <c r="L1997" i="1"/>
  <c r="S941" i="8"/>
  <c r="S683" i="8"/>
  <c r="S833" i="8"/>
  <c r="Q592" i="8"/>
  <c r="K1717" i="1"/>
  <c r="K602" i="7" s="1"/>
  <c r="L1716" i="1"/>
  <c r="L601" i="7" s="1"/>
  <c r="T1327" i="1"/>
  <c r="T323" i="7" s="1"/>
  <c r="T1187" i="1"/>
  <c r="T178" i="1"/>
  <c r="T77" i="7" s="1"/>
  <c r="S119" i="8"/>
  <c r="S118" i="8" s="1"/>
  <c r="U1131" i="1"/>
  <c r="U1493" i="1" s="1"/>
  <c r="U1474" i="1"/>
  <c r="V333" i="1"/>
  <c r="Q833" i="8"/>
  <c r="Q683" i="8"/>
  <c r="Q941" i="8"/>
  <c r="L1934" i="1"/>
  <c r="K1935" i="1"/>
  <c r="K1937" i="1" s="1"/>
  <c r="R51" i="8"/>
  <c r="R163" i="8"/>
  <c r="R162" i="8" s="1"/>
  <c r="U1128" i="1"/>
  <c r="U1126" i="1"/>
  <c r="W1117" i="1"/>
  <c r="V1119" i="1"/>
  <c r="V1125" i="1" s="1"/>
  <c r="V178" i="1" s="1"/>
  <c r="V77" i="7" s="1"/>
  <c r="V1120" i="1"/>
  <c r="V1115" i="1"/>
  <c r="V1124" i="1" s="1"/>
  <c r="T1213" i="1"/>
  <c r="T204" i="7" s="1"/>
  <c r="T1127" i="1"/>
  <c r="T501" i="8"/>
  <c r="T500" i="8" s="1"/>
  <c r="S155" i="8"/>
  <c r="W1116" i="1"/>
  <c r="V1129" i="1"/>
  <c r="V565" i="1"/>
  <c r="W354" i="1"/>
  <c r="R217" i="1" l="1"/>
  <c r="R116" i="7" s="1"/>
  <c r="Q214" i="1"/>
  <c r="Q113" i="7" s="1"/>
  <c r="Q119" i="7"/>
  <c r="V179" i="1"/>
  <c r="V78" i="7" s="1"/>
  <c r="U51" i="8"/>
  <c r="U50" i="8" s="1"/>
  <c r="U501" i="8"/>
  <c r="U500" i="8" s="1"/>
  <c r="Z303" i="1"/>
  <c r="Z302" i="1"/>
  <c r="U531" i="1"/>
  <c r="AA371" i="1"/>
  <c r="AA370" i="1"/>
  <c r="T1217" i="1"/>
  <c r="T208" i="7" s="1"/>
  <c r="AC1118" i="1"/>
  <c r="AC1049" i="1"/>
  <c r="L1718" i="1"/>
  <c r="L603" i="7" s="1"/>
  <c r="R1579" i="1"/>
  <c r="R459" i="7" s="1"/>
  <c r="S455" i="8"/>
  <c r="S454" i="8" s="1"/>
  <c r="T614" i="1"/>
  <c r="T489" i="1"/>
  <c r="W419" i="1"/>
  <c r="W418" i="1"/>
  <c r="K1578" i="1"/>
  <c r="K458" i="7" s="1"/>
  <c r="V1131" i="1"/>
  <c r="V1493" i="1" s="1"/>
  <c r="S154" i="8"/>
  <c r="T119" i="8"/>
  <c r="T118" i="8" s="1"/>
  <c r="V1327" i="1"/>
  <c r="V323" i="7" s="1"/>
  <c r="V1187" i="1"/>
  <c r="U1213" i="1"/>
  <c r="U204" i="7" s="1"/>
  <c r="U1127" i="1"/>
  <c r="U119" i="8" s="1"/>
  <c r="U118" i="8" s="1"/>
  <c r="T283" i="8"/>
  <c r="T1868" i="1"/>
  <c r="T2025" i="1"/>
  <c r="T1722" i="1"/>
  <c r="T607" i="7" s="1"/>
  <c r="M1716" i="1"/>
  <c r="M601" i="7" s="1"/>
  <c r="L1717" i="1"/>
  <c r="L602" i="7" s="1"/>
  <c r="U104" i="8"/>
  <c r="U103" i="8" s="1"/>
  <c r="K1936" i="1"/>
  <c r="W355" i="1"/>
  <c r="X1116" i="1"/>
  <c r="Y1116" i="1" s="1"/>
  <c r="W1129" i="1"/>
  <c r="T155" i="8"/>
  <c r="T154" i="8" s="1"/>
  <c r="V1128" i="1"/>
  <c r="V1126" i="1"/>
  <c r="X1117" i="1"/>
  <c r="Y1117" i="1" s="1"/>
  <c r="W1119" i="1"/>
  <c r="W1120" i="1"/>
  <c r="W1115" i="1"/>
  <c r="R50" i="8"/>
  <c r="L1935" i="1"/>
  <c r="L1937" i="1" s="1"/>
  <c r="M1934" i="1"/>
  <c r="V334" i="1"/>
  <c r="U466" i="8"/>
  <c r="U465" i="8" s="1"/>
  <c r="U1282" i="1"/>
  <c r="U276" i="7" s="1"/>
  <c r="T179" i="1"/>
  <c r="T78" i="7" s="1"/>
  <c r="T104" i="8"/>
  <c r="T103" i="8" s="1"/>
  <c r="M1997" i="1"/>
  <c r="L1998" i="1"/>
  <c r="L1999" i="1" s="1"/>
  <c r="U1722" i="1"/>
  <c r="U607" i="7" s="1"/>
  <c r="U2025" i="1"/>
  <c r="U1868" i="1"/>
  <c r="U283" i="8"/>
  <c r="U282" i="8" s="1"/>
  <c r="T163" i="8"/>
  <c r="Q215" i="1" l="1"/>
  <c r="Q114" i="7" s="1"/>
  <c r="R219" i="1"/>
  <c r="R118" i="7" s="1"/>
  <c r="V51" i="8"/>
  <c r="V50" i="8" s="1"/>
  <c r="Z1116" i="1"/>
  <c r="Y1129" i="1"/>
  <c r="K1133" i="1"/>
  <c r="Z312" i="1"/>
  <c r="Z1117" i="1"/>
  <c r="Y1120" i="1"/>
  <c r="Y1119" i="1"/>
  <c r="Y1125" i="1" s="1"/>
  <c r="Y178" i="1" s="1"/>
  <c r="Y77" i="7" s="1"/>
  <c r="Y1115" i="1"/>
  <c r="Y1124" i="1" s="1"/>
  <c r="V501" i="8"/>
  <c r="V500" i="8" s="1"/>
  <c r="AA380" i="1"/>
  <c r="V528" i="1"/>
  <c r="M1718" i="1"/>
  <c r="M603" i="7" s="1"/>
  <c r="T490" i="1"/>
  <c r="W428" i="1"/>
  <c r="T162" i="8"/>
  <c r="M1998" i="1"/>
  <c r="M1999" i="1" s="1"/>
  <c r="N1997" i="1"/>
  <c r="T51" i="8"/>
  <c r="T50" i="8" s="1"/>
  <c r="W324" i="1"/>
  <c r="W323" i="1"/>
  <c r="V566" i="1"/>
  <c r="W1124" i="1"/>
  <c r="W1125" i="1"/>
  <c r="W1131" i="1"/>
  <c r="W1493" i="1" s="1"/>
  <c r="L1936" i="1"/>
  <c r="U155" i="8"/>
  <c r="U154" i="8" s="1"/>
  <c r="V2025" i="1"/>
  <c r="V1868" i="1"/>
  <c r="V1722" i="1"/>
  <c r="V607" i="7" s="1"/>
  <c r="V283" i="8"/>
  <c r="V282" i="8" s="1"/>
  <c r="U941" i="8"/>
  <c r="U833" i="8"/>
  <c r="U683" i="8"/>
  <c r="U1217" i="1"/>
  <c r="U208" i="7" s="1"/>
  <c r="N1934" i="1"/>
  <c r="M1935" i="1"/>
  <c r="M1937" i="1" s="1"/>
  <c r="W1128" i="1"/>
  <c r="W1126" i="1"/>
  <c r="X1119" i="1"/>
  <c r="X1125" i="1" s="1"/>
  <c r="X178" i="1" s="1"/>
  <c r="X77" i="7" s="1"/>
  <c r="X1120" i="1"/>
  <c r="X1115" i="1"/>
  <c r="X1124" i="1" s="1"/>
  <c r="V1213" i="1"/>
  <c r="V204" i="7" s="1"/>
  <c r="V1127" i="1"/>
  <c r="V119" i="8" s="1"/>
  <c r="V118" i="8" s="1"/>
  <c r="X1129" i="1"/>
  <c r="X345" i="1"/>
  <c r="X344" i="1"/>
  <c r="N1716" i="1"/>
  <c r="N601" i="7" s="1"/>
  <c r="M1717" i="1"/>
  <c r="M602" i="7" s="1"/>
  <c r="T282" i="8"/>
  <c r="V104" i="8"/>
  <c r="V103" i="8" s="1"/>
  <c r="V1282" i="1"/>
  <c r="V276" i="7" s="1"/>
  <c r="Q62" i="8" l="1"/>
  <c r="Q61" i="8" s="1"/>
  <c r="S218" i="1"/>
  <c r="S117" i="7" s="1"/>
  <c r="R220" i="1"/>
  <c r="R119" i="7" s="1"/>
  <c r="X179" i="1"/>
  <c r="X78" i="7" s="1"/>
  <c r="Y179" i="1"/>
  <c r="Y78" i="7" s="1"/>
  <c r="W501" i="8"/>
  <c r="W500" i="8" s="1"/>
  <c r="V531" i="1"/>
  <c r="AA381" i="1"/>
  <c r="AA1117" i="1"/>
  <c r="Z1119" i="1"/>
  <c r="Z1125" i="1" s="1"/>
  <c r="Z178" i="1" s="1"/>
  <c r="Z77" i="7" s="1"/>
  <c r="Z1120" i="1"/>
  <c r="Z1115" i="1"/>
  <c r="Z1124" i="1" s="1"/>
  <c r="Y1131" i="1"/>
  <c r="Y1493" i="1" s="1"/>
  <c r="V1217" i="1"/>
  <c r="V208" i="7" s="1"/>
  <c r="Y1327" i="1"/>
  <c r="Y323" i="7" s="1"/>
  <c r="Y1187" i="1"/>
  <c r="Y1128" i="1"/>
  <c r="Y1126" i="1"/>
  <c r="Z313" i="1"/>
  <c r="AA1116" i="1"/>
  <c r="Z1129" i="1"/>
  <c r="N1718" i="1"/>
  <c r="N603" i="7" s="1"/>
  <c r="V163" i="8"/>
  <c r="V162" i="8" s="1"/>
  <c r="U481" i="1"/>
  <c r="T615" i="1"/>
  <c r="T1468" i="1" s="1"/>
  <c r="W429" i="1"/>
  <c r="L1578" i="1"/>
  <c r="L458" i="7" s="1"/>
  <c r="M591" i="8"/>
  <c r="M1134" i="1" s="1"/>
  <c r="T1579" i="1"/>
  <c r="T459" i="7" s="1"/>
  <c r="T683" i="8"/>
  <c r="T833" i="8"/>
  <c r="T941" i="8"/>
  <c r="N1717" i="1"/>
  <c r="N602" i="7" s="1"/>
  <c r="O1716" i="1"/>
  <c r="O601" i="7" s="1"/>
  <c r="X1327" i="1"/>
  <c r="X323" i="7" s="1"/>
  <c r="X1187" i="1"/>
  <c r="W1213" i="1"/>
  <c r="W204" i="7" s="1"/>
  <c r="W1127" i="1"/>
  <c r="W119" i="8" s="1"/>
  <c r="W118" i="8" s="1"/>
  <c r="N1935" i="1"/>
  <c r="N1937" i="1" s="1"/>
  <c r="O1934" i="1"/>
  <c r="M1936" i="1"/>
  <c r="W1282" i="1"/>
  <c r="W276" i="7" s="1"/>
  <c r="W178" i="1"/>
  <c r="W77" i="7" s="1"/>
  <c r="W1327" i="1"/>
  <c r="W323" i="7" s="1"/>
  <c r="W1187" i="1"/>
  <c r="W565" i="1"/>
  <c r="X354" i="1"/>
  <c r="X1131" i="1"/>
  <c r="X1493" i="1" s="1"/>
  <c r="V155" i="8"/>
  <c r="X1128" i="1"/>
  <c r="X1126" i="1"/>
  <c r="Y1282" i="1" s="1"/>
  <c r="U163" i="8"/>
  <c r="V941" i="8"/>
  <c r="V833" i="8"/>
  <c r="V683" i="8"/>
  <c r="V1474" i="1"/>
  <c r="W333" i="1"/>
  <c r="N1998" i="1"/>
  <c r="N1999" i="1" s="1"/>
  <c r="O1997" i="1"/>
  <c r="Y1217" i="1" l="1"/>
  <c r="Y208" i="7" s="1"/>
  <c r="Y276" i="7"/>
  <c r="S216" i="1"/>
  <c r="S115" i="7" s="1"/>
  <c r="R214" i="1"/>
  <c r="R113" i="7" s="1"/>
  <c r="Z179" i="1"/>
  <c r="Z78" i="7" s="1"/>
  <c r="X51" i="8"/>
  <c r="X50" i="8" s="1"/>
  <c r="W1217" i="1"/>
  <c r="W208" i="7" s="1"/>
  <c r="X501" i="8"/>
  <c r="X500" i="8" s="1"/>
  <c r="AB1116" i="1"/>
  <c r="AA1129" i="1"/>
  <c r="AA303" i="1"/>
  <c r="AA302" i="1"/>
  <c r="Y1213" i="1"/>
  <c r="Y204" i="7" s="1"/>
  <c r="Y1127" i="1"/>
  <c r="Z1128" i="1"/>
  <c r="Z1126" i="1"/>
  <c r="Z1282" i="1" s="1"/>
  <c r="AB1117" i="1"/>
  <c r="AA1119" i="1"/>
  <c r="AA1120" i="1"/>
  <c r="AA1115" i="1"/>
  <c r="AA1124" i="1" s="1"/>
  <c r="W528" i="1"/>
  <c r="L1133" i="1"/>
  <c r="Z1131" i="1"/>
  <c r="Z1493" i="1" s="1"/>
  <c r="Y2025" i="1"/>
  <c r="Y1868" i="1"/>
  <c r="Y1722" i="1"/>
  <c r="Y607" i="7" s="1"/>
  <c r="Y1578" i="1"/>
  <c r="Y458" i="7" s="1"/>
  <c r="Z1327" i="1"/>
  <c r="Z323" i="7" s="1"/>
  <c r="Z1187" i="1"/>
  <c r="AB371" i="1"/>
  <c r="AB370" i="1"/>
  <c r="O1718" i="1"/>
  <c r="O603" i="7" s="1"/>
  <c r="W163" i="8"/>
  <c r="W162" i="8" s="1"/>
  <c r="T455" i="8"/>
  <c r="T454" i="8" s="1"/>
  <c r="S1579" i="1"/>
  <c r="S459" i="7" s="1"/>
  <c r="U614" i="1"/>
  <c r="U489" i="1"/>
  <c r="X419" i="1"/>
  <c r="X418" i="1"/>
  <c r="O1998" i="1"/>
  <c r="O1999" i="1" s="1"/>
  <c r="P1997" i="1"/>
  <c r="W334" i="1"/>
  <c r="V466" i="8"/>
  <c r="V465" i="8" s="1"/>
  <c r="U162" i="8"/>
  <c r="V154" i="8"/>
  <c r="X355" i="1"/>
  <c r="W1722" i="1"/>
  <c r="W607" i="7" s="1"/>
  <c r="W2025" i="1"/>
  <c r="W1868" i="1"/>
  <c r="W283" i="8"/>
  <c r="W179" i="1"/>
  <c r="W78" i="7" s="1"/>
  <c r="N1936" i="1"/>
  <c r="P1934" i="1"/>
  <c r="O1935" i="1"/>
  <c r="O1937" i="1" s="1"/>
  <c r="X104" i="8"/>
  <c r="X103" i="8" s="1"/>
  <c r="X1213" i="1"/>
  <c r="X204" i="7" s="1"/>
  <c r="X1127" i="1"/>
  <c r="X119" i="8" s="1"/>
  <c r="X118" i="8" s="1"/>
  <c r="X1282" i="1"/>
  <c r="X276" i="7" s="1"/>
  <c r="W104" i="8"/>
  <c r="W103" i="8" s="1"/>
  <c r="W155" i="8"/>
  <c r="W154" i="8" s="1"/>
  <c r="X2025" i="1"/>
  <c r="X1868" i="1"/>
  <c r="X1722" i="1"/>
  <c r="X607" i="7" s="1"/>
  <c r="X283" i="8"/>
  <c r="X282" i="8" s="1"/>
  <c r="P1716" i="1"/>
  <c r="P601" i="7" s="1"/>
  <c r="O1717" i="1"/>
  <c r="O602" i="7" s="1"/>
  <c r="Z1217" i="1" l="1"/>
  <c r="Z208" i="7" s="1"/>
  <c r="Z276" i="7"/>
  <c r="R215" i="1"/>
  <c r="R114" i="7" s="1"/>
  <c r="S217" i="1"/>
  <c r="S219" i="1" s="1"/>
  <c r="S118" i="7" s="1"/>
  <c r="Y1133" i="1"/>
  <c r="Y1579" i="1"/>
  <c r="Y459" i="7" s="1"/>
  <c r="X1217" i="1"/>
  <c r="X208" i="7" s="1"/>
  <c r="Y345" i="1"/>
  <c r="Y344" i="1"/>
  <c r="AB380" i="1"/>
  <c r="Z2025" i="1"/>
  <c r="Z1868" i="1"/>
  <c r="Z1722" i="1"/>
  <c r="Z607" i="7" s="1"/>
  <c r="Z1578" i="1"/>
  <c r="Z458" i="7" s="1"/>
  <c r="W531" i="1"/>
  <c r="AA1128" i="1"/>
  <c r="AA1126" i="1"/>
  <c r="AA1282" i="1" s="1"/>
  <c r="AC1117" i="1"/>
  <c r="AB1119" i="1"/>
  <c r="AB1125" i="1" s="1"/>
  <c r="AB178" i="1" s="1"/>
  <c r="AB77" i="7" s="1"/>
  <c r="AB1120" i="1"/>
  <c r="AB1115" i="1"/>
  <c r="AA312" i="1"/>
  <c r="AA1131" i="1"/>
  <c r="AA1493" i="1" s="1"/>
  <c r="AA1327" i="1"/>
  <c r="AA323" i="7" s="1"/>
  <c r="AA1187" i="1"/>
  <c r="AA1125" i="1"/>
  <c r="Z1213" i="1"/>
  <c r="Z204" i="7" s="1"/>
  <c r="Z1127" i="1"/>
  <c r="AC1116" i="1"/>
  <c r="AC1129" i="1" s="1"/>
  <c r="AB1129" i="1"/>
  <c r="P1718" i="1"/>
  <c r="P603" i="7" s="1"/>
  <c r="S592" i="8"/>
  <c r="U490" i="1"/>
  <c r="X428" i="1"/>
  <c r="M1578" i="1"/>
  <c r="M458" i="7" s="1"/>
  <c r="N591" i="8"/>
  <c r="N1134" i="1" s="1"/>
  <c r="Q1716" i="1"/>
  <c r="Q601" i="7" s="1"/>
  <c r="P1717" i="1"/>
  <c r="P602" i="7" s="1"/>
  <c r="X683" i="8"/>
  <c r="X941" i="8"/>
  <c r="X833" i="8"/>
  <c r="X155" i="8"/>
  <c r="X154" i="8" s="1"/>
  <c r="P1935" i="1"/>
  <c r="P1937" i="1" s="1"/>
  <c r="Q1934" i="1"/>
  <c r="W282" i="8"/>
  <c r="X324" i="1"/>
  <c r="X323" i="1"/>
  <c r="W566" i="1"/>
  <c r="Q1997" i="1"/>
  <c r="P1998" i="1"/>
  <c r="P1999" i="1" s="1"/>
  <c r="X163" i="8"/>
  <c r="X162" i="8" s="1"/>
  <c r="O1936" i="1"/>
  <c r="W51" i="8"/>
  <c r="AA1217" i="1" l="1"/>
  <c r="AA208" i="7" s="1"/>
  <c r="AA276" i="7"/>
  <c r="T218" i="1"/>
  <c r="T117" i="7" s="1"/>
  <c r="S220" i="1"/>
  <c r="S119" i="7" s="1"/>
  <c r="R62" i="8"/>
  <c r="R61" i="8" s="1"/>
  <c r="S116" i="7"/>
  <c r="AB179" i="1"/>
  <c r="AB78" i="7" s="1"/>
  <c r="Z1133" i="1"/>
  <c r="AB1131" i="1"/>
  <c r="AB1493" i="1" s="1"/>
  <c r="AB1124" i="1"/>
  <c r="AA1213" i="1"/>
  <c r="AA204" i="7" s="1"/>
  <c r="AA1127" i="1"/>
  <c r="AB381" i="1"/>
  <c r="M1133" i="1"/>
  <c r="AC1131" i="1"/>
  <c r="AC1493" i="1" s="1"/>
  <c r="Z1579" i="1"/>
  <c r="Z459" i="7" s="1"/>
  <c r="AA178" i="1"/>
  <c r="AA77" i="7" s="1"/>
  <c r="AA1722" i="1"/>
  <c r="AA607" i="7" s="1"/>
  <c r="AA2025" i="1"/>
  <c r="AA1868" i="1"/>
  <c r="AA1578" i="1"/>
  <c r="AA458" i="7" s="1"/>
  <c r="AA313" i="1"/>
  <c r="AB1128" i="1"/>
  <c r="AB1126" i="1"/>
  <c r="AC1119" i="1"/>
  <c r="AC1120" i="1"/>
  <c r="AC1115" i="1"/>
  <c r="AC1124" i="1" s="1"/>
  <c r="AD1117" i="1"/>
  <c r="X528" i="1"/>
  <c r="Y354" i="1"/>
  <c r="Q1718" i="1"/>
  <c r="Q603" i="7" s="1"/>
  <c r="V481" i="1"/>
  <c r="U615" i="1"/>
  <c r="U1468" i="1" s="1"/>
  <c r="X429" i="1"/>
  <c r="Q1998" i="1"/>
  <c r="Q1999" i="1" s="1"/>
  <c r="R1997" i="1"/>
  <c r="W1474" i="1"/>
  <c r="X333" i="1"/>
  <c r="W941" i="8"/>
  <c r="W833" i="8"/>
  <c r="W683" i="8"/>
  <c r="Q1935" i="1"/>
  <c r="Q1937" i="1" s="1"/>
  <c r="R1934" i="1"/>
  <c r="W50" i="8"/>
  <c r="P1936" i="1"/>
  <c r="X565" i="1"/>
  <c r="R1716" i="1"/>
  <c r="R601" i="7" s="1"/>
  <c r="Q1717" i="1"/>
  <c r="Q602" i="7" s="1"/>
  <c r="S214" i="1" l="1"/>
  <c r="S113" i="7" s="1"/>
  <c r="T216" i="1"/>
  <c r="T115" i="7" s="1"/>
  <c r="AA1133" i="1"/>
  <c r="Y419" i="1"/>
  <c r="Y428" i="1" s="1"/>
  <c r="X531" i="1"/>
  <c r="Y528" i="1" s="1"/>
  <c r="AC1327" i="1"/>
  <c r="AC323" i="7" s="1"/>
  <c r="AC1187" i="1"/>
  <c r="AC1125" i="1"/>
  <c r="AE1119" i="1"/>
  <c r="AB1213" i="1"/>
  <c r="AB204" i="7" s="1"/>
  <c r="AB1127" i="1"/>
  <c r="AA179" i="1"/>
  <c r="AA78" i="7" s="1"/>
  <c r="AA1579" i="1"/>
  <c r="AA459" i="7" s="1"/>
  <c r="AB1327" i="1"/>
  <c r="AB323" i="7" s="1"/>
  <c r="AB1187" i="1"/>
  <c r="AE1124" i="1"/>
  <c r="AB1282" i="1"/>
  <c r="AB276" i="7" s="1"/>
  <c r="Y355" i="1"/>
  <c r="AC1128" i="1"/>
  <c r="AE1128" i="1" s="1"/>
  <c r="AC1126" i="1"/>
  <c r="AE1126" i="1" s="1"/>
  <c r="AE1120" i="1"/>
  <c r="AB303" i="1"/>
  <c r="AB302" i="1"/>
  <c r="Y501" i="8"/>
  <c r="Y500" i="8" s="1"/>
  <c r="AC371" i="1"/>
  <c r="AC370" i="1"/>
  <c r="AE370" i="1" s="1"/>
  <c r="AE1115" i="1"/>
  <c r="R1718" i="1"/>
  <c r="R603" i="7" s="1"/>
  <c r="U455" i="8"/>
  <c r="U454" i="8" s="1"/>
  <c r="V614" i="1"/>
  <c r="V489" i="1"/>
  <c r="AE418" i="1"/>
  <c r="O591" i="8"/>
  <c r="O1134" i="1" s="1"/>
  <c r="R1717" i="1"/>
  <c r="R602" i="7" s="1"/>
  <c r="S1716" i="1"/>
  <c r="S601" i="7" s="1"/>
  <c r="S1934" i="1"/>
  <c r="R1935" i="1"/>
  <c r="R1937" i="1" s="1"/>
  <c r="R1998" i="1"/>
  <c r="R1999" i="1" s="1"/>
  <c r="S1997" i="1"/>
  <c r="Q1936" i="1"/>
  <c r="X334" i="1"/>
  <c r="W466" i="8"/>
  <c r="W465" i="8" s="1"/>
  <c r="S215" i="1" l="1"/>
  <c r="S114" i="7" s="1"/>
  <c r="T217" i="1"/>
  <c r="T219" i="1" s="1"/>
  <c r="T118" i="7" s="1"/>
  <c r="AB1217" i="1"/>
  <c r="AB208" i="7" s="1"/>
  <c r="AE1187" i="1"/>
  <c r="AB1579" i="1"/>
  <c r="AB459" i="7" s="1"/>
  <c r="AC178" i="1"/>
  <c r="AC77" i="7" s="1"/>
  <c r="AE1125" i="1"/>
  <c r="AC2025" i="1"/>
  <c r="AC1868" i="1"/>
  <c r="AC1722" i="1"/>
  <c r="AC607" i="7" s="1"/>
  <c r="AC1578" i="1"/>
  <c r="AC458" i="7" s="1"/>
  <c r="Y283" i="8"/>
  <c r="Y531" i="1"/>
  <c r="Y324" i="1"/>
  <c r="Y323" i="1"/>
  <c r="AE371" i="1"/>
  <c r="AC380" i="1"/>
  <c r="AC381" i="1" s="1"/>
  <c r="AB312" i="1"/>
  <c r="AC1213" i="1"/>
  <c r="AC204" i="7" s="1"/>
  <c r="AC1127" i="1"/>
  <c r="Y119" i="8" s="1"/>
  <c r="Y118" i="8" s="1"/>
  <c r="Z345" i="1"/>
  <c r="Z344" i="1"/>
  <c r="AB2025" i="1"/>
  <c r="AB1868" i="1"/>
  <c r="AE1868" i="1" s="1"/>
  <c r="AB1722" i="1"/>
  <c r="AB607" i="7" s="1"/>
  <c r="AB1578" i="1"/>
  <c r="AB458" i="7" s="1"/>
  <c r="AE1327" i="1"/>
  <c r="AE323" i="7" s="1"/>
  <c r="AC1282" i="1"/>
  <c r="AC276" i="7" s="1"/>
  <c r="Y104" i="8"/>
  <c r="Y429" i="1"/>
  <c r="Z419" i="1" s="1"/>
  <c r="Z428" i="1" s="1"/>
  <c r="S1718" i="1"/>
  <c r="S603" i="7" s="1"/>
  <c r="T592" i="8"/>
  <c r="V490" i="1"/>
  <c r="P591" i="8"/>
  <c r="P1134" i="1" s="1"/>
  <c r="X566" i="1"/>
  <c r="R1936" i="1"/>
  <c r="S1998" i="1"/>
  <c r="S1999" i="1" s="1"/>
  <c r="T1997" i="1"/>
  <c r="T1934" i="1"/>
  <c r="S1935" i="1"/>
  <c r="S1937" i="1" s="1"/>
  <c r="T1716" i="1"/>
  <c r="T601" i="7" s="1"/>
  <c r="S1717" i="1"/>
  <c r="S602" i="7" s="1"/>
  <c r="S62" i="8" l="1"/>
  <c r="S61" i="8" s="1"/>
  <c r="U218" i="1"/>
  <c r="U117" i="7" s="1"/>
  <c r="T220" i="1"/>
  <c r="T119" i="7" s="1"/>
  <c r="T116" i="7"/>
  <c r="AE1722" i="1"/>
  <c r="AE607" i="7" s="1"/>
  <c r="AE2025" i="1"/>
  <c r="AB1133" i="1"/>
  <c r="Y565" i="1"/>
  <c r="Z429" i="1"/>
  <c r="AA419" i="1" s="1"/>
  <c r="AC1217" i="1"/>
  <c r="AC208" i="7" s="1"/>
  <c r="Z354" i="1"/>
  <c r="AC1579" i="1"/>
  <c r="AC459" i="7" s="1"/>
  <c r="Y155" i="8"/>
  <c r="Y333" i="1"/>
  <c r="Z528" i="1"/>
  <c r="AA283" i="8"/>
  <c r="Y282" i="8"/>
  <c r="AE1213" i="1"/>
  <c r="AE204" i="7" s="1"/>
  <c r="AE1217" i="1"/>
  <c r="AE208" i="7" s="1"/>
  <c r="AA104" i="8"/>
  <c r="Y103" i="8"/>
  <c r="AA103" i="8" s="1"/>
  <c r="AB313" i="1"/>
  <c r="AC1133" i="1"/>
  <c r="AC179" i="1"/>
  <c r="AC78" i="7" s="1"/>
  <c r="AE178" i="1"/>
  <c r="AE77" i="7" s="1"/>
  <c r="AE1282" i="1"/>
  <c r="AE276" i="7" s="1"/>
  <c r="T1718" i="1"/>
  <c r="T603" i="7" s="1"/>
  <c r="W481" i="1"/>
  <c r="V615" i="1"/>
  <c r="V1468" i="1" s="1"/>
  <c r="N1578" i="1"/>
  <c r="N458" i="7" s="1"/>
  <c r="Q1578" i="1"/>
  <c r="Q458" i="7" s="1"/>
  <c r="Q591" i="8"/>
  <c r="Q1134" i="1" s="1"/>
  <c r="U1716" i="1"/>
  <c r="U601" i="7" s="1"/>
  <c r="T1717" i="1"/>
  <c r="T602" i="7" s="1"/>
  <c r="U1934" i="1"/>
  <c r="T1935" i="1"/>
  <c r="T1937" i="1" s="1"/>
  <c r="U1997" i="1"/>
  <c r="T1998" i="1"/>
  <c r="T1999" i="1" s="1"/>
  <c r="S1936" i="1"/>
  <c r="X1474" i="1"/>
  <c r="U216" i="1" l="1"/>
  <c r="U115" i="7" s="1"/>
  <c r="T214" i="1"/>
  <c r="T113" i="7" s="1"/>
  <c r="U1718" i="1"/>
  <c r="U603" i="7" s="1"/>
  <c r="Y51" i="8"/>
  <c r="AE179" i="1"/>
  <c r="AE78" i="7" s="1"/>
  <c r="Y163" i="8"/>
  <c r="N1133" i="1"/>
  <c r="Q1133" i="1"/>
  <c r="AC303" i="1"/>
  <c r="AC302" i="1"/>
  <c r="Y833" i="8"/>
  <c r="AA833" i="8" s="1"/>
  <c r="AA282" i="8"/>
  <c r="Y941" i="8"/>
  <c r="AA941" i="8" s="1"/>
  <c r="Y683" i="8"/>
  <c r="AA683" i="8" s="1"/>
  <c r="Z531" i="1"/>
  <c r="Y334" i="1"/>
  <c r="AA155" i="8"/>
  <c r="Y154" i="8"/>
  <c r="AA154" i="8" s="1"/>
  <c r="Z355" i="1"/>
  <c r="AA428" i="1"/>
  <c r="V455" i="8"/>
  <c r="V454" i="8" s="1"/>
  <c r="U1579" i="1"/>
  <c r="U459" i="7" s="1"/>
  <c r="W614" i="1"/>
  <c r="W489" i="1"/>
  <c r="T1936" i="1"/>
  <c r="X466" i="8"/>
  <c r="X465" i="8" s="1"/>
  <c r="U1998" i="1"/>
  <c r="U1999" i="1" s="1"/>
  <c r="V1997" i="1"/>
  <c r="V1934" i="1"/>
  <c r="U1935" i="1"/>
  <c r="U1937" i="1" s="1"/>
  <c r="U1717" i="1"/>
  <c r="U602" i="7" s="1"/>
  <c r="V1716" i="1"/>
  <c r="V601" i="7" s="1"/>
  <c r="T215" i="1" l="1"/>
  <c r="T114" i="7" s="1"/>
  <c r="U217" i="1"/>
  <c r="U219" i="1" s="1"/>
  <c r="U118" i="7" s="1"/>
  <c r="AA429" i="1"/>
  <c r="AB419" i="1" s="1"/>
  <c r="AA345" i="1"/>
  <c r="AA344" i="1"/>
  <c r="AA528" i="1"/>
  <c r="AE302" i="1"/>
  <c r="AE303" i="1"/>
  <c r="AC312" i="1"/>
  <c r="AC313" i="1" s="1"/>
  <c r="Y50" i="8"/>
  <c r="AA50" i="8" s="1"/>
  <c r="AA51" i="8"/>
  <c r="Z324" i="1"/>
  <c r="Z323" i="1"/>
  <c r="Y566" i="1"/>
  <c r="Y162" i="8"/>
  <c r="AA162" i="8" s="1"/>
  <c r="AA163" i="8"/>
  <c r="V1718" i="1"/>
  <c r="V603" i="7" s="1"/>
  <c r="W490" i="1"/>
  <c r="U592" i="8"/>
  <c r="O1578" i="1"/>
  <c r="O458" i="7" s="1"/>
  <c r="R591" i="8"/>
  <c r="R1134" i="1" s="1"/>
  <c r="W1934" i="1"/>
  <c r="V1935" i="1"/>
  <c r="V1937" i="1" s="1"/>
  <c r="V1998" i="1"/>
  <c r="V1999" i="1" s="1"/>
  <c r="W1997" i="1"/>
  <c r="U1936" i="1"/>
  <c r="V1717" i="1"/>
  <c r="V602" i="7" s="1"/>
  <c r="W1716" i="1"/>
  <c r="W601" i="7" s="1"/>
  <c r="T62" i="8" l="1"/>
  <c r="T61" i="8" s="1"/>
  <c r="V218" i="1"/>
  <c r="V117" i="7" s="1"/>
  <c r="U220" i="1"/>
  <c r="U119" i="7" s="1"/>
  <c r="U116" i="7"/>
  <c r="V1936" i="1"/>
  <c r="O1133" i="1"/>
  <c r="Y1474" i="1"/>
  <c r="Z333" i="1"/>
  <c r="AA531" i="1"/>
  <c r="Z565" i="1"/>
  <c r="AA354" i="1"/>
  <c r="AB428" i="1"/>
  <c r="W1718" i="1"/>
  <c r="W603" i="7" s="1"/>
  <c r="W615" i="1"/>
  <c r="W1468" i="1" s="1"/>
  <c r="X481" i="1"/>
  <c r="S591" i="8"/>
  <c r="S1134" i="1" s="1"/>
  <c r="T1578" i="1"/>
  <c r="T458" i="7" s="1"/>
  <c r="W1717" i="1"/>
  <c r="W602" i="7" s="1"/>
  <c r="X1716" i="1"/>
  <c r="X601" i="7" s="1"/>
  <c r="W1998" i="1"/>
  <c r="W1999" i="1" s="1"/>
  <c r="X1997" i="1"/>
  <c r="Y1997" i="1" s="1"/>
  <c r="X1934" i="1"/>
  <c r="Y1934" i="1" s="1"/>
  <c r="W1935" i="1"/>
  <c r="W1937" i="1" s="1"/>
  <c r="V216" i="1" l="1"/>
  <c r="V115" i="7" s="1"/>
  <c r="U214" i="1"/>
  <c r="U113" i="7" s="1"/>
  <c r="Z1997" i="1"/>
  <c r="Y1998" i="1"/>
  <c r="Z1934" i="1"/>
  <c r="Y1935" i="1"/>
  <c r="Y1716" i="1"/>
  <c r="Y601" i="7" s="1"/>
  <c r="AA355" i="1"/>
  <c r="Z334" i="1"/>
  <c r="T1133" i="1"/>
  <c r="AB429" i="1"/>
  <c r="AC419" i="1" s="1"/>
  <c r="AE419" i="1" s="1"/>
  <c r="AB528" i="1"/>
  <c r="X1718" i="1"/>
  <c r="X603" i="7" s="1"/>
  <c r="W455" i="8"/>
  <c r="W454" i="8" s="1"/>
  <c r="X614" i="1"/>
  <c r="X489" i="1"/>
  <c r="V1579" i="1"/>
  <c r="V459" i="7" s="1"/>
  <c r="W1936" i="1"/>
  <c r="X1998" i="1"/>
  <c r="X1999" i="1" s="1"/>
  <c r="Y1999" i="1" s="1"/>
  <c r="X1717" i="1"/>
  <c r="X602" i="7" s="1"/>
  <c r="X1935" i="1"/>
  <c r="X1937" i="1" s="1"/>
  <c r="Y1937" i="1" l="1"/>
  <c r="V217" i="1"/>
  <c r="V219" i="1" s="1"/>
  <c r="V118" i="7" s="1"/>
  <c r="U215" i="1"/>
  <c r="U114" i="7" s="1"/>
  <c r="AB531" i="1"/>
  <c r="AC428" i="1"/>
  <c r="AC429" i="1" s="1"/>
  <c r="AB345" i="1"/>
  <c r="AB344" i="1"/>
  <c r="Z1716" i="1"/>
  <c r="Z601" i="7" s="1"/>
  <c r="Y1717" i="1"/>
  <c r="Y602" i="7" s="1"/>
  <c r="Y1718" i="1"/>
  <c r="Y603" i="7" s="1"/>
  <c r="AA324" i="1"/>
  <c r="AA323" i="1"/>
  <c r="Z566" i="1"/>
  <c r="AA1934" i="1"/>
  <c r="Z1935" i="1"/>
  <c r="Z1937" i="1" s="1"/>
  <c r="AA1997" i="1"/>
  <c r="Z1998" i="1"/>
  <c r="Z1999" i="1" s="1"/>
  <c r="V592" i="8"/>
  <c r="X490" i="1"/>
  <c r="Y481" i="1" s="1"/>
  <c r="Y614" i="1" s="1"/>
  <c r="U591" i="8"/>
  <c r="U1134" i="1" s="1"/>
  <c r="X1936" i="1"/>
  <c r="Y1936" i="1" s="1"/>
  <c r="U62" i="8" l="1"/>
  <c r="U61" i="8" s="1"/>
  <c r="V220" i="1"/>
  <c r="V119" i="7" s="1"/>
  <c r="V116" i="7"/>
  <c r="W218" i="1"/>
  <c r="W117" i="7" s="1"/>
  <c r="Z1936" i="1"/>
  <c r="Z1718" i="1"/>
  <c r="Z603" i="7" s="1"/>
  <c r="Z1474" i="1"/>
  <c r="AA333" i="1"/>
  <c r="AA1716" i="1"/>
  <c r="AA601" i="7" s="1"/>
  <c r="Z1717" i="1"/>
  <c r="Z602" i="7" s="1"/>
  <c r="AB354" i="1"/>
  <c r="AB1997" i="1"/>
  <c r="AA1998" i="1"/>
  <c r="AA1999" i="1" s="1"/>
  <c r="AB1934" i="1"/>
  <c r="AA1935" i="1"/>
  <c r="AA1937" i="1" s="1"/>
  <c r="AA565" i="1"/>
  <c r="Y489" i="1"/>
  <c r="AC528" i="1"/>
  <c r="X615" i="1"/>
  <c r="X1468" i="1" s="1"/>
  <c r="P1578" i="1"/>
  <c r="P458" i="7" s="1"/>
  <c r="AA1718" i="1" l="1"/>
  <c r="AA603" i="7" s="1"/>
  <c r="W216" i="1"/>
  <c r="W115" i="7" s="1"/>
  <c r="V214" i="1"/>
  <c r="V113" i="7" s="1"/>
  <c r="P1133" i="1"/>
  <c r="Y490" i="1"/>
  <c r="AC1934" i="1"/>
  <c r="AC1935" i="1" s="1"/>
  <c r="AB1935" i="1"/>
  <c r="AB1937" i="1" s="1"/>
  <c r="AC1997" i="1"/>
  <c r="AC1998" i="1" s="1"/>
  <c r="AB1998" i="1"/>
  <c r="AB1999" i="1" s="1"/>
  <c r="AA1936" i="1"/>
  <c r="AB1716" i="1"/>
  <c r="AB601" i="7" s="1"/>
  <c r="AA1717" i="1"/>
  <c r="AA602" i="7" s="1"/>
  <c r="AC531" i="1"/>
  <c r="AE528" i="1"/>
  <c r="AB355" i="1"/>
  <c r="AA334" i="1"/>
  <c r="X455" i="8"/>
  <c r="X454" i="8" s="1"/>
  <c r="W1579" i="1"/>
  <c r="W459" i="7" s="1"/>
  <c r="W217" i="1" l="1"/>
  <c r="W116" i="7" s="1"/>
  <c r="V215" i="1"/>
  <c r="V114" i="7" s="1"/>
  <c r="AB1718" i="1"/>
  <c r="AB603" i="7" s="1"/>
  <c r="AC1999" i="1"/>
  <c r="AC1937" i="1"/>
  <c r="AB1936" i="1"/>
  <c r="AC1936" i="1" s="1"/>
  <c r="Y615" i="1"/>
  <c r="Y1468" i="1" s="1"/>
  <c r="Z481" i="1"/>
  <c r="AB324" i="1"/>
  <c r="AB323" i="1"/>
  <c r="AA566" i="1"/>
  <c r="AC345" i="1"/>
  <c r="AC344" i="1"/>
  <c r="AE344" i="1" s="1"/>
  <c r="AC1716" i="1"/>
  <c r="AC601" i="7" s="1"/>
  <c r="AB1717" i="1"/>
  <c r="AB602" i="7" s="1"/>
  <c r="W592" i="8"/>
  <c r="W219" i="1" l="1"/>
  <c r="W220" i="1" s="1"/>
  <c r="W119" i="7" s="1"/>
  <c r="V62" i="8"/>
  <c r="V61" i="8" s="1"/>
  <c r="AC1718" i="1"/>
  <c r="AC603" i="7" s="1"/>
  <c r="AA1474" i="1"/>
  <c r="AB333" i="1"/>
  <c r="AC1717" i="1"/>
  <c r="AC602" i="7" s="1"/>
  <c r="AE345" i="1"/>
  <c r="AC354" i="1"/>
  <c r="AC355" i="1" s="1"/>
  <c r="AB565" i="1"/>
  <c r="Z614" i="1"/>
  <c r="Z489" i="1"/>
  <c r="W214" i="1" l="1"/>
  <c r="W113" i="7" s="1"/>
  <c r="X216" i="1"/>
  <c r="X115" i="7" s="1"/>
  <c r="X218" i="1"/>
  <c r="X117" i="7" s="1"/>
  <c r="W118" i="7"/>
  <c r="Z490" i="1"/>
  <c r="AB334" i="1"/>
  <c r="X1579" i="1"/>
  <c r="X459" i="7" s="1"/>
  <c r="X217" i="1" l="1"/>
  <c r="X219" i="1" s="1"/>
  <c r="X118" i="7" s="1"/>
  <c r="W215" i="1"/>
  <c r="W114" i="7" s="1"/>
  <c r="AC324" i="1"/>
  <c r="AC323" i="1"/>
  <c r="AB566" i="1"/>
  <c r="Z615" i="1"/>
  <c r="Z1468" i="1" s="1"/>
  <c r="AA481" i="1"/>
  <c r="X592" i="8"/>
  <c r="X116" i="7" l="1"/>
  <c r="W62" i="8"/>
  <c r="W61" i="8" s="1"/>
  <c r="X220" i="1"/>
  <c r="X119" i="7" s="1"/>
  <c r="Y218" i="1"/>
  <c r="Y117" i="7" s="1"/>
  <c r="AC565" i="1"/>
  <c r="AE323" i="1"/>
  <c r="AA614" i="1"/>
  <c r="AA489" i="1"/>
  <c r="AB1474" i="1"/>
  <c r="AE324" i="1"/>
  <c r="AC333" i="1"/>
  <c r="AC334" i="1" s="1"/>
  <c r="AC566" i="1" s="1"/>
  <c r="AC1474" i="1" s="1"/>
  <c r="R1578" i="1"/>
  <c r="R458" i="7" s="1"/>
  <c r="X214" i="1" l="1"/>
  <c r="X113" i="7" s="1"/>
  <c r="Y216" i="1"/>
  <c r="Y115" i="7" s="1"/>
  <c r="Y466" i="8"/>
  <c r="Y465" i="8" s="1"/>
  <c r="AE565" i="1"/>
  <c r="R1133" i="1"/>
  <c r="AA490" i="1"/>
  <c r="X215" i="1" l="1"/>
  <c r="X114" i="7" s="1"/>
  <c r="Y217" i="1"/>
  <c r="Y116" i="7" s="1"/>
  <c r="AA615" i="1"/>
  <c r="AA1468" i="1" s="1"/>
  <c r="AB481" i="1"/>
  <c r="S1578" i="1"/>
  <c r="S458" i="7" s="1"/>
  <c r="X62" i="8" l="1"/>
  <c r="X61" i="8" s="1"/>
  <c r="Y219" i="1"/>
  <c r="Y118" i="7" s="1"/>
  <c r="S1133" i="1"/>
  <c r="AB614" i="1"/>
  <c r="AB489" i="1"/>
  <c r="Z218" i="1" l="1"/>
  <c r="Z117" i="7" s="1"/>
  <c r="Y220" i="1"/>
  <c r="Y119" i="7" s="1"/>
  <c r="AB490" i="1"/>
  <c r="Y592" i="8"/>
  <c r="Z216" i="1" l="1"/>
  <c r="Z115" i="7" s="1"/>
  <c r="Y214" i="1"/>
  <c r="Y113" i="7" s="1"/>
  <c r="AB615" i="1"/>
  <c r="AB1468" i="1" s="1"/>
  <c r="AC481" i="1"/>
  <c r="Z217" i="1" l="1"/>
  <c r="Z116" i="7" s="1"/>
  <c r="Y215" i="1"/>
  <c r="Y114" i="7" s="1"/>
  <c r="AC614" i="1"/>
  <c r="AE481" i="1"/>
  <c r="AC489" i="1"/>
  <c r="AC490" i="1" s="1"/>
  <c r="AC615" i="1" s="1"/>
  <c r="AC1468" i="1" s="1"/>
  <c r="T591" i="8"/>
  <c r="T1134" i="1" s="1"/>
  <c r="Z219" i="1" l="1"/>
  <c r="Z220" i="1" s="1"/>
  <c r="Z119" i="7" s="1"/>
  <c r="Y455" i="8"/>
  <c r="Y454" i="8" s="1"/>
  <c r="AE614" i="1"/>
  <c r="Z118" i="7" l="1"/>
  <c r="Z214" i="1"/>
  <c r="Z113" i="7" s="1"/>
  <c r="AA218" i="1"/>
  <c r="AA117" i="7" s="1"/>
  <c r="AA216" i="1"/>
  <c r="AA115" i="7" s="1"/>
  <c r="U1578" i="1"/>
  <c r="U458" i="7" s="1"/>
  <c r="Z215" i="1" l="1"/>
  <c r="Z114" i="7" s="1"/>
  <c r="AA217" i="1"/>
  <c r="AA116" i="7" s="1"/>
  <c r="U1133" i="1"/>
  <c r="AA219" i="1" l="1"/>
  <c r="AA118" i="7" s="1"/>
  <c r="AB218" i="1" l="1"/>
  <c r="AB117" i="7" s="1"/>
  <c r="AA220" i="1"/>
  <c r="AA119" i="7" s="1"/>
  <c r="AB216" i="1" l="1"/>
  <c r="AB217" i="1" s="1"/>
  <c r="AB116" i="7" s="1"/>
  <c r="AA214" i="1"/>
  <c r="AA113" i="7" s="1"/>
  <c r="V1578" i="1"/>
  <c r="V458" i="7" s="1"/>
  <c r="AB115" i="7" l="1"/>
  <c r="AA215" i="1"/>
  <c r="AA114" i="7" s="1"/>
  <c r="AB219" i="1"/>
  <c r="V1133" i="1"/>
  <c r="AB118" i="7" l="1"/>
  <c r="AC218" i="1"/>
  <c r="AC117" i="7" s="1"/>
  <c r="AB220" i="1"/>
  <c r="W1578" i="1"/>
  <c r="W458" i="7" s="1"/>
  <c r="V591" i="8"/>
  <c r="V1134" i="1" s="1"/>
  <c r="AB119" i="7" l="1"/>
  <c r="AB214" i="1"/>
  <c r="AC216" i="1"/>
  <c r="W1133" i="1"/>
  <c r="AB113" i="7" l="1"/>
  <c r="AB215" i="1"/>
  <c r="AB114" i="7" s="1"/>
  <c r="AC115" i="7"/>
  <c r="AC217" i="1"/>
  <c r="AE216" i="1"/>
  <c r="AE115" i="7" s="1"/>
  <c r="W591" i="8"/>
  <c r="W1134" i="1" s="1"/>
  <c r="AC116" i="7" l="1"/>
  <c r="AC219" i="1"/>
  <c r="AC118" i="7" s="1"/>
  <c r="AC220" i="1" l="1"/>
  <c r="AC119" i="7" s="1"/>
  <c r="X1578" i="1"/>
  <c r="X458" i="7" s="1"/>
  <c r="AC214" i="1" l="1"/>
  <c r="AC113" i="7" s="1"/>
  <c r="X1133" i="1"/>
  <c r="AC215" i="1" l="1"/>
  <c r="AE214" i="1"/>
  <c r="AE113" i="7" s="1"/>
  <c r="X591" i="8"/>
  <c r="X1134" i="1" s="1"/>
  <c r="AE215" i="1" l="1"/>
  <c r="AE114" i="7" s="1"/>
  <c r="AC114" i="7"/>
  <c r="Y62" i="8"/>
  <c r="Y591" i="8"/>
  <c r="Y1134" i="1" s="1"/>
  <c r="Y61" i="8" l="1"/>
  <c r="AA61" i="8" s="1"/>
  <c r="AA62" i="8"/>
  <c r="R592" i="8"/>
  <c r="P592" i="8"/>
  <c r="O592" i="8"/>
  <c r="N592" i="8"/>
  <c r="M592" i="8"/>
  <c r="L592" i="8"/>
  <c r="K592" i="8"/>
  <c r="J592" i="8"/>
  <c r="I592" i="8"/>
  <c r="H592" i="8"/>
  <c r="G592" i="8"/>
  <c r="AE438" i="1"/>
  <c r="B11" i="13"/>
  <c r="B16" i="13" l="1"/>
  <c r="B19" i="13"/>
  <c r="G445" i="1"/>
  <c r="G587" i="1" s="1"/>
  <c r="AE587" i="1" s="1"/>
  <c r="G586" i="1"/>
  <c r="AE445" i="1"/>
  <c r="B446" i="1" s="1"/>
  <c r="G447" i="1" l="1"/>
  <c r="H447" i="1" s="1"/>
  <c r="I447" i="1" s="1"/>
  <c r="J447" i="1" s="1"/>
  <c r="K447" i="1" s="1"/>
  <c r="L447" i="1" s="1"/>
  <c r="M447" i="1" s="1"/>
  <c r="N447" i="1" s="1"/>
  <c r="O447" i="1" s="1"/>
  <c r="P447" i="1" s="1"/>
  <c r="Q447" i="1" s="1"/>
  <c r="R447" i="1" s="1"/>
  <c r="S447" i="1" s="1"/>
  <c r="T447" i="1" s="1"/>
  <c r="U447" i="1" s="1"/>
  <c r="V447" i="1" s="1"/>
  <c r="W447" i="1" s="1"/>
  <c r="X447" i="1" s="1"/>
  <c r="Y447" i="1" s="1"/>
  <c r="Z447" i="1" s="1"/>
  <c r="AA447" i="1" s="1"/>
  <c r="AB447" i="1" s="1"/>
  <c r="AC447" i="1" s="1"/>
  <c r="G443" i="1"/>
  <c r="AE586" i="1"/>
  <c r="G1336" i="1"/>
  <c r="G332" i="7" s="1"/>
  <c r="G1171" i="1"/>
  <c r="G618" i="1"/>
  <c r="D22" i="13"/>
  <c r="C21" i="13"/>
  <c r="AB450" i="1"/>
  <c r="AB590" i="1" s="1"/>
  <c r="AA450" i="1"/>
  <c r="AA590" i="1" s="1"/>
  <c r="Z450" i="1"/>
  <c r="Z590" i="1" s="1"/>
  <c r="Y450" i="1"/>
  <c r="Y590" i="1" s="1"/>
  <c r="AC448" i="1"/>
  <c r="AA448" i="1"/>
  <c r="AB448" i="1"/>
  <c r="Z448" i="1"/>
  <c r="Y448" i="1"/>
  <c r="W448" i="1"/>
  <c r="T448" i="1"/>
  <c r="X448" i="1"/>
  <c r="V448" i="1"/>
  <c r="U448" i="1"/>
  <c r="R450" i="1"/>
  <c r="R590" i="1" s="1"/>
  <c r="S448" i="1"/>
  <c r="Q450" i="1"/>
  <c r="Q590" i="1" s="1"/>
  <c r="T450" i="1"/>
  <c r="T590" i="1" s="1"/>
  <c r="H450" i="1"/>
  <c r="H590" i="1" s="1"/>
  <c r="H1485" i="1" s="1"/>
  <c r="Q448" i="1"/>
  <c r="O448" i="1"/>
  <c r="V450" i="1"/>
  <c r="V590" i="1" s="1"/>
  <c r="N450" i="1"/>
  <c r="N590" i="1" s="1"/>
  <c r="I450" i="1"/>
  <c r="I590" i="1" s="1"/>
  <c r="I1485" i="1" s="1"/>
  <c r="X450" i="1"/>
  <c r="X590" i="1" s="1"/>
  <c r="W450" i="1"/>
  <c r="W590" i="1" s="1"/>
  <c r="P450" i="1"/>
  <c r="P590" i="1" s="1"/>
  <c r="AC450" i="1"/>
  <c r="AC590" i="1" s="1"/>
  <c r="O450" i="1"/>
  <c r="O590" i="1" s="1"/>
  <c r="F450" i="1"/>
  <c r="F590" i="1" s="1"/>
  <c r="F1485" i="1" s="1"/>
  <c r="Y449" i="1"/>
  <c r="Y589" i="1" s="1"/>
  <c r="Y1478" i="1" s="1"/>
  <c r="X454" i="1"/>
  <c r="X594" i="1" s="1"/>
  <c r="X127" i="1" s="1"/>
  <c r="X26" i="7" s="1"/>
  <c r="R448" i="1"/>
  <c r="P448" i="1"/>
  <c r="M448" i="1"/>
  <c r="N448" i="1"/>
  <c r="U450" i="1"/>
  <c r="U590" i="1" s="1"/>
  <c r="M450" i="1"/>
  <c r="M590" i="1" s="1"/>
  <c r="G450" i="1"/>
  <c r="G590" i="1" s="1"/>
  <c r="G1485" i="1" s="1"/>
  <c r="J450" i="1"/>
  <c r="J590" i="1" s="1"/>
  <c r="K450" i="1"/>
  <c r="K590" i="1" s="1"/>
  <c r="L450" i="1"/>
  <c r="L590" i="1" s="1"/>
  <c r="Y454" i="1"/>
  <c r="Y594" i="1" s="1"/>
  <c r="Y127" i="1" s="1"/>
  <c r="Y26" i="7" s="1"/>
  <c r="AA454" i="1"/>
  <c r="AA594" i="1" s="1"/>
  <c r="AA127" i="1" s="1"/>
  <c r="AA26" i="7" s="1"/>
  <c r="W454" i="1"/>
  <c r="W594" i="1" s="1"/>
  <c r="W127" i="1" s="1"/>
  <c r="W26" i="7" s="1"/>
  <c r="F454" i="1"/>
  <c r="AC454" i="1"/>
  <c r="AC594" i="1" s="1"/>
  <c r="AC127" i="1" s="1"/>
  <c r="AC26" i="7" s="1"/>
  <c r="T454" i="1"/>
  <c r="T594" i="1" s="1"/>
  <c r="T127" i="1" s="1"/>
  <c r="T26" i="7" s="1"/>
  <c r="S454" i="1"/>
  <c r="S594" i="1" s="1"/>
  <c r="S127" i="1" s="1"/>
  <c r="S26" i="7" s="1"/>
  <c r="U454" i="1"/>
  <c r="U594" i="1" s="1"/>
  <c r="U127" i="1" s="1"/>
  <c r="U26" i="7" s="1"/>
  <c r="V454" i="1"/>
  <c r="V594" i="1" s="1"/>
  <c r="V127" i="1" s="1"/>
  <c r="V26" i="7" s="1"/>
  <c r="R454" i="1"/>
  <c r="R594" i="1" s="1"/>
  <c r="R127" i="1" s="1"/>
  <c r="R26" i="7" s="1"/>
  <c r="Z454" i="1"/>
  <c r="Z594" i="1" s="1"/>
  <c r="Z127" i="1" s="1"/>
  <c r="Z26" i="7" s="1"/>
  <c r="I454" i="1"/>
  <c r="I594" i="1" s="1"/>
  <c r="I127" i="1" s="1"/>
  <c r="I26" i="7" s="1"/>
  <c r="N454" i="1"/>
  <c r="N594" i="1" s="1"/>
  <c r="N127" i="1" s="1"/>
  <c r="N26" i="7" s="1"/>
  <c r="F448" i="1"/>
  <c r="M454" i="1"/>
  <c r="M594" i="1" s="1"/>
  <c r="M127" i="1" s="1"/>
  <c r="M26" i="7" s="1"/>
  <c r="AC449" i="1"/>
  <c r="AC589" i="1" s="1"/>
  <c r="AC1478" i="1" s="1"/>
  <c r="Y474" i="8" s="1"/>
  <c r="Y473" i="8" s="1"/>
  <c r="K448" i="1"/>
  <c r="AA449" i="1"/>
  <c r="AA589" i="1" s="1"/>
  <c r="AA1478" i="1" s="1"/>
  <c r="W449" i="1"/>
  <c r="W589" i="1" s="1"/>
  <c r="W1478" i="1" s="1"/>
  <c r="W474" i="8" s="1"/>
  <c r="W473" i="8" s="1"/>
  <c r="X449" i="1"/>
  <c r="X589" i="1" s="1"/>
  <c r="X1478" i="1" s="1"/>
  <c r="X474" i="8" s="1"/>
  <c r="X473" i="8" s="1"/>
  <c r="U449" i="1"/>
  <c r="U589" i="1" s="1"/>
  <c r="U1478" i="1" s="1"/>
  <c r="U474" i="8" s="1"/>
  <c r="U473" i="8" s="1"/>
  <c r="S449" i="1"/>
  <c r="S589" i="1" s="1"/>
  <c r="S1478" i="1" s="1"/>
  <c r="S474" i="8" s="1"/>
  <c r="S473" i="8" s="1"/>
  <c r="P449" i="1"/>
  <c r="P589" i="1" s="1"/>
  <c r="P1478" i="1" s="1"/>
  <c r="P474" i="8" s="1"/>
  <c r="P473" i="8" s="1"/>
  <c r="F449" i="1"/>
  <c r="F589" i="1" s="1"/>
  <c r="F1478" i="1" s="1"/>
  <c r="F474" i="8" s="1"/>
  <c r="F473" i="8" s="1"/>
  <c r="S450" i="1"/>
  <c r="S590" i="1" s="1"/>
  <c r="H448" i="1"/>
  <c r="G454" i="1"/>
  <c r="G594" i="1" s="1"/>
  <c r="G127" i="1" s="1"/>
  <c r="G26" i="7" s="1"/>
  <c r="J448" i="1"/>
  <c r="L448" i="1"/>
  <c r="G448" i="1"/>
  <c r="P454" i="1"/>
  <c r="P594" i="1" s="1"/>
  <c r="P127" i="1" s="1"/>
  <c r="P26" i="7" s="1"/>
  <c r="AB449" i="1"/>
  <c r="AB589" i="1" s="1"/>
  <c r="AB1478" i="1" s="1"/>
  <c r="Z449" i="1"/>
  <c r="Z589" i="1" s="1"/>
  <c r="Z1478" i="1" s="1"/>
  <c r="I448" i="1"/>
  <c r="Q454" i="1"/>
  <c r="Q594" i="1" s="1"/>
  <c r="Q127" i="1" s="1"/>
  <c r="Q26" i="7" s="1"/>
  <c r="AB454" i="1"/>
  <c r="AB594" i="1" s="1"/>
  <c r="AB127" i="1" s="1"/>
  <c r="AB26" i="7" s="1"/>
  <c r="K454" i="1"/>
  <c r="K594" i="1" s="1"/>
  <c r="K127" i="1" s="1"/>
  <c r="K26" i="7" s="1"/>
  <c r="L454" i="1"/>
  <c r="L594" i="1" s="1"/>
  <c r="L127" i="1" s="1"/>
  <c r="L26" i="7" s="1"/>
  <c r="O454" i="1"/>
  <c r="O594" i="1" s="1"/>
  <c r="O127" i="1" s="1"/>
  <c r="O26" i="7" s="1"/>
  <c r="V449" i="1"/>
  <c r="V589" i="1" s="1"/>
  <c r="V1478" i="1" s="1"/>
  <c r="V474" i="8" s="1"/>
  <c r="V473" i="8" s="1"/>
  <c r="T449" i="1"/>
  <c r="T589" i="1" s="1"/>
  <c r="T1478" i="1" s="1"/>
  <c r="T474" i="8" s="1"/>
  <c r="T473" i="8" s="1"/>
  <c r="R449" i="1"/>
  <c r="R589" i="1" s="1"/>
  <c r="R1478" i="1" s="1"/>
  <c r="R474" i="8" s="1"/>
  <c r="R473" i="8" s="1"/>
  <c r="Q449" i="1"/>
  <c r="Q589" i="1" s="1"/>
  <c r="Q1478" i="1" s="1"/>
  <c r="Q474" i="8" s="1"/>
  <c r="Q473" i="8" s="1"/>
  <c r="O449" i="1"/>
  <c r="O589" i="1" s="1"/>
  <c r="O1478" i="1" s="1"/>
  <c r="O474" i="8" s="1"/>
  <c r="O473" i="8" s="1"/>
  <c r="I449" i="1"/>
  <c r="I589" i="1" s="1"/>
  <c r="N449" i="1"/>
  <c r="N589" i="1" s="1"/>
  <c r="N1478" i="1" s="1"/>
  <c r="N474" i="8" s="1"/>
  <c r="N473" i="8" s="1"/>
  <c r="M449" i="1"/>
  <c r="M589" i="1" s="1"/>
  <c r="M1478" i="1" s="1"/>
  <c r="M474" i="8" s="1"/>
  <c r="M473" i="8" s="1"/>
  <c r="K449" i="1"/>
  <c r="K589" i="1" s="1"/>
  <c r="K1478" i="1" s="1"/>
  <c r="K474" i="8" s="1"/>
  <c r="K473" i="8" s="1"/>
  <c r="J449" i="1"/>
  <c r="J589" i="1" s="1"/>
  <c r="J1478" i="1" s="1"/>
  <c r="J474" i="8" s="1"/>
  <c r="J473" i="8" s="1"/>
  <c r="G449" i="1"/>
  <c r="G589" i="1" s="1"/>
  <c r="G1478" i="1" s="1"/>
  <c r="G474" i="8" s="1"/>
  <c r="G473" i="8" s="1"/>
  <c r="L449" i="1"/>
  <c r="L589" i="1" s="1"/>
  <c r="L1478" i="1" s="1"/>
  <c r="L474" i="8" s="1"/>
  <c r="L473" i="8" s="1"/>
  <c r="H449" i="1"/>
  <c r="H589" i="1" s="1"/>
  <c r="H1478" i="1" s="1"/>
  <c r="H474" i="8" s="1"/>
  <c r="H473" i="8" s="1"/>
  <c r="AE388" i="1"/>
  <c r="I398" i="1"/>
  <c r="AE443" i="1"/>
  <c r="H454" i="1" s="1"/>
  <c r="H594" i="1" s="1"/>
  <c r="H127" i="1" s="1"/>
  <c r="H26" i="7" s="1"/>
  <c r="G593" i="1"/>
  <c r="J454" i="1" l="1"/>
  <c r="J594" i="1" s="1"/>
  <c r="H129" i="1"/>
  <c r="H28" i="7" s="1"/>
  <c r="G125" i="1"/>
  <c r="G24" i="7" s="1"/>
  <c r="AE593" i="1"/>
  <c r="I396" i="1"/>
  <c r="I400" i="1"/>
  <c r="I574" i="1"/>
  <c r="AE398" i="1"/>
  <c r="B399" i="1" s="1"/>
  <c r="L129" i="1"/>
  <c r="L28" i="7" s="1"/>
  <c r="AB129" i="1"/>
  <c r="AB28" i="7" s="1"/>
  <c r="I588" i="1"/>
  <c r="G588" i="1"/>
  <c r="J588" i="1"/>
  <c r="H588" i="1"/>
  <c r="M129" i="1"/>
  <c r="M28" i="7" s="1"/>
  <c r="N129" i="1"/>
  <c r="N28" i="7" s="1"/>
  <c r="Z129" i="1"/>
  <c r="Z28" i="7" s="1"/>
  <c r="V129" i="1"/>
  <c r="V28" i="7" s="1"/>
  <c r="S129" i="1"/>
  <c r="S28" i="7" s="1"/>
  <c r="AC129" i="1"/>
  <c r="AC28" i="7" s="1"/>
  <c r="W129" i="1"/>
  <c r="W28" i="7" s="1"/>
  <c r="AA129" i="1"/>
  <c r="AA28" i="7" s="1"/>
  <c r="N588" i="1"/>
  <c r="P588" i="1"/>
  <c r="X129" i="1"/>
  <c r="X28" i="7" s="1"/>
  <c r="F1483" i="1"/>
  <c r="F486" i="8"/>
  <c r="F485" i="8" s="1"/>
  <c r="I1483" i="1"/>
  <c r="I486" i="8"/>
  <c r="I485" i="8" s="1"/>
  <c r="Q588" i="1"/>
  <c r="S588" i="1"/>
  <c r="U588" i="1"/>
  <c r="X588" i="1"/>
  <c r="W588" i="1"/>
  <c r="Z588" i="1"/>
  <c r="AA588" i="1"/>
  <c r="G1086" i="1"/>
  <c r="AE1336" i="1"/>
  <c r="AE332" i="7" s="1"/>
  <c r="G1945" i="1"/>
  <c r="G2018" i="1"/>
  <c r="G299" i="8"/>
  <c r="O129" i="1"/>
  <c r="O28" i="7" s="1"/>
  <c r="K129" i="1"/>
  <c r="K28" i="7" s="1"/>
  <c r="Q129" i="1"/>
  <c r="Q28" i="7" s="1"/>
  <c r="P129" i="1"/>
  <c r="P28" i="7" s="1"/>
  <c r="L588" i="1"/>
  <c r="G129" i="1"/>
  <c r="G28" i="7" s="1"/>
  <c r="K588" i="1"/>
  <c r="F588" i="1"/>
  <c r="F442" i="1"/>
  <c r="I129" i="1"/>
  <c r="I28" i="7" s="1"/>
  <c r="R129" i="1"/>
  <c r="R28" i="7" s="1"/>
  <c r="U129" i="1"/>
  <c r="U28" i="7" s="1"/>
  <c r="T129" i="1"/>
  <c r="T28" i="7" s="1"/>
  <c r="AE454" i="1"/>
  <c r="F594" i="1"/>
  <c r="Y129" i="1"/>
  <c r="Y28" i="7" s="1"/>
  <c r="G486" i="8"/>
  <c r="G485" i="8" s="1"/>
  <c r="G1483" i="1"/>
  <c r="M588" i="1"/>
  <c r="R588" i="1"/>
  <c r="O588" i="1"/>
  <c r="H486" i="8"/>
  <c r="H485" i="8" s="1"/>
  <c r="H1483" i="1"/>
  <c r="V588" i="1"/>
  <c r="T588" i="1"/>
  <c r="Y588" i="1"/>
  <c r="AB588" i="1"/>
  <c r="AC588" i="1"/>
  <c r="AE1171" i="1"/>
  <c r="G76" i="8"/>
  <c r="AA76" i="8" l="1"/>
  <c r="G75" i="8"/>
  <c r="AA75" i="8" s="1"/>
  <c r="G482" i="8"/>
  <c r="G481" i="8" s="1"/>
  <c r="H482" i="8"/>
  <c r="H481" i="8" s="1"/>
  <c r="Y126" i="1"/>
  <c r="Y25" i="7" s="1"/>
  <c r="Y130" i="1"/>
  <c r="Y29" i="7" s="1"/>
  <c r="F451" i="1"/>
  <c r="F591" i="1"/>
  <c r="AA299" i="8"/>
  <c r="G298" i="8"/>
  <c r="G1181" i="1"/>
  <c r="G1087" i="1"/>
  <c r="I482" i="8"/>
  <c r="I481" i="8" s="1"/>
  <c r="F482" i="8"/>
  <c r="F481" i="8" s="1"/>
  <c r="AA126" i="1"/>
  <c r="AA25" i="7" s="1"/>
  <c r="AA130" i="1"/>
  <c r="AA29" i="7" s="1"/>
  <c r="AC126" i="1"/>
  <c r="AC25" i="7" s="1"/>
  <c r="AC130" i="1"/>
  <c r="AC29" i="7" s="1"/>
  <c r="V126" i="1"/>
  <c r="V25" i="7" s="1"/>
  <c r="V130" i="1"/>
  <c r="V29" i="7" s="1"/>
  <c r="Z126" i="1"/>
  <c r="Z25" i="7" s="1"/>
  <c r="Z130" i="1"/>
  <c r="Z29" i="7" s="1"/>
  <c r="N126" i="1"/>
  <c r="N25" i="7" s="1"/>
  <c r="N130" i="1"/>
  <c r="N29" i="7" s="1"/>
  <c r="M126" i="1"/>
  <c r="M130" i="1"/>
  <c r="M29" i="7" s="1"/>
  <c r="AB126" i="1"/>
  <c r="AB25" i="7" s="1"/>
  <c r="AB130" i="1"/>
  <c r="AB29" i="7" s="1"/>
  <c r="V401" i="1"/>
  <c r="Y401" i="1"/>
  <c r="S401" i="1"/>
  <c r="Z401" i="1"/>
  <c r="T401" i="1"/>
  <c r="M401" i="1"/>
  <c r="K401" i="1"/>
  <c r="R401" i="1"/>
  <c r="Q401" i="1"/>
  <c r="O401" i="1"/>
  <c r="AA401" i="1"/>
  <c r="W401" i="1"/>
  <c r="AC401" i="1"/>
  <c r="AB401" i="1"/>
  <c r="U401" i="1"/>
  <c r="X401" i="1"/>
  <c r="N401" i="1"/>
  <c r="J401" i="1"/>
  <c r="P401" i="1"/>
  <c r="L401" i="1"/>
  <c r="J400" i="1"/>
  <c r="K400" i="1" s="1"/>
  <c r="L400" i="1" s="1"/>
  <c r="M400" i="1" s="1"/>
  <c r="N400" i="1" s="1"/>
  <c r="O400" i="1" s="1"/>
  <c r="P400" i="1" s="1"/>
  <c r="Q400" i="1" s="1"/>
  <c r="R400" i="1" s="1"/>
  <c r="S400" i="1" s="1"/>
  <c r="T400" i="1" s="1"/>
  <c r="U400" i="1" s="1"/>
  <c r="V400" i="1" s="1"/>
  <c r="W400" i="1" s="1"/>
  <c r="X400" i="1" s="1"/>
  <c r="Y400" i="1" s="1"/>
  <c r="Z400" i="1" s="1"/>
  <c r="AA400" i="1" s="1"/>
  <c r="AB400" i="1" s="1"/>
  <c r="AC400" i="1" s="1"/>
  <c r="AC403" i="1" s="1"/>
  <c r="AC577" i="1" s="1"/>
  <c r="AC1485" i="1" s="1"/>
  <c r="I402" i="1"/>
  <c r="I576" i="1" s="1"/>
  <c r="I1478" i="1" s="1"/>
  <c r="I474" i="8" s="1"/>
  <c r="I473" i="8" s="1"/>
  <c r="AE594" i="1"/>
  <c r="F127" i="1"/>
  <c r="T126" i="1"/>
  <c r="T25" i="7" s="1"/>
  <c r="T130" i="1"/>
  <c r="T29" i="7" s="1"/>
  <c r="U126" i="1"/>
  <c r="U25" i="7" s="1"/>
  <c r="U130" i="1"/>
  <c r="U29" i="7" s="1"/>
  <c r="R126" i="1"/>
  <c r="R25" i="7" s="1"/>
  <c r="R130" i="1"/>
  <c r="R29" i="7" s="1"/>
  <c r="I126" i="1"/>
  <c r="I25" i="7" s="1"/>
  <c r="I130" i="1"/>
  <c r="I29" i="7" s="1"/>
  <c r="P126" i="1"/>
  <c r="P25" i="7" s="1"/>
  <c r="P130" i="1"/>
  <c r="P29" i="7" s="1"/>
  <c r="Q126" i="1"/>
  <c r="Q25" i="7" s="1"/>
  <c r="Q130" i="1"/>
  <c r="Q29" i="7" s="1"/>
  <c r="O126" i="1"/>
  <c r="O25" i="7" s="1"/>
  <c r="O130" i="1"/>
  <c r="O29" i="7" s="1"/>
  <c r="X126" i="1"/>
  <c r="X25" i="7" s="1"/>
  <c r="X130" i="1"/>
  <c r="X29" i="7" s="1"/>
  <c r="W126" i="1"/>
  <c r="W25" i="7" s="1"/>
  <c r="W130" i="1"/>
  <c r="W29" i="7" s="1"/>
  <c r="S126" i="1"/>
  <c r="S25" i="7" s="1"/>
  <c r="S130" i="1"/>
  <c r="S29" i="7" s="1"/>
  <c r="AE574" i="1"/>
  <c r="I580" i="1"/>
  <c r="AE396" i="1"/>
  <c r="J407" i="1" s="1"/>
  <c r="G119" i="1"/>
  <c r="G18" i="7" s="1"/>
  <c r="M25" i="7" l="1"/>
  <c r="G128" i="1"/>
  <c r="G27" i="7" s="1"/>
  <c r="F26" i="7"/>
  <c r="H128" i="1"/>
  <c r="H27" i="7" s="1"/>
  <c r="AC1483" i="1"/>
  <c r="Y486" i="8"/>
  <c r="Y485" i="8" s="1"/>
  <c r="AE580" i="1"/>
  <c r="I125" i="1"/>
  <c r="I24" i="7" s="1"/>
  <c r="I1335" i="1"/>
  <c r="I331" i="7" s="1"/>
  <c r="AE407" i="1"/>
  <c r="J581" i="1"/>
  <c r="I573" i="1"/>
  <c r="F128" i="1"/>
  <c r="F27" i="7" s="1"/>
  <c r="F129" i="1"/>
  <c r="F28" i="7" s="1"/>
  <c r="T403" i="1"/>
  <c r="T577" i="1" s="1"/>
  <c r="T1485" i="1" s="1"/>
  <c r="AA403" i="1"/>
  <c r="AA577" i="1" s="1"/>
  <c r="AA1485" i="1" s="1"/>
  <c r="AA1483" i="1" s="1"/>
  <c r="R403" i="1"/>
  <c r="R577" i="1" s="1"/>
  <c r="R1485" i="1" s="1"/>
  <c r="Z403" i="1"/>
  <c r="Z577" i="1" s="1"/>
  <c r="Z1485" i="1" s="1"/>
  <c r="Z1483" i="1" s="1"/>
  <c r="O403" i="1"/>
  <c r="O577" i="1" s="1"/>
  <c r="O1485" i="1" s="1"/>
  <c r="S403" i="1"/>
  <c r="S577" i="1" s="1"/>
  <c r="S1485" i="1" s="1"/>
  <c r="W403" i="1"/>
  <c r="W577" i="1" s="1"/>
  <c r="W1485" i="1" s="1"/>
  <c r="N403" i="1"/>
  <c r="N577" i="1" s="1"/>
  <c r="N1485" i="1" s="1"/>
  <c r="L575" i="1"/>
  <c r="J575" i="1"/>
  <c r="J394" i="1"/>
  <c r="J395" i="1"/>
  <c r="X575" i="1"/>
  <c r="AB575" i="1"/>
  <c r="W575" i="1"/>
  <c r="M403" i="1"/>
  <c r="M577" i="1" s="1"/>
  <c r="M1485" i="1" s="1"/>
  <c r="Q575" i="1"/>
  <c r="K575" i="1"/>
  <c r="K403" i="1"/>
  <c r="K577" i="1" s="1"/>
  <c r="K1485" i="1" s="1"/>
  <c r="T575" i="1"/>
  <c r="S575" i="1"/>
  <c r="V575" i="1"/>
  <c r="G1177" i="1"/>
  <c r="G94" i="8"/>
  <c r="F944" i="1"/>
  <c r="F452" i="1"/>
  <c r="P403" i="1"/>
  <c r="P577" i="1" s="1"/>
  <c r="P1485" i="1" s="1"/>
  <c r="X403" i="1"/>
  <c r="X577" i="1" s="1"/>
  <c r="X1485" i="1" s="1"/>
  <c r="J403" i="1"/>
  <c r="J577" i="1" s="1"/>
  <c r="J1485" i="1" s="1"/>
  <c r="V403" i="1"/>
  <c r="V577" i="1" s="1"/>
  <c r="V1485" i="1" s="1"/>
  <c r="AB403" i="1"/>
  <c r="AB577" i="1" s="1"/>
  <c r="AB1485" i="1" s="1"/>
  <c r="AB1483" i="1" s="1"/>
  <c r="Q403" i="1"/>
  <c r="Q577" i="1" s="1"/>
  <c r="Q1485" i="1" s="1"/>
  <c r="U403" i="1"/>
  <c r="U577" i="1" s="1"/>
  <c r="U1485" i="1" s="1"/>
  <c r="Y403" i="1"/>
  <c r="Y577" i="1" s="1"/>
  <c r="Y1485" i="1" s="1"/>
  <c r="Y1483" i="1" s="1"/>
  <c r="L403" i="1"/>
  <c r="L577" i="1" s="1"/>
  <c r="L1485" i="1" s="1"/>
  <c r="P575" i="1"/>
  <c r="N575" i="1"/>
  <c r="U575" i="1"/>
  <c r="AC575" i="1"/>
  <c r="AA575" i="1"/>
  <c r="O575" i="1"/>
  <c r="R575" i="1"/>
  <c r="M575" i="1"/>
  <c r="Z575" i="1"/>
  <c r="Y575" i="1"/>
  <c r="G1345" i="1"/>
  <c r="G341" i="7" s="1"/>
  <c r="G1982" i="1"/>
  <c r="G1497" i="1"/>
  <c r="AA298" i="8"/>
  <c r="G912" i="8"/>
  <c r="G934" i="8"/>
  <c r="G130" i="1" l="1"/>
  <c r="G29" i="7" s="1"/>
  <c r="G126" i="1"/>
  <c r="G25" i="7" s="1"/>
  <c r="H130" i="1"/>
  <c r="H29" i="7" s="1"/>
  <c r="H126" i="1"/>
  <c r="H25" i="7" s="1"/>
  <c r="G508" i="8"/>
  <c r="G507" i="8" s="1"/>
  <c r="H1497" i="1"/>
  <c r="Q1483" i="1"/>
  <c r="Q486" i="8"/>
  <c r="Q485" i="8" s="1"/>
  <c r="V486" i="8"/>
  <c r="V485" i="8" s="1"/>
  <c r="V1483" i="1"/>
  <c r="X1483" i="1"/>
  <c r="X486" i="8"/>
  <c r="X485" i="8" s="1"/>
  <c r="G442" i="1"/>
  <c r="F592" i="1"/>
  <c r="F1476" i="1" s="1"/>
  <c r="F988" i="1"/>
  <c r="F980" i="1" s="1"/>
  <c r="F1207" i="1"/>
  <c r="F198" i="7" s="1"/>
  <c r="G93" i="8"/>
  <c r="G87" i="8"/>
  <c r="K486" i="8"/>
  <c r="K485" i="8" s="1"/>
  <c r="K1483" i="1"/>
  <c r="J404" i="1"/>
  <c r="N1483" i="1"/>
  <c r="N486" i="8"/>
  <c r="N485" i="8" s="1"/>
  <c r="S486" i="8"/>
  <c r="S485" i="8" s="1"/>
  <c r="S1483" i="1"/>
  <c r="AE573" i="1"/>
  <c r="I1173" i="1"/>
  <c r="I618" i="1"/>
  <c r="I620" i="1" s="1"/>
  <c r="I119" i="1"/>
  <c r="I18" i="7" s="1"/>
  <c r="I128" i="1"/>
  <c r="I27" i="7" s="1"/>
  <c r="AE125" i="1"/>
  <c r="AE24" i="7" s="1"/>
  <c r="G1871" i="1"/>
  <c r="G2021" i="1"/>
  <c r="G1799" i="1"/>
  <c r="G315" i="8"/>
  <c r="L486" i="8"/>
  <c r="L485" i="8" s="1"/>
  <c r="L1483" i="1"/>
  <c r="U1483" i="1"/>
  <c r="U486" i="8"/>
  <c r="U485" i="8" s="1"/>
  <c r="J1483" i="1"/>
  <c r="J486" i="8"/>
  <c r="J485" i="8" s="1"/>
  <c r="P486" i="8"/>
  <c r="P485" i="8" s="1"/>
  <c r="P1483" i="1"/>
  <c r="M1483" i="1"/>
  <c r="M486" i="8"/>
  <c r="M485" i="8" s="1"/>
  <c r="J578" i="1"/>
  <c r="W486" i="8"/>
  <c r="W485" i="8" s="1"/>
  <c r="W1483" i="1"/>
  <c r="O486" i="8"/>
  <c r="O485" i="8" s="1"/>
  <c r="O1483" i="1"/>
  <c r="R486" i="8"/>
  <c r="R485" i="8" s="1"/>
  <c r="R1483" i="1"/>
  <c r="T1483" i="1"/>
  <c r="T486" i="8"/>
  <c r="T485" i="8" s="1"/>
  <c r="F126" i="1"/>
  <c r="F25" i="7" s="1"/>
  <c r="F130" i="1"/>
  <c r="F29" i="7" s="1"/>
  <c r="AE581" i="1"/>
  <c r="J127" i="1"/>
  <c r="J26" i="7" s="1"/>
  <c r="I1945" i="1"/>
  <c r="AE1945" i="1" s="1"/>
  <c r="I297" i="8"/>
  <c r="AE1335" i="1"/>
  <c r="AE331" i="7" s="1"/>
  <c r="I2018" i="1"/>
  <c r="Y482" i="8"/>
  <c r="Y481" i="8" s="1"/>
  <c r="AE2018" i="1" l="1"/>
  <c r="AA297" i="8"/>
  <c r="I296" i="8"/>
  <c r="J129" i="1"/>
  <c r="J28" i="7" s="1"/>
  <c r="AE127" i="1"/>
  <c r="AE26" i="7" s="1"/>
  <c r="T482" i="8"/>
  <c r="T481" i="8" s="1"/>
  <c r="J482" i="8"/>
  <c r="J481" i="8" s="1"/>
  <c r="G314" i="8"/>
  <c r="U128" i="1"/>
  <c r="U27" i="7" s="1"/>
  <c r="L128" i="1"/>
  <c r="L27" i="7" s="1"/>
  <c r="O128" i="1"/>
  <c r="O27" i="7" s="1"/>
  <c r="M128" i="1"/>
  <c r="M27" i="7" s="1"/>
  <c r="AC128" i="1"/>
  <c r="AC27" i="7" s="1"/>
  <c r="F131" i="1"/>
  <c r="F30" i="7" s="1"/>
  <c r="R482" i="8"/>
  <c r="R481" i="8" s="1"/>
  <c r="O482" i="8"/>
  <c r="O481" i="8" s="1"/>
  <c r="W482" i="8"/>
  <c r="W481" i="8" s="1"/>
  <c r="P482" i="8"/>
  <c r="P481" i="8" s="1"/>
  <c r="U482" i="8"/>
  <c r="U481" i="8" s="1"/>
  <c r="K128" i="1"/>
  <c r="K27" i="7" s="1"/>
  <c r="T128" i="1"/>
  <c r="T27" i="7" s="1"/>
  <c r="J128" i="1"/>
  <c r="J27" i="7" s="1"/>
  <c r="V128" i="1"/>
  <c r="V27" i="7" s="1"/>
  <c r="AA128" i="1"/>
  <c r="AA27" i="7" s="1"/>
  <c r="R128" i="1"/>
  <c r="R27" i="7" s="1"/>
  <c r="W128" i="1"/>
  <c r="W27" i="7" s="1"/>
  <c r="X128" i="1"/>
  <c r="X27" i="7" s="1"/>
  <c r="Z128" i="1"/>
  <c r="Z27" i="7" s="1"/>
  <c r="AB128" i="1"/>
  <c r="AB27" i="7" s="1"/>
  <c r="AE1173" i="1"/>
  <c r="I80" i="8"/>
  <c r="S482" i="8"/>
  <c r="S481" i="8" s="1"/>
  <c r="J405" i="1"/>
  <c r="K482" i="8"/>
  <c r="K481" i="8" s="1"/>
  <c r="G86" i="8"/>
  <c r="F143" i="8"/>
  <c r="F1943" i="1"/>
  <c r="F1200" i="1"/>
  <c r="F191" i="7" s="1"/>
  <c r="G591" i="1"/>
  <c r="G451" i="1"/>
  <c r="X482" i="8"/>
  <c r="X481" i="8" s="1"/>
  <c r="Q482" i="8"/>
  <c r="Q481" i="8" s="1"/>
  <c r="H508" i="8"/>
  <c r="H507" i="8" s="1"/>
  <c r="M482" i="8"/>
  <c r="M481" i="8" s="1"/>
  <c r="L482" i="8"/>
  <c r="L481" i="8" s="1"/>
  <c r="P128" i="1"/>
  <c r="P27" i="7" s="1"/>
  <c r="S128" i="1"/>
  <c r="S27" i="7" s="1"/>
  <c r="Y128" i="1"/>
  <c r="Y27" i="7" s="1"/>
  <c r="N128" i="1"/>
  <c r="N27" i="7" s="1"/>
  <c r="Q128" i="1"/>
  <c r="Q27" i="7" s="1"/>
  <c r="AE119" i="1"/>
  <c r="AE18" i="7" s="1"/>
  <c r="I1086" i="1"/>
  <c r="AE618" i="1"/>
  <c r="N482" i="8"/>
  <c r="N481" i="8" s="1"/>
  <c r="F1472" i="1"/>
  <c r="F470" i="8"/>
  <c r="F469" i="8" s="1"/>
  <c r="V482" i="8"/>
  <c r="V481" i="8" s="1"/>
  <c r="K126" i="1" l="1"/>
  <c r="K25" i="7" s="1"/>
  <c r="K130" i="1"/>
  <c r="K29" i="7" s="1"/>
  <c r="L126" i="1"/>
  <c r="L25" i="7" s="1"/>
  <c r="L130" i="1"/>
  <c r="L29" i="7" s="1"/>
  <c r="F462" i="8"/>
  <c r="F461" i="8" s="1"/>
  <c r="F1479" i="1"/>
  <c r="I1181" i="1"/>
  <c r="I1087" i="1"/>
  <c r="AE1086" i="1"/>
  <c r="G452" i="1"/>
  <c r="K395" i="1"/>
  <c r="J579" i="1"/>
  <c r="K394" i="1"/>
  <c r="G836" i="8"/>
  <c r="G937" i="8"/>
  <c r="G762" i="8"/>
  <c r="J130" i="1"/>
  <c r="J29" i="7" s="1"/>
  <c r="J126" i="1"/>
  <c r="J25" i="7" s="1"/>
  <c r="AE129" i="1"/>
  <c r="AE28" i="7" s="1"/>
  <c r="I912" i="8"/>
  <c r="AA912" i="8" s="1"/>
  <c r="AA296" i="8"/>
  <c r="I934" i="8"/>
  <c r="AA934" i="8" s="1"/>
  <c r="G944" i="1"/>
  <c r="F2011" i="1"/>
  <c r="F1562" i="1"/>
  <c r="F442" i="7" s="1"/>
  <c r="F1208" i="1"/>
  <c r="F199" i="7" s="1"/>
  <c r="F130" i="8"/>
  <c r="F142" i="8"/>
  <c r="AA80" i="8"/>
  <c r="I79" i="8"/>
  <c r="AA79" i="8" s="1"/>
  <c r="G131" i="1"/>
  <c r="G30" i="7" s="1"/>
  <c r="F1467" i="1"/>
  <c r="F453" i="8" s="1"/>
  <c r="F452" i="8" s="1"/>
  <c r="F1563" i="1" l="1"/>
  <c r="F443" i="7" s="1"/>
  <c r="F910" i="8"/>
  <c r="F129" i="8"/>
  <c r="AE126" i="1"/>
  <c r="AE25" i="7" s="1"/>
  <c r="H131" i="1"/>
  <c r="H30" i="7" s="1"/>
  <c r="G1467" i="1"/>
  <c r="G453" i="8" s="1"/>
  <c r="G452" i="8" s="1"/>
  <c r="F145" i="8"/>
  <c r="F1214" i="1"/>
  <c r="F205" i="7" s="1"/>
  <c r="G988" i="1"/>
  <c r="G1207" i="1"/>
  <c r="G198" i="7" s="1"/>
  <c r="AE130" i="1"/>
  <c r="AE29" i="7" s="1"/>
  <c r="K578" i="1"/>
  <c r="K404" i="1"/>
  <c r="I1982" i="1"/>
  <c r="AE1982" i="1" s="1"/>
  <c r="I1345" i="1"/>
  <c r="I341" i="7" s="1"/>
  <c r="AE1087" i="1"/>
  <c r="I1497" i="1"/>
  <c r="F1558" i="1"/>
  <c r="F438" i="7" s="1"/>
  <c r="F476" i="8"/>
  <c r="F475" i="8" s="1"/>
  <c r="F571" i="8" s="1"/>
  <c r="J1475" i="1"/>
  <c r="J158" i="1"/>
  <c r="J57" i="7" s="1"/>
  <c r="G592" i="1"/>
  <c r="G1476" i="1" s="1"/>
  <c r="H442" i="1"/>
  <c r="I94" i="8"/>
  <c r="I1177" i="1"/>
  <c r="AE1181" i="1"/>
  <c r="F1564" i="1" l="1"/>
  <c r="F444" i="7" s="1"/>
  <c r="I87" i="8"/>
  <c r="AE1177" i="1"/>
  <c r="H591" i="1"/>
  <c r="H451" i="1"/>
  <c r="J56" i="7"/>
  <c r="I93" i="8"/>
  <c r="AA93" i="8" s="1"/>
  <c r="AA94" i="8"/>
  <c r="G1472" i="1"/>
  <c r="G470" i="8"/>
  <c r="G469" i="8" s="1"/>
  <c r="J468" i="8"/>
  <c r="J467" i="8" s="1"/>
  <c r="J1497" i="1"/>
  <c r="I508" i="8"/>
  <c r="I507" i="8" s="1"/>
  <c r="I1871" i="1"/>
  <c r="AE1871" i="1" s="1"/>
  <c r="I1799" i="1"/>
  <c r="AE1799" i="1" s="1"/>
  <c r="I2021" i="1"/>
  <c r="I315" i="8"/>
  <c r="AE1345" i="1"/>
  <c r="AE341" i="7" s="1"/>
  <c r="K405" i="1"/>
  <c r="G980" i="1"/>
  <c r="I131" i="1"/>
  <c r="I30" i="7" s="1"/>
  <c r="H1467" i="1"/>
  <c r="H453" i="8" s="1"/>
  <c r="H452" i="8" s="1"/>
  <c r="F575" i="8"/>
  <c r="F576" i="8" s="1"/>
  <c r="F577" i="8" s="1"/>
  <c r="F927" i="8"/>
  <c r="G1943" i="1"/>
  <c r="G1200" i="1"/>
  <c r="G191" i="7" s="1"/>
  <c r="G143" i="8"/>
  <c r="F1285" i="1"/>
  <c r="F157" i="8"/>
  <c r="F1220" i="1"/>
  <c r="F211" i="7" s="1"/>
  <c r="F144" i="8"/>
  <c r="F279" i="7" l="1"/>
  <c r="F1566" i="1"/>
  <c r="F446" i="7" s="1"/>
  <c r="F177" i="8"/>
  <c r="F2012" i="1"/>
  <c r="F1286" i="1"/>
  <c r="G130" i="8"/>
  <c r="G2011" i="1"/>
  <c r="G1562" i="1"/>
  <c r="G442" i="7" s="1"/>
  <c r="G1208" i="1"/>
  <c r="G199" i="7" s="1"/>
  <c r="F156" i="8"/>
  <c r="G142" i="8"/>
  <c r="J131" i="1"/>
  <c r="J30" i="7" s="1"/>
  <c r="I1467" i="1"/>
  <c r="I453" i="8" s="1"/>
  <c r="I452" i="8" s="1"/>
  <c r="L395" i="1"/>
  <c r="K579" i="1"/>
  <c r="L394" i="1"/>
  <c r="K1497" i="1"/>
  <c r="J508" i="8"/>
  <c r="J507" i="8" s="1"/>
  <c r="G1479" i="1"/>
  <c r="G462" i="8"/>
  <c r="G461" i="8" s="1"/>
  <c r="J1053" i="1"/>
  <c r="J1212" i="1"/>
  <c r="J203" i="7" s="1"/>
  <c r="F2014" i="1"/>
  <c r="F169" i="8"/>
  <c r="F1570" i="1"/>
  <c r="F450" i="7" s="1"/>
  <c r="F176" i="1"/>
  <c r="F75" i="7" s="1"/>
  <c r="I314" i="8"/>
  <c r="AA315" i="8"/>
  <c r="AE2021" i="1"/>
  <c r="H452" i="1"/>
  <c r="H944" i="1"/>
  <c r="I86" i="8"/>
  <c r="AA86" i="8" s="1"/>
  <c r="AA87" i="8"/>
  <c r="F280" i="7" l="1"/>
  <c r="F1567" i="1"/>
  <c r="F447" i="7" s="1"/>
  <c r="G476" i="8"/>
  <c r="G475" i="8" s="1"/>
  <c r="K508" i="8"/>
  <c r="K507" i="8" s="1"/>
  <c r="L1497" i="1"/>
  <c r="K1475" i="1"/>
  <c r="K158" i="1"/>
  <c r="K57" i="7" s="1"/>
  <c r="G129" i="8"/>
  <c r="F2013" i="1"/>
  <c r="F1287" i="1"/>
  <c r="F281" i="7" s="1"/>
  <c r="F179" i="8"/>
  <c r="H592" i="1"/>
  <c r="H1476" i="1" s="1"/>
  <c r="I442" i="1"/>
  <c r="H988" i="1"/>
  <c r="H1207" i="1"/>
  <c r="H198" i="7" s="1"/>
  <c r="I937" i="8"/>
  <c r="AA937" i="8" s="1"/>
  <c r="I762" i="8"/>
  <c r="AA762" i="8" s="1"/>
  <c r="I836" i="8"/>
  <c r="AA836" i="8" s="1"/>
  <c r="AA314" i="8"/>
  <c r="F177" i="1"/>
  <c r="F76" i="7" s="1"/>
  <c r="F184" i="1"/>
  <c r="F83" i="7" s="1"/>
  <c r="F168" i="8"/>
  <c r="J153" i="8"/>
  <c r="L578" i="1"/>
  <c r="L404" i="1"/>
  <c r="K131" i="1"/>
  <c r="K30" i="7" s="1"/>
  <c r="J1467" i="1"/>
  <c r="J453" i="8" s="1"/>
  <c r="J452" i="8" s="1"/>
  <c r="G910" i="8"/>
  <c r="G145" i="8"/>
  <c r="G1214" i="1"/>
  <c r="G205" i="7" s="1"/>
  <c r="G1563" i="1"/>
  <c r="G443" i="7" s="1"/>
  <c r="J152" i="8" l="1"/>
  <c r="F185" i="1"/>
  <c r="F84" i="7" s="1"/>
  <c r="F186" i="1"/>
  <c r="F85" i="7" s="1"/>
  <c r="H980" i="1"/>
  <c r="H1472" i="1"/>
  <c r="H470" i="8"/>
  <c r="H469" i="8" s="1"/>
  <c r="F1951" i="1"/>
  <c r="F181" i="8"/>
  <c r="G927" i="8"/>
  <c r="G575" i="8"/>
  <c r="G576" i="8" s="1"/>
  <c r="G577" i="8" s="1"/>
  <c r="K468" i="8"/>
  <c r="K467" i="8" s="1"/>
  <c r="M1497" i="1"/>
  <c r="L508" i="8"/>
  <c r="L507" i="8" s="1"/>
  <c r="G1564" i="1"/>
  <c r="G444" i="7" s="1"/>
  <c r="G144" i="8"/>
  <c r="L131" i="1"/>
  <c r="L30" i="7" s="1"/>
  <c r="K1467" i="1"/>
  <c r="K453" i="8" s="1"/>
  <c r="K452" i="8" s="1"/>
  <c r="G1285" i="1"/>
  <c r="G157" i="8"/>
  <c r="G1220" i="1"/>
  <c r="G211" i="7" s="1"/>
  <c r="L405" i="1"/>
  <c r="F930" i="8"/>
  <c r="F176" i="8"/>
  <c r="F579" i="8" s="1"/>
  <c r="F583" i="8"/>
  <c r="G182" i="1"/>
  <c r="G81" i="7" s="1"/>
  <c r="F49" i="8"/>
  <c r="H1943" i="1"/>
  <c r="H143" i="8"/>
  <c r="H1200" i="1"/>
  <c r="H191" i="7" s="1"/>
  <c r="I591" i="1"/>
  <c r="I451" i="1"/>
  <c r="K56" i="7"/>
  <c r="G279" i="7" l="1"/>
  <c r="G1566" i="1"/>
  <c r="G446" i="7" s="1"/>
  <c r="I452" i="1"/>
  <c r="K1212" i="1"/>
  <c r="K203" i="7" s="1"/>
  <c r="K1053" i="1"/>
  <c r="F48" i="8"/>
  <c r="G183" i="1"/>
  <c r="G82" i="7" s="1"/>
  <c r="M395" i="1"/>
  <c r="L579" i="1"/>
  <c r="M394" i="1"/>
  <c r="G176" i="1"/>
  <c r="G75" i="7" s="1"/>
  <c r="G1570" i="1"/>
  <c r="G450" i="7" s="1"/>
  <c r="G2014" i="1"/>
  <c r="G169" i="8"/>
  <c r="F187" i="1"/>
  <c r="F86" i="7" s="1"/>
  <c r="F173" i="1"/>
  <c r="F72" i="7" s="1"/>
  <c r="I944" i="1"/>
  <c r="H1208" i="1"/>
  <c r="H199" i="7" s="1"/>
  <c r="H2011" i="1"/>
  <c r="H1562" i="1"/>
  <c r="H442" i="7" s="1"/>
  <c r="H130" i="8"/>
  <c r="H142" i="8"/>
  <c r="F928" i="8"/>
  <c r="F178" i="8"/>
  <c r="F580" i="8" s="1"/>
  <c r="G156" i="8"/>
  <c r="G177" i="8"/>
  <c r="G2012" i="1"/>
  <c r="G1286" i="1"/>
  <c r="M131" i="1"/>
  <c r="M30" i="7" s="1"/>
  <c r="L1467" i="1"/>
  <c r="L453" i="8" s="1"/>
  <c r="L452" i="8" s="1"/>
  <c r="M508" i="8"/>
  <c r="M507" i="8" s="1"/>
  <c r="N1497" i="1"/>
  <c r="H1479" i="1"/>
  <c r="H462" i="8"/>
  <c r="H461" i="8" s="1"/>
  <c r="F57" i="8"/>
  <c r="G280" i="7" l="1"/>
  <c r="G1567" i="1"/>
  <c r="G447" i="7" s="1"/>
  <c r="H1563" i="1"/>
  <c r="H129" i="8"/>
  <c r="I1207" i="1"/>
  <c r="I198" i="7" s="1"/>
  <c r="I988" i="1"/>
  <c r="F59" i="8"/>
  <c r="G184" i="1"/>
  <c r="G177" i="1"/>
  <c r="G76" i="7" s="1"/>
  <c r="L1475" i="1"/>
  <c r="L158" i="1"/>
  <c r="L57" i="7" s="1"/>
  <c r="F56" i="8"/>
  <c r="G54" i="8" s="1"/>
  <c r="K153" i="8"/>
  <c r="J442" i="1"/>
  <c r="I592" i="1"/>
  <c r="I1476" i="1" s="1"/>
  <c r="H476" i="8"/>
  <c r="H475" i="8" s="1"/>
  <c r="N508" i="8"/>
  <c r="N507" i="8" s="1"/>
  <c r="O1497" i="1"/>
  <c r="N131" i="1"/>
  <c r="N30" i="7" s="1"/>
  <c r="M1467" i="1"/>
  <c r="M453" i="8" s="1"/>
  <c r="M452" i="8" s="1"/>
  <c r="G179" i="8"/>
  <c r="G2013" i="1"/>
  <c r="G1287" i="1"/>
  <c r="G281" i="7" s="1"/>
  <c r="F180" i="8"/>
  <c r="F929" i="8"/>
  <c r="H910" i="8"/>
  <c r="H1214" i="1"/>
  <c r="H205" i="7" s="1"/>
  <c r="H145" i="8"/>
  <c r="F1052" i="1"/>
  <c r="F1048" i="1" s="1"/>
  <c r="F1221" i="1"/>
  <c r="F212" i="7" s="1"/>
  <c r="F174" i="1"/>
  <c r="F73" i="7" s="1"/>
  <c r="F1977" i="1"/>
  <c r="F1976" i="1"/>
  <c r="F227" i="1"/>
  <c r="F126" i="7" s="1"/>
  <c r="G168" i="8"/>
  <c r="M578" i="1"/>
  <c r="M404" i="1"/>
  <c r="G55" i="8"/>
  <c r="H182" i="1" l="1"/>
  <c r="H81" i="7" s="1"/>
  <c r="G83" i="7"/>
  <c r="H1564" i="1"/>
  <c r="H444" i="7" s="1"/>
  <c r="H443" i="7"/>
  <c r="F58" i="8"/>
  <c r="F44" i="8" s="1"/>
  <c r="F170" i="8" s="1"/>
  <c r="G930" i="8"/>
  <c r="G583" i="8"/>
  <c r="G176" i="8"/>
  <c r="G579" i="8" s="1"/>
  <c r="F1994" i="1"/>
  <c r="F45" i="8"/>
  <c r="F175" i="1"/>
  <c r="F74" i="7" s="1"/>
  <c r="H144" i="8"/>
  <c r="F918" i="8"/>
  <c r="G1951" i="1"/>
  <c r="G181" i="8"/>
  <c r="O131" i="1"/>
  <c r="O30" i="7" s="1"/>
  <c r="N1467" i="1"/>
  <c r="N453" i="8" s="1"/>
  <c r="N452" i="8" s="1"/>
  <c r="M405" i="1"/>
  <c r="F1326" i="1"/>
  <c r="F322" i="7" s="1"/>
  <c r="F1995" i="1"/>
  <c r="F171" i="8"/>
  <c r="F1222" i="1"/>
  <c r="H1285" i="1"/>
  <c r="H157" i="8"/>
  <c r="H1220" i="1"/>
  <c r="H211" i="7" s="1"/>
  <c r="J591" i="1"/>
  <c r="J451" i="1"/>
  <c r="K152" i="8"/>
  <c r="L56" i="7"/>
  <c r="L468" i="8"/>
  <c r="L467" i="8" s="1"/>
  <c r="G49" i="8"/>
  <c r="I980" i="1"/>
  <c r="F1066" i="1"/>
  <c r="F1067" i="1" s="1"/>
  <c r="F1068" i="1" s="1"/>
  <c r="F1070" i="1" s="1"/>
  <c r="F1486" i="1"/>
  <c r="P1497" i="1"/>
  <c r="O508" i="8"/>
  <c r="O507" i="8" s="1"/>
  <c r="I1472" i="1"/>
  <c r="I470" i="8"/>
  <c r="I469" i="8" s="1"/>
  <c r="G185" i="1"/>
  <c r="G84" i="7" s="1"/>
  <c r="G186" i="1"/>
  <c r="G85" i="7" s="1"/>
  <c r="I1943" i="1"/>
  <c r="I1200" i="1"/>
  <c r="I191" i="7" s="1"/>
  <c r="I143" i="8"/>
  <c r="H575" i="8"/>
  <c r="H576" i="8" s="1"/>
  <c r="H577" i="8" s="1"/>
  <c r="H927" i="8"/>
  <c r="H279" i="7" l="1"/>
  <c r="H1566" i="1"/>
  <c r="H446" i="7" s="1"/>
  <c r="F213" i="7"/>
  <c r="F1568" i="1"/>
  <c r="F448" i="7" s="1"/>
  <c r="F46" i="8"/>
  <c r="H183" i="1"/>
  <c r="H82" i="7" s="1"/>
  <c r="I142" i="8"/>
  <c r="F1175" i="1"/>
  <c r="F1339" i="1"/>
  <c r="F335" i="7" s="1"/>
  <c r="L1212" i="1"/>
  <c r="L203" i="7" s="1"/>
  <c r="L1053" i="1"/>
  <c r="J452" i="1"/>
  <c r="I1562" i="1"/>
  <c r="I442" i="7" s="1"/>
  <c r="I2011" i="1"/>
  <c r="I130" i="8"/>
  <c r="I1208" i="1"/>
  <c r="I199" i="7" s="1"/>
  <c r="G57" i="8"/>
  <c r="F172" i="8"/>
  <c r="F581" i="8" s="1"/>
  <c r="P508" i="8"/>
  <c r="P507" i="8" s="1"/>
  <c r="Q1497" i="1"/>
  <c r="F1944" i="1"/>
  <c r="F488" i="8"/>
  <c r="F487" i="8" s="1"/>
  <c r="F1491" i="1"/>
  <c r="G48" i="8"/>
  <c r="H156" i="8"/>
  <c r="F173" i="8"/>
  <c r="F1942" i="1"/>
  <c r="F2015" i="1"/>
  <c r="F1283" i="1"/>
  <c r="F2002" i="1"/>
  <c r="F281" i="8"/>
  <c r="F1331" i="1"/>
  <c r="F327" i="7" s="1"/>
  <c r="F47" i="8"/>
  <c r="G187" i="1"/>
  <c r="G86" i="7" s="1"/>
  <c r="G173" i="1"/>
  <c r="G72" i="7" s="1"/>
  <c r="I1479" i="1"/>
  <c r="I462" i="8"/>
  <c r="I461" i="8" s="1"/>
  <c r="J944" i="1"/>
  <c r="H1570" i="1"/>
  <c r="H450" i="7" s="1"/>
  <c r="H2014" i="1"/>
  <c r="H169" i="8"/>
  <c r="H176" i="1"/>
  <c r="H75" i="7" s="1"/>
  <c r="H2012" i="1"/>
  <c r="H177" i="8"/>
  <c r="H1286" i="1"/>
  <c r="M579" i="1"/>
  <c r="N395" i="1"/>
  <c r="N394" i="1"/>
  <c r="P131" i="1"/>
  <c r="P30" i="7" s="1"/>
  <c r="O1467" i="1"/>
  <c r="O453" i="8" s="1"/>
  <c r="O452" i="8" s="1"/>
  <c r="F2001" i="1"/>
  <c r="G928" i="8"/>
  <c r="G178" i="8"/>
  <c r="G580" i="8" s="1"/>
  <c r="H55" i="8" l="1"/>
  <c r="H280" i="7"/>
  <c r="H1567" i="1"/>
  <c r="H447" i="7" s="1"/>
  <c r="F1289" i="1"/>
  <c r="F283" i="7" s="1"/>
  <c r="F277" i="7"/>
  <c r="M1475" i="1"/>
  <c r="M158" i="1"/>
  <c r="M57" i="7" s="1"/>
  <c r="J1670" i="1"/>
  <c r="J1207" i="1"/>
  <c r="J198" i="7" s="1"/>
  <c r="J1694" i="1"/>
  <c r="J988" i="1"/>
  <c r="I476" i="8"/>
  <c r="I475" i="8" s="1"/>
  <c r="G59" i="8"/>
  <c r="F280" i="8"/>
  <c r="F1941" i="1"/>
  <c r="G56" i="8"/>
  <c r="G58" i="8" s="1"/>
  <c r="G44" i="8" s="1"/>
  <c r="F911" i="8"/>
  <c r="Q508" i="8"/>
  <c r="Q507" i="8" s="1"/>
  <c r="R1497" i="1"/>
  <c r="F931" i="8"/>
  <c r="F909" i="8"/>
  <c r="I129" i="8"/>
  <c r="K442" i="1"/>
  <c r="J592" i="1"/>
  <c r="J1476" i="1" s="1"/>
  <c r="F1167" i="1"/>
  <c r="F84" i="8"/>
  <c r="I910" i="8"/>
  <c r="Q131" i="1"/>
  <c r="Q30" i="7" s="1"/>
  <c r="P1467" i="1"/>
  <c r="P453" i="8" s="1"/>
  <c r="P452" i="8" s="1"/>
  <c r="N578" i="1"/>
  <c r="G929" i="8"/>
  <c r="G180" i="8"/>
  <c r="N404" i="1"/>
  <c r="H2013" i="1"/>
  <c r="H179" i="8"/>
  <c r="H1287" i="1"/>
  <c r="H281" i="7" s="1"/>
  <c r="H184" i="1"/>
  <c r="H177" i="1"/>
  <c r="H76" i="7" s="1"/>
  <c r="H168" i="8"/>
  <c r="G1221" i="1"/>
  <c r="G212" i="7" s="1"/>
  <c r="G1052" i="1"/>
  <c r="G1048" i="1" s="1"/>
  <c r="G174" i="1"/>
  <c r="G73" i="7" s="1"/>
  <c r="G227" i="1"/>
  <c r="G126" i="7" s="1"/>
  <c r="G1977" i="1"/>
  <c r="G1976" i="1"/>
  <c r="F290" i="8"/>
  <c r="F1867" i="1"/>
  <c r="F1795" i="1"/>
  <c r="F1721" i="1"/>
  <c r="F606" i="7" s="1"/>
  <c r="F1188" i="1"/>
  <c r="F184" i="8"/>
  <c r="F1350" i="1"/>
  <c r="F346" i="7" s="1"/>
  <c r="F498" i="8"/>
  <c r="F497" i="8" s="1"/>
  <c r="I145" i="8"/>
  <c r="I1214" i="1"/>
  <c r="I205" i="7" s="1"/>
  <c r="I1563" i="1"/>
  <c r="I443" i="7" s="1"/>
  <c r="L153" i="8"/>
  <c r="F305" i="8"/>
  <c r="F2019" i="1"/>
  <c r="F1342" i="1"/>
  <c r="F338" i="7" s="1"/>
  <c r="F186" i="8" l="1"/>
  <c r="F1291" i="1"/>
  <c r="F285" i="7" s="1"/>
  <c r="F2016" i="1"/>
  <c r="H186" i="1"/>
  <c r="H85" i="7" s="1"/>
  <c r="H83" i="7"/>
  <c r="J1701" i="1"/>
  <c r="J585" i="7" s="1"/>
  <c r="J578" i="7"/>
  <c r="J1677" i="1"/>
  <c r="J561" i="7" s="1"/>
  <c r="J554" i="7"/>
  <c r="I182" i="1"/>
  <c r="H54" i="8"/>
  <c r="G170" i="8"/>
  <c r="G46" i="8"/>
  <c r="F325" i="8"/>
  <c r="F1875" i="1"/>
  <c r="F1352" i="1"/>
  <c r="F348" i="7" s="1"/>
  <c r="G1326" i="1"/>
  <c r="G322" i="7" s="1"/>
  <c r="G171" i="8"/>
  <c r="G1222" i="1"/>
  <c r="H181" i="8"/>
  <c r="H1951" i="1"/>
  <c r="F83" i="8"/>
  <c r="J470" i="8"/>
  <c r="J469" i="8" s="1"/>
  <c r="J1472" i="1"/>
  <c r="F908" i="8"/>
  <c r="S1497" i="1"/>
  <c r="R508" i="8"/>
  <c r="R507" i="8" s="1"/>
  <c r="F1948" i="1"/>
  <c r="F289" i="8"/>
  <c r="J980" i="1"/>
  <c r="J1943" i="1"/>
  <c r="J1200" i="1"/>
  <c r="J191" i="7" s="1"/>
  <c r="J143" i="8"/>
  <c r="F304" i="8"/>
  <c r="I1564" i="1"/>
  <c r="I444" i="7" s="1"/>
  <c r="I1285" i="1"/>
  <c r="I1220" i="1"/>
  <c r="I211" i="7" s="1"/>
  <c r="I157" i="8"/>
  <c r="F1185" i="1"/>
  <c r="F106" i="8"/>
  <c r="G1994" i="1"/>
  <c r="H583" i="8"/>
  <c r="H930" i="8"/>
  <c r="H176" i="8"/>
  <c r="H579" i="8" s="1"/>
  <c r="F1723" i="1"/>
  <c r="F608" i="7" s="1"/>
  <c r="F310" i="8"/>
  <c r="F1869" i="1"/>
  <c r="F1797" i="1"/>
  <c r="L152" i="8"/>
  <c r="I144" i="8"/>
  <c r="F183" i="8"/>
  <c r="G1995" i="1"/>
  <c r="G45" i="8"/>
  <c r="G175" i="1"/>
  <c r="G74" i="7" s="1"/>
  <c r="G1486" i="1"/>
  <c r="G1066" i="1"/>
  <c r="G1067" i="1" s="1"/>
  <c r="G1068" i="1" s="1"/>
  <c r="G1070" i="1" s="1"/>
  <c r="H49" i="8"/>
  <c r="H185" i="1"/>
  <c r="H84" i="7" s="1"/>
  <c r="N405" i="1"/>
  <c r="G918" i="8"/>
  <c r="R131" i="1"/>
  <c r="R30" i="7" s="1"/>
  <c r="Q1467" i="1"/>
  <c r="Q453" i="8" s="1"/>
  <c r="Q452" i="8" s="1"/>
  <c r="F69" i="8"/>
  <c r="K591" i="1"/>
  <c r="K944" i="1" s="1"/>
  <c r="K451" i="1"/>
  <c r="I927" i="8"/>
  <c r="I575" i="8"/>
  <c r="I576" i="8" s="1"/>
  <c r="I577" i="8" s="1"/>
  <c r="M468" i="8"/>
  <c r="M467" i="8" s="1"/>
  <c r="M56" i="7" l="1"/>
  <c r="G213" i="7"/>
  <c r="G1568" i="1"/>
  <c r="G448" i="7" s="1"/>
  <c r="J1681" i="1"/>
  <c r="J565" i="7" s="1"/>
  <c r="J1680" i="1"/>
  <c r="J564" i="7" s="1"/>
  <c r="H187" i="1"/>
  <c r="H86" i="7" s="1"/>
  <c r="J1690" i="1"/>
  <c r="J1687" i="1" s="1"/>
  <c r="J571" i="7" s="1"/>
  <c r="J1688" i="1"/>
  <c r="J572" i="7" s="1"/>
  <c r="F1496" i="1"/>
  <c r="F1498" i="1" s="1"/>
  <c r="F1576" i="1" s="1"/>
  <c r="F456" i="7" s="1"/>
  <c r="J1666" i="1"/>
  <c r="J1663" i="1" s="1"/>
  <c r="J547" i="7" s="1"/>
  <c r="J1664" i="1"/>
  <c r="J548" i="7" s="1"/>
  <c r="J1704" i="1"/>
  <c r="J1706" i="1" s="1"/>
  <c r="J590" i="7" s="1"/>
  <c r="J1705" i="1"/>
  <c r="J589" i="7" s="1"/>
  <c r="F190" i="8"/>
  <c r="F189" i="8" s="1"/>
  <c r="F505" i="8" s="1"/>
  <c r="F509" i="8" s="1"/>
  <c r="F512" i="8" s="1"/>
  <c r="G1290" i="1"/>
  <c r="G284" i="7" s="1"/>
  <c r="H173" i="1"/>
  <c r="H72" i="7" s="1"/>
  <c r="I1566" i="1"/>
  <c r="I446" i="7" s="1"/>
  <c r="I279" i="7"/>
  <c r="I183" i="1"/>
  <c r="I82" i="7" s="1"/>
  <c r="I81" i="7"/>
  <c r="M1053" i="1"/>
  <c r="M1212" i="1"/>
  <c r="M203" i="7" s="1"/>
  <c r="K452" i="1"/>
  <c r="F68" i="8"/>
  <c r="G1944" i="1"/>
  <c r="G488" i="8"/>
  <c r="G487" i="8" s="1"/>
  <c r="G1491" i="1"/>
  <c r="G2002" i="1"/>
  <c r="F185" i="8"/>
  <c r="F1807" i="1"/>
  <c r="F309" i="8"/>
  <c r="F101" i="8"/>
  <c r="I156" i="8"/>
  <c r="I2014" i="1"/>
  <c r="I169" i="8"/>
  <c r="I1570" i="1"/>
  <c r="I450" i="7" s="1"/>
  <c r="I176" i="1"/>
  <c r="I75" i="7" s="1"/>
  <c r="F935" i="8"/>
  <c r="F682" i="8"/>
  <c r="F758" i="8"/>
  <c r="F832" i="8"/>
  <c r="J1479" i="1"/>
  <c r="J462" i="8"/>
  <c r="J461" i="8" s="1"/>
  <c r="F1733" i="1"/>
  <c r="F618" i="7" s="1"/>
  <c r="F328" i="8"/>
  <c r="F1354" i="1"/>
  <c r="F350" i="7" s="1"/>
  <c r="F324" i="8"/>
  <c r="K988" i="1"/>
  <c r="K1207" i="1"/>
  <c r="K198" i="7" s="1"/>
  <c r="K1694" i="1"/>
  <c r="K1670" i="1"/>
  <c r="S131" i="1"/>
  <c r="S30" i="7" s="1"/>
  <c r="R1467" i="1"/>
  <c r="R453" i="8" s="1"/>
  <c r="R452" i="8" s="1"/>
  <c r="O395" i="1"/>
  <c r="N579" i="1"/>
  <c r="O394" i="1"/>
  <c r="O578" i="1" s="1"/>
  <c r="H57" i="8"/>
  <c r="H48" i="8"/>
  <c r="G1175" i="1"/>
  <c r="G1339" i="1"/>
  <c r="G335" i="7" s="1"/>
  <c r="G47" i="8"/>
  <c r="F1879" i="1"/>
  <c r="H178" i="8"/>
  <c r="H580" i="8" s="1"/>
  <c r="H928" i="8"/>
  <c r="G2001" i="1"/>
  <c r="F105" i="8"/>
  <c r="I177" i="8"/>
  <c r="I1286" i="1"/>
  <c r="I2012" i="1"/>
  <c r="J142" i="8"/>
  <c r="J2011" i="1"/>
  <c r="J1559" i="1"/>
  <c r="J439" i="7" s="1"/>
  <c r="J1562" i="1"/>
  <c r="J442" i="7" s="1"/>
  <c r="J1208" i="1"/>
  <c r="J199" i="7" s="1"/>
  <c r="J130" i="8"/>
  <c r="T1497" i="1"/>
  <c r="S508" i="8"/>
  <c r="S507" i="8" s="1"/>
  <c r="F915" i="8"/>
  <c r="G173" i="8"/>
  <c r="G1942" i="1"/>
  <c r="G2015" i="1"/>
  <c r="G1283" i="1"/>
  <c r="G277" i="7" s="1"/>
  <c r="G1558" i="1"/>
  <c r="G438" i="7" s="1"/>
  <c r="G1331" i="1"/>
  <c r="G327" i="7" s="1"/>
  <c r="G281" i="8"/>
  <c r="G172" i="8"/>
  <c r="G581" i="8" s="1"/>
  <c r="H59" i="8" l="1"/>
  <c r="F570" i="8"/>
  <c r="F589" i="8"/>
  <c r="F506" i="8"/>
  <c r="J1682" i="1"/>
  <c r="J566" i="7" s="1"/>
  <c r="G188" i="8"/>
  <c r="G187" i="8" s="1"/>
  <c r="J574" i="7"/>
  <c r="J1702" i="1"/>
  <c r="J586" i="7" s="1"/>
  <c r="J588" i="7"/>
  <c r="H1977" i="1"/>
  <c r="H1995" i="1" s="1"/>
  <c r="J550" i="7"/>
  <c r="H227" i="1"/>
  <c r="H126" i="7" s="1"/>
  <c r="H1052" i="1"/>
  <c r="H1048" i="1" s="1"/>
  <c r="H1066" i="1" s="1"/>
  <c r="H1067" i="1" s="1"/>
  <c r="H1068" i="1" s="1"/>
  <c r="H1070" i="1" s="1"/>
  <c r="J1678" i="1"/>
  <c r="J562" i="7" s="1"/>
  <c r="H1976" i="1"/>
  <c r="H1994" i="1" s="1"/>
  <c r="H174" i="1"/>
  <c r="H73" i="7" s="1"/>
  <c r="H1221" i="1"/>
  <c r="H212" i="7" s="1"/>
  <c r="I55" i="8"/>
  <c r="J1683" i="1"/>
  <c r="J567" i="7" s="1"/>
  <c r="K1677" i="1"/>
  <c r="K561" i="7" s="1"/>
  <c r="K554" i="7"/>
  <c r="J1707" i="1"/>
  <c r="J591" i="7" s="1"/>
  <c r="I1567" i="1"/>
  <c r="I447" i="7" s="1"/>
  <c r="I280" i="7"/>
  <c r="K1701" i="1"/>
  <c r="K585" i="7" s="1"/>
  <c r="K578" i="7"/>
  <c r="J1563" i="1"/>
  <c r="J443" i="7" s="1"/>
  <c r="F590" i="8"/>
  <c r="F588" i="8"/>
  <c r="G1941" i="1"/>
  <c r="G909" i="8"/>
  <c r="G931" i="8"/>
  <c r="G571" i="8"/>
  <c r="G280" i="8"/>
  <c r="G1350" i="1"/>
  <c r="G346" i="7" s="1"/>
  <c r="G184" i="8"/>
  <c r="G1188" i="1"/>
  <c r="G1289" i="1"/>
  <c r="G283" i="7" s="1"/>
  <c r="T508" i="8"/>
  <c r="T507" i="8" s="1"/>
  <c r="U1497" i="1"/>
  <c r="J129" i="8"/>
  <c r="J145" i="8"/>
  <c r="J1214" i="1"/>
  <c r="J205" i="7" s="1"/>
  <c r="J910" i="8"/>
  <c r="F1898" i="1"/>
  <c r="F1896" i="1"/>
  <c r="F1893" i="1"/>
  <c r="F1880" i="1"/>
  <c r="F1884" i="1"/>
  <c r="G84" i="8"/>
  <c r="G1167" i="1"/>
  <c r="H56" i="8"/>
  <c r="I54" i="8" s="1"/>
  <c r="N1475" i="1"/>
  <c r="N158" i="1"/>
  <c r="N57" i="7" s="1"/>
  <c r="K980" i="1"/>
  <c r="F327" i="8"/>
  <c r="J476" i="8"/>
  <c r="J475" i="8" s="1"/>
  <c r="F100" i="8"/>
  <c r="G498" i="8"/>
  <c r="G497" i="8" s="1"/>
  <c r="G290" i="8"/>
  <c r="G1867" i="1"/>
  <c r="G1721" i="1"/>
  <c r="G606" i="7" s="1"/>
  <c r="G1795" i="1"/>
  <c r="I2013" i="1"/>
  <c r="I1287" i="1"/>
  <c r="I281" i="7" s="1"/>
  <c r="I179" i="8"/>
  <c r="H929" i="8"/>
  <c r="H180" i="8"/>
  <c r="G2019" i="1"/>
  <c r="G305" i="8"/>
  <c r="G1342" i="1"/>
  <c r="G338" i="7" s="1"/>
  <c r="O404" i="1"/>
  <c r="T131" i="1"/>
  <c r="T30" i="7" s="1"/>
  <c r="S1467" i="1"/>
  <c r="S453" i="8" s="1"/>
  <c r="S452" i="8" s="1"/>
  <c r="K143" i="8"/>
  <c r="K142" i="8" s="1"/>
  <c r="K910" i="8" s="1"/>
  <c r="K1943" i="1"/>
  <c r="K1200" i="1"/>
  <c r="K191" i="7" s="1"/>
  <c r="F840" i="8"/>
  <c r="F2027" i="1"/>
  <c r="F331" i="8"/>
  <c r="F1356" i="1"/>
  <c r="F352" i="7" s="1"/>
  <c r="F1747" i="1"/>
  <c r="F632" i="7" s="1"/>
  <c r="F1738" i="1"/>
  <c r="F623" i="7" s="1"/>
  <c r="F1734" i="1"/>
  <c r="F619" i="7" s="1"/>
  <c r="F1750" i="1"/>
  <c r="F635" i="7" s="1"/>
  <c r="F1752" i="1"/>
  <c r="F637" i="7" s="1"/>
  <c r="F510" i="8"/>
  <c r="F1557" i="1"/>
  <c r="F437" i="7" s="1"/>
  <c r="F1500" i="1"/>
  <c r="I177" i="1"/>
  <c r="I76" i="7" s="1"/>
  <c r="I184" i="1"/>
  <c r="I168" i="8"/>
  <c r="F684" i="8"/>
  <c r="F760" i="8"/>
  <c r="F834" i="8"/>
  <c r="F1824" i="1"/>
  <c r="F1826" i="1"/>
  <c r="F1821" i="1"/>
  <c r="F1808" i="1"/>
  <c r="F1812" i="1"/>
  <c r="F932" i="8"/>
  <c r="G911" i="8"/>
  <c r="L442" i="1"/>
  <c r="K592" i="1"/>
  <c r="K1476" i="1" s="1"/>
  <c r="M153" i="8"/>
  <c r="H45" i="8" l="1"/>
  <c r="K1704" i="1"/>
  <c r="K588" i="7" s="1"/>
  <c r="H1486" i="1"/>
  <c r="H1944" i="1" s="1"/>
  <c r="H171" i="8"/>
  <c r="J1564" i="1"/>
  <c r="J444" i="7" s="1"/>
  <c r="H1222" i="1"/>
  <c r="K1690" i="1"/>
  <c r="K1687" i="1" s="1"/>
  <c r="K1666" i="1"/>
  <c r="K550" i="7" s="1"/>
  <c r="K1680" i="1"/>
  <c r="K564" i="7" s="1"/>
  <c r="H1326" i="1"/>
  <c r="H322" i="7" s="1"/>
  <c r="H175" i="1"/>
  <c r="H74" i="7" s="1"/>
  <c r="K1688" i="1"/>
  <c r="K572" i="7" s="1"/>
  <c r="K1705" i="1"/>
  <c r="K589" i="7" s="1"/>
  <c r="K1664" i="1"/>
  <c r="K548" i="7" s="1"/>
  <c r="K1681" i="1"/>
  <c r="K565" i="7" s="1"/>
  <c r="J182" i="1"/>
  <c r="J81" i="7" s="1"/>
  <c r="I83" i="7"/>
  <c r="K1706" i="1"/>
  <c r="K590" i="7" s="1"/>
  <c r="I186" i="1"/>
  <c r="I85" i="7" s="1"/>
  <c r="K470" i="8"/>
  <c r="K469" i="8" s="1"/>
  <c r="K1472" i="1"/>
  <c r="M152" i="8"/>
  <c r="L591" i="1"/>
  <c r="L944" i="1" s="1"/>
  <c r="L451" i="1"/>
  <c r="F1813" i="1"/>
  <c r="AC1814" i="1" s="1"/>
  <c r="F1827" i="1"/>
  <c r="F770" i="8"/>
  <c r="F694" i="8"/>
  <c r="I930" i="8"/>
  <c r="I583" i="8"/>
  <c r="I176" i="8"/>
  <c r="I579" i="8" s="1"/>
  <c r="I185" i="1"/>
  <c r="I84" i="7" s="1"/>
  <c r="I49" i="8"/>
  <c r="F1575" i="1"/>
  <c r="F455" i="7" s="1"/>
  <c r="F513" i="8"/>
  <c r="F1577" i="1"/>
  <c r="F457" i="7" s="1"/>
  <c r="F1751" i="1"/>
  <c r="F636" i="7" s="1"/>
  <c r="F1136" i="1"/>
  <c r="F1193" i="1"/>
  <c r="F1135" i="1"/>
  <c r="F1192" i="1"/>
  <c r="F1093" i="1"/>
  <c r="F1091" i="1"/>
  <c r="G1355" i="1"/>
  <c r="G351" i="7" s="1"/>
  <c r="F2029" i="1"/>
  <c r="F335" i="8"/>
  <c r="F334" i="8" s="1"/>
  <c r="F1461" i="1"/>
  <c r="K2011" i="1"/>
  <c r="K130" i="8"/>
  <c r="K129" i="8" s="1"/>
  <c r="K1208" i="1"/>
  <c r="K199" i="7" s="1"/>
  <c r="K1562" i="1"/>
  <c r="K442" i="7" s="1"/>
  <c r="K1559" i="1"/>
  <c r="K439" i="7" s="1"/>
  <c r="G304" i="8"/>
  <c r="H918" i="8"/>
  <c r="N468" i="8"/>
  <c r="N467" i="8" s="1"/>
  <c r="G83" i="8"/>
  <c r="F1881" i="1"/>
  <c r="F1899" i="1"/>
  <c r="V1497" i="1"/>
  <c r="U508" i="8"/>
  <c r="U507" i="8" s="1"/>
  <c r="H2001" i="1"/>
  <c r="G186" i="8"/>
  <c r="G2016" i="1"/>
  <c r="G1291" i="1"/>
  <c r="G285" i="7" s="1"/>
  <c r="G1185" i="1"/>
  <c r="G106" i="8"/>
  <c r="G1875" i="1"/>
  <c r="G325" i="8"/>
  <c r="G1352" i="1"/>
  <c r="G348" i="7" s="1"/>
  <c r="G289" i="8"/>
  <c r="H1175" i="1"/>
  <c r="H1339" i="1"/>
  <c r="H335" i="7" s="1"/>
  <c r="F1809" i="1"/>
  <c r="F1825" i="1"/>
  <c r="F844" i="8"/>
  <c r="F1753" i="1"/>
  <c r="F638" i="7" s="1"/>
  <c r="F1735" i="1"/>
  <c r="F620" i="7" s="1"/>
  <c r="F1739" i="1"/>
  <c r="F624" i="7" s="1"/>
  <c r="U131" i="1"/>
  <c r="U30" i="7" s="1"/>
  <c r="T1467" i="1"/>
  <c r="T453" i="8" s="1"/>
  <c r="T452" i="8" s="1"/>
  <c r="O405" i="1"/>
  <c r="G1869" i="1"/>
  <c r="G310" i="8"/>
  <c r="G1723" i="1"/>
  <c r="G608" i="7" s="1"/>
  <c r="G1797" i="1"/>
  <c r="I1951" i="1"/>
  <c r="I181" i="8"/>
  <c r="H2002" i="1"/>
  <c r="F330" i="8"/>
  <c r="N56" i="7"/>
  <c r="H58" i="8"/>
  <c r="H44" i="8" s="1"/>
  <c r="G69" i="8"/>
  <c r="F1885" i="1"/>
  <c r="AC1886" i="1" s="1"/>
  <c r="F1897" i="1"/>
  <c r="J157" i="8"/>
  <c r="J1220" i="1"/>
  <c r="J211" i="7" s="1"/>
  <c r="J1285" i="1"/>
  <c r="J279" i="7" s="1"/>
  <c r="J144" i="8"/>
  <c r="J927" i="8"/>
  <c r="J575" i="8"/>
  <c r="J576" i="8" s="1"/>
  <c r="J577" i="8" s="1"/>
  <c r="J572" i="8"/>
  <c r="G183" i="8"/>
  <c r="G908" i="8"/>
  <c r="H488" i="8"/>
  <c r="H487" i="8" s="1"/>
  <c r="G1948" i="1"/>
  <c r="H1491" i="1" l="1"/>
  <c r="H498" i="8" s="1"/>
  <c r="H497" i="8" s="1"/>
  <c r="H213" i="7"/>
  <c r="H1568" i="1"/>
  <c r="H448" i="7" s="1"/>
  <c r="H47" i="8"/>
  <c r="K1663" i="1"/>
  <c r="K547" i="7" s="1"/>
  <c r="H1283" i="1"/>
  <c r="H277" i="7" s="1"/>
  <c r="H1942" i="1"/>
  <c r="H1941" i="1" s="1"/>
  <c r="H1331" i="1"/>
  <c r="H327" i="7" s="1"/>
  <c r="H2015" i="1"/>
  <c r="H1558" i="1"/>
  <c r="H438" i="7" s="1"/>
  <c r="H173" i="8"/>
  <c r="K574" i="7"/>
  <c r="K1682" i="1"/>
  <c r="K566" i="7" s="1"/>
  <c r="K571" i="7"/>
  <c r="K1702" i="1"/>
  <c r="K586" i="7" s="1"/>
  <c r="J183" i="1"/>
  <c r="J82" i="7" s="1"/>
  <c r="H281" i="8"/>
  <c r="H280" i="8" s="1"/>
  <c r="I187" i="1"/>
  <c r="I86" i="7" s="1"/>
  <c r="K1707" i="1"/>
  <c r="K591" i="7" s="1"/>
  <c r="I173" i="1"/>
  <c r="I72" i="7" s="1"/>
  <c r="H170" i="8"/>
  <c r="H46" i="8"/>
  <c r="G309" i="8"/>
  <c r="O579" i="1"/>
  <c r="P395" i="1"/>
  <c r="P394" i="1"/>
  <c r="F861" i="8"/>
  <c r="F858" i="8"/>
  <c r="F863" i="8"/>
  <c r="F845" i="8"/>
  <c r="F849" i="8"/>
  <c r="H84" i="8"/>
  <c r="H1167" i="1"/>
  <c r="G324" i="8"/>
  <c r="G101" i="8"/>
  <c r="V508" i="8"/>
  <c r="V507" i="8" s="1"/>
  <c r="W1497" i="1"/>
  <c r="F1890" i="1"/>
  <c r="AC1891" i="1" s="1"/>
  <c r="G935" i="8"/>
  <c r="K1563" i="1"/>
  <c r="K443" i="7" s="1"/>
  <c r="K927" i="8"/>
  <c r="K575" i="8"/>
  <c r="K576" i="8" s="1"/>
  <c r="K577" i="8" s="1"/>
  <c r="K572" i="8"/>
  <c r="F1470" i="1"/>
  <c r="F1572" i="1" s="1"/>
  <c r="F452" i="7" s="1"/>
  <c r="F441" i="8"/>
  <c r="I48" i="8"/>
  <c r="I57" i="8"/>
  <c r="L1694" i="1"/>
  <c r="L1670" i="1"/>
  <c r="L1207" i="1"/>
  <c r="L198" i="7" s="1"/>
  <c r="L988" i="1"/>
  <c r="L980" i="1" s="1"/>
  <c r="H911" i="8"/>
  <c r="J1286" i="1"/>
  <c r="J280" i="7" s="1"/>
  <c r="J2012" i="1"/>
  <c r="J177" i="8"/>
  <c r="J1566" i="1"/>
  <c r="J446" i="7" s="1"/>
  <c r="J176" i="1"/>
  <c r="J75" i="7" s="1"/>
  <c r="J169" i="8"/>
  <c r="J2014" i="1"/>
  <c r="G915" i="8"/>
  <c r="G185" i="8"/>
  <c r="J156" i="8"/>
  <c r="G68" i="8"/>
  <c r="N1053" i="1"/>
  <c r="N1212" i="1"/>
  <c r="N203" i="7" s="1"/>
  <c r="F943" i="8"/>
  <c r="G1733" i="1"/>
  <c r="G618" i="7" s="1"/>
  <c r="G1807" i="1"/>
  <c r="G1879" i="1"/>
  <c r="V131" i="1"/>
  <c r="V30" i="7" s="1"/>
  <c r="U1467" i="1"/>
  <c r="U453" i="8" s="1"/>
  <c r="U452" i="8" s="1"/>
  <c r="AC1740" i="1"/>
  <c r="AC625" i="7" s="1"/>
  <c r="F1744" i="1"/>
  <c r="F629" i="7" s="1"/>
  <c r="F1818" i="1"/>
  <c r="AC1819" i="1" s="1"/>
  <c r="H2019" i="1"/>
  <c r="H1342" i="1"/>
  <c r="H338" i="7" s="1"/>
  <c r="H305" i="8"/>
  <c r="G832" i="8"/>
  <c r="G682" i="8"/>
  <c r="G758" i="8"/>
  <c r="G328" i="8"/>
  <c r="G105" i="8"/>
  <c r="G1496" i="1"/>
  <c r="G190" i="8"/>
  <c r="G189" i="8" s="1"/>
  <c r="G505" i="8" s="1"/>
  <c r="G509" i="8" s="1"/>
  <c r="G589" i="8" s="1"/>
  <c r="H1290" i="1"/>
  <c r="K145" i="8"/>
  <c r="K144" i="8" s="1"/>
  <c r="K1214" i="1"/>
  <c r="K205" i="7" s="1"/>
  <c r="F1092" i="1"/>
  <c r="F1137" i="1"/>
  <c r="F945" i="8"/>
  <c r="F440" i="8"/>
  <c r="F458" i="8" s="1"/>
  <c r="F585" i="8" s="1"/>
  <c r="G333" i="8"/>
  <c r="G332" i="8" s="1"/>
  <c r="G2028" i="1"/>
  <c r="I178" i="8"/>
  <c r="I580" i="8" s="1"/>
  <c r="I928" i="8"/>
  <c r="F711" i="8"/>
  <c r="F713" i="8"/>
  <c r="F708" i="8"/>
  <c r="F699" i="8"/>
  <c r="F695" i="8"/>
  <c r="F787" i="8"/>
  <c r="F784" i="8"/>
  <c r="F789" i="8"/>
  <c r="F771" i="8"/>
  <c r="F775" i="8"/>
  <c r="L452" i="1"/>
  <c r="K1479" i="1"/>
  <c r="K462" i="8"/>
  <c r="K461" i="8" s="1"/>
  <c r="G1354" i="1"/>
  <c r="G350" i="7" s="1"/>
  <c r="J55" i="8" l="1"/>
  <c r="H1289" i="1"/>
  <c r="H283" i="7" s="1"/>
  <c r="K1683" i="1"/>
  <c r="K567" i="7" s="1"/>
  <c r="K1678" i="1"/>
  <c r="K562" i="7" s="1"/>
  <c r="H1188" i="1"/>
  <c r="H1185" i="1" s="1"/>
  <c r="H184" i="8"/>
  <c r="H183" i="8" s="1"/>
  <c r="H1350" i="1"/>
  <c r="H346" i="7" s="1"/>
  <c r="H1795" i="1"/>
  <c r="H1867" i="1"/>
  <c r="H1721" i="1"/>
  <c r="H606" i="7" s="1"/>
  <c r="H290" i="8"/>
  <c r="I59" i="8"/>
  <c r="I174" i="1"/>
  <c r="I73" i="7" s="1"/>
  <c r="I1977" i="1"/>
  <c r="I1995" i="1" s="1"/>
  <c r="I1221" i="1"/>
  <c r="I212" i="7" s="1"/>
  <c r="I227" i="1"/>
  <c r="I126" i="7" s="1"/>
  <c r="I1976" i="1"/>
  <c r="I1994" i="1" s="1"/>
  <c r="I1052" i="1"/>
  <c r="I1048" i="1" s="1"/>
  <c r="I1486" i="1" s="1"/>
  <c r="L1677" i="1"/>
  <c r="L561" i="7" s="1"/>
  <c r="L554" i="7"/>
  <c r="H188" i="8"/>
  <c r="H187" i="8" s="1"/>
  <c r="H284" i="7"/>
  <c r="L1701" i="1"/>
  <c r="L585" i="7" s="1"/>
  <c r="L578" i="7"/>
  <c r="P578" i="1"/>
  <c r="F790" i="8"/>
  <c r="G121" i="8"/>
  <c r="G944" i="8"/>
  <c r="K1220" i="1"/>
  <c r="K211" i="7" s="1"/>
  <c r="K157" i="8"/>
  <c r="K156" i="8" s="1"/>
  <c r="K1285" i="1"/>
  <c r="K279" i="7" s="1"/>
  <c r="H1797" i="1"/>
  <c r="H1869" i="1"/>
  <c r="H310" i="8"/>
  <c r="H1723" i="1"/>
  <c r="H608" i="7" s="1"/>
  <c r="I1326" i="1"/>
  <c r="I322" i="7" s="1"/>
  <c r="G1893" i="1"/>
  <c r="G1880" i="1"/>
  <c r="G1896" i="1"/>
  <c r="G1898" i="1"/>
  <c r="G1884" i="1"/>
  <c r="G1821" i="1"/>
  <c r="G1824" i="1"/>
  <c r="G1826" i="1"/>
  <c r="G1808" i="1"/>
  <c r="G1812" i="1"/>
  <c r="H186" i="8"/>
  <c r="H2016" i="1"/>
  <c r="H289" i="8"/>
  <c r="G1356" i="1"/>
  <c r="G352" i="7" s="1"/>
  <c r="G331" i="8"/>
  <c r="G2027" i="1"/>
  <c r="K476" i="8"/>
  <c r="K475" i="8" s="1"/>
  <c r="F772" i="8"/>
  <c r="F788" i="8"/>
  <c r="F696" i="8"/>
  <c r="F712" i="8"/>
  <c r="I929" i="8"/>
  <c r="I180" i="8"/>
  <c r="H1291" i="1"/>
  <c r="H285" i="7" s="1"/>
  <c r="G570" i="8"/>
  <c r="G512" i="8"/>
  <c r="H304" i="8"/>
  <c r="AC1745" i="1"/>
  <c r="AC630" i="7" s="1"/>
  <c r="W131" i="1"/>
  <c r="W30" i="7" s="1"/>
  <c r="V1467" i="1"/>
  <c r="V453" i="8" s="1"/>
  <c r="V452" i="8" s="1"/>
  <c r="G1752" i="1"/>
  <c r="G637" i="7" s="1"/>
  <c r="G1734" i="1"/>
  <c r="G619" i="7" s="1"/>
  <c r="G1747" i="1"/>
  <c r="G632" i="7" s="1"/>
  <c r="G1750" i="1"/>
  <c r="G635" i="7" s="1"/>
  <c r="G1738" i="1"/>
  <c r="G623" i="7" s="1"/>
  <c r="N153" i="8"/>
  <c r="G932" i="8"/>
  <c r="J184" i="1"/>
  <c r="J177" i="1"/>
  <c r="J76" i="7" s="1"/>
  <c r="J179" i="8"/>
  <c r="J1287" i="1"/>
  <c r="J281" i="7" s="1"/>
  <c r="J2013" i="1"/>
  <c r="J1567" i="1"/>
  <c r="J447" i="7" s="1"/>
  <c r="L1943" i="1"/>
  <c r="L143" i="8"/>
  <c r="L142" i="8" s="1"/>
  <c r="L910" i="8" s="1"/>
  <c r="L1200" i="1"/>
  <c r="L191" i="7" s="1"/>
  <c r="I56" i="8"/>
  <c r="J54" i="8" s="1"/>
  <c r="F459" i="8"/>
  <c r="F1481" i="1"/>
  <c r="F1573" i="1"/>
  <c r="F453" i="7" s="1"/>
  <c r="K1564" i="1"/>
  <c r="K444" i="7" s="1"/>
  <c r="G100" i="8"/>
  <c r="H83" i="8"/>
  <c r="F850" i="8"/>
  <c r="Y851" i="8" s="1"/>
  <c r="P404" i="1"/>
  <c r="M442" i="1"/>
  <c r="L592" i="1"/>
  <c r="L1476" i="1" s="1"/>
  <c r="F776" i="8"/>
  <c r="Y777" i="8" s="1"/>
  <c r="F700" i="8"/>
  <c r="Y701" i="8" s="1"/>
  <c r="F714" i="8"/>
  <c r="F586" i="8"/>
  <c r="F478" i="8"/>
  <c r="G506" i="8"/>
  <c r="G1498" i="1"/>
  <c r="G1576" i="1" s="1"/>
  <c r="G456" i="7" s="1"/>
  <c r="G327" i="8"/>
  <c r="J168" i="8"/>
  <c r="W508" i="8"/>
  <c r="W507" i="8" s="1"/>
  <c r="X1497" i="1"/>
  <c r="G840" i="8"/>
  <c r="H69" i="8"/>
  <c r="F846" i="8"/>
  <c r="F864" i="8"/>
  <c r="F862" i="8"/>
  <c r="O1475" i="1"/>
  <c r="O158" i="1"/>
  <c r="O57" i="7" s="1"/>
  <c r="G760" i="8"/>
  <c r="G834" i="8"/>
  <c r="G684" i="8"/>
  <c r="H1948" i="1"/>
  <c r="H172" i="8"/>
  <c r="H581" i="8" s="1"/>
  <c r="H106" i="8" l="1"/>
  <c r="H105" i="8" s="1"/>
  <c r="H1352" i="1"/>
  <c r="H348" i="7" s="1"/>
  <c r="H325" i="8"/>
  <c r="H324" i="8" s="1"/>
  <c r="H1875" i="1"/>
  <c r="H1879" i="1" s="1"/>
  <c r="I45" i="8"/>
  <c r="I1066" i="1"/>
  <c r="I1067" i="1" s="1"/>
  <c r="I1068" i="1" s="1"/>
  <c r="I1070" i="1" s="1"/>
  <c r="I1175" i="1" s="1"/>
  <c r="I175" i="1"/>
  <c r="I74" i="7" s="1"/>
  <c r="I171" i="8"/>
  <c r="L1681" i="1"/>
  <c r="L565" i="7" s="1"/>
  <c r="I1222" i="1"/>
  <c r="I173" i="8" s="1"/>
  <c r="H1733" i="1"/>
  <c r="H618" i="7" s="1"/>
  <c r="L1690" i="1"/>
  <c r="L1687" i="1" s="1"/>
  <c r="L1680" i="1"/>
  <c r="L564" i="7" s="1"/>
  <c r="L1704" i="1"/>
  <c r="L1706" i="1" s="1"/>
  <c r="L590" i="7" s="1"/>
  <c r="L1664" i="1"/>
  <c r="L548" i="7" s="1"/>
  <c r="L1666" i="1"/>
  <c r="L1663" i="1" s="1"/>
  <c r="L1705" i="1"/>
  <c r="L589" i="7" s="1"/>
  <c r="L1688" i="1"/>
  <c r="L572" i="7" s="1"/>
  <c r="K182" i="1"/>
  <c r="K81" i="7" s="1"/>
  <c r="J83" i="7"/>
  <c r="J186" i="1"/>
  <c r="J173" i="1" s="1"/>
  <c r="J72" i="7" s="1"/>
  <c r="O468" i="8"/>
  <c r="O467" i="8" s="1"/>
  <c r="F855" i="8"/>
  <c r="Y856" i="8" s="1"/>
  <c r="G844" i="8"/>
  <c r="O56" i="7"/>
  <c r="H68" i="8"/>
  <c r="I2001" i="1"/>
  <c r="G330" i="8"/>
  <c r="M591" i="1"/>
  <c r="M944" i="1" s="1"/>
  <c r="M451" i="1"/>
  <c r="H101" i="8"/>
  <c r="I58" i="8"/>
  <c r="I44" i="8" s="1"/>
  <c r="J181" i="8"/>
  <c r="J1951" i="1"/>
  <c r="J49" i="8"/>
  <c r="J185" i="1"/>
  <c r="J84" i="7" s="1"/>
  <c r="G1751" i="1"/>
  <c r="G636" i="7" s="1"/>
  <c r="G1753" i="1"/>
  <c r="G638" i="7" s="1"/>
  <c r="X131" i="1"/>
  <c r="X30" i="7" s="1"/>
  <c r="W1467" i="1"/>
  <c r="W453" i="8" s="1"/>
  <c r="W452" i="8" s="1"/>
  <c r="G590" i="8"/>
  <c r="G588" i="8"/>
  <c r="H190" i="8"/>
  <c r="H189" i="8" s="1"/>
  <c r="H505" i="8" s="1"/>
  <c r="H509" i="8" s="1"/>
  <c r="H589" i="8" s="1"/>
  <c r="H1496" i="1"/>
  <c r="I1290" i="1"/>
  <c r="I918" i="8"/>
  <c r="F781" i="8"/>
  <c r="Y782" i="8" s="1"/>
  <c r="G1809" i="1"/>
  <c r="G1825" i="1"/>
  <c r="G1885" i="1"/>
  <c r="AB1886" i="1" s="1"/>
  <c r="G1897" i="1"/>
  <c r="I281" i="8"/>
  <c r="I1331" i="1"/>
  <c r="I327" i="7" s="1"/>
  <c r="K177" i="8"/>
  <c r="K1286" i="1"/>
  <c r="K280" i="7" s="1"/>
  <c r="K2012" i="1"/>
  <c r="K1566" i="1"/>
  <c r="K446" i="7" s="1"/>
  <c r="K2014" i="1"/>
  <c r="K169" i="8"/>
  <c r="K168" i="8" s="1"/>
  <c r="K176" i="1"/>
  <c r="K75" i="7" s="1"/>
  <c r="H185" i="8"/>
  <c r="H909" i="8"/>
  <c r="H931" i="8"/>
  <c r="H571" i="8"/>
  <c r="G694" i="8"/>
  <c r="G770" i="8"/>
  <c r="X508" i="8"/>
  <c r="X507" i="8" s="1"/>
  <c r="Y1497" i="1"/>
  <c r="Z1497" i="1" s="1"/>
  <c r="AA1497" i="1" s="1"/>
  <c r="AB1497" i="1" s="1"/>
  <c r="AC1497" i="1" s="1"/>
  <c r="Y508" i="8" s="1"/>
  <c r="Y507" i="8" s="1"/>
  <c r="J176" i="8"/>
  <c r="J930" i="8"/>
  <c r="G510" i="8"/>
  <c r="G1557" i="1"/>
  <c r="G437" i="7" s="1"/>
  <c r="G1500" i="1"/>
  <c r="F569" i="8"/>
  <c r="F514" i="8"/>
  <c r="L470" i="8"/>
  <c r="L469" i="8" s="1"/>
  <c r="L1472" i="1"/>
  <c r="P405" i="1"/>
  <c r="F1501" i="1"/>
  <c r="F479" i="8"/>
  <c r="F1556" i="1"/>
  <c r="F436" i="7" s="1"/>
  <c r="L130" i="8"/>
  <c r="L129" i="8" s="1"/>
  <c r="L1562" i="1"/>
  <c r="L442" i="7" s="1"/>
  <c r="L1208" i="1"/>
  <c r="L199" i="7" s="1"/>
  <c r="L2011" i="1"/>
  <c r="L1559" i="1"/>
  <c r="L439" i="7" s="1"/>
  <c r="N152" i="8"/>
  <c r="G1739" i="1"/>
  <c r="G624" i="7" s="1"/>
  <c r="G1735" i="1"/>
  <c r="G620" i="7" s="1"/>
  <c r="I1944" i="1"/>
  <c r="I488" i="8"/>
  <c r="I487" i="8" s="1"/>
  <c r="I1491" i="1"/>
  <c r="I2002" i="1"/>
  <c r="H935" i="8"/>
  <c r="F705" i="8"/>
  <c r="Y706" i="8" s="1"/>
  <c r="G1136" i="1"/>
  <c r="G1192" i="1"/>
  <c r="G1135" i="1"/>
  <c r="G1193" i="1"/>
  <c r="G1461" i="1"/>
  <c r="G1091" i="1"/>
  <c r="G1093" i="1"/>
  <c r="G335" i="8"/>
  <c r="G334" i="8" s="1"/>
  <c r="H1355" i="1"/>
  <c r="H351" i="7" s="1"/>
  <c r="G2029" i="1"/>
  <c r="H832" i="8"/>
  <c r="H682" i="8"/>
  <c r="H758" i="8"/>
  <c r="G1813" i="1"/>
  <c r="AB1814" i="1" s="1"/>
  <c r="G1827" i="1"/>
  <c r="G1899" i="1"/>
  <c r="G1881" i="1"/>
  <c r="H309" i="8"/>
  <c r="H1807" i="1"/>
  <c r="H1812" i="1" s="1"/>
  <c r="I1568" i="1" l="1"/>
  <c r="I448" i="7" s="1"/>
  <c r="H1354" i="1"/>
  <c r="H350" i="7" s="1"/>
  <c r="I1339" i="1"/>
  <c r="I335" i="7" s="1"/>
  <c r="H328" i="8"/>
  <c r="H327" i="8" s="1"/>
  <c r="H1752" i="1"/>
  <c r="H637" i="7" s="1"/>
  <c r="H1738" i="1"/>
  <c r="H623" i="7" s="1"/>
  <c r="H1750" i="1"/>
  <c r="H635" i="7" s="1"/>
  <c r="I47" i="8"/>
  <c r="I1942" i="1"/>
  <c r="I1941" i="1" s="1"/>
  <c r="I213" i="7"/>
  <c r="H1734" i="1"/>
  <c r="H619" i="7" s="1"/>
  <c r="K183" i="1"/>
  <c r="K82" i="7" s="1"/>
  <c r="H1747" i="1"/>
  <c r="H632" i="7" s="1"/>
  <c r="L550" i="7"/>
  <c r="L1682" i="1"/>
  <c r="L566" i="7" s="1"/>
  <c r="I1283" i="1"/>
  <c r="I277" i="7" s="1"/>
  <c r="L588" i="7"/>
  <c r="L574" i="7"/>
  <c r="L547" i="7"/>
  <c r="L1683" i="1"/>
  <c r="L567" i="7" s="1"/>
  <c r="L571" i="7"/>
  <c r="L1702" i="1"/>
  <c r="L586" i="7" s="1"/>
  <c r="L1707" i="1"/>
  <c r="L591" i="7" s="1"/>
  <c r="I1558" i="1"/>
  <c r="I438" i="7" s="1"/>
  <c r="I2015" i="1"/>
  <c r="L1678" i="1"/>
  <c r="L562" i="7" s="1"/>
  <c r="L1563" i="1"/>
  <c r="L443" i="7" s="1"/>
  <c r="I188" i="8"/>
  <c r="I187" i="8" s="1"/>
  <c r="I284" i="7"/>
  <c r="J187" i="1"/>
  <c r="J86" i="7" s="1"/>
  <c r="J85" i="7"/>
  <c r="H1813" i="1"/>
  <c r="AA1814" i="1" s="1"/>
  <c r="Q395" i="1"/>
  <c r="P579" i="1"/>
  <c r="Q394" i="1"/>
  <c r="Q578" i="1" s="1"/>
  <c r="L462" i="8"/>
  <c r="L461" i="8" s="1"/>
  <c r="L1479" i="1"/>
  <c r="H908" i="8"/>
  <c r="K184" i="1"/>
  <c r="K177" i="1"/>
  <c r="K76" i="7" s="1"/>
  <c r="K930" i="8"/>
  <c r="K176" i="8"/>
  <c r="H1880" i="1"/>
  <c r="H1881" i="1" s="1"/>
  <c r="H1893" i="1"/>
  <c r="H1898" i="1"/>
  <c r="H1896" i="1"/>
  <c r="I1867" i="1"/>
  <c r="I1795" i="1"/>
  <c r="I290" i="8"/>
  <c r="I1721" i="1"/>
  <c r="I606" i="7" s="1"/>
  <c r="G1818" i="1"/>
  <c r="AB1819" i="1" s="1"/>
  <c r="H570" i="8"/>
  <c r="H512" i="8"/>
  <c r="J57" i="8"/>
  <c r="I170" i="8"/>
  <c r="I46" i="8"/>
  <c r="H100" i="8"/>
  <c r="M1694" i="1"/>
  <c r="M1207" i="1"/>
  <c r="M198" i="7" s="1"/>
  <c r="M1670" i="1"/>
  <c r="M988" i="1"/>
  <c r="M980" i="1" s="1"/>
  <c r="G943" i="8"/>
  <c r="O1053" i="1"/>
  <c r="O1212" i="1"/>
  <c r="O203" i="7" s="1"/>
  <c r="G1890" i="1"/>
  <c r="AB1891" i="1" s="1"/>
  <c r="H333" i="8"/>
  <c r="H332" i="8" s="1"/>
  <c r="H2028" i="1"/>
  <c r="I911" i="8"/>
  <c r="G1744" i="1"/>
  <c r="G629" i="7" s="1"/>
  <c r="H1808" i="1"/>
  <c r="H1826" i="1"/>
  <c r="H1821" i="1"/>
  <c r="H1824" i="1"/>
  <c r="H834" i="8"/>
  <c r="H684" i="8"/>
  <c r="H760" i="8"/>
  <c r="G945" i="8"/>
  <c r="G1092" i="1"/>
  <c r="G1137" i="1"/>
  <c r="G440" i="8"/>
  <c r="G458" i="8" s="1"/>
  <c r="G585" i="8" s="1"/>
  <c r="G441" i="8"/>
  <c r="G1470" i="1"/>
  <c r="G1572" i="1" s="1"/>
  <c r="G452" i="7" s="1"/>
  <c r="I498" i="8"/>
  <c r="I497" i="8" s="1"/>
  <c r="AB1740" i="1"/>
  <c r="AB625" i="7" s="1"/>
  <c r="J1221" i="1"/>
  <c r="J174" i="1"/>
  <c r="J73" i="7" s="1"/>
  <c r="J1052" i="1"/>
  <c r="J1048" i="1" s="1"/>
  <c r="J1976" i="1"/>
  <c r="J1977" i="1"/>
  <c r="J227" i="1"/>
  <c r="J126" i="7" s="1"/>
  <c r="L145" i="8"/>
  <c r="L144" i="8" s="1"/>
  <c r="L1214" i="1"/>
  <c r="L205" i="7" s="1"/>
  <c r="L927" i="8"/>
  <c r="L572" i="8"/>
  <c r="L575" i="8"/>
  <c r="L576" i="8" s="1"/>
  <c r="L577" i="8" s="1"/>
  <c r="G513" i="8"/>
  <c r="G1575" i="1"/>
  <c r="G455" i="7" s="1"/>
  <c r="G1577" i="1"/>
  <c r="G457" i="7" s="1"/>
  <c r="J928" i="8"/>
  <c r="J178" i="8"/>
  <c r="J579" i="8"/>
  <c r="G771" i="8"/>
  <c r="G789" i="8"/>
  <c r="G784" i="8"/>
  <c r="G787" i="8"/>
  <c r="G775" i="8"/>
  <c r="G695" i="8"/>
  <c r="G713" i="8"/>
  <c r="G711" i="8"/>
  <c r="G708" i="8"/>
  <c r="G699" i="8"/>
  <c r="H932" i="8"/>
  <c r="K179" i="8"/>
  <c r="K1287" i="1"/>
  <c r="K281" i="7" s="1"/>
  <c r="K2013" i="1"/>
  <c r="K1567" i="1"/>
  <c r="K447" i="7" s="1"/>
  <c r="I280" i="8"/>
  <c r="H1884" i="1"/>
  <c r="H506" i="8"/>
  <c r="H1498" i="1"/>
  <c r="H1576" i="1" s="1"/>
  <c r="H456" i="7" s="1"/>
  <c r="I84" i="8"/>
  <c r="I1167" i="1"/>
  <c r="Y131" i="1"/>
  <c r="Y30" i="7" s="1"/>
  <c r="X1467" i="1"/>
  <c r="X453" i="8" s="1"/>
  <c r="X452" i="8" s="1"/>
  <c r="J48" i="8"/>
  <c r="M452" i="1"/>
  <c r="G858" i="8"/>
  <c r="G861" i="8"/>
  <c r="G863" i="8"/>
  <c r="G845" i="8"/>
  <c r="G849" i="8"/>
  <c r="H840" i="8"/>
  <c r="H1739" i="1" l="1"/>
  <c r="H624" i="7" s="1"/>
  <c r="H2027" i="1"/>
  <c r="H1356" i="1"/>
  <c r="H352" i="7" s="1"/>
  <c r="H331" i="8"/>
  <c r="H1751" i="1"/>
  <c r="H636" i="7" s="1"/>
  <c r="I1342" i="1"/>
  <c r="I338" i="7" s="1"/>
  <c r="I305" i="8"/>
  <c r="H1753" i="1"/>
  <c r="H638" i="7" s="1"/>
  <c r="I2019" i="1"/>
  <c r="I1350" i="1"/>
  <c r="I346" i="7" s="1"/>
  <c r="J212" i="7"/>
  <c r="J1570" i="1"/>
  <c r="J450" i="7" s="1"/>
  <c r="H1735" i="1"/>
  <c r="H620" i="7" s="1"/>
  <c r="I1289" i="1"/>
  <c r="I283" i="7" s="1"/>
  <c r="I1188" i="1"/>
  <c r="I1185" i="1" s="1"/>
  <c r="I184" i="8"/>
  <c r="I183" i="8" s="1"/>
  <c r="K55" i="8"/>
  <c r="L1564" i="1"/>
  <c r="L444" i="7" s="1"/>
  <c r="M1677" i="1"/>
  <c r="M561" i="7" s="1"/>
  <c r="M554" i="7"/>
  <c r="M1701" i="1"/>
  <c r="M585" i="7" s="1"/>
  <c r="M578" i="7"/>
  <c r="L182" i="1"/>
  <c r="L81" i="7" s="1"/>
  <c r="K83" i="7"/>
  <c r="J59" i="8"/>
  <c r="K186" i="1"/>
  <c r="G850" i="8"/>
  <c r="X851" i="8" s="1"/>
  <c r="H1135" i="1"/>
  <c r="H2029" i="1"/>
  <c r="H1091" i="1"/>
  <c r="H1136" i="1"/>
  <c r="I1355" i="1"/>
  <c r="I351" i="7" s="1"/>
  <c r="I289" i="8"/>
  <c r="G696" i="8"/>
  <c r="G790" i="8"/>
  <c r="G846" i="8"/>
  <c r="G862" i="8"/>
  <c r="M592" i="1"/>
  <c r="M1476" i="1" s="1"/>
  <c r="N442" i="1"/>
  <c r="J56" i="8"/>
  <c r="K54" i="8" s="1"/>
  <c r="Z131" i="1"/>
  <c r="Z30" i="7" s="1"/>
  <c r="Y1467" i="1"/>
  <c r="I83" i="8"/>
  <c r="H1885" i="1"/>
  <c r="AA1886" i="1" s="1"/>
  <c r="K181" i="8"/>
  <c r="K1951" i="1"/>
  <c r="G714" i="8"/>
  <c r="G776" i="8"/>
  <c r="X777" i="8" s="1"/>
  <c r="G772" i="8"/>
  <c r="L1285" i="1"/>
  <c r="L279" i="7" s="1"/>
  <c r="L1220" i="1"/>
  <c r="L211" i="7" s="1"/>
  <c r="L157" i="8"/>
  <c r="L156" i="8" s="1"/>
  <c r="J1326" i="1"/>
  <c r="J322" i="7" s="1"/>
  <c r="J1994" i="1"/>
  <c r="J45" i="8"/>
  <c r="J175" i="1"/>
  <c r="J74" i="7" s="1"/>
  <c r="H770" i="8"/>
  <c r="H844" i="8"/>
  <c r="AB1745" i="1"/>
  <c r="AB630" i="7" s="1"/>
  <c r="H1744" i="1"/>
  <c r="H629" i="7" s="1"/>
  <c r="H121" i="8"/>
  <c r="H944" i="8"/>
  <c r="H1890" i="1"/>
  <c r="AA1891" i="1" s="1"/>
  <c r="H330" i="8"/>
  <c r="O153" i="8"/>
  <c r="O152" i="8" s="1"/>
  <c r="I1948" i="1"/>
  <c r="H1897" i="1"/>
  <c r="K928" i="8"/>
  <c r="K178" i="8"/>
  <c r="K579" i="8"/>
  <c r="K49" i="8"/>
  <c r="K48" i="8" s="1"/>
  <c r="K185" i="1"/>
  <c r="K84" i="7" s="1"/>
  <c r="H915" i="8"/>
  <c r="P1475" i="1"/>
  <c r="P158" i="1"/>
  <c r="P57" i="7" s="1"/>
  <c r="G864" i="8"/>
  <c r="I69" i="8"/>
  <c r="H1557" i="1"/>
  <c r="H437" i="7" s="1"/>
  <c r="H510" i="8"/>
  <c r="H1500" i="1"/>
  <c r="G700" i="8"/>
  <c r="X701" i="8" s="1"/>
  <c r="G712" i="8"/>
  <c r="G788" i="8"/>
  <c r="J180" i="8"/>
  <c r="J929" i="8"/>
  <c r="J580" i="8"/>
  <c r="J1995" i="1"/>
  <c r="J1486" i="1"/>
  <c r="J1066" i="1"/>
  <c r="J1067" i="1" s="1"/>
  <c r="J1068" i="1" s="1"/>
  <c r="J1070" i="1" s="1"/>
  <c r="J171" i="8"/>
  <c r="J1222" i="1"/>
  <c r="J213" i="7" s="1"/>
  <c r="G1573" i="1"/>
  <c r="G453" i="7" s="1"/>
  <c r="G459" i="8"/>
  <c r="G1481" i="1"/>
  <c r="G586" i="8"/>
  <c r="G478" i="8"/>
  <c r="H694" i="8"/>
  <c r="H1825" i="1"/>
  <c r="H1827" i="1"/>
  <c r="AA1740" i="1"/>
  <c r="AA625" i="7" s="1"/>
  <c r="M1943" i="1"/>
  <c r="M1200" i="1"/>
  <c r="M191" i="7" s="1"/>
  <c r="M143" i="8"/>
  <c r="M142" i="8" s="1"/>
  <c r="M910" i="8" s="1"/>
  <c r="I172" i="8"/>
  <c r="I581" i="8" s="1"/>
  <c r="I304" i="8"/>
  <c r="H588" i="8"/>
  <c r="H590" i="8"/>
  <c r="H1809" i="1"/>
  <c r="H1899" i="1"/>
  <c r="L476" i="8"/>
  <c r="L475" i="8" s="1"/>
  <c r="Q404" i="1"/>
  <c r="I106" i="8" l="1"/>
  <c r="H1461" i="1"/>
  <c r="H1470" i="1" s="1"/>
  <c r="H1572" i="1" s="1"/>
  <c r="H452" i="7" s="1"/>
  <c r="H1193" i="1"/>
  <c r="H335" i="8"/>
  <c r="H334" i="8" s="1"/>
  <c r="H1092" i="1" s="1"/>
  <c r="H1192" i="1"/>
  <c r="H1093" i="1"/>
  <c r="I1797" i="1"/>
  <c r="I1807" i="1" s="1"/>
  <c r="I310" i="8"/>
  <c r="I309" i="8" s="1"/>
  <c r="I1869" i="1"/>
  <c r="I1723" i="1"/>
  <c r="I608" i="7" s="1"/>
  <c r="M1681" i="1"/>
  <c r="M565" i="7" s="1"/>
  <c r="I1352" i="1"/>
  <c r="I1354" i="1" s="1"/>
  <c r="I350" i="7" s="1"/>
  <c r="I325" i="8"/>
  <c r="I324" i="8" s="1"/>
  <c r="I1875" i="1"/>
  <c r="I1291" i="1"/>
  <c r="I285" i="7" s="1"/>
  <c r="I2016" i="1"/>
  <c r="I186" i="8"/>
  <c r="M1688" i="1"/>
  <c r="M572" i="7" s="1"/>
  <c r="M1664" i="1"/>
  <c r="M548" i="7" s="1"/>
  <c r="M1704" i="1"/>
  <c r="M588" i="7" s="1"/>
  <c r="L183" i="1"/>
  <c r="L82" i="7" s="1"/>
  <c r="M1705" i="1"/>
  <c r="M589" i="7" s="1"/>
  <c r="M1690" i="1"/>
  <c r="M1687" i="1" s="1"/>
  <c r="M571" i="7" s="1"/>
  <c r="M1680" i="1"/>
  <c r="M564" i="7" s="1"/>
  <c r="M1666" i="1"/>
  <c r="M550" i="7" s="1"/>
  <c r="K187" i="1"/>
  <c r="K86" i="7" s="1"/>
  <c r="K85" i="7"/>
  <c r="K173" i="1"/>
  <c r="K72" i="7" s="1"/>
  <c r="J58" i="8"/>
  <c r="J44" i="8" s="1"/>
  <c r="J170" i="8" s="1"/>
  <c r="J583" i="8" s="1"/>
  <c r="I935" i="8"/>
  <c r="I931" i="8"/>
  <c r="I909" i="8"/>
  <c r="I185" i="8"/>
  <c r="I571" i="8"/>
  <c r="J173" i="8"/>
  <c r="J1942" i="1"/>
  <c r="J1560" i="1"/>
  <c r="J440" i="7" s="1"/>
  <c r="J2015" i="1"/>
  <c r="J1568" i="1"/>
  <c r="J448" i="7" s="1"/>
  <c r="J1558" i="1"/>
  <c r="J438" i="7" s="1"/>
  <c r="J1944" i="1"/>
  <c r="J488" i="8"/>
  <c r="J487" i="8" s="1"/>
  <c r="J1491" i="1"/>
  <c r="J2002" i="1"/>
  <c r="J918" i="8"/>
  <c r="I101" i="8"/>
  <c r="P56" i="7"/>
  <c r="K57" i="8"/>
  <c r="H845" i="8"/>
  <c r="H846" i="8" s="1"/>
  <c r="H858" i="8"/>
  <c r="H861" i="8"/>
  <c r="H863" i="8"/>
  <c r="H784" i="8"/>
  <c r="H771" i="8"/>
  <c r="H772" i="8" s="1"/>
  <c r="H789" i="8"/>
  <c r="H787" i="8"/>
  <c r="L1286" i="1"/>
  <c r="L280" i="7" s="1"/>
  <c r="L177" i="8"/>
  <c r="L2012" i="1"/>
  <c r="L1566" i="1"/>
  <c r="L446" i="7" s="1"/>
  <c r="H775" i="8"/>
  <c r="AA131" i="1"/>
  <c r="AA30" i="7" s="1"/>
  <c r="Z1467" i="1"/>
  <c r="M470" i="8"/>
  <c r="M469" i="8" s="1"/>
  <c r="M1472" i="1"/>
  <c r="G855" i="8"/>
  <c r="X856" i="8" s="1"/>
  <c r="I333" i="8"/>
  <c r="I332" i="8" s="1"/>
  <c r="I2028" i="1"/>
  <c r="H1137" i="1"/>
  <c r="H1818" i="1"/>
  <c r="AA1819" i="1" s="1"/>
  <c r="M1559" i="1"/>
  <c r="M439" i="7" s="1"/>
  <c r="M130" i="8"/>
  <c r="M129" i="8" s="1"/>
  <c r="M1208" i="1"/>
  <c r="M199" i="7" s="1"/>
  <c r="M2011" i="1"/>
  <c r="M1562" i="1"/>
  <c r="M442" i="7" s="1"/>
  <c r="H695" i="8"/>
  <c r="H696" i="8" s="1"/>
  <c r="H711" i="8"/>
  <c r="H708" i="8"/>
  <c r="H713" i="8"/>
  <c r="Q405" i="1"/>
  <c r="G569" i="8"/>
  <c r="G514" i="8"/>
  <c r="G1501" i="1"/>
  <c r="G1556" i="1"/>
  <c r="G436" i="7" s="1"/>
  <c r="G479" i="8"/>
  <c r="J1339" i="1"/>
  <c r="J335" i="7" s="1"/>
  <c r="J1175" i="1"/>
  <c r="H699" i="8"/>
  <c r="H1577" i="1"/>
  <c r="H457" i="7" s="1"/>
  <c r="H513" i="8"/>
  <c r="H1575" i="1"/>
  <c r="H455" i="7" s="1"/>
  <c r="I68" i="8"/>
  <c r="I105" i="8"/>
  <c r="P468" i="8"/>
  <c r="P467" i="8" s="1"/>
  <c r="K56" i="8"/>
  <c r="L54" i="8" s="1"/>
  <c r="K929" i="8"/>
  <c r="K180" i="8"/>
  <c r="K918" i="8" s="1"/>
  <c r="K580" i="8"/>
  <c r="H943" i="8"/>
  <c r="AA1745" i="1"/>
  <c r="AA630" i="7" s="1"/>
  <c r="J47" i="8"/>
  <c r="J2001" i="1"/>
  <c r="J1331" i="1"/>
  <c r="J327" i="7" s="1"/>
  <c r="J281" i="8"/>
  <c r="L2014" i="1"/>
  <c r="L176" i="1"/>
  <c r="L75" i="7" s="1"/>
  <c r="L169" i="8"/>
  <c r="L168" i="8" s="1"/>
  <c r="G781" i="8"/>
  <c r="X782" i="8" s="1"/>
  <c r="N591" i="1"/>
  <c r="N944" i="1" s="1"/>
  <c r="N451" i="1"/>
  <c r="G705" i="8"/>
  <c r="X706" i="8" s="1"/>
  <c r="I758" i="8"/>
  <c r="I832" i="8"/>
  <c r="I682" i="8"/>
  <c r="H441" i="8"/>
  <c r="I1496" i="1"/>
  <c r="J1290" i="1"/>
  <c r="H849" i="8"/>
  <c r="M1706" i="1" l="1"/>
  <c r="M590" i="7" s="1"/>
  <c r="H440" i="8"/>
  <c r="H458" i="8" s="1"/>
  <c r="H585" i="8" s="1"/>
  <c r="H945" i="8"/>
  <c r="I1733" i="1"/>
  <c r="I618" i="7" s="1"/>
  <c r="I190" i="8"/>
  <c r="I189" i="8" s="1"/>
  <c r="I505" i="8" s="1"/>
  <c r="I509" i="8" s="1"/>
  <c r="I589" i="8" s="1"/>
  <c r="I1879" i="1"/>
  <c r="I1898" i="1" s="1"/>
  <c r="I328" i="8"/>
  <c r="I327" i="8" s="1"/>
  <c r="I348" i="7"/>
  <c r="I2027" i="1"/>
  <c r="L55" i="8"/>
  <c r="M1663" i="1"/>
  <c r="M1678" i="1" s="1"/>
  <c r="M562" i="7" s="1"/>
  <c r="M1682" i="1"/>
  <c r="M566" i="7" s="1"/>
  <c r="M574" i="7"/>
  <c r="J46" i="8"/>
  <c r="M1707" i="1"/>
  <c r="M591" i="7" s="1"/>
  <c r="I331" i="8"/>
  <c r="K227" i="1"/>
  <c r="K126" i="7" s="1"/>
  <c r="M1702" i="1"/>
  <c r="M586" i="7" s="1"/>
  <c r="K59" i="8"/>
  <c r="I1356" i="1"/>
  <c r="I352" i="7" s="1"/>
  <c r="K1976" i="1"/>
  <c r="K1994" i="1" s="1"/>
  <c r="K2001" i="1" s="1"/>
  <c r="K1221" i="1"/>
  <c r="K212" i="7" s="1"/>
  <c r="K174" i="1"/>
  <c r="K73" i="7" s="1"/>
  <c r="J188" i="8"/>
  <c r="J187" i="8" s="1"/>
  <c r="J284" i="7"/>
  <c r="K1977" i="1"/>
  <c r="K1995" i="1" s="1"/>
  <c r="K2002" i="1" s="1"/>
  <c r="K1052" i="1"/>
  <c r="K1048" i="1" s="1"/>
  <c r="K1066" i="1" s="1"/>
  <c r="K1067" i="1" s="1"/>
  <c r="K1068" i="1" s="1"/>
  <c r="K1070" i="1" s="1"/>
  <c r="H705" i="8"/>
  <c r="W706" i="8" s="1"/>
  <c r="I840" i="8"/>
  <c r="H850" i="8"/>
  <c r="W851" i="8" s="1"/>
  <c r="I506" i="8"/>
  <c r="I1498" i="1"/>
  <c r="I1576" i="1" s="1"/>
  <c r="I456" i="7" s="1"/>
  <c r="H1481" i="1"/>
  <c r="H1573" i="1"/>
  <c r="H453" i="7" s="1"/>
  <c r="H459" i="8"/>
  <c r="N452" i="1"/>
  <c r="H781" i="8"/>
  <c r="W782" i="8" s="1"/>
  <c r="J280" i="8"/>
  <c r="I1734" i="1"/>
  <c r="I619" i="7" s="1"/>
  <c r="I1750" i="1"/>
  <c r="I635" i="7" s="1"/>
  <c r="H700" i="8"/>
  <c r="W701" i="8" s="1"/>
  <c r="J2019" i="1"/>
  <c r="J1342" i="1"/>
  <c r="J338" i="7" s="1"/>
  <c r="J305" i="8"/>
  <c r="R395" i="1"/>
  <c r="Q579" i="1"/>
  <c r="R394" i="1"/>
  <c r="H714" i="8"/>
  <c r="H712" i="8"/>
  <c r="M1563" i="1"/>
  <c r="M443" i="7" s="1"/>
  <c r="M575" i="8"/>
  <c r="M576" i="8" s="1"/>
  <c r="M577" i="8" s="1"/>
  <c r="M572" i="8"/>
  <c r="M927" i="8"/>
  <c r="I760" i="8"/>
  <c r="I834" i="8"/>
  <c r="I684" i="8"/>
  <c r="H776" i="8"/>
  <c r="W777" i="8" s="1"/>
  <c r="L1287" i="1"/>
  <c r="L281" i="7" s="1"/>
  <c r="L179" i="8"/>
  <c r="L2013" i="1"/>
  <c r="L1567" i="1"/>
  <c r="L447" i="7" s="1"/>
  <c r="H790" i="8"/>
  <c r="H862" i="8"/>
  <c r="I100" i="8"/>
  <c r="J911" i="8"/>
  <c r="J1941" i="1"/>
  <c r="I908" i="8"/>
  <c r="N1694" i="1"/>
  <c r="N1207" i="1"/>
  <c r="N198" i="7" s="1"/>
  <c r="N988" i="1"/>
  <c r="N980" i="1" s="1"/>
  <c r="N1670" i="1"/>
  <c r="J172" i="8"/>
  <c r="L930" i="8"/>
  <c r="L176" i="8"/>
  <c r="L184" i="1"/>
  <c r="L177" i="1"/>
  <c r="L76" i="7" s="1"/>
  <c r="J1795" i="1"/>
  <c r="J290" i="8"/>
  <c r="J1867" i="1"/>
  <c r="J1721" i="1"/>
  <c r="J606" i="7" s="1"/>
  <c r="K58" i="8"/>
  <c r="K44" i="8" s="1"/>
  <c r="J84" i="8"/>
  <c r="J1167" i="1"/>
  <c r="M1214" i="1"/>
  <c r="M205" i="7" s="1"/>
  <c r="M145" i="8"/>
  <c r="M144" i="8" s="1"/>
  <c r="H586" i="8"/>
  <c r="I944" i="8"/>
  <c r="I121" i="8"/>
  <c r="H855" i="8"/>
  <c r="W856" i="8" s="1"/>
  <c r="M1479" i="1"/>
  <c r="M462" i="8"/>
  <c r="M461" i="8" s="1"/>
  <c r="AB131" i="1"/>
  <c r="AB30" i="7" s="1"/>
  <c r="AA1467" i="1"/>
  <c r="H788" i="8"/>
  <c r="H864" i="8"/>
  <c r="P1053" i="1"/>
  <c r="P1212" i="1"/>
  <c r="P203" i="7" s="1"/>
  <c r="J498" i="8"/>
  <c r="J497" i="8" s="1"/>
  <c r="I932" i="8"/>
  <c r="I1808" i="1"/>
  <c r="I1824" i="1"/>
  <c r="I1821" i="1"/>
  <c r="I1826" i="1"/>
  <c r="I1812" i="1"/>
  <c r="H478" i="8" l="1"/>
  <c r="I1896" i="1"/>
  <c r="I1738" i="1"/>
  <c r="I623" i="7" s="1"/>
  <c r="I1747" i="1"/>
  <c r="I632" i="7" s="1"/>
  <c r="I1752" i="1"/>
  <c r="I637" i="7" s="1"/>
  <c r="I1893" i="1"/>
  <c r="I1884" i="1"/>
  <c r="I1885" i="1" s="1"/>
  <c r="Z1886" i="1" s="1"/>
  <c r="I1880" i="1"/>
  <c r="I1881" i="1" s="1"/>
  <c r="I512" i="8"/>
  <c r="I590" i="8" s="1"/>
  <c r="I570" i="8"/>
  <c r="J1283" i="1"/>
  <c r="K1222" i="1"/>
  <c r="K213" i="7" s="1"/>
  <c r="I1193" i="1"/>
  <c r="M547" i="7"/>
  <c r="M1683" i="1"/>
  <c r="M567" i="7" s="1"/>
  <c r="I2029" i="1"/>
  <c r="R578" i="1"/>
  <c r="K1326" i="1"/>
  <c r="K322" i="7" s="1"/>
  <c r="K1486" i="1"/>
  <c r="K1491" i="1" s="1"/>
  <c r="I1135" i="1"/>
  <c r="J1355" i="1"/>
  <c r="J351" i="7" s="1"/>
  <c r="I1136" i="1"/>
  <c r="K1570" i="1"/>
  <c r="K450" i="7" s="1"/>
  <c r="K171" i="8"/>
  <c r="I1093" i="1"/>
  <c r="I335" i="8"/>
  <c r="I334" i="8" s="1"/>
  <c r="I440" i="8" s="1"/>
  <c r="I458" i="8" s="1"/>
  <c r="I585" i="8" s="1"/>
  <c r="I1461" i="1"/>
  <c r="I441" i="8" s="1"/>
  <c r="I1091" i="1"/>
  <c r="I1192" i="1"/>
  <c r="K175" i="1"/>
  <c r="K74" i="7" s="1"/>
  <c r="K45" i="8"/>
  <c r="M182" i="1"/>
  <c r="M81" i="7" s="1"/>
  <c r="L83" i="7"/>
  <c r="N1677" i="1"/>
  <c r="N561" i="7" s="1"/>
  <c r="N554" i="7"/>
  <c r="N1701" i="1"/>
  <c r="N585" i="7" s="1"/>
  <c r="N578" i="7"/>
  <c r="I1813" i="1"/>
  <c r="Z1814" i="1" s="1"/>
  <c r="I1827" i="1"/>
  <c r="I1825" i="1"/>
  <c r="AC131" i="1"/>
  <c r="AC30" i="7" s="1"/>
  <c r="AB1467" i="1"/>
  <c r="M476" i="8"/>
  <c r="M475" i="8" s="1"/>
  <c r="I330" i="8"/>
  <c r="I1899" i="1"/>
  <c r="J83" i="8"/>
  <c r="L49" i="8"/>
  <c r="L48" i="8" s="1"/>
  <c r="J573" i="8"/>
  <c r="J931" i="8"/>
  <c r="J909" i="8"/>
  <c r="J571" i="8"/>
  <c r="J581" i="8"/>
  <c r="I915" i="8"/>
  <c r="J1948" i="1"/>
  <c r="L1951" i="1"/>
  <c r="L181" i="8"/>
  <c r="I694" i="8"/>
  <c r="I770" i="8"/>
  <c r="M1564" i="1"/>
  <c r="M444" i="7" s="1"/>
  <c r="Q1475" i="1"/>
  <c r="Q158" i="1"/>
  <c r="Q57" i="7" s="1"/>
  <c r="J304" i="8"/>
  <c r="I1751" i="1"/>
  <c r="I636" i="7" s="1"/>
  <c r="I1735" i="1"/>
  <c r="I620" i="7" s="1"/>
  <c r="J289" i="8"/>
  <c r="I510" i="8"/>
  <c r="I1557" i="1"/>
  <c r="I437" i="7" s="1"/>
  <c r="I1500" i="1"/>
  <c r="I1809" i="1"/>
  <c r="P153" i="8"/>
  <c r="P152" i="8" s="1"/>
  <c r="H569" i="8"/>
  <c r="H514" i="8"/>
  <c r="M1285" i="1"/>
  <c r="M279" i="7" s="1"/>
  <c r="M157" i="8"/>
  <c r="M156" i="8" s="1"/>
  <c r="M1220" i="1"/>
  <c r="M211" i="7" s="1"/>
  <c r="I1897" i="1"/>
  <c r="J69" i="8"/>
  <c r="K170" i="8"/>
  <c r="K46" i="8"/>
  <c r="L185" i="1"/>
  <c r="L84" i="7" s="1"/>
  <c r="L186" i="1"/>
  <c r="L85" i="7" s="1"/>
  <c r="L178" i="8"/>
  <c r="L928" i="8"/>
  <c r="L579" i="8"/>
  <c r="N1943" i="1"/>
  <c r="N1200" i="1"/>
  <c r="N191" i="7" s="1"/>
  <c r="N143" i="8"/>
  <c r="N142" i="8" s="1"/>
  <c r="N910" i="8" s="1"/>
  <c r="K1175" i="1"/>
  <c r="K1339" i="1"/>
  <c r="K335" i="7" s="1"/>
  <c r="I844" i="8"/>
  <c r="R404" i="1"/>
  <c r="J310" i="8"/>
  <c r="J1869" i="1"/>
  <c r="J1797" i="1"/>
  <c r="J1723" i="1"/>
  <c r="J608" i="7" s="1"/>
  <c r="O442" i="1"/>
  <c r="N592" i="1"/>
  <c r="N1476" i="1" s="1"/>
  <c r="H479" i="8"/>
  <c r="H1501" i="1"/>
  <c r="H1556" i="1"/>
  <c r="H436" i="7" s="1"/>
  <c r="K1558" i="1" l="1"/>
  <c r="K438" i="7" s="1"/>
  <c r="K173" i="8"/>
  <c r="I1739" i="1"/>
  <c r="I624" i="7" s="1"/>
  <c r="I1753" i="1"/>
  <c r="I638" i="7" s="1"/>
  <c r="I588" i="8"/>
  <c r="K1560" i="1"/>
  <c r="K440" i="7" s="1"/>
  <c r="K1942" i="1"/>
  <c r="K1568" i="1"/>
  <c r="K448" i="7" s="1"/>
  <c r="K2015" i="1"/>
  <c r="M183" i="1"/>
  <c r="M82" i="7" s="1"/>
  <c r="I1092" i="1"/>
  <c r="K47" i="8"/>
  <c r="J277" i="7"/>
  <c r="J1289" i="1"/>
  <c r="J1350" i="1"/>
  <c r="J184" i="8"/>
  <c r="J183" i="8" s="1"/>
  <c r="J185" i="8" s="1"/>
  <c r="J1188" i="1"/>
  <c r="I1137" i="1"/>
  <c r="K281" i="8"/>
  <c r="K1944" i="1"/>
  <c r="N1680" i="1"/>
  <c r="N1682" i="1" s="1"/>
  <c r="N566" i="7" s="1"/>
  <c r="K1331" i="1"/>
  <c r="K327" i="7" s="1"/>
  <c r="J2028" i="1"/>
  <c r="K488" i="8"/>
  <c r="K487" i="8" s="1"/>
  <c r="K911" i="8" s="1"/>
  <c r="I1470" i="1"/>
  <c r="I1481" i="1" s="1"/>
  <c r="J333" i="8"/>
  <c r="J332" i="8" s="1"/>
  <c r="J944" i="8" s="1"/>
  <c r="N1704" i="1"/>
  <c r="N1706" i="1" s="1"/>
  <c r="N590" i="7" s="1"/>
  <c r="I945" i="8"/>
  <c r="N1664" i="1"/>
  <c r="N548" i="7" s="1"/>
  <c r="N1690" i="1"/>
  <c r="N1687" i="1" s="1"/>
  <c r="K280" i="8"/>
  <c r="K289" i="8" s="1"/>
  <c r="K832" i="8" s="1"/>
  <c r="N1666" i="1"/>
  <c r="N550" i="7" s="1"/>
  <c r="N1681" i="1"/>
  <c r="N565" i="7" s="1"/>
  <c r="N1705" i="1"/>
  <c r="N589" i="7" s="1"/>
  <c r="N1688" i="1"/>
  <c r="N572" i="7" s="1"/>
  <c r="N1663" i="1"/>
  <c r="N547" i="7" s="1"/>
  <c r="N470" i="8"/>
  <c r="N469" i="8" s="1"/>
  <c r="N1472" i="1"/>
  <c r="Z1740" i="1"/>
  <c r="Z625" i="7" s="1"/>
  <c r="K84" i="8"/>
  <c r="K83" i="8" s="1"/>
  <c r="K1167" i="1"/>
  <c r="K69" i="8" s="1"/>
  <c r="K68" i="8" s="1"/>
  <c r="N130" i="8"/>
  <c r="N129" i="8" s="1"/>
  <c r="N1559" i="1"/>
  <c r="N439" i="7" s="1"/>
  <c r="N2011" i="1"/>
  <c r="N1562" i="1"/>
  <c r="N442" i="7" s="1"/>
  <c r="N1208" i="1"/>
  <c r="N199" i="7" s="1"/>
  <c r="L187" i="1"/>
  <c r="L86" i="7" s="1"/>
  <c r="L173" i="1"/>
  <c r="L72" i="7" s="1"/>
  <c r="L57" i="8"/>
  <c r="K583" i="8"/>
  <c r="K172" i="8"/>
  <c r="J68" i="8"/>
  <c r="M177" i="8"/>
  <c r="M1286" i="1"/>
  <c r="M280" i="7" s="1"/>
  <c r="M2012" i="1"/>
  <c r="M1566" i="1"/>
  <c r="M446" i="7" s="1"/>
  <c r="I1818" i="1"/>
  <c r="Z1819" i="1" s="1"/>
  <c r="J935" i="8"/>
  <c r="Q56" i="7"/>
  <c r="I784" i="8"/>
  <c r="I789" i="8"/>
  <c r="I771" i="8"/>
  <c r="I787" i="8"/>
  <c r="I775" i="8"/>
  <c r="I695" i="8"/>
  <c r="I713" i="8"/>
  <c r="I708" i="8"/>
  <c r="I711" i="8"/>
  <c r="I699" i="8"/>
  <c r="K498" i="8"/>
  <c r="K497" i="8" s="1"/>
  <c r="J908" i="8"/>
  <c r="J932" i="8"/>
  <c r="L56" i="8"/>
  <c r="M54" i="8" s="1"/>
  <c r="I1890" i="1"/>
  <c r="Z1891" i="1" s="1"/>
  <c r="I943" i="8"/>
  <c r="AC1467" i="1"/>
  <c r="Y453" i="8" s="1"/>
  <c r="Y452" i="8" s="1"/>
  <c r="O591" i="1"/>
  <c r="O944" i="1" s="1"/>
  <c r="O451" i="1"/>
  <c r="J1807" i="1"/>
  <c r="J309" i="8"/>
  <c r="I478" i="8"/>
  <c r="I586" i="8"/>
  <c r="R405" i="1"/>
  <c r="I845" i="8"/>
  <c r="I861" i="8"/>
  <c r="I858" i="8"/>
  <c r="I863" i="8"/>
  <c r="I849" i="8"/>
  <c r="K1342" i="1"/>
  <c r="K338" i="7" s="1"/>
  <c r="K305" i="8"/>
  <c r="K304" i="8" s="1"/>
  <c r="K935" i="8" s="1"/>
  <c r="K2019" i="1"/>
  <c r="L929" i="8"/>
  <c r="L180" i="8"/>
  <c r="L918" i="8" s="1"/>
  <c r="L580" i="8"/>
  <c r="M169" i="8"/>
  <c r="M168" i="8" s="1"/>
  <c r="M2014" i="1"/>
  <c r="M176" i="1"/>
  <c r="M75" i="7" s="1"/>
  <c r="I513" i="8"/>
  <c r="I1575" i="1"/>
  <c r="I455" i="7" s="1"/>
  <c r="I1577" i="1"/>
  <c r="I457" i="7" s="1"/>
  <c r="J682" i="8"/>
  <c r="J832" i="8"/>
  <c r="J758" i="8"/>
  <c r="I1744" i="1"/>
  <c r="I629" i="7" s="1"/>
  <c r="J121" i="8"/>
  <c r="Q468" i="8"/>
  <c r="Q467" i="8" s="1"/>
  <c r="J1733" i="1"/>
  <c r="J618" i="7" s="1"/>
  <c r="K1941" i="1" l="1"/>
  <c r="K1948" i="1" s="1"/>
  <c r="K1795" i="1"/>
  <c r="I1573" i="1"/>
  <c r="I453" i="7" s="1"/>
  <c r="I1572" i="1"/>
  <c r="I452" i="7" s="1"/>
  <c r="M55" i="8"/>
  <c r="K1721" i="1"/>
  <c r="K606" i="7" s="1"/>
  <c r="K290" i="8"/>
  <c r="K1867" i="1"/>
  <c r="J346" i="7"/>
  <c r="J325" i="8"/>
  <c r="J324" i="8" s="1"/>
  <c r="J840" i="8" s="1"/>
  <c r="J1352" i="1"/>
  <c r="J1875" i="1"/>
  <c r="J1879" i="1" s="1"/>
  <c r="J1896" i="1" s="1"/>
  <c r="J186" i="8"/>
  <c r="J2016" i="1"/>
  <c r="J1291" i="1"/>
  <c r="J283" i="7"/>
  <c r="J1185" i="1"/>
  <c r="J101" i="8" s="1"/>
  <c r="J100" i="8" s="1"/>
  <c r="J106" i="8"/>
  <c r="J105" i="8" s="1"/>
  <c r="K682" i="8"/>
  <c r="N588" i="7"/>
  <c r="N564" i="7"/>
  <c r="N574" i="7"/>
  <c r="I459" i="8"/>
  <c r="N571" i="7"/>
  <c r="N1707" i="1"/>
  <c r="N591" i="7" s="1"/>
  <c r="N1678" i="1"/>
  <c r="N562" i="7" s="1"/>
  <c r="K758" i="8"/>
  <c r="N1702" i="1"/>
  <c r="N586" i="7" s="1"/>
  <c r="N1683" i="1"/>
  <c r="N567" i="7" s="1"/>
  <c r="L58" i="8"/>
  <c r="L44" i="8" s="1"/>
  <c r="L170" i="8" s="1"/>
  <c r="Z1745" i="1"/>
  <c r="Z630" i="7" s="1"/>
  <c r="K1723" i="1"/>
  <c r="K608" i="7" s="1"/>
  <c r="K310" i="8"/>
  <c r="K309" i="8" s="1"/>
  <c r="K1869" i="1"/>
  <c r="K1797" i="1"/>
  <c r="K1283" i="1"/>
  <c r="K277" i="7" s="1"/>
  <c r="I850" i="8"/>
  <c r="V851" i="8" s="1"/>
  <c r="I846" i="8"/>
  <c r="I514" i="8"/>
  <c r="I569" i="8"/>
  <c r="O452" i="1"/>
  <c r="I700" i="8"/>
  <c r="V701" i="8" s="1"/>
  <c r="I696" i="8"/>
  <c r="I788" i="8"/>
  <c r="I790" i="8"/>
  <c r="Q1053" i="1"/>
  <c r="Q1212" i="1"/>
  <c r="Q203" i="7" s="1"/>
  <c r="M179" i="8"/>
  <c r="M2013" i="1"/>
  <c r="M1287" i="1"/>
  <c r="M281" i="7" s="1"/>
  <c r="M1567" i="1"/>
  <c r="M447" i="7" s="1"/>
  <c r="K573" i="8"/>
  <c r="K931" i="8"/>
  <c r="K909" i="8"/>
  <c r="K908" i="8" s="1"/>
  <c r="K915" i="8" s="1"/>
  <c r="K581" i="8"/>
  <c r="K571" i="8"/>
  <c r="L1221" i="1"/>
  <c r="L212" i="7" s="1"/>
  <c r="L174" i="1"/>
  <c r="L73" i="7" s="1"/>
  <c r="L1052" i="1"/>
  <c r="L1048" i="1" s="1"/>
  <c r="L1977" i="1"/>
  <c r="L1995" i="1" s="1"/>
  <c r="L2002" i="1" s="1"/>
  <c r="L1976" i="1"/>
  <c r="L1994" i="1" s="1"/>
  <c r="L2001" i="1" s="1"/>
  <c r="L227" i="1"/>
  <c r="L126" i="7" s="1"/>
  <c r="N927" i="8"/>
  <c r="N572" i="8"/>
  <c r="N575" i="8"/>
  <c r="N576" i="8" s="1"/>
  <c r="N577" i="8" s="1"/>
  <c r="J1750" i="1"/>
  <c r="J635" i="7" s="1"/>
  <c r="J1752" i="1"/>
  <c r="J637" i="7" s="1"/>
  <c r="J1747" i="1"/>
  <c r="J632" i="7" s="1"/>
  <c r="J1734" i="1"/>
  <c r="J619" i="7" s="1"/>
  <c r="J1738" i="1"/>
  <c r="J623" i="7" s="1"/>
  <c r="M184" i="1"/>
  <c r="M177" i="1"/>
  <c r="M76" i="7" s="1"/>
  <c r="M930" i="8"/>
  <c r="M176" i="8"/>
  <c r="I864" i="8"/>
  <c r="I862" i="8"/>
  <c r="S395" i="1"/>
  <c r="R579" i="1"/>
  <c r="S394" i="1"/>
  <c r="I1501" i="1"/>
  <c r="I1556" i="1"/>
  <c r="I436" i="7" s="1"/>
  <c r="I479" i="8"/>
  <c r="J760" i="8"/>
  <c r="J834" i="8"/>
  <c r="J684" i="8"/>
  <c r="J1821" i="1"/>
  <c r="J1808" i="1"/>
  <c r="J1809" i="1" s="1"/>
  <c r="J1826" i="1"/>
  <c r="J1824" i="1"/>
  <c r="J1812" i="1"/>
  <c r="O988" i="1"/>
  <c r="O980" i="1" s="1"/>
  <c r="O1207" i="1"/>
  <c r="O198" i="7" s="1"/>
  <c r="O1670" i="1"/>
  <c r="O1694" i="1"/>
  <c r="J915" i="8"/>
  <c r="I712" i="8"/>
  <c r="I714" i="8"/>
  <c r="I776" i="8"/>
  <c r="V777" i="8" s="1"/>
  <c r="I772" i="8"/>
  <c r="L59" i="8"/>
  <c r="N1214" i="1"/>
  <c r="N205" i="7" s="1"/>
  <c r="N145" i="8"/>
  <c r="N144" i="8" s="1"/>
  <c r="N1563" i="1"/>
  <c r="N443" i="7" s="1"/>
  <c r="N462" i="8"/>
  <c r="N461" i="8" s="1"/>
  <c r="N1479" i="1"/>
  <c r="S578" i="1" l="1"/>
  <c r="J1880" i="1"/>
  <c r="J1881" i="1" s="1"/>
  <c r="J1890" i="1" s="1"/>
  <c r="Y1891" i="1" s="1"/>
  <c r="L46" i="8"/>
  <c r="J1884" i="1"/>
  <c r="J1885" i="1" s="1"/>
  <c r="Y1886" i="1" s="1"/>
  <c r="K1807" i="1"/>
  <c r="K1812" i="1" s="1"/>
  <c r="J1898" i="1"/>
  <c r="J1899" i="1" s="1"/>
  <c r="J1893" i="1"/>
  <c r="J285" i="7"/>
  <c r="J190" i="8"/>
  <c r="J189" i="8" s="1"/>
  <c r="J505" i="8" s="1"/>
  <c r="J509" i="8" s="1"/>
  <c r="K1290" i="1"/>
  <c r="J1496" i="1"/>
  <c r="J348" i="7"/>
  <c r="J328" i="8"/>
  <c r="J327" i="8" s="1"/>
  <c r="J330" i="8" s="1"/>
  <c r="J1354" i="1"/>
  <c r="M186" i="1"/>
  <c r="M85" i="7" s="1"/>
  <c r="M83" i="7"/>
  <c r="O1677" i="1"/>
  <c r="O561" i="7" s="1"/>
  <c r="O554" i="7"/>
  <c r="O1701" i="1"/>
  <c r="O585" i="7" s="1"/>
  <c r="O578" i="7"/>
  <c r="N182" i="1"/>
  <c r="N476" i="8"/>
  <c r="N475" i="8" s="1"/>
  <c r="N1564" i="1"/>
  <c r="N444" i="7" s="1"/>
  <c r="O1943" i="1"/>
  <c r="O1200" i="1"/>
  <c r="O191" i="7" s="1"/>
  <c r="O143" i="8"/>
  <c r="O142" i="8" s="1"/>
  <c r="O910" i="8" s="1"/>
  <c r="J1813" i="1"/>
  <c r="Y1814" i="1" s="1"/>
  <c r="J1827" i="1"/>
  <c r="J694" i="8"/>
  <c r="J770" i="8"/>
  <c r="S404" i="1"/>
  <c r="M185" i="1"/>
  <c r="M84" i="7" s="1"/>
  <c r="J1739" i="1"/>
  <c r="J624" i="7" s="1"/>
  <c r="J1751" i="1"/>
  <c r="J636" i="7" s="1"/>
  <c r="L1326" i="1"/>
  <c r="L322" i="7" s="1"/>
  <c r="L45" i="8"/>
  <c r="L175" i="1"/>
  <c r="L74" i="7" s="1"/>
  <c r="M181" i="8"/>
  <c r="M1951" i="1"/>
  <c r="Q153" i="8"/>
  <c r="Q152" i="8" s="1"/>
  <c r="I705" i="8"/>
  <c r="V706" i="8" s="1"/>
  <c r="K1733" i="1"/>
  <c r="N1285" i="1"/>
  <c r="N279" i="7" s="1"/>
  <c r="N1220" i="1"/>
  <c r="N211" i="7" s="1"/>
  <c r="N157" i="8"/>
  <c r="N156" i="8" s="1"/>
  <c r="I781" i="8"/>
  <c r="V782" i="8" s="1"/>
  <c r="L583" i="8"/>
  <c r="L172" i="8"/>
  <c r="J1825" i="1"/>
  <c r="J1818" i="1"/>
  <c r="Y1819" i="1" s="1"/>
  <c r="J844" i="8"/>
  <c r="R1475" i="1"/>
  <c r="R158" i="1"/>
  <c r="R57" i="7" s="1"/>
  <c r="M928" i="8"/>
  <c r="M178" i="8"/>
  <c r="M579" i="8"/>
  <c r="M49" i="8"/>
  <c r="M48" i="8" s="1"/>
  <c r="J1735" i="1"/>
  <c r="J620" i="7" s="1"/>
  <c r="J1753" i="1"/>
  <c r="J638" i="7" s="1"/>
  <c r="J1897" i="1"/>
  <c r="L1486" i="1"/>
  <c r="L1066" i="1"/>
  <c r="L1067" i="1" s="1"/>
  <c r="L1068" i="1" s="1"/>
  <c r="L1070" i="1" s="1"/>
  <c r="L171" i="8"/>
  <c r="L1570" i="1"/>
  <c r="L450" i="7" s="1"/>
  <c r="L1222" i="1"/>
  <c r="L213" i="7" s="1"/>
  <c r="O592" i="1"/>
  <c r="O1476" i="1" s="1"/>
  <c r="P442" i="1"/>
  <c r="I855" i="8"/>
  <c r="V856" i="8" s="1"/>
  <c r="K184" i="8"/>
  <c r="K183" i="8" s="1"/>
  <c r="K185" i="8" s="1"/>
  <c r="K932" i="8" s="1"/>
  <c r="K1350" i="1"/>
  <c r="K346" i="7" s="1"/>
  <c r="K1188" i="1"/>
  <c r="K1289" i="1"/>
  <c r="K283" i="7" s="1"/>
  <c r="K684" i="8"/>
  <c r="K694" i="8" s="1"/>
  <c r="K760" i="8"/>
  <c r="K770" i="8" s="1"/>
  <c r="K834" i="8"/>
  <c r="K1821" i="1" l="1"/>
  <c r="K1808" i="1"/>
  <c r="K1809" i="1" s="1"/>
  <c r="K1818" i="1" s="1"/>
  <c r="X1819" i="1" s="1"/>
  <c r="K1826" i="1"/>
  <c r="K1827" i="1" s="1"/>
  <c r="K1824" i="1"/>
  <c r="K1825" i="1" s="1"/>
  <c r="M173" i="1"/>
  <c r="M1052" i="1" s="1"/>
  <c r="M1048" i="1" s="1"/>
  <c r="M187" i="1"/>
  <c r="M86" i="7" s="1"/>
  <c r="J506" i="8"/>
  <c r="J1498" i="1"/>
  <c r="J350" i="7"/>
  <c r="J331" i="8"/>
  <c r="J2027" i="1"/>
  <c r="J1356" i="1"/>
  <c r="K188" i="8"/>
  <c r="K187" i="8" s="1"/>
  <c r="K284" i="7"/>
  <c r="J570" i="8"/>
  <c r="J512" i="8"/>
  <c r="J589" i="8"/>
  <c r="O1681" i="1"/>
  <c r="O565" i="7" s="1"/>
  <c r="O1664" i="1"/>
  <c r="O548" i="7" s="1"/>
  <c r="O1680" i="1"/>
  <c r="O564" i="7" s="1"/>
  <c r="O1666" i="1"/>
  <c r="O550" i="7" s="1"/>
  <c r="O1704" i="1"/>
  <c r="O1706" i="1" s="1"/>
  <c r="O590" i="7" s="1"/>
  <c r="O1690" i="1"/>
  <c r="O574" i="7" s="1"/>
  <c r="K1738" i="1"/>
  <c r="K623" i="7" s="1"/>
  <c r="K618" i="7"/>
  <c r="O1705" i="1"/>
  <c r="O589" i="7" s="1"/>
  <c r="O1688" i="1"/>
  <c r="O572" i="7" s="1"/>
  <c r="N183" i="1"/>
  <c r="N82" i="7" s="1"/>
  <c r="N81" i="7"/>
  <c r="K787" i="8"/>
  <c r="K788" i="8" s="1"/>
  <c r="K784" i="8"/>
  <c r="K771" i="8"/>
  <c r="K789" i="8"/>
  <c r="K790" i="8" s="1"/>
  <c r="K1185" i="1"/>
  <c r="K101" i="8" s="1"/>
  <c r="K100" i="8" s="1"/>
  <c r="K106" i="8"/>
  <c r="K105" i="8" s="1"/>
  <c r="O470" i="8"/>
  <c r="O469" i="8" s="1"/>
  <c r="O1472" i="1"/>
  <c r="L1942" i="1"/>
  <c r="L173" i="8"/>
  <c r="L2015" i="1"/>
  <c r="L1560" i="1"/>
  <c r="L440" i="7" s="1"/>
  <c r="L1568" i="1"/>
  <c r="L448" i="7" s="1"/>
  <c r="L1558" i="1"/>
  <c r="L438" i="7" s="1"/>
  <c r="L1175" i="1"/>
  <c r="L1339" i="1"/>
  <c r="L335" i="7" s="1"/>
  <c r="M929" i="8"/>
  <c r="M180" i="8"/>
  <c r="M918" i="8" s="1"/>
  <c r="M580" i="8"/>
  <c r="R56" i="7"/>
  <c r="R468" i="8"/>
  <c r="R467" i="8" s="1"/>
  <c r="J845" i="8"/>
  <c r="J846" i="8" s="1"/>
  <c r="J863" i="8"/>
  <c r="J861" i="8"/>
  <c r="J858" i="8"/>
  <c r="J849" i="8"/>
  <c r="J943" i="8"/>
  <c r="N176" i="1"/>
  <c r="N75" i="7" s="1"/>
  <c r="N2014" i="1"/>
  <c r="N169" i="8"/>
  <c r="N168" i="8" s="1"/>
  <c r="L47" i="8"/>
  <c r="K1813" i="1"/>
  <c r="X1814" i="1" s="1"/>
  <c r="K708" i="8"/>
  <c r="K711" i="8"/>
  <c r="K712" i="8" s="1"/>
  <c r="K713" i="8"/>
  <c r="K714" i="8" s="1"/>
  <c r="K695" i="8"/>
  <c r="K186" i="8"/>
  <c r="K2016" i="1"/>
  <c r="K1291" i="1"/>
  <c r="K285" i="7" s="1"/>
  <c r="K1875" i="1"/>
  <c r="K1879" i="1" s="1"/>
  <c r="K1352" i="1"/>
  <c r="K348" i="7" s="1"/>
  <c r="K325" i="8"/>
  <c r="K324" i="8" s="1"/>
  <c r="K840" i="8" s="1"/>
  <c r="K844" i="8" s="1"/>
  <c r="P591" i="1"/>
  <c r="P944" i="1" s="1"/>
  <c r="P451" i="1"/>
  <c r="L1944" i="1"/>
  <c r="L488" i="8"/>
  <c r="L487" i="8" s="1"/>
  <c r="L1491" i="1"/>
  <c r="J1744" i="1"/>
  <c r="J629" i="7" s="1"/>
  <c r="M56" i="8"/>
  <c r="N54" i="8" s="1"/>
  <c r="L931" i="8"/>
  <c r="L573" i="8"/>
  <c r="L909" i="8"/>
  <c r="L581" i="8"/>
  <c r="L571" i="8"/>
  <c r="N177" i="8"/>
  <c r="N1286" i="1"/>
  <c r="N280" i="7" s="1"/>
  <c r="N2012" i="1"/>
  <c r="N1566" i="1"/>
  <c r="N446" i="7" s="1"/>
  <c r="K1747" i="1"/>
  <c r="K632" i="7" s="1"/>
  <c r="K1752" i="1"/>
  <c r="K637" i="7" s="1"/>
  <c r="K1750" i="1"/>
  <c r="K635" i="7" s="1"/>
  <c r="K1734" i="1"/>
  <c r="K619" i="7" s="1"/>
  <c r="L1331" i="1"/>
  <c r="L327" i="7" s="1"/>
  <c r="L281" i="8"/>
  <c r="L280" i="8" s="1"/>
  <c r="L289" i="8" s="1"/>
  <c r="Y1740" i="1"/>
  <c r="Y625" i="7" s="1"/>
  <c r="M57" i="8"/>
  <c r="S405" i="1"/>
  <c r="J771" i="8"/>
  <c r="J772" i="8" s="1"/>
  <c r="J789" i="8"/>
  <c r="J787" i="8"/>
  <c r="J784" i="8"/>
  <c r="J775" i="8"/>
  <c r="J695" i="8"/>
  <c r="J696" i="8" s="1"/>
  <c r="J711" i="8"/>
  <c r="J708" i="8"/>
  <c r="J713" i="8"/>
  <c r="J699" i="8"/>
  <c r="O1559" i="1"/>
  <c r="O439" i="7" s="1"/>
  <c r="O1208" i="1"/>
  <c r="O199" i="7" s="1"/>
  <c r="O130" i="8"/>
  <c r="O129" i="8" s="1"/>
  <c r="O1562" i="1"/>
  <c r="O442" i="7" s="1"/>
  <c r="O2011" i="1"/>
  <c r="M1977" i="1" l="1"/>
  <c r="M1995" i="1" s="1"/>
  <c r="M2002" i="1" s="1"/>
  <c r="M1976" i="1"/>
  <c r="M1994" i="1" s="1"/>
  <c r="M2001" i="1" s="1"/>
  <c r="M1221" i="1"/>
  <c r="M212" i="7" s="1"/>
  <c r="M174" i="1"/>
  <c r="M73" i="7" s="1"/>
  <c r="M227" i="1"/>
  <c r="M126" i="7" s="1"/>
  <c r="M72" i="7"/>
  <c r="M59" i="8"/>
  <c r="O1682" i="1"/>
  <c r="O566" i="7" s="1"/>
  <c r="O1663" i="1"/>
  <c r="O547" i="7" s="1"/>
  <c r="J590" i="8"/>
  <c r="J588" i="8"/>
  <c r="J352" i="7"/>
  <c r="J1193" i="1"/>
  <c r="J1091" i="1"/>
  <c r="J1192" i="1"/>
  <c r="J1136" i="1"/>
  <c r="K1355" i="1"/>
  <c r="J1135" i="1"/>
  <c r="J1093" i="1"/>
  <c r="J2029" i="1"/>
  <c r="J1461" i="1"/>
  <c r="J335" i="8"/>
  <c r="J334" i="8" s="1"/>
  <c r="J1500" i="1"/>
  <c r="J510" i="8"/>
  <c r="J1576" i="1"/>
  <c r="J456" i="7" s="1"/>
  <c r="J1557" i="1"/>
  <c r="J437" i="7" s="1"/>
  <c r="O588" i="7"/>
  <c r="N55" i="8"/>
  <c r="O1687" i="1"/>
  <c r="K1739" i="1"/>
  <c r="K624" i="7" s="1"/>
  <c r="O1563" i="1"/>
  <c r="M58" i="8"/>
  <c r="M44" i="8" s="1"/>
  <c r="M170" i="8" s="1"/>
  <c r="K858" i="8"/>
  <c r="K845" i="8"/>
  <c r="K846" i="8" s="1"/>
  <c r="K861" i="8"/>
  <c r="K862" i="8" s="1"/>
  <c r="K863" i="8"/>
  <c r="K864" i="8" s="1"/>
  <c r="O575" i="8"/>
  <c r="O576" i="8" s="1"/>
  <c r="O577" i="8" s="1"/>
  <c r="O572" i="8"/>
  <c r="O927" i="8"/>
  <c r="J714" i="8"/>
  <c r="J712" i="8"/>
  <c r="K775" i="8"/>
  <c r="J776" i="8"/>
  <c r="U777" i="8" s="1"/>
  <c r="J788" i="8"/>
  <c r="K772" i="8"/>
  <c r="J781" i="8"/>
  <c r="U782" i="8" s="1"/>
  <c r="K1753" i="1"/>
  <c r="K638" i="7" s="1"/>
  <c r="K1735" i="1"/>
  <c r="K620" i="7" s="1"/>
  <c r="Y1745" i="1"/>
  <c r="Y630" i="7" s="1"/>
  <c r="L911" i="8"/>
  <c r="L908" i="8" s="1"/>
  <c r="L915" i="8" s="1"/>
  <c r="P1670" i="1"/>
  <c r="P1694" i="1"/>
  <c r="P988" i="1"/>
  <c r="P980" i="1" s="1"/>
  <c r="P1207" i="1"/>
  <c r="P198" i="7" s="1"/>
  <c r="K1880" i="1"/>
  <c r="K1881" i="1" s="1"/>
  <c r="K1893" i="1"/>
  <c r="K1898" i="1"/>
  <c r="K1899" i="1" s="1"/>
  <c r="K1896" i="1"/>
  <c r="K1897" i="1" s="1"/>
  <c r="K1884" i="1"/>
  <c r="J864" i="8"/>
  <c r="R1212" i="1"/>
  <c r="R203" i="7" s="1"/>
  <c r="R1053" i="1"/>
  <c r="M171" i="8"/>
  <c r="L2019" i="1"/>
  <c r="L1342" i="1"/>
  <c r="L338" i="7" s="1"/>
  <c r="L305" i="8"/>
  <c r="L304" i="8" s="1"/>
  <c r="L935" i="8" s="1"/>
  <c r="O1214" i="1"/>
  <c r="O205" i="7" s="1"/>
  <c r="O145" i="8"/>
  <c r="O144" i="8" s="1"/>
  <c r="J700" i="8"/>
  <c r="U701" i="8" s="1"/>
  <c r="K699" i="8"/>
  <c r="K696" i="8"/>
  <c r="J705" i="8"/>
  <c r="U706" i="8" s="1"/>
  <c r="J790" i="8"/>
  <c r="T395" i="1"/>
  <c r="S579" i="1"/>
  <c r="T394" i="1"/>
  <c r="T578" i="1" s="1"/>
  <c r="L758" i="8"/>
  <c r="L682" i="8"/>
  <c r="L832" i="8"/>
  <c r="L1867" i="1"/>
  <c r="L1721" i="1"/>
  <c r="L606" i="7" s="1"/>
  <c r="L290" i="8"/>
  <c r="L1795" i="1"/>
  <c r="K1751" i="1"/>
  <c r="K636" i="7" s="1"/>
  <c r="N179" i="8"/>
  <c r="N1287" i="1"/>
  <c r="N281" i="7" s="1"/>
  <c r="N2013" i="1"/>
  <c r="N1567" i="1"/>
  <c r="N447" i="7" s="1"/>
  <c r="L498" i="8"/>
  <c r="L497" i="8" s="1"/>
  <c r="P452" i="1"/>
  <c r="K328" i="8"/>
  <c r="K327" i="8" s="1"/>
  <c r="K330" i="8" s="1"/>
  <c r="K943" i="8" s="1"/>
  <c r="K1354" i="1"/>
  <c r="K350" i="7" s="1"/>
  <c r="L1290" i="1"/>
  <c r="K1496" i="1"/>
  <c r="K190" i="8"/>
  <c r="K189" i="8" s="1"/>
  <c r="K505" i="8" s="1"/>
  <c r="K509" i="8" s="1"/>
  <c r="N930" i="8"/>
  <c r="N176" i="8"/>
  <c r="N184" i="1"/>
  <c r="N177" i="1"/>
  <c r="N76" i="7" s="1"/>
  <c r="J850" i="8"/>
  <c r="U851" i="8" s="1"/>
  <c r="K849" i="8"/>
  <c r="J862" i="8"/>
  <c r="J855" i="8"/>
  <c r="U856" i="8" s="1"/>
  <c r="M1486" i="1"/>
  <c r="M1066" i="1"/>
  <c r="M1067" i="1" s="1"/>
  <c r="M1068" i="1" s="1"/>
  <c r="M1070" i="1" s="1"/>
  <c r="M175" i="1"/>
  <c r="M74" i="7" s="1"/>
  <c r="L1167" i="1"/>
  <c r="L69" i="8" s="1"/>
  <c r="L68" i="8" s="1"/>
  <c r="L84" i="8"/>
  <c r="L83" i="8" s="1"/>
  <c r="L1941" i="1"/>
  <c r="L1948" i="1" s="1"/>
  <c r="O462" i="8"/>
  <c r="O461" i="8" s="1"/>
  <c r="O1479" i="1"/>
  <c r="M1570" i="1" l="1"/>
  <c r="M450" i="7" s="1"/>
  <c r="M1326" i="1"/>
  <c r="M322" i="7" s="1"/>
  <c r="M1222" i="1"/>
  <c r="M213" i="7" s="1"/>
  <c r="M45" i="8"/>
  <c r="O1683" i="1"/>
  <c r="O567" i="7" s="1"/>
  <c r="O1678" i="1"/>
  <c r="O562" i="7" s="1"/>
  <c r="J1577" i="1"/>
  <c r="J457" i="7" s="1"/>
  <c r="J1575" i="1"/>
  <c r="J455" i="7" s="1"/>
  <c r="J513" i="8"/>
  <c r="J440" i="8"/>
  <c r="J458" i="8" s="1"/>
  <c r="J945" i="8"/>
  <c r="J1137" i="1"/>
  <c r="J1092" i="1"/>
  <c r="J441" i="8"/>
  <c r="J1470" i="1"/>
  <c r="K351" i="7"/>
  <c r="K333" i="8"/>
  <c r="K332" i="8" s="1"/>
  <c r="K2028" i="1"/>
  <c r="X1740" i="1"/>
  <c r="X625" i="7" s="1"/>
  <c r="O571" i="7"/>
  <c r="O1702" i="1"/>
  <c r="O586" i="7" s="1"/>
  <c r="O1707" i="1"/>
  <c r="O591" i="7" s="1"/>
  <c r="L188" i="8"/>
  <c r="L187" i="8" s="1"/>
  <c r="L284" i="7"/>
  <c r="P1701" i="1"/>
  <c r="P585" i="7" s="1"/>
  <c r="P578" i="7"/>
  <c r="N186" i="1"/>
  <c r="N85" i="7" s="1"/>
  <c r="N83" i="7"/>
  <c r="P1677" i="1"/>
  <c r="P561" i="7" s="1"/>
  <c r="P554" i="7"/>
  <c r="O1564" i="1"/>
  <c r="O444" i="7" s="1"/>
  <c r="O443" i="7"/>
  <c r="M46" i="8"/>
  <c r="O182" i="1"/>
  <c r="O81" i="7" s="1"/>
  <c r="M47" i="8"/>
  <c r="M1944" i="1"/>
  <c r="M488" i="8"/>
  <c r="M487" i="8" s="1"/>
  <c r="M1491" i="1"/>
  <c r="M1331" i="1"/>
  <c r="M327" i="7" s="1"/>
  <c r="N185" i="1"/>
  <c r="N84" i="7" s="1"/>
  <c r="N928" i="8"/>
  <c r="N178" i="8"/>
  <c r="N579" i="8"/>
  <c r="K570" i="8"/>
  <c r="K589" i="8"/>
  <c r="K512" i="8"/>
  <c r="K506" i="8"/>
  <c r="K1498" i="1"/>
  <c r="K2027" i="1"/>
  <c r="K331" i="8"/>
  <c r="K1356" i="1"/>
  <c r="K352" i="7" s="1"/>
  <c r="S1475" i="1"/>
  <c r="S158" i="1"/>
  <c r="S57" i="7" s="1"/>
  <c r="K700" i="8"/>
  <c r="T701" i="8" s="1"/>
  <c r="L1723" i="1"/>
  <c r="L608" i="7" s="1"/>
  <c r="L1797" i="1"/>
  <c r="L1807" i="1" s="1"/>
  <c r="L1869" i="1"/>
  <c r="L310" i="8"/>
  <c r="L309" i="8" s="1"/>
  <c r="M173" i="8"/>
  <c r="M2015" i="1"/>
  <c r="M1942" i="1"/>
  <c r="M1560" i="1"/>
  <c r="M440" i="7" s="1"/>
  <c r="M1568" i="1"/>
  <c r="M448" i="7" s="1"/>
  <c r="M1558" i="1"/>
  <c r="M438" i="7" s="1"/>
  <c r="R153" i="8"/>
  <c r="R152" i="8" s="1"/>
  <c r="P1943" i="1"/>
  <c r="P1200" i="1"/>
  <c r="P191" i="7" s="1"/>
  <c r="P143" i="8"/>
  <c r="P142" i="8" s="1"/>
  <c r="P910" i="8" s="1"/>
  <c r="K1744" i="1"/>
  <c r="K629" i="7" s="1"/>
  <c r="M583" i="8"/>
  <c r="M172" i="8"/>
  <c r="O476" i="8"/>
  <c r="O475" i="8" s="1"/>
  <c r="M1175" i="1"/>
  <c r="M1339" i="1"/>
  <c r="M335" i="7" s="1"/>
  <c r="K855" i="8"/>
  <c r="T856" i="8" s="1"/>
  <c r="K850" i="8"/>
  <c r="T851" i="8" s="1"/>
  <c r="N49" i="8"/>
  <c r="N48" i="8" s="1"/>
  <c r="Q442" i="1"/>
  <c r="P592" i="1"/>
  <c r="P1476" i="1" s="1"/>
  <c r="N1951" i="1"/>
  <c r="N181" i="8"/>
  <c r="T404" i="1"/>
  <c r="K705" i="8"/>
  <c r="T706" i="8" s="1"/>
  <c r="O1285" i="1"/>
  <c r="O279" i="7" s="1"/>
  <c r="O1220" i="1"/>
  <c r="O211" i="7" s="1"/>
  <c r="O157" i="8"/>
  <c r="O156" i="8" s="1"/>
  <c r="K1885" i="1"/>
  <c r="X1886" i="1" s="1"/>
  <c r="K1890" i="1"/>
  <c r="X1891" i="1" s="1"/>
  <c r="K781" i="8"/>
  <c r="T782" i="8" s="1"/>
  <c r="K776" i="8"/>
  <c r="T777" i="8" s="1"/>
  <c r="L1283" i="1"/>
  <c r="L277" i="7" s="1"/>
  <c r="M281" i="8" l="1"/>
  <c r="M280" i="8"/>
  <c r="M289" i="8" s="1"/>
  <c r="M832" i="8" s="1"/>
  <c r="M1941" i="1"/>
  <c r="M1948" i="1" s="1"/>
  <c r="J478" i="8"/>
  <c r="J585" i="8"/>
  <c r="J586" i="8"/>
  <c r="K121" i="8"/>
  <c r="K944" i="8"/>
  <c r="J459" i="8"/>
  <c r="J1481" i="1"/>
  <c r="J1573" i="1"/>
  <c r="J453" i="7" s="1"/>
  <c r="J1572" i="1"/>
  <c r="J452" i="7" s="1"/>
  <c r="N173" i="1"/>
  <c r="N72" i="7" s="1"/>
  <c r="P1666" i="1"/>
  <c r="P1663" i="1" s="1"/>
  <c r="P547" i="7" s="1"/>
  <c r="L1733" i="1"/>
  <c r="L618" i="7" s="1"/>
  <c r="P1680" i="1"/>
  <c r="P564" i="7" s="1"/>
  <c r="P1704" i="1"/>
  <c r="P588" i="7" s="1"/>
  <c r="P1664" i="1"/>
  <c r="P548" i="7" s="1"/>
  <c r="P1681" i="1"/>
  <c r="P565" i="7" s="1"/>
  <c r="N187" i="1"/>
  <c r="N86" i="7" s="1"/>
  <c r="P1690" i="1"/>
  <c r="P574" i="7" s="1"/>
  <c r="P1705" i="1"/>
  <c r="P589" i="7" s="1"/>
  <c r="P1688" i="1"/>
  <c r="P572" i="7" s="1"/>
  <c r="O183" i="1"/>
  <c r="O82" i="7" s="1"/>
  <c r="O2012" i="1"/>
  <c r="O1286" i="1"/>
  <c r="O280" i="7" s="1"/>
  <c r="O177" i="8"/>
  <c r="O1566" i="1"/>
  <c r="O446" i="7" s="1"/>
  <c r="T405" i="1"/>
  <c r="Q591" i="1"/>
  <c r="Q944" i="1" s="1"/>
  <c r="Q451" i="1"/>
  <c r="N56" i="8"/>
  <c r="N58" i="8" s="1"/>
  <c r="N44" i="8" s="1"/>
  <c r="M2019" i="1"/>
  <c r="M305" i="8"/>
  <c r="M304" i="8" s="1"/>
  <c r="M935" i="8" s="1"/>
  <c r="M1342" i="1"/>
  <c r="M338" i="7" s="1"/>
  <c r="P130" i="8"/>
  <c r="P129" i="8" s="1"/>
  <c r="P1559" i="1"/>
  <c r="P439" i="7" s="1"/>
  <c r="P1208" i="1"/>
  <c r="P199" i="7" s="1"/>
  <c r="P2011" i="1"/>
  <c r="P1562" i="1"/>
  <c r="P442" i="7" s="1"/>
  <c r="S56" i="7"/>
  <c r="S468" i="8"/>
  <c r="S467" i="8" s="1"/>
  <c r="K1091" i="1"/>
  <c r="K1192" i="1"/>
  <c r="K1093" i="1"/>
  <c r="K2029" i="1"/>
  <c r="L1355" i="1"/>
  <c r="L351" i="7" s="1"/>
  <c r="K1135" i="1"/>
  <c r="K1136" i="1"/>
  <c r="K1193" i="1"/>
  <c r="K335" i="8"/>
  <c r="K334" i="8" s="1"/>
  <c r="K1461" i="1"/>
  <c r="K510" i="8"/>
  <c r="K1557" i="1"/>
  <c r="K437" i="7" s="1"/>
  <c r="K1500" i="1"/>
  <c r="K1576" i="1"/>
  <c r="K456" i="7" s="1"/>
  <c r="K590" i="8"/>
  <c r="K588" i="8"/>
  <c r="N180" i="8"/>
  <c r="N918" i="8" s="1"/>
  <c r="N929" i="8"/>
  <c r="N580" i="8"/>
  <c r="N57" i="8"/>
  <c r="M1795" i="1"/>
  <c r="M1721" i="1"/>
  <c r="M606" i="7" s="1"/>
  <c r="M290" i="8"/>
  <c r="M1867" i="1"/>
  <c r="M911" i="8"/>
  <c r="L184" i="8"/>
  <c r="L183" i="8" s="1"/>
  <c r="L185" i="8" s="1"/>
  <c r="L932" i="8" s="1"/>
  <c r="L1350" i="1"/>
  <c r="L346" i="7" s="1"/>
  <c r="L1188" i="1"/>
  <c r="L1289" i="1"/>
  <c r="L283" i="7" s="1"/>
  <c r="O169" i="8"/>
  <c r="O168" i="8" s="1"/>
  <c r="O2014" i="1"/>
  <c r="O176" i="1"/>
  <c r="O75" i="7" s="1"/>
  <c r="L1734" i="1"/>
  <c r="L619" i="7" s="1"/>
  <c r="P470" i="8"/>
  <c r="P469" i="8" s="1"/>
  <c r="P1472" i="1"/>
  <c r="M1167" i="1"/>
  <c r="M69" i="8" s="1"/>
  <c r="M68" i="8" s="1"/>
  <c r="M84" i="8"/>
  <c r="M83" i="8" s="1"/>
  <c r="M573" i="8"/>
  <c r="M909" i="8"/>
  <c r="M931" i="8"/>
  <c r="M581" i="8"/>
  <c r="M571" i="8"/>
  <c r="X1745" i="1"/>
  <c r="X630" i="7" s="1"/>
  <c r="L834" i="8"/>
  <c r="L760" i="8"/>
  <c r="L770" i="8" s="1"/>
  <c r="L684" i="8"/>
  <c r="L694" i="8" s="1"/>
  <c r="L1808" i="1"/>
  <c r="L1809" i="1" s="1"/>
  <c r="L1826" i="1"/>
  <c r="L1827" i="1" s="1"/>
  <c r="L1824" i="1"/>
  <c r="L1825" i="1" s="1"/>
  <c r="L1821" i="1"/>
  <c r="L1812" i="1"/>
  <c r="M758" i="8"/>
  <c r="M498" i="8"/>
  <c r="M497" i="8" s="1"/>
  <c r="M682" i="8" l="1"/>
  <c r="N1976" i="1"/>
  <c r="N1994" i="1" s="1"/>
  <c r="N2001" i="1" s="1"/>
  <c r="N227" i="1"/>
  <c r="N126" i="7" s="1"/>
  <c r="N1052" i="1"/>
  <c r="N1048" i="1" s="1"/>
  <c r="N1486" i="1" s="1"/>
  <c r="N1977" i="1"/>
  <c r="N1995" i="1" s="1"/>
  <c r="N2002" i="1" s="1"/>
  <c r="N1221" i="1"/>
  <c r="N212" i="7" s="1"/>
  <c r="N174" i="1"/>
  <c r="N73" i="7" s="1"/>
  <c r="L1738" i="1"/>
  <c r="L623" i="7" s="1"/>
  <c r="L1752" i="1"/>
  <c r="L637" i="7" s="1"/>
  <c r="P550" i="7"/>
  <c r="L1750" i="1"/>
  <c r="L635" i="7" s="1"/>
  <c r="L1747" i="1"/>
  <c r="L632" i="7" s="1"/>
  <c r="J1501" i="1"/>
  <c r="J1556" i="1"/>
  <c r="J436" i="7" s="1"/>
  <c r="J479" i="8"/>
  <c r="J514" i="8"/>
  <c r="J569" i="8"/>
  <c r="P1682" i="1"/>
  <c r="P566" i="7" s="1"/>
  <c r="P1706" i="1"/>
  <c r="P590" i="7" s="1"/>
  <c r="P1687" i="1"/>
  <c r="P571" i="7" s="1"/>
  <c r="N59" i="8"/>
  <c r="O55" i="8"/>
  <c r="P1678" i="1"/>
  <c r="P562" i="7" s="1"/>
  <c r="P1683" i="1"/>
  <c r="P567" i="7" s="1"/>
  <c r="M908" i="8"/>
  <c r="M915" i="8" s="1"/>
  <c r="O54" i="8"/>
  <c r="N170" i="8"/>
  <c r="N46" i="8"/>
  <c r="L708" i="8"/>
  <c r="L695" i="8"/>
  <c r="L696" i="8" s="1"/>
  <c r="L713" i="8"/>
  <c r="L714" i="8" s="1"/>
  <c r="L711" i="8"/>
  <c r="L712" i="8" s="1"/>
  <c r="L699" i="8"/>
  <c r="L1813" i="1"/>
  <c r="W1814" i="1" s="1"/>
  <c r="L1818" i="1"/>
  <c r="W1819" i="1" s="1"/>
  <c r="L771" i="8"/>
  <c r="L772" i="8" s="1"/>
  <c r="L784" i="8"/>
  <c r="L789" i="8"/>
  <c r="L790" i="8" s="1"/>
  <c r="L787" i="8"/>
  <c r="L788" i="8" s="1"/>
  <c r="L775" i="8"/>
  <c r="L1735" i="1"/>
  <c r="L620" i="7" s="1"/>
  <c r="O176" i="8"/>
  <c r="O930" i="8"/>
  <c r="L106" i="8"/>
  <c r="L105" i="8" s="1"/>
  <c r="L1185" i="1"/>
  <c r="L101" i="8" s="1"/>
  <c r="L100" i="8" s="1"/>
  <c r="K1470" i="1"/>
  <c r="K441" i="8"/>
  <c r="P1563" i="1"/>
  <c r="P443" i="7" s="1"/>
  <c r="P927" i="8"/>
  <c r="P572" i="8"/>
  <c r="P575" i="8"/>
  <c r="P576" i="8" s="1"/>
  <c r="P577" i="8" s="1"/>
  <c r="Q452" i="1"/>
  <c r="T579" i="1"/>
  <c r="U395" i="1"/>
  <c r="U394" i="1"/>
  <c r="U578" i="1" s="1"/>
  <c r="O2013" i="1"/>
  <c r="O179" i="8"/>
  <c r="O1287" i="1"/>
  <c r="O281" i="7" s="1"/>
  <c r="O1567" i="1"/>
  <c r="O447" i="7" s="1"/>
  <c r="P1479" i="1"/>
  <c r="P462" i="8"/>
  <c r="P461" i="8" s="1"/>
  <c r="O184" i="1"/>
  <c r="O177" i="1"/>
  <c r="O76" i="7" s="1"/>
  <c r="L186" i="8"/>
  <c r="L2016" i="1"/>
  <c r="L1291" i="1"/>
  <c r="L285" i="7" s="1"/>
  <c r="L1875" i="1"/>
  <c r="L1879" i="1" s="1"/>
  <c r="L1352" i="1"/>
  <c r="L348" i="7" s="1"/>
  <c r="L325" i="8"/>
  <c r="L324" i="8" s="1"/>
  <c r="L840" i="8" s="1"/>
  <c r="L844" i="8" s="1"/>
  <c r="K1577" i="1"/>
  <c r="K457" i="7" s="1"/>
  <c r="K513" i="8"/>
  <c r="K1575" i="1"/>
  <c r="K455" i="7" s="1"/>
  <c r="K1137" i="1"/>
  <c r="K1092" i="1"/>
  <c r="K945" i="8"/>
  <c r="K440" i="8"/>
  <c r="K458" i="8" s="1"/>
  <c r="L333" i="8"/>
  <c r="L332" i="8" s="1"/>
  <c r="L2028" i="1"/>
  <c r="M1283" i="1"/>
  <c r="M277" i="7" s="1"/>
  <c r="S1053" i="1"/>
  <c r="S1212" i="1"/>
  <c r="S203" i="7" s="1"/>
  <c r="P1214" i="1"/>
  <c r="P205" i="7" s="1"/>
  <c r="P145" i="8"/>
  <c r="P144" i="8" s="1"/>
  <c r="M1723" i="1"/>
  <c r="M608" i="7" s="1"/>
  <c r="M310" i="8"/>
  <c r="M309" i="8" s="1"/>
  <c r="M1797" i="1"/>
  <c r="M1807" i="1" s="1"/>
  <c r="M1812" i="1" s="1"/>
  <c r="M1869" i="1"/>
  <c r="Q1694" i="1"/>
  <c r="Q1670" i="1"/>
  <c r="Q988" i="1"/>
  <c r="Q980" i="1" s="1"/>
  <c r="Q1207" i="1"/>
  <c r="Q198" i="7" s="1"/>
  <c r="N175" i="1" l="1"/>
  <c r="N74" i="7" s="1"/>
  <c r="N45" i="8"/>
  <c r="N1326" i="1"/>
  <c r="N322" i="7" s="1"/>
  <c r="N1222" i="1"/>
  <c r="N213" i="7" s="1"/>
  <c r="N1570" i="1"/>
  <c r="N450" i="7" s="1"/>
  <c r="N171" i="8"/>
  <c r="L1753" i="1"/>
  <c r="L638" i="7" s="1"/>
  <c r="L1739" i="1"/>
  <c r="L624" i="7" s="1"/>
  <c r="N1066" i="1"/>
  <c r="N1067" i="1" s="1"/>
  <c r="N1068" i="1" s="1"/>
  <c r="N1070" i="1" s="1"/>
  <c r="N1339" i="1" s="1"/>
  <c r="N335" i="7" s="1"/>
  <c r="L1751" i="1"/>
  <c r="L636" i="7" s="1"/>
  <c r="P1702" i="1"/>
  <c r="P586" i="7" s="1"/>
  <c r="P1707" i="1"/>
  <c r="P591" i="7" s="1"/>
  <c r="Q1701" i="1"/>
  <c r="Q585" i="7" s="1"/>
  <c r="Q578" i="7"/>
  <c r="P182" i="1"/>
  <c r="P81" i="7" s="1"/>
  <c r="O83" i="7"/>
  <c r="Q1677" i="1"/>
  <c r="Q561" i="7" s="1"/>
  <c r="Q554" i="7"/>
  <c r="O186" i="1"/>
  <c r="O85" i="7" s="1"/>
  <c r="M1813" i="1"/>
  <c r="V1814" i="1" s="1"/>
  <c r="L845" i="8"/>
  <c r="L846" i="8" s="1"/>
  <c r="L861" i="8"/>
  <c r="L862" i="8" s="1"/>
  <c r="L858" i="8"/>
  <c r="L863" i="8"/>
  <c r="L864" i="8" s="1"/>
  <c r="L849" i="8"/>
  <c r="L121" i="8"/>
  <c r="L944" i="8"/>
  <c r="K586" i="8"/>
  <c r="K478" i="8"/>
  <c r="K585" i="8"/>
  <c r="L328" i="8"/>
  <c r="L327" i="8" s="1"/>
  <c r="L330" i="8" s="1"/>
  <c r="L943" i="8" s="1"/>
  <c r="L1354" i="1"/>
  <c r="L350" i="7" s="1"/>
  <c r="N47" i="8"/>
  <c r="T1475" i="1"/>
  <c r="T158" i="1"/>
  <c r="T57" i="7" s="1"/>
  <c r="P1564" i="1"/>
  <c r="P444" i="7" s="1"/>
  <c r="K1481" i="1"/>
  <c r="K459" i="8"/>
  <c r="K1573" i="1"/>
  <c r="K453" i="7" s="1"/>
  <c r="K1572" i="1"/>
  <c r="K452" i="7" s="1"/>
  <c r="N1175" i="1"/>
  <c r="L705" i="8"/>
  <c r="S706" i="8" s="1"/>
  <c r="Q1943" i="1"/>
  <c r="Q1200" i="1"/>
  <c r="Q191" i="7" s="1"/>
  <c r="Q143" i="8"/>
  <c r="Q142" i="8" s="1"/>
  <c r="Q910" i="8" s="1"/>
  <c r="M760" i="8"/>
  <c r="M770" i="8" s="1"/>
  <c r="M775" i="8" s="1"/>
  <c r="M684" i="8"/>
  <c r="M694" i="8" s="1"/>
  <c r="M699" i="8" s="1"/>
  <c r="M834" i="8"/>
  <c r="P1285" i="1"/>
  <c r="P279" i="7" s="1"/>
  <c r="P1220" i="1"/>
  <c r="P211" i="7" s="1"/>
  <c r="P157" i="8"/>
  <c r="P156" i="8" s="1"/>
  <c r="M1350" i="1"/>
  <c r="M346" i="7" s="1"/>
  <c r="M1188" i="1"/>
  <c r="M184" i="8"/>
  <c r="M183" i="8" s="1"/>
  <c r="M185" i="8" s="1"/>
  <c r="M932" i="8" s="1"/>
  <c r="M1289" i="1"/>
  <c r="M283" i="7" s="1"/>
  <c r="O49" i="8"/>
  <c r="O48" i="8" s="1"/>
  <c r="M1808" i="1"/>
  <c r="M1809" i="1" s="1"/>
  <c r="M1826" i="1"/>
  <c r="M1827" i="1" s="1"/>
  <c r="M1824" i="1"/>
  <c r="M1825" i="1" s="1"/>
  <c r="M1821" i="1"/>
  <c r="S153" i="8"/>
  <c r="S152" i="8" s="1"/>
  <c r="L1880" i="1"/>
  <c r="L1881" i="1" s="1"/>
  <c r="L1893" i="1"/>
  <c r="L1896" i="1"/>
  <c r="L1897" i="1" s="1"/>
  <c r="L1898" i="1"/>
  <c r="L1899" i="1" s="1"/>
  <c r="L1884" i="1"/>
  <c r="L1496" i="1"/>
  <c r="M1290" i="1"/>
  <c r="L190" i="8"/>
  <c r="L189" i="8" s="1"/>
  <c r="L505" i="8" s="1"/>
  <c r="L509" i="8" s="1"/>
  <c r="O185" i="1"/>
  <c r="O84" i="7" s="1"/>
  <c r="P476" i="8"/>
  <c r="P475" i="8" s="1"/>
  <c r="O1951" i="1"/>
  <c r="O181" i="8"/>
  <c r="U404" i="1"/>
  <c r="R442" i="1"/>
  <c r="Q592" i="1"/>
  <c r="Q1476" i="1" s="1"/>
  <c r="M1733" i="1"/>
  <c r="M618" i="7" s="1"/>
  <c r="O928" i="8"/>
  <c r="O178" i="8"/>
  <c r="O579" i="8"/>
  <c r="L1744" i="1"/>
  <c r="L629" i="7" s="1"/>
  <c r="N488" i="8"/>
  <c r="N487" i="8" s="1"/>
  <c r="N1944" i="1"/>
  <c r="N1491" i="1"/>
  <c r="N281" i="8"/>
  <c r="L776" i="8"/>
  <c r="S777" i="8" s="1"/>
  <c r="L781" i="8"/>
  <c r="S782" i="8" s="1"/>
  <c r="L700" i="8"/>
  <c r="S701" i="8" s="1"/>
  <c r="N583" i="8"/>
  <c r="N172" i="8"/>
  <c r="N280" i="8" l="1"/>
  <c r="N289" i="8" s="1"/>
  <c r="N1331" i="1"/>
  <c r="N327" i="7" s="1"/>
  <c r="N2015" i="1"/>
  <c r="N1558" i="1"/>
  <c r="N438" i="7" s="1"/>
  <c r="N1942" i="1"/>
  <c r="N1941" i="1" s="1"/>
  <c r="N1948" i="1" s="1"/>
  <c r="N1568" i="1"/>
  <c r="N448" i="7" s="1"/>
  <c r="N173" i="8"/>
  <c r="N1560" i="1"/>
  <c r="N440" i="7" s="1"/>
  <c r="Q1705" i="1"/>
  <c r="Q589" i="7" s="1"/>
  <c r="W1740" i="1"/>
  <c r="W625" i="7" s="1"/>
  <c r="Q1688" i="1"/>
  <c r="Q572" i="7" s="1"/>
  <c r="Q1690" i="1"/>
  <c r="Q1687" i="1" s="1"/>
  <c r="Q1704" i="1"/>
  <c r="Q588" i="7" s="1"/>
  <c r="M1291" i="1"/>
  <c r="M285" i="7" s="1"/>
  <c r="P183" i="1"/>
  <c r="P82" i="7" s="1"/>
  <c r="Q1680" i="1"/>
  <c r="Q564" i="7" s="1"/>
  <c r="Q1664" i="1"/>
  <c r="Q548" i="7" s="1"/>
  <c r="Q1666" i="1"/>
  <c r="Q550" i="7" s="1"/>
  <c r="Q1681" i="1"/>
  <c r="Q565" i="7" s="1"/>
  <c r="M188" i="8"/>
  <c r="M187" i="8" s="1"/>
  <c r="M284" i="7"/>
  <c r="O187" i="1"/>
  <c r="O173" i="1"/>
  <c r="O1977" i="1" s="1"/>
  <c r="O1995" i="1" s="1"/>
  <c r="O2002" i="1" s="1"/>
  <c r="N832" i="8"/>
  <c r="N758" i="8"/>
  <c r="N682" i="8"/>
  <c r="N498" i="8"/>
  <c r="N497" i="8" s="1"/>
  <c r="N911" i="8"/>
  <c r="L570" i="8"/>
  <c r="L512" i="8"/>
  <c r="L589" i="8"/>
  <c r="L1498" i="1"/>
  <c r="L506" i="8"/>
  <c r="O56" i="8"/>
  <c r="O58" i="8" s="1"/>
  <c r="O44" i="8" s="1"/>
  <c r="M1875" i="1"/>
  <c r="M1879" i="1" s="1"/>
  <c r="M1884" i="1" s="1"/>
  <c r="M325" i="8"/>
  <c r="M324" i="8" s="1"/>
  <c r="M840" i="8" s="1"/>
  <c r="M844" i="8" s="1"/>
  <c r="M1352" i="1"/>
  <c r="M348" i="7" s="1"/>
  <c r="P2012" i="1"/>
  <c r="P177" i="8"/>
  <c r="P1286" i="1"/>
  <c r="P280" i="7" s="1"/>
  <c r="P1566" i="1"/>
  <c r="P446" i="7" s="1"/>
  <c r="M708" i="8"/>
  <c r="M713" i="8"/>
  <c r="M714" i="8" s="1"/>
  <c r="M711" i="8"/>
  <c r="M712" i="8" s="1"/>
  <c r="M695" i="8"/>
  <c r="M696" i="8" s="1"/>
  <c r="N305" i="8"/>
  <c r="N304" i="8" s="1"/>
  <c r="N935" i="8" s="1"/>
  <c r="N2019" i="1"/>
  <c r="N1342" i="1"/>
  <c r="N338" i="7" s="1"/>
  <c r="T56" i="7"/>
  <c r="L331" i="8"/>
  <c r="L1356" i="1"/>
  <c r="L352" i="7" s="1"/>
  <c r="L2027" i="1"/>
  <c r="K569" i="8"/>
  <c r="K514" i="8"/>
  <c r="M700" i="8"/>
  <c r="R701" i="8" s="1"/>
  <c r="Q470" i="8"/>
  <c r="Q469" i="8" s="1"/>
  <c r="Q1472" i="1"/>
  <c r="U405" i="1"/>
  <c r="N573" i="8"/>
  <c r="N931" i="8"/>
  <c r="N909" i="8"/>
  <c r="N581" i="8"/>
  <c r="N571" i="8"/>
  <c r="M776" i="8"/>
  <c r="R777" i="8" s="1"/>
  <c r="N1867" i="1"/>
  <c r="N1721" i="1"/>
  <c r="N606" i="7" s="1"/>
  <c r="W1745" i="1"/>
  <c r="W630" i="7" s="1"/>
  <c r="O180" i="8"/>
  <c r="O918" i="8" s="1"/>
  <c r="O929" i="8"/>
  <c r="O580" i="8"/>
  <c r="M1734" i="1"/>
  <c r="M619" i="7" s="1"/>
  <c r="M1747" i="1"/>
  <c r="M632" i="7" s="1"/>
  <c r="M1750" i="1"/>
  <c r="M635" i="7" s="1"/>
  <c r="M1752" i="1"/>
  <c r="M637" i="7" s="1"/>
  <c r="M1738" i="1"/>
  <c r="M623" i="7" s="1"/>
  <c r="R591" i="1"/>
  <c r="R944" i="1" s="1"/>
  <c r="R451" i="1"/>
  <c r="O57" i="8"/>
  <c r="L1885" i="1"/>
  <c r="W1886" i="1" s="1"/>
  <c r="L1890" i="1"/>
  <c r="W1891" i="1" s="1"/>
  <c r="M1818" i="1"/>
  <c r="V1819" i="1" s="1"/>
  <c r="M186" i="8"/>
  <c r="M2016" i="1"/>
  <c r="M106" i="8"/>
  <c r="M105" i="8" s="1"/>
  <c r="M1185" i="1"/>
  <c r="M101" i="8" s="1"/>
  <c r="M100" i="8" s="1"/>
  <c r="P2014" i="1"/>
  <c r="P169" i="8"/>
  <c r="P168" i="8" s="1"/>
  <c r="P176" i="1"/>
  <c r="P75" i="7" s="1"/>
  <c r="M771" i="8"/>
  <c r="M772" i="8" s="1"/>
  <c r="M784" i="8"/>
  <c r="M787" i="8"/>
  <c r="M788" i="8" s="1"/>
  <c r="M789" i="8"/>
  <c r="M790" i="8" s="1"/>
  <c r="Q130" i="8"/>
  <c r="Q129" i="8" s="1"/>
  <c r="Q1208" i="1"/>
  <c r="Q199" i="7" s="1"/>
  <c r="Q1559" i="1"/>
  <c r="Q439" i="7" s="1"/>
  <c r="Q2011" i="1"/>
  <c r="Q1562" i="1"/>
  <c r="Q442" i="7" s="1"/>
  <c r="N84" i="8"/>
  <c r="N83" i="8" s="1"/>
  <c r="N1167" i="1"/>
  <c r="N69" i="8" s="1"/>
  <c r="N68" i="8" s="1"/>
  <c r="K479" i="8"/>
  <c r="K1501" i="1"/>
  <c r="K1556" i="1"/>
  <c r="K436" i="7" s="1"/>
  <c r="T468" i="8"/>
  <c r="T467" i="8" s="1"/>
  <c r="L850" i="8"/>
  <c r="S851" i="8" s="1"/>
  <c r="L855" i="8"/>
  <c r="S856" i="8" s="1"/>
  <c r="N290" i="8" l="1"/>
  <c r="N1795" i="1"/>
  <c r="Q1682" i="1"/>
  <c r="Q566" i="7" s="1"/>
  <c r="P55" i="8"/>
  <c r="Q1706" i="1"/>
  <c r="Q590" i="7" s="1"/>
  <c r="M190" i="8"/>
  <c r="M189" i="8" s="1"/>
  <c r="M505" i="8" s="1"/>
  <c r="M509" i="8" s="1"/>
  <c r="M589" i="8" s="1"/>
  <c r="Q574" i="7"/>
  <c r="Q571" i="7"/>
  <c r="Q1707" i="1"/>
  <c r="Q591" i="7" s="1"/>
  <c r="M1496" i="1"/>
  <c r="M1498" i="1" s="1"/>
  <c r="N1290" i="1"/>
  <c r="N188" i="8" s="1"/>
  <c r="N187" i="8" s="1"/>
  <c r="Q1663" i="1"/>
  <c r="Q1702" i="1"/>
  <c r="Q586" i="7" s="1"/>
  <c r="O1052" i="1"/>
  <c r="O1048" i="1" s="1"/>
  <c r="O1066" i="1" s="1"/>
  <c r="O1067" i="1" s="1"/>
  <c r="O1068" i="1" s="1"/>
  <c r="O1070" i="1" s="1"/>
  <c r="O72" i="7"/>
  <c r="O59" i="8"/>
  <c r="O86" i="7"/>
  <c r="N908" i="8"/>
  <c r="N915" i="8" s="1"/>
  <c r="O1976" i="1"/>
  <c r="O1994" i="1" s="1"/>
  <c r="O2001" i="1" s="1"/>
  <c r="O1221" i="1"/>
  <c r="O212" i="7" s="1"/>
  <c r="O227" i="1"/>
  <c r="O126" i="7" s="1"/>
  <c r="O174" i="1"/>
  <c r="P54" i="8"/>
  <c r="Q1563" i="1"/>
  <c r="O170" i="8"/>
  <c r="O46" i="8"/>
  <c r="Q927" i="8"/>
  <c r="Q572" i="8"/>
  <c r="Q575" i="8"/>
  <c r="Q576" i="8" s="1"/>
  <c r="Q577" i="8" s="1"/>
  <c r="M845" i="8"/>
  <c r="M846" i="8" s="1"/>
  <c r="M858" i="8"/>
  <c r="M863" i="8"/>
  <c r="M864" i="8" s="1"/>
  <c r="M861" i="8"/>
  <c r="M862" i="8" s="1"/>
  <c r="M849" i="8"/>
  <c r="Q145" i="8"/>
  <c r="Q144" i="8" s="1"/>
  <c r="Q1214" i="1"/>
  <c r="Q205" i="7" s="1"/>
  <c r="M781" i="8"/>
  <c r="R782" i="8" s="1"/>
  <c r="P184" i="1"/>
  <c r="P177" i="1"/>
  <c r="P76" i="7" s="1"/>
  <c r="M1885" i="1"/>
  <c r="V1886" i="1" s="1"/>
  <c r="R452" i="1"/>
  <c r="M1739" i="1"/>
  <c r="M624" i="7" s="1"/>
  <c r="M1751" i="1"/>
  <c r="M636" i="7" s="1"/>
  <c r="M1735" i="1"/>
  <c r="M620" i="7" s="1"/>
  <c r="P1287" i="1"/>
  <c r="P281" i="7" s="1"/>
  <c r="P2013" i="1"/>
  <c r="P179" i="8"/>
  <c r="P1567" i="1"/>
  <c r="P447" i="7" s="1"/>
  <c r="M1893" i="1"/>
  <c r="M1896" i="1"/>
  <c r="M1897" i="1" s="1"/>
  <c r="M1880" i="1"/>
  <c r="M1881" i="1" s="1"/>
  <c r="M1898" i="1"/>
  <c r="M1899" i="1" s="1"/>
  <c r="L1557" i="1"/>
  <c r="L437" i="7" s="1"/>
  <c r="L510" i="8"/>
  <c r="L1576" i="1"/>
  <c r="L456" i="7" s="1"/>
  <c r="L1500" i="1"/>
  <c r="L590" i="8"/>
  <c r="L588" i="8"/>
  <c r="P176" i="8"/>
  <c r="P930" i="8"/>
  <c r="R988" i="1"/>
  <c r="R980" i="1" s="1"/>
  <c r="R1694" i="1"/>
  <c r="R1207" i="1"/>
  <c r="R198" i="7" s="1"/>
  <c r="R1670" i="1"/>
  <c r="M1753" i="1"/>
  <c r="M638" i="7" s="1"/>
  <c r="V395" i="1"/>
  <c r="U579" i="1"/>
  <c r="V394" i="1"/>
  <c r="V578" i="1" s="1"/>
  <c r="Q1479" i="1"/>
  <c r="Q462" i="8"/>
  <c r="Q461" i="8" s="1"/>
  <c r="L1192" i="1"/>
  <c r="L1136" i="1"/>
  <c r="L1091" i="1"/>
  <c r="L1461" i="1"/>
  <c r="L1093" i="1"/>
  <c r="M1355" i="1"/>
  <c r="M351" i="7" s="1"/>
  <c r="L1193" i="1"/>
  <c r="L1135" i="1"/>
  <c r="L335" i="8"/>
  <c r="L334" i="8" s="1"/>
  <c r="L2029" i="1"/>
  <c r="T1212" i="1"/>
  <c r="T203" i="7" s="1"/>
  <c r="T1053" i="1"/>
  <c r="N1869" i="1"/>
  <c r="N1797" i="1"/>
  <c r="N1807" i="1" s="1"/>
  <c r="N310" i="8"/>
  <c r="N309" i="8" s="1"/>
  <c r="N1723" i="1"/>
  <c r="N608" i="7" s="1"/>
  <c r="M705" i="8"/>
  <c r="R706" i="8" s="1"/>
  <c r="M328" i="8"/>
  <c r="M327" i="8" s="1"/>
  <c r="M330" i="8" s="1"/>
  <c r="M943" i="8" s="1"/>
  <c r="M1354" i="1"/>
  <c r="M350" i="7" s="1"/>
  <c r="M570" i="8" l="1"/>
  <c r="O1486" i="1"/>
  <c r="O1944" i="1" s="1"/>
  <c r="M506" i="8"/>
  <c r="M512" i="8"/>
  <c r="M588" i="8" s="1"/>
  <c r="O1326" i="1"/>
  <c r="O322" i="7" s="1"/>
  <c r="N284" i="7"/>
  <c r="Q547" i="7"/>
  <c r="Q1683" i="1"/>
  <c r="Q567" i="7" s="1"/>
  <c r="Q1678" i="1"/>
  <c r="Q562" i="7" s="1"/>
  <c r="O1570" i="1"/>
  <c r="O450" i="7" s="1"/>
  <c r="O171" i="8"/>
  <c r="R1677" i="1"/>
  <c r="R561" i="7" s="1"/>
  <c r="R554" i="7"/>
  <c r="R1701" i="1"/>
  <c r="R585" i="7" s="1"/>
  <c r="R578" i="7"/>
  <c r="P186" i="1"/>
  <c r="P85" i="7" s="1"/>
  <c r="P83" i="7"/>
  <c r="Q1564" i="1"/>
  <c r="Q444" i="7" s="1"/>
  <c r="Q443" i="7"/>
  <c r="O45" i="8"/>
  <c r="O73" i="7"/>
  <c r="O175" i="1"/>
  <c r="O74" i="7" s="1"/>
  <c r="O1222" i="1"/>
  <c r="O213" i="7" s="1"/>
  <c r="Q182" i="1"/>
  <c r="Q81" i="7" s="1"/>
  <c r="L1092" i="1"/>
  <c r="L1137" i="1"/>
  <c r="L945" i="8"/>
  <c r="L440" i="8"/>
  <c r="L458" i="8" s="1"/>
  <c r="M331" i="8"/>
  <c r="M1356" i="1"/>
  <c r="M352" i="7" s="1"/>
  <c r="M2027" i="1"/>
  <c r="N834" i="8"/>
  <c r="N684" i="8"/>
  <c r="N694" i="8" s="1"/>
  <c r="N760" i="8"/>
  <c r="N770" i="8" s="1"/>
  <c r="T153" i="8"/>
  <c r="T152" i="8" s="1"/>
  <c r="M2028" i="1"/>
  <c r="M333" i="8"/>
  <c r="M332" i="8" s="1"/>
  <c r="N1283" i="1"/>
  <c r="N277" i="7" s="1"/>
  <c r="L441" i="8"/>
  <c r="L1470" i="1"/>
  <c r="Q476" i="8"/>
  <c r="Q475" i="8" s="1"/>
  <c r="U1475" i="1"/>
  <c r="U158" i="1"/>
  <c r="U57" i="7" s="1"/>
  <c r="P928" i="8"/>
  <c r="P178" i="8"/>
  <c r="P579" i="8"/>
  <c r="L1575" i="1"/>
  <c r="L455" i="7" s="1"/>
  <c r="L513" i="8"/>
  <c r="L1577" i="1"/>
  <c r="L457" i="7" s="1"/>
  <c r="M1744" i="1"/>
  <c r="M629" i="7" s="1"/>
  <c r="M1557" i="1"/>
  <c r="M437" i="7" s="1"/>
  <c r="M510" i="8"/>
  <c r="M1576" i="1"/>
  <c r="M456" i="7" s="1"/>
  <c r="M1500" i="1"/>
  <c r="P49" i="8"/>
  <c r="P48" i="8" s="1"/>
  <c r="Q157" i="8"/>
  <c r="Q156" i="8" s="1"/>
  <c r="Q1285" i="1"/>
  <c r="Q279" i="7" s="1"/>
  <c r="Q1220" i="1"/>
  <c r="Q211" i="7" s="1"/>
  <c r="O1175" i="1"/>
  <c r="O1339" i="1"/>
  <c r="O335" i="7" s="1"/>
  <c r="M850" i="8"/>
  <c r="R851" i="8" s="1"/>
  <c r="N1808" i="1"/>
  <c r="N1809" i="1" s="1"/>
  <c r="N1821" i="1"/>
  <c r="N1826" i="1"/>
  <c r="N1827" i="1" s="1"/>
  <c r="N1824" i="1"/>
  <c r="N1825" i="1" s="1"/>
  <c r="N1812" i="1"/>
  <c r="V404" i="1"/>
  <c r="N1733" i="1"/>
  <c r="N618" i="7" s="1"/>
  <c r="R1943" i="1"/>
  <c r="R143" i="8"/>
  <c r="R142" i="8" s="1"/>
  <c r="R910" i="8" s="1"/>
  <c r="R1200" i="1"/>
  <c r="R191" i="7" s="1"/>
  <c r="M1890" i="1"/>
  <c r="V1891" i="1" s="1"/>
  <c r="P181" i="8"/>
  <c r="P1951" i="1"/>
  <c r="V1740" i="1"/>
  <c r="V625" i="7" s="1"/>
  <c r="S442" i="1"/>
  <c r="R592" i="1"/>
  <c r="R1476" i="1" s="1"/>
  <c r="P185" i="1"/>
  <c r="P84" i="7" s="1"/>
  <c r="M855" i="8"/>
  <c r="R856" i="8" s="1"/>
  <c r="O583" i="8"/>
  <c r="O172" i="8"/>
  <c r="O1491" i="1" l="1"/>
  <c r="R1666" i="1"/>
  <c r="M590" i="8"/>
  <c r="O488" i="8"/>
  <c r="O487" i="8" s="1"/>
  <c r="O911" i="8" s="1"/>
  <c r="O281" i="8"/>
  <c r="O280" i="8" s="1"/>
  <c r="O289" i="8" s="1"/>
  <c r="O758" i="8" s="1"/>
  <c r="O173" i="8"/>
  <c r="O1568" i="1"/>
  <c r="O448" i="7" s="1"/>
  <c r="O1331" i="1"/>
  <c r="O327" i="7" s="1"/>
  <c r="O1942" i="1"/>
  <c r="O1558" i="1"/>
  <c r="O438" i="7" s="1"/>
  <c r="O1560" i="1"/>
  <c r="O440" i="7" s="1"/>
  <c r="O2015" i="1"/>
  <c r="Q183" i="1"/>
  <c r="Q82" i="7" s="1"/>
  <c r="R1690" i="1"/>
  <c r="R574" i="7" s="1"/>
  <c r="R1688" i="1"/>
  <c r="R572" i="7" s="1"/>
  <c r="R1681" i="1"/>
  <c r="R565" i="7" s="1"/>
  <c r="P173" i="1"/>
  <c r="P72" i="7" s="1"/>
  <c r="O47" i="8"/>
  <c r="R1704" i="1"/>
  <c r="R1706" i="1" s="1"/>
  <c r="R590" i="7" s="1"/>
  <c r="R1705" i="1"/>
  <c r="R589" i="7" s="1"/>
  <c r="R1680" i="1"/>
  <c r="R1682" i="1" s="1"/>
  <c r="R566" i="7" s="1"/>
  <c r="R1664" i="1"/>
  <c r="R548" i="7" s="1"/>
  <c r="P187" i="1"/>
  <c r="P86" i="7" s="1"/>
  <c r="R1663" i="1"/>
  <c r="R547" i="7" s="1"/>
  <c r="R550" i="7"/>
  <c r="R470" i="8"/>
  <c r="R469" i="8" s="1"/>
  <c r="R1472" i="1"/>
  <c r="R1208" i="1"/>
  <c r="R199" i="7" s="1"/>
  <c r="R1559" i="1"/>
  <c r="R439" i="7" s="1"/>
  <c r="R130" i="8"/>
  <c r="R129" i="8" s="1"/>
  <c r="R2011" i="1"/>
  <c r="R1562" i="1"/>
  <c r="R442" i="7" s="1"/>
  <c r="N1734" i="1"/>
  <c r="N619" i="7" s="1"/>
  <c r="N1752" i="1"/>
  <c r="N637" i="7" s="1"/>
  <c r="N1750" i="1"/>
  <c r="N635" i="7" s="1"/>
  <c r="N1747" i="1"/>
  <c r="N632" i="7" s="1"/>
  <c r="N1738" i="1"/>
  <c r="N623" i="7" s="1"/>
  <c r="O1342" i="1"/>
  <c r="O338" i="7" s="1"/>
  <c r="O305" i="8"/>
  <c r="O304" i="8" s="1"/>
  <c r="O935" i="8" s="1"/>
  <c r="O2019" i="1"/>
  <c r="Q2014" i="1"/>
  <c r="Q176" i="1"/>
  <c r="Q75" i="7" s="1"/>
  <c r="Q169" i="8"/>
  <c r="Q168" i="8" s="1"/>
  <c r="Q1286" i="1"/>
  <c r="Q280" i="7" s="1"/>
  <c r="Q177" i="8"/>
  <c r="Q2012" i="1"/>
  <c r="Q1566" i="1"/>
  <c r="Q446" i="7" s="1"/>
  <c r="P56" i="8"/>
  <c r="Q54" i="8" s="1"/>
  <c r="M513" i="8"/>
  <c r="M1577" i="1"/>
  <c r="M457" i="7" s="1"/>
  <c r="M1575" i="1"/>
  <c r="M455" i="7" s="1"/>
  <c r="V1745" i="1"/>
  <c r="V630" i="7" s="1"/>
  <c r="U468" i="8"/>
  <c r="U467" i="8" s="1"/>
  <c r="L1573" i="1"/>
  <c r="L453" i="7" s="1"/>
  <c r="L459" i="8"/>
  <c r="L1481" i="1"/>
  <c r="L1572" i="1"/>
  <c r="L452" i="7" s="1"/>
  <c r="N184" i="8"/>
  <c r="N183" i="8" s="1"/>
  <c r="N185" i="8" s="1"/>
  <c r="N932" i="8" s="1"/>
  <c r="N1350" i="1"/>
  <c r="N346" i="7" s="1"/>
  <c r="N1188" i="1"/>
  <c r="N1289" i="1"/>
  <c r="N283" i="7" s="1"/>
  <c r="N771" i="8"/>
  <c r="N772" i="8" s="1"/>
  <c r="N787" i="8"/>
  <c r="N788" i="8" s="1"/>
  <c r="N784" i="8"/>
  <c r="N789" i="8"/>
  <c r="N790" i="8" s="1"/>
  <c r="N775" i="8"/>
  <c r="M1193" i="1"/>
  <c r="M1091" i="1"/>
  <c r="M335" i="8"/>
  <c r="M334" i="8" s="1"/>
  <c r="N1355" i="1"/>
  <c r="N351" i="7" s="1"/>
  <c r="M2029" i="1"/>
  <c r="M1093" i="1"/>
  <c r="M1192" i="1"/>
  <c r="M1135" i="1"/>
  <c r="M1136" i="1"/>
  <c r="M1461" i="1"/>
  <c r="O573" i="8"/>
  <c r="O931" i="8"/>
  <c r="O909" i="8"/>
  <c r="O581" i="8"/>
  <c r="O571" i="8"/>
  <c r="O498" i="8"/>
  <c r="O497" i="8" s="1"/>
  <c r="P57" i="8"/>
  <c r="S591" i="1"/>
  <c r="S944" i="1" s="1"/>
  <c r="S451" i="1"/>
  <c r="V405" i="1"/>
  <c r="N1813" i="1"/>
  <c r="U1814" i="1" s="1"/>
  <c r="N1818" i="1"/>
  <c r="U1819" i="1" s="1"/>
  <c r="O1941" i="1"/>
  <c r="O1948" i="1" s="1"/>
  <c r="O84" i="8"/>
  <c r="O83" i="8" s="1"/>
  <c r="O1167" i="1"/>
  <c r="O69" i="8" s="1"/>
  <c r="O68" i="8" s="1"/>
  <c r="P929" i="8"/>
  <c r="P180" i="8"/>
  <c r="P918" i="8" s="1"/>
  <c r="P580" i="8"/>
  <c r="U56" i="7"/>
  <c r="M944" i="8"/>
  <c r="M121" i="8"/>
  <c r="N695" i="8"/>
  <c r="N696" i="8" s="1"/>
  <c r="N711" i="8"/>
  <c r="N712" i="8" s="1"/>
  <c r="N708" i="8"/>
  <c r="N713" i="8"/>
  <c r="N714" i="8" s="1"/>
  <c r="N699" i="8"/>
  <c r="L586" i="8"/>
  <c r="L478" i="8"/>
  <c r="L585" i="8"/>
  <c r="P1977" i="1" l="1"/>
  <c r="P1995" i="1" s="1"/>
  <c r="P2002" i="1" s="1"/>
  <c r="R1687" i="1"/>
  <c r="R571" i="7" s="1"/>
  <c r="O1721" i="1"/>
  <c r="O606" i="7" s="1"/>
  <c r="O1867" i="1"/>
  <c r="P1221" i="1"/>
  <c r="P212" i="7" s="1"/>
  <c r="O1795" i="1"/>
  <c r="O290" i="8"/>
  <c r="R1683" i="1"/>
  <c r="R567" i="7" s="1"/>
  <c r="P59" i="8"/>
  <c r="P1052" i="1"/>
  <c r="P1048" i="1" s="1"/>
  <c r="P1066" i="1" s="1"/>
  <c r="P1067" i="1" s="1"/>
  <c r="P1068" i="1" s="1"/>
  <c r="P1070" i="1" s="1"/>
  <c r="O832" i="8"/>
  <c r="P1976" i="1"/>
  <c r="P1994" i="1" s="1"/>
  <c r="P2001" i="1" s="1"/>
  <c r="P227" i="1"/>
  <c r="P126" i="7" s="1"/>
  <c r="P174" i="1"/>
  <c r="P73" i="7" s="1"/>
  <c r="O682" i="8"/>
  <c r="R1678" i="1"/>
  <c r="R562" i="7" s="1"/>
  <c r="Q55" i="8"/>
  <c r="R564" i="7"/>
  <c r="R588" i="7"/>
  <c r="O908" i="8"/>
  <c r="O915" i="8" s="1"/>
  <c r="L514" i="8"/>
  <c r="L569" i="8"/>
  <c r="N700" i="8"/>
  <c r="Q701" i="8" s="1"/>
  <c r="N705" i="8"/>
  <c r="Q706" i="8" s="1"/>
  <c r="W395" i="1"/>
  <c r="V579" i="1"/>
  <c r="W394" i="1"/>
  <c r="W578" i="1" s="1"/>
  <c r="S452" i="1"/>
  <c r="M441" i="8"/>
  <c r="M1470" i="1"/>
  <c r="N2028" i="1"/>
  <c r="N333" i="8"/>
  <c r="N332" i="8" s="1"/>
  <c r="O1283" i="1"/>
  <c r="O277" i="7" s="1"/>
  <c r="N776" i="8"/>
  <c r="Q777" i="8" s="1"/>
  <c r="N781" i="8"/>
  <c r="Q782" i="8" s="1"/>
  <c r="N106" i="8"/>
  <c r="N105" i="8" s="1"/>
  <c r="N1185" i="1"/>
  <c r="N101" i="8" s="1"/>
  <c r="N100" i="8" s="1"/>
  <c r="L479" i="8"/>
  <c r="L1556" i="1"/>
  <c r="L436" i="7" s="1"/>
  <c r="L1501" i="1"/>
  <c r="P58" i="8"/>
  <c r="P44" i="8" s="1"/>
  <c r="Q179" i="8"/>
  <c r="Q1287" i="1"/>
  <c r="Q281" i="7" s="1"/>
  <c r="Q2013" i="1"/>
  <c r="Q1567" i="1"/>
  <c r="Q447" i="7" s="1"/>
  <c r="Q930" i="8"/>
  <c r="Q176" i="8"/>
  <c r="N1739" i="1"/>
  <c r="N624" i="7" s="1"/>
  <c r="N1751" i="1"/>
  <c r="N636" i="7" s="1"/>
  <c r="R1563" i="1"/>
  <c r="R443" i="7" s="1"/>
  <c r="R145" i="8"/>
  <c r="R144" i="8" s="1"/>
  <c r="R1214" i="1"/>
  <c r="R205" i="7" s="1"/>
  <c r="R462" i="8"/>
  <c r="R461" i="8" s="1"/>
  <c r="R1479" i="1"/>
  <c r="U1053" i="1"/>
  <c r="U1212" i="1"/>
  <c r="U203" i="7" s="1"/>
  <c r="S988" i="1"/>
  <c r="S980" i="1" s="1"/>
  <c r="S1207" i="1"/>
  <c r="S198" i="7" s="1"/>
  <c r="S1670" i="1"/>
  <c r="S1694" i="1"/>
  <c r="M1137" i="1"/>
  <c r="M1092" i="1"/>
  <c r="M440" i="8"/>
  <c r="M458" i="8" s="1"/>
  <c r="M945" i="8"/>
  <c r="N186" i="8"/>
  <c r="N2016" i="1"/>
  <c r="N1291" i="1"/>
  <c r="N285" i="7" s="1"/>
  <c r="N325" i="8"/>
  <c r="N324" i="8" s="1"/>
  <c r="N840" i="8" s="1"/>
  <c r="N844" i="8" s="1"/>
  <c r="N1875" i="1"/>
  <c r="N1879" i="1" s="1"/>
  <c r="N1352" i="1"/>
  <c r="N348" i="7" s="1"/>
  <c r="Q184" i="1"/>
  <c r="Q177" i="1"/>
  <c r="Q76" i="7" s="1"/>
  <c r="O1869" i="1"/>
  <c r="O1797" i="1"/>
  <c r="O1723" i="1"/>
  <c r="O608" i="7" s="1"/>
  <c r="O310" i="8"/>
  <c r="O309" i="8" s="1"/>
  <c r="N1753" i="1"/>
  <c r="N638" i="7" s="1"/>
  <c r="N1735" i="1"/>
  <c r="N620" i="7" s="1"/>
  <c r="R927" i="8"/>
  <c r="R575" i="8"/>
  <c r="R576" i="8" s="1"/>
  <c r="R577" i="8" s="1"/>
  <c r="R572" i="8"/>
  <c r="P171" i="8" l="1"/>
  <c r="P1486" i="1"/>
  <c r="P1944" i="1" s="1"/>
  <c r="R1702" i="1"/>
  <c r="R586" i="7" s="1"/>
  <c r="R1707" i="1"/>
  <c r="R591" i="7" s="1"/>
  <c r="P1222" i="1"/>
  <c r="P213" i="7" s="1"/>
  <c r="P1570" i="1"/>
  <c r="P450" i="7" s="1"/>
  <c r="O1807" i="1"/>
  <c r="O1826" i="1" s="1"/>
  <c r="O1827" i="1" s="1"/>
  <c r="P45" i="8"/>
  <c r="P175" i="1"/>
  <c r="P74" i="7" s="1"/>
  <c r="P1326" i="1"/>
  <c r="P322" i="7" s="1"/>
  <c r="R182" i="1"/>
  <c r="R81" i="7" s="1"/>
  <c r="Q83" i="7"/>
  <c r="S1677" i="1"/>
  <c r="S561" i="7" s="1"/>
  <c r="S554" i="7"/>
  <c r="S1701" i="1"/>
  <c r="S585" i="7" s="1"/>
  <c r="S578" i="7"/>
  <c r="Q49" i="8"/>
  <c r="Q48" i="8" s="1"/>
  <c r="N1880" i="1"/>
  <c r="N1881" i="1" s="1"/>
  <c r="N1896" i="1"/>
  <c r="N1897" i="1" s="1"/>
  <c r="N1893" i="1"/>
  <c r="N1898" i="1"/>
  <c r="N1899" i="1" s="1"/>
  <c r="N1884" i="1"/>
  <c r="U153" i="8"/>
  <c r="U152" i="8" s="1"/>
  <c r="R1564" i="1"/>
  <c r="R444" i="7" s="1"/>
  <c r="Q928" i="8"/>
  <c r="Q178" i="8"/>
  <c r="Q579" i="8"/>
  <c r="Q1951" i="1"/>
  <c r="Q181" i="8"/>
  <c r="P170" i="8"/>
  <c r="P46" i="8"/>
  <c r="O1350" i="1"/>
  <c r="O346" i="7" s="1"/>
  <c r="O1188" i="1"/>
  <c r="O184" i="8"/>
  <c r="O183" i="8" s="1"/>
  <c r="O185" i="8" s="1"/>
  <c r="O932" i="8" s="1"/>
  <c r="O1289" i="1"/>
  <c r="O283" i="7" s="1"/>
  <c r="M459" i="8"/>
  <c r="M1481" i="1"/>
  <c r="M1573" i="1"/>
  <c r="M453" i="7" s="1"/>
  <c r="M1572" i="1"/>
  <c r="M452" i="7" s="1"/>
  <c r="T442" i="1"/>
  <c r="S592" i="1"/>
  <c r="S1476" i="1" s="1"/>
  <c r="W404" i="1"/>
  <c r="P1339" i="1"/>
  <c r="P335" i="7" s="1"/>
  <c r="P1175" i="1"/>
  <c r="N1744" i="1"/>
  <c r="N629" i="7" s="1"/>
  <c r="O834" i="8"/>
  <c r="O684" i="8"/>
  <c r="O694" i="8" s="1"/>
  <c r="O760" i="8"/>
  <c r="O770" i="8" s="1"/>
  <c r="Q185" i="1"/>
  <c r="Q84" i="7" s="1"/>
  <c r="Q186" i="1"/>
  <c r="Q85" i="7" s="1"/>
  <c r="N328" i="8"/>
  <c r="N327" i="8" s="1"/>
  <c r="N330" i="8" s="1"/>
  <c r="N943" i="8" s="1"/>
  <c r="N1354" i="1"/>
  <c r="N350" i="7" s="1"/>
  <c r="N858" i="8"/>
  <c r="N845" i="8"/>
  <c r="N846" i="8" s="1"/>
  <c r="N861" i="8"/>
  <c r="N862" i="8" s="1"/>
  <c r="N863" i="8"/>
  <c r="N864" i="8" s="1"/>
  <c r="N849" i="8"/>
  <c r="N1496" i="1"/>
  <c r="O1290" i="1"/>
  <c r="N190" i="8"/>
  <c r="N189" i="8" s="1"/>
  <c r="N505" i="8" s="1"/>
  <c r="N509" i="8" s="1"/>
  <c r="M586" i="8"/>
  <c r="M478" i="8"/>
  <c r="M585" i="8"/>
  <c r="S1943" i="1"/>
  <c r="S143" i="8"/>
  <c r="S142" i="8" s="1"/>
  <c r="S910" i="8" s="1"/>
  <c r="S1200" i="1"/>
  <c r="S191" i="7" s="1"/>
  <c r="R476" i="8"/>
  <c r="R475" i="8" s="1"/>
  <c r="R157" i="8"/>
  <c r="R156" i="8" s="1"/>
  <c r="R1220" i="1"/>
  <c r="R211" i="7" s="1"/>
  <c r="R1285" i="1"/>
  <c r="R279" i="7" s="1"/>
  <c r="U1740" i="1"/>
  <c r="U625" i="7" s="1"/>
  <c r="N121" i="8"/>
  <c r="N944" i="8"/>
  <c r="V1475" i="1"/>
  <c r="V158" i="1"/>
  <c r="V57" i="7" s="1"/>
  <c r="O1733" i="1"/>
  <c r="O618" i="7" s="1"/>
  <c r="P488" i="8" l="1"/>
  <c r="P487" i="8" s="1"/>
  <c r="P1491" i="1"/>
  <c r="P1560" i="1"/>
  <c r="P440" i="7" s="1"/>
  <c r="P1558" i="1"/>
  <c r="P438" i="7" s="1"/>
  <c r="P1942" i="1"/>
  <c r="P1941" i="1" s="1"/>
  <c r="P1948" i="1" s="1"/>
  <c r="P173" i="8"/>
  <c r="P1568" i="1"/>
  <c r="P448" i="7" s="1"/>
  <c r="P2015" i="1"/>
  <c r="S1664" i="1"/>
  <c r="S548" i="7" s="1"/>
  <c r="P1331" i="1"/>
  <c r="P327" i="7" s="1"/>
  <c r="O1824" i="1"/>
  <c r="O1825" i="1" s="1"/>
  <c r="O1821" i="1"/>
  <c r="O1812" i="1"/>
  <c r="O1813" i="1" s="1"/>
  <c r="T1814" i="1" s="1"/>
  <c r="O1808" i="1"/>
  <c r="O1809" i="1" s="1"/>
  <c r="O1818" i="1" s="1"/>
  <c r="T1819" i="1" s="1"/>
  <c r="P281" i="8"/>
  <c r="P280" i="8" s="1"/>
  <c r="P289" i="8" s="1"/>
  <c r="P682" i="8" s="1"/>
  <c r="S1704" i="1"/>
  <c r="S1706" i="1" s="1"/>
  <c r="S590" i="7" s="1"/>
  <c r="P47" i="8"/>
  <c r="S1688" i="1"/>
  <c r="S572" i="7" s="1"/>
  <c r="S1690" i="1"/>
  <c r="S1687" i="1" s="1"/>
  <c r="S571" i="7" s="1"/>
  <c r="S1705" i="1"/>
  <c r="S589" i="7" s="1"/>
  <c r="O1291" i="1"/>
  <c r="O285" i="7" s="1"/>
  <c r="S1666" i="1"/>
  <c r="S1663" i="1" s="1"/>
  <c r="S1680" i="1"/>
  <c r="S1682" i="1" s="1"/>
  <c r="S566" i="7" s="1"/>
  <c r="S1681" i="1"/>
  <c r="S565" i="7" s="1"/>
  <c r="O188" i="8"/>
  <c r="O187" i="8" s="1"/>
  <c r="O284" i="7"/>
  <c r="R183" i="1"/>
  <c r="R82" i="7" s="1"/>
  <c r="P498" i="8"/>
  <c r="P497" i="8" s="1"/>
  <c r="R177" i="8"/>
  <c r="R1286" i="1"/>
  <c r="R280" i="7" s="1"/>
  <c r="R2012" i="1"/>
  <c r="R1566" i="1"/>
  <c r="R446" i="7" s="1"/>
  <c r="R176" i="1"/>
  <c r="R75" i="7" s="1"/>
  <c r="R169" i="8"/>
  <c r="R168" i="8" s="1"/>
  <c r="R2014" i="1"/>
  <c r="M569" i="8"/>
  <c r="M514" i="8"/>
  <c r="N570" i="8"/>
  <c r="N589" i="8"/>
  <c r="N512" i="8"/>
  <c r="N850" i="8"/>
  <c r="Q851" i="8" s="1"/>
  <c r="Q187" i="1"/>
  <c r="Q86" i="7" s="1"/>
  <c r="Q173" i="1"/>
  <c r="Q72" i="7" s="1"/>
  <c r="O708" i="8"/>
  <c r="O713" i="8"/>
  <c r="O714" i="8" s="1"/>
  <c r="O695" i="8"/>
  <c r="O696" i="8" s="1"/>
  <c r="O711" i="8"/>
  <c r="O712" i="8" s="1"/>
  <c r="O699" i="8"/>
  <c r="P305" i="8"/>
  <c r="P304" i="8" s="1"/>
  <c r="P935" i="8" s="1"/>
  <c r="P2019" i="1"/>
  <c r="P1342" i="1"/>
  <c r="P338" i="7" s="1"/>
  <c r="S470" i="8"/>
  <c r="S469" i="8" s="1"/>
  <c r="S1472" i="1"/>
  <c r="M1501" i="1"/>
  <c r="M479" i="8"/>
  <c r="M1556" i="1"/>
  <c r="M436" i="7" s="1"/>
  <c r="O186" i="8"/>
  <c r="O2016" i="1"/>
  <c r="O1185" i="1"/>
  <c r="O101" i="8" s="1"/>
  <c r="O100" i="8" s="1"/>
  <c r="O106" i="8"/>
  <c r="O105" i="8" s="1"/>
  <c r="Q56" i="8"/>
  <c r="R54" i="8" s="1"/>
  <c r="V468" i="8"/>
  <c r="V467" i="8" s="1"/>
  <c r="P911" i="8"/>
  <c r="O1734" i="1"/>
  <c r="O619" i="7" s="1"/>
  <c r="O1752" i="1"/>
  <c r="O637" i="7" s="1"/>
  <c r="O1747" i="1"/>
  <c r="O632" i="7" s="1"/>
  <c r="O1750" i="1"/>
  <c r="O635" i="7" s="1"/>
  <c r="O1738" i="1"/>
  <c r="O623" i="7" s="1"/>
  <c r="V56" i="7"/>
  <c r="S2011" i="1"/>
  <c r="S1559" i="1"/>
  <c r="S439" i="7" s="1"/>
  <c r="S1562" i="1"/>
  <c r="S442" i="7" s="1"/>
  <c r="S1208" i="1"/>
  <c r="S199" i="7" s="1"/>
  <c r="S130" i="8"/>
  <c r="S129" i="8" s="1"/>
  <c r="N1498" i="1"/>
  <c r="N506" i="8"/>
  <c r="N855" i="8"/>
  <c r="Q856" i="8" s="1"/>
  <c r="N331" i="8"/>
  <c r="N1356" i="1"/>
  <c r="N352" i="7" s="1"/>
  <c r="N2027" i="1"/>
  <c r="Q57" i="8"/>
  <c r="O771" i="8"/>
  <c r="O772" i="8" s="1"/>
  <c r="O787" i="8"/>
  <c r="O788" i="8" s="1"/>
  <c r="O784" i="8"/>
  <c r="O789" i="8"/>
  <c r="O790" i="8" s="1"/>
  <c r="O775" i="8"/>
  <c r="U1745" i="1"/>
  <c r="U630" i="7" s="1"/>
  <c r="P1167" i="1"/>
  <c r="P69" i="8" s="1"/>
  <c r="P68" i="8" s="1"/>
  <c r="P84" i="8"/>
  <c r="P83" i="8" s="1"/>
  <c r="W405" i="1"/>
  <c r="T591" i="1"/>
  <c r="T944" i="1" s="1"/>
  <c r="T451" i="1"/>
  <c r="O1875" i="1"/>
  <c r="O1879" i="1" s="1"/>
  <c r="O1884" i="1" s="1"/>
  <c r="O325" i="8"/>
  <c r="O324" i="8" s="1"/>
  <c r="O840" i="8" s="1"/>
  <c r="O844" i="8" s="1"/>
  <c r="O1352" i="1"/>
  <c r="O348" i="7" s="1"/>
  <c r="P583" i="8"/>
  <c r="P172" i="8"/>
  <c r="Q929" i="8"/>
  <c r="Q180" i="8"/>
  <c r="Q918" i="8" s="1"/>
  <c r="Q580" i="8"/>
  <c r="N1885" i="1"/>
  <c r="U1886" i="1" s="1"/>
  <c r="N1890" i="1"/>
  <c r="U1891" i="1" s="1"/>
  <c r="P290" i="8" l="1"/>
  <c r="P1867" i="1"/>
  <c r="P1721" i="1"/>
  <c r="P606" i="7" s="1"/>
  <c r="P1795" i="1"/>
  <c r="P758" i="8"/>
  <c r="P832" i="8"/>
  <c r="P1290" i="1"/>
  <c r="P284" i="7" s="1"/>
  <c r="O190" i="8"/>
  <c r="O189" i="8" s="1"/>
  <c r="O505" i="8" s="1"/>
  <c r="O509" i="8" s="1"/>
  <c r="O570" i="8" s="1"/>
  <c r="S588" i="7"/>
  <c r="O1496" i="1"/>
  <c r="O506" i="8" s="1"/>
  <c r="S574" i="7"/>
  <c r="R55" i="8"/>
  <c r="S550" i="7"/>
  <c r="S547" i="7"/>
  <c r="S1683" i="1"/>
  <c r="S567" i="7" s="1"/>
  <c r="S1678" i="1"/>
  <c r="S562" i="7" s="1"/>
  <c r="S1702" i="1"/>
  <c r="S586" i="7" s="1"/>
  <c r="S564" i="7"/>
  <c r="S1707" i="1"/>
  <c r="S591" i="7" s="1"/>
  <c r="Q58" i="8"/>
  <c r="Q44" i="8" s="1"/>
  <c r="Q170" i="8" s="1"/>
  <c r="O858" i="8"/>
  <c r="O845" i="8"/>
  <c r="O846" i="8" s="1"/>
  <c r="O861" i="8"/>
  <c r="O862" i="8" s="1"/>
  <c r="O863" i="8"/>
  <c r="O864" i="8" s="1"/>
  <c r="O849" i="8"/>
  <c r="O1885" i="1"/>
  <c r="T1886" i="1" s="1"/>
  <c r="O328" i="8"/>
  <c r="O327" i="8" s="1"/>
  <c r="O330" i="8" s="1"/>
  <c r="O943" i="8" s="1"/>
  <c r="O1354" i="1"/>
  <c r="O350" i="7" s="1"/>
  <c r="O1893" i="1"/>
  <c r="O1898" i="1"/>
  <c r="O1899" i="1" s="1"/>
  <c r="O1880" i="1"/>
  <c r="O1881" i="1" s="1"/>
  <c r="O1896" i="1"/>
  <c r="O1897" i="1" s="1"/>
  <c r="P573" i="8"/>
  <c r="P931" i="8"/>
  <c r="P909" i="8"/>
  <c r="P908" i="8" s="1"/>
  <c r="P915" i="8" s="1"/>
  <c r="P581" i="8"/>
  <c r="P571" i="8"/>
  <c r="T452" i="1"/>
  <c r="W579" i="1"/>
  <c r="X395" i="1"/>
  <c r="X394" i="1"/>
  <c r="N1135" i="1"/>
  <c r="N1192" i="1"/>
  <c r="N1136" i="1"/>
  <c r="N1091" i="1"/>
  <c r="N1093" i="1"/>
  <c r="N1193" i="1"/>
  <c r="N2029" i="1"/>
  <c r="O1355" i="1"/>
  <c r="O351" i="7" s="1"/>
  <c r="N1461" i="1"/>
  <c r="N335" i="8"/>
  <c r="N334" i="8" s="1"/>
  <c r="S927" i="8"/>
  <c r="S575" i="8"/>
  <c r="S576" i="8" s="1"/>
  <c r="S577" i="8" s="1"/>
  <c r="S572" i="8"/>
  <c r="S1563" i="1"/>
  <c r="S443" i="7" s="1"/>
  <c r="V1053" i="1"/>
  <c r="V1212" i="1"/>
  <c r="V203" i="7" s="1"/>
  <c r="O1751" i="1"/>
  <c r="O636" i="7" s="1"/>
  <c r="O1753" i="1"/>
  <c r="O638" i="7" s="1"/>
  <c r="S462" i="8"/>
  <c r="S461" i="8" s="1"/>
  <c r="S1479" i="1"/>
  <c r="P1869" i="1"/>
  <c r="P1723" i="1"/>
  <c r="P608" i="7" s="1"/>
  <c r="P1797" i="1"/>
  <c r="P1807" i="1" s="1"/>
  <c r="P310" i="8"/>
  <c r="P309" i="8" s="1"/>
  <c r="O700" i="8"/>
  <c r="P701" i="8" s="1"/>
  <c r="O705" i="8"/>
  <c r="P706" i="8" s="1"/>
  <c r="Q59" i="8"/>
  <c r="N588" i="8"/>
  <c r="N590" i="8"/>
  <c r="R1287" i="1"/>
  <c r="R281" i="7" s="1"/>
  <c r="R179" i="8"/>
  <c r="R2013" i="1"/>
  <c r="R1567" i="1"/>
  <c r="R447" i="7" s="1"/>
  <c r="T1694" i="1"/>
  <c r="T1670" i="1"/>
  <c r="T1207" i="1"/>
  <c r="T198" i="7" s="1"/>
  <c r="T988" i="1"/>
  <c r="T980" i="1" s="1"/>
  <c r="O776" i="8"/>
  <c r="P777" i="8" s="1"/>
  <c r="O781" i="8"/>
  <c r="P782" i="8" s="1"/>
  <c r="N1557" i="1"/>
  <c r="N437" i="7" s="1"/>
  <c r="N510" i="8"/>
  <c r="N1500" i="1"/>
  <c r="N1576" i="1"/>
  <c r="N456" i="7" s="1"/>
  <c r="S145" i="8"/>
  <c r="S144" i="8" s="1"/>
  <c r="S1214" i="1"/>
  <c r="S205" i="7" s="1"/>
  <c r="O1739" i="1"/>
  <c r="O624" i="7" s="1"/>
  <c r="O1735" i="1"/>
  <c r="O620" i="7" s="1"/>
  <c r="Q1221" i="1"/>
  <c r="Q212" i="7" s="1"/>
  <c r="Q174" i="1"/>
  <c r="Q73" i="7" s="1"/>
  <c r="Q1052" i="1"/>
  <c r="Q1048" i="1" s="1"/>
  <c r="Q1977" i="1"/>
  <c r="Q1995" i="1" s="1"/>
  <c r="Q2002" i="1" s="1"/>
  <c r="Q227" i="1"/>
  <c r="Q126" i="7" s="1"/>
  <c r="Q1976" i="1"/>
  <c r="Q1994" i="1" s="1"/>
  <c r="Q2001" i="1" s="1"/>
  <c r="R176" i="8"/>
  <c r="R930" i="8"/>
  <c r="R184" i="1"/>
  <c r="R177" i="1"/>
  <c r="R76" i="7" s="1"/>
  <c r="O1498" i="1" l="1"/>
  <c r="O1557" i="1" s="1"/>
  <c r="O437" i="7" s="1"/>
  <c r="P188" i="8"/>
  <c r="P187" i="8" s="1"/>
  <c r="O589" i="8"/>
  <c r="Q46" i="8"/>
  <c r="O512" i="8"/>
  <c r="O590" i="8" s="1"/>
  <c r="T1701" i="1"/>
  <c r="T585" i="7" s="1"/>
  <c r="T578" i="7"/>
  <c r="S182" i="1"/>
  <c r="S81" i="7" s="1"/>
  <c r="R83" i="7"/>
  <c r="T1677" i="1"/>
  <c r="T561" i="7" s="1"/>
  <c r="T554" i="7"/>
  <c r="X578" i="1"/>
  <c r="R186" i="1"/>
  <c r="P834" i="8"/>
  <c r="P684" i="8"/>
  <c r="P694" i="8" s="1"/>
  <c r="P760" i="8"/>
  <c r="P770" i="8" s="1"/>
  <c r="V153" i="8"/>
  <c r="V152" i="8" s="1"/>
  <c r="N441" i="8"/>
  <c r="N1470" i="1"/>
  <c r="R185" i="1"/>
  <c r="R84" i="7" s="1"/>
  <c r="R928" i="8"/>
  <c r="R178" i="8"/>
  <c r="R579" i="8"/>
  <c r="Q1486" i="1"/>
  <c r="Q1066" i="1"/>
  <c r="Q1067" i="1" s="1"/>
  <c r="Q1068" i="1" s="1"/>
  <c r="Q1070" i="1" s="1"/>
  <c r="Q171" i="8"/>
  <c r="Q1570" i="1"/>
  <c r="Q450" i="7" s="1"/>
  <c r="Q1222" i="1"/>
  <c r="Q213" i="7" s="1"/>
  <c r="Q172" i="8"/>
  <c r="Q583" i="8"/>
  <c r="P1733" i="1"/>
  <c r="P618" i="7" s="1"/>
  <c r="S1285" i="1"/>
  <c r="S279" i="7" s="1"/>
  <c r="S157" i="8"/>
  <c r="S156" i="8" s="1"/>
  <c r="S1220" i="1"/>
  <c r="S211" i="7" s="1"/>
  <c r="N513" i="8"/>
  <c r="N1577" i="1"/>
  <c r="N457" i="7" s="1"/>
  <c r="N1575" i="1"/>
  <c r="N455" i="7" s="1"/>
  <c r="T1943" i="1"/>
  <c r="T143" i="8"/>
  <c r="T142" i="8" s="1"/>
  <c r="T910" i="8" s="1"/>
  <c r="T1200" i="1"/>
  <c r="T191" i="7" s="1"/>
  <c r="O510" i="8"/>
  <c r="P1821" i="1"/>
  <c r="P1826" i="1"/>
  <c r="P1827" i="1" s="1"/>
  <c r="P1824" i="1"/>
  <c r="P1825" i="1" s="1"/>
  <c r="P1808" i="1"/>
  <c r="P1809" i="1" s="1"/>
  <c r="P1812" i="1"/>
  <c r="S476" i="8"/>
  <c r="S475" i="8" s="1"/>
  <c r="S1564" i="1"/>
  <c r="S444" i="7" s="1"/>
  <c r="N1137" i="1"/>
  <c r="N945" i="8"/>
  <c r="N1092" i="1"/>
  <c r="N440" i="8"/>
  <c r="N458" i="8" s="1"/>
  <c r="O2028" i="1"/>
  <c r="O333" i="8"/>
  <c r="O332" i="8" s="1"/>
  <c r="P1283" i="1"/>
  <c r="P277" i="7" s="1"/>
  <c r="X404" i="1"/>
  <c r="T592" i="1"/>
  <c r="T1476" i="1" s="1"/>
  <c r="U442" i="1"/>
  <c r="O331" i="8"/>
  <c r="O2027" i="1"/>
  <c r="O1356" i="1"/>
  <c r="O352" i="7" s="1"/>
  <c r="O855" i="8"/>
  <c r="P856" i="8" s="1"/>
  <c r="R49" i="8"/>
  <c r="R48" i="8" s="1"/>
  <c r="Q1326" i="1"/>
  <c r="Q322" i="7" s="1"/>
  <c r="Q45" i="8"/>
  <c r="Q175" i="1"/>
  <c r="Q74" i="7" s="1"/>
  <c r="O1744" i="1"/>
  <c r="O629" i="7" s="1"/>
  <c r="T1740" i="1"/>
  <c r="T625" i="7" s="1"/>
  <c r="R1951" i="1"/>
  <c r="R181" i="8"/>
  <c r="W1475" i="1"/>
  <c r="W158" i="1"/>
  <c r="W57" i="7" s="1"/>
  <c r="O1890" i="1"/>
  <c r="T1891" i="1" s="1"/>
  <c r="O850" i="8"/>
  <c r="P851" i="8" s="1"/>
  <c r="O1500" i="1" l="1"/>
  <c r="O1575" i="1" s="1"/>
  <c r="O455" i="7" s="1"/>
  <c r="O1576" i="1"/>
  <c r="O456" i="7" s="1"/>
  <c r="T1664" i="1"/>
  <c r="T548" i="7" s="1"/>
  <c r="T1681" i="1"/>
  <c r="T565" i="7" s="1"/>
  <c r="T1690" i="1"/>
  <c r="T574" i="7" s="1"/>
  <c r="O588" i="8"/>
  <c r="T1666" i="1"/>
  <c r="T1663" i="1" s="1"/>
  <c r="T547" i="7" s="1"/>
  <c r="T1705" i="1"/>
  <c r="T589" i="7" s="1"/>
  <c r="T1680" i="1"/>
  <c r="T564" i="7" s="1"/>
  <c r="T1688" i="1"/>
  <c r="T572" i="7" s="1"/>
  <c r="T1704" i="1"/>
  <c r="T1706" i="1" s="1"/>
  <c r="T590" i="7" s="1"/>
  <c r="S183" i="1"/>
  <c r="S82" i="7" s="1"/>
  <c r="R173" i="1"/>
  <c r="R72" i="7" s="1"/>
  <c r="R85" i="7"/>
  <c r="R187" i="1"/>
  <c r="Q47" i="8"/>
  <c r="Q1331" i="1"/>
  <c r="Q327" i="7" s="1"/>
  <c r="Q281" i="8"/>
  <c r="Q280" i="8" s="1"/>
  <c r="Q289" i="8" s="1"/>
  <c r="W468" i="8"/>
  <c r="W467" i="8" s="1"/>
  <c r="T1745" i="1"/>
  <c r="T630" i="7" s="1"/>
  <c r="O1193" i="1"/>
  <c r="O1093" i="1"/>
  <c r="O1192" i="1"/>
  <c r="O1136" i="1"/>
  <c r="O1135" i="1"/>
  <c r="O1091" i="1"/>
  <c r="O335" i="8"/>
  <c r="O334" i="8" s="1"/>
  <c r="P1355" i="1"/>
  <c r="P351" i="7" s="1"/>
  <c r="O2029" i="1"/>
  <c r="O1461" i="1"/>
  <c r="U591" i="1"/>
  <c r="U944" i="1" s="1"/>
  <c r="U451" i="1"/>
  <c r="X405" i="1"/>
  <c r="O121" i="8"/>
  <c r="O944" i="8"/>
  <c r="P1813" i="1"/>
  <c r="S1814" i="1" s="1"/>
  <c r="S169" i="8"/>
  <c r="S168" i="8" s="1"/>
  <c r="S2014" i="1"/>
  <c r="S176" i="1"/>
  <c r="S75" i="7" s="1"/>
  <c r="P1750" i="1"/>
  <c r="P635" i="7" s="1"/>
  <c r="P1752" i="1"/>
  <c r="P637" i="7" s="1"/>
  <c r="P1747" i="1"/>
  <c r="P632" i="7" s="1"/>
  <c r="P1734" i="1"/>
  <c r="P619" i="7" s="1"/>
  <c r="P1738" i="1"/>
  <c r="P623" i="7" s="1"/>
  <c r="Q931" i="8"/>
  <c r="Q573" i="8"/>
  <c r="Q909" i="8"/>
  <c r="Q581" i="8"/>
  <c r="Q571" i="8"/>
  <c r="Q1944" i="1"/>
  <c r="Q488" i="8"/>
  <c r="Q487" i="8" s="1"/>
  <c r="Q1491" i="1"/>
  <c r="R180" i="8"/>
  <c r="R918" i="8" s="1"/>
  <c r="R929" i="8"/>
  <c r="R580" i="8"/>
  <c r="R57" i="8"/>
  <c r="P708" i="8"/>
  <c r="P711" i="8"/>
  <c r="P712" i="8" s="1"/>
  <c r="P695" i="8"/>
  <c r="P696" i="8" s="1"/>
  <c r="P713" i="8"/>
  <c r="P714" i="8" s="1"/>
  <c r="P699" i="8"/>
  <c r="W56" i="7"/>
  <c r="R56" i="8"/>
  <c r="S54" i="8" s="1"/>
  <c r="T470" i="8"/>
  <c r="T469" i="8" s="1"/>
  <c r="T1472" i="1"/>
  <c r="P184" i="8"/>
  <c r="P183" i="8" s="1"/>
  <c r="P185" i="8" s="1"/>
  <c r="P932" i="8" s="1"/>
  <c r="P1350" i="1"/>
  <c r="P346" i="7" s="1"/>
  <c r="P1188" i="1"/>
  <c r="P1289" i="1"/>
  <c r="P283" i="7" s="1"/>
  <c r="N586" i="8"/>
  <c r="N478" i="8"/>
  <c r="N585" i="8"/>
  <c r="P1818" i="1"/>
  <c r="S1819" i="1" s="1"/>
  <c r="O1577" i="1"/>
  <c r="O457" i="7" s="1"/>
  <c r="T2011" i="1"/>
  <c r="T130" i="8"/>
  <c r="T129" i="8" s="1"/>
  <c r="T1562" i="1"/>
  <c r="T442" i="7" s="1"/>
  <c r="T1208" i="1"/>
  <c r="T199" i="7" s="1"/>
  <c r="T1559" i="1"/>
  <c r="T439" i="7" s="1"/>
  <c r="S177" i="8"/>
  <c r="S2012" i="1"/>
  <c r="S1286" i="1"/>
  <c r="S280" i="7" s="1"/>
  <c r="S1566" i="1"/>
  <c r="S446" i="7" s="1"/>
  <c r="Q173" i="8"/>
  <c r="Q2015" i="1"/>
  <c r="Q1560" i="1"/>
  <c r="Q440" i="7" s="1"/>
  <c r="Q1942" i="1"/>
  <c r="Q1568" i="1"/>
  <c r="Q448" i="7" s="1"/>
  <c r="Q1558" i="1"/>
  <c r="Q438" i="7" s="1"/>
  <c r="Q1175" i="1"/>
  <c r="Q1339" i="1"/>
  <c r="Q335" i="7" s="1"/>
  <c r="N459" i="8"/>
  <c r="N1481" i="1"/>
  <c r="N1573" i="1"/>
  <c r="N453" i="7" s="1"/>
  <c r="N1572" i="1"/>
  <c r="N452" i="7" s="1"/>
  <c r="P771" i="8"/>
  <c r="P772" i="8" s="1"/>
  <c r="P789" i="8"/>
  <c r="P790" i="8" s="1"/>
  <c r="P784" i="8"/>
  <c r="P787" i="8"/>
  <c r="P788" i="8" s="1"/>
  <c r="P775" i="8"/>
  <c r="R1052" i="1" l="1"/>
  <c r="R1048" i="1" s="1"/>
  <c r="R1977" i="1"/>
  <c r="R1995" i="1" s="1"/>
  <c r="R2002" i="1" s="1"/>
  <c r="O513" i="8"/>
  <c r="T1687" i="1"/>
  <c r="T571" i="7" s="1"/>
  <c r="T1682" i="1"/>
  <c r="T566" i="7" s="1"/>
  <c r="R174" i="1"/>
  <c r="R73" i="7" s="1"/>
  <c r="R1221" i="1"/>
  <c r="R212" i="7" s="1"/>
  <c r="R1976" i="1"/>
  <c r="R1994" i="1" s="1"/>
  <c r="R2001" i="1" s="1"/>
  <c r="S55" i="8"/>
  <c r="R227" i="1"/>
  <c r="R126" i="7" s="1"/>
  <c r="T550" i="7"/>
  <c r="T588" i="7"/>
  <c r="T1678" i="1"/>
  <c r="T562" i="7" s="1"/>
  <c r="T1683" i="1"/>
  <c r="T567" i="7" s="1"/>
  <c r="R59" i="8"/>
  <c r="R86" i="7"/>
  <c r="R58" i="8"/>
  <c r="R44" i="8" s="1"/>
  <c r="R170" i="8" s="1"/>
  <c r="Q84" i="8"/>
  <c r="Q83" i="8" s="1"/>
  <c r="Q1167" i="1"/>
  <c r="Q69" i="8" s="1"/>
  <c r="Q68" i="8" s="1"/>
  <c r="P700" i="8"/>
  <c r="O701" i="8" s="1"/>
  <c r="P776" i="8"/>
  <c r="O777" i="8" s="1"/>
  <c r="P781" i="8"/>
  <c r="O782" i="8" s="1"/>
  <c r="Q2019" i="1"/>
  <c r="Q305" i="8"/>
  <c r="Q304" i="8" s="1"/>
  <c r="Q935" i="8" s="1"/>
  <c r="Q1342" i="1"/>
  <c r="Q338" i="7" s="1"/>
  <c r="Q1941" i="1"/>
  <c r="Q1948" i="1" s="1"/>
  <c r="S179" i="8"/>
  <c r="S1287" i="1"/>
  <c r="S281" i="7" s="1"/>
  <c r="S2013" i="1"/>
  <c r="S1567" i="1"/>
  <c r="S447" i="7" s="1"/>
  <c r="T145" i="8"/>
  <c r="T144" i="8" s="1"/>
  <c r="T1214" i="1"/>
  <c r="T205" i="7" s="1"/>
  <c r="T575" i="8"/>
  <c r="T576" i="8" s="1"/>
  <c r="T577" i="8" s="1"/>
  <c r="T572" i="8"/>
  <c r="T927" i="8"/>
  <c r="N514" i="8"/>
  <c r="N569" i="8"/>
  <c r="P186" i="8"/>
  <c r="P2016" i="1"/>
  <c r="P1291" i="1"/>
  <c r="P285" i="7" s="1"/>
  <c r="P1875" i="1"/>
  <c r="P1879" i="1" s="1"/>
  <c r="P1352" i="1"/>
  <c r="P348" i="7" s="1"/>
  <c r="P325" i="8"/>
  <c r="P324" i="8" s="1"/>
  <c r="P840" i="8" s="1"/>
  <c r="P844" i="8" s="1"/>
  <c r="T462" i="8"/>
  <c r="T461" i="8" s="1"/>
  <c r="T1479" i="1"/>
  <c r="Q911" i="8"/>
  <c r="Q908" i="8" s="1"/>
  <c r="Q915" i="8" s="1"/>
  <c r="P1739" i="1"/>
  <c r="P624" i="7" s="1"/>
  <c r="P1751" i="1"/>
  <c r="P636" i="7" s="1"/>
  <c r="S177" i="1"/>
  <c r="S76" i="7" s="1"/>
  <c r="S184" i="1"/>
  <c r="S83" i="7" s="1"/>
  <c r="S930" i="8"/>
  <c r="S176" i="8"/>
  <c r="X579" i="1"/>
  <c r="Y395" i="1"/>
  <c r="Y394" i="1"/>
  <c r="U452" i="1"/>
  <c r="O441" i="8"/>
  <c r="O1470" i="1"/>
  <c r="P333" i="8"/>
  <c r="P332" i="8" s="1"/>
  <c r="P2028" i="1"/>
  <c r="Q1867" i="1"/>
  <c r="Q1795" i="1"/>
  <c r="Q290" i="8"/>
  <c r="Q1721" i="1"/>
  <c r="Q606" i="7" s="1"/>
  <c r="N1501" i="1"/>
  <c r="N479" i="8"/>
  <c r="N1556" i="1"/>
  <c r="N436" i="7" s="1"/>
  <c r="R1486" i="1"/>
  <c r="R1066" i="1"/>
  <c r="R1067" i="1" s="1"/>
  <c r="R1068" i="1" s="1"/>
  <c r="R1070" i="1" s="1"/>
  <c r="T1563" i="1"/>
  <c r="T443" i="7" s="1"/>
  <c r="P1185" i="1"/>
  <c r="P101" i="8" s="1"/>
  <c r="P100" i="8" s="1"/>
  <c r="P106" i="8"/>
  <c r="P105" i="8" s="1"/>
  <c r="W1212" i="1"/>
  <c r="W203" i="7" s="1"/>
  <c r="W1053" i="1"/>
  <c r="P705" i="8"/>
  <c r="O706" i="8" s="1"/>
  <c r="Q498" i="8"/>
  <c r="Q497" i="8" s="1"/>
  <c r="P1735" i="1"/>
  <c r="P620" i="7" s="1"/>
  <c r="P1753" i="1"/>
  <c r="P638" i="7" s="1"/>
  <c r="U1670" i="1"/>
  <c r="U1694" i="1"/>
  <c r="U988" i="1"/>
  <c r="U980" i="1" s="1"/>
  <c r="U1207" i="1"/>
  <c r="U198" i="7" s="1"/>
  <c r="O1137" i="1"/>
  <c r="O945" i="8"/>
  <c r="O1092" i="1"/>
  <c r="O440" i="8"/>
  <c r="O458" i="8" s="1"/>
  <c r="Q682" i="8"/>
  <c r="Q758" i="8"/>
  <c r="Q832" i="8"/>
  <c r="R171" i="8" l="1"/>
  <c r="R1326" i="1"/>
  <c r="R322" i="7" s="1"/>
  <c r="R1570" i="1"/>
  <c r="R450" i="7" s="1"/>
  <c r="R1222" i="1"/>
  <c r="R213" i="7" s="1"/>
  <c r="T1702" i="1"/>
  <c r="T586" i="7" s="1"/>
  <c r="T1707" i="1"/>
  <c r="T591" i="7" s="1"/>
  <c r="R45" i="8"/>
  <c r="R175" i="1"/>
  <c r="R74" i="7" s="1"/>
  <c r="U1677" i="1"/>
  <c r="U561" i="7" s="1"/>
  <c r="U554" i="7"/>
  <c r="U1701" i="1"/>
  <c r="U585" i="7" s="1"/>
  <c r="U578" i="7"/>
  <c r="Y578" i="1"/>
  <c r="R46" i="8"/>
  <c r="W153" i="8"/>
  <c r="W152" i="8" s="1"/>
  <c r="R1175" i="1"/>
  <c r="R1339" i="1"/>
  <c r="R335" i="7" s="1"/>
  <c r="P121" i="8"/>
  <c r="P944" i="8"/>
  <c r="O459" i="8"/>
  <c r="O1481" i="1"/>
  <c r="O1573" i="1"/>
  <c r="O453" i="7" s="1"/>
  <c r="O1572" i="1"/>
  <c r="O452" i="7" s="1"/>
  <c r="V442" i="1"/>
  <c r="U592" i="1"/>
  <c r="U1476" i="1" s="1"/>
  <c r="O586" i="8"/>
  <c r="O478" i="8"/>
  <c r="O585" i="8"/>
  <c r="U1200" i="1"/>
  <c r="U191" i="7" s="1"/>
  <c r="U1943" i="1"/>
  <c r="U143" i="8"/>
  <c r="U142" i="8" s="1"/>
  <c r="U910" i="8" s="1"/>
  <c r="P1744" i="1"/>
  <c r="P629" i="7" s="1"/>
  <c r="T1564" i="1"/>
  <c r="T444" i="7" s="1"/>
  <c r="R1944" i="1"/>
  <c r="R488" i="8"/>
  <c r="R487" i="8" s="1"/>
  <c r="R1491" i="1"/>
  <c r="Y404" i="1"/>
  <c r="S178" i="8"/>
  <c r="S928" i="8"/>
  <c r="S579" i="8"/>
  <c r="S185" i="1"/>
  <c r="S84" i="7" s="1"/>
  <c r="S49" i="8"/>
  <c r="S48" i="8" s="1"/>
  <c r="T182" i="1"/>
  <c r="T81" i="7" s="1"/>
  <c r="S1740" i="1"/>
  <c r="S625" i="7" s="1"/>
  <c r="P328" i="8"/>
  <c r="P327" i="8" s="1"/>
  <c r="P330" i="8" s="1"/>
  <c r="P943" i="8" s="1"/>
  <c r="P1354" i="1"/>
  <c r="P350" i="7" s="1"/>
  <c r="S1951" i="1"/>
  <c r="S181" i="8"/>
  <c r="X1475" i="1"/>
  <c r="X158" i="1"/>
  <c r="X57" i="7" s="1"/>
  <c r="S186" i="1"/>
  <c r="S85" i="7" s="1"/>
  <c r="T476" i="8"/>
  <c r="T475" i="8" s="1"/>
  <c r="P863" i="8"/>
  <c r="P864" i="8" s="1"/>
  <c r="P858" i="8"/>
  <c r="P861" i="8"/>
  <c r="P862" i="8" s="1"/>
  <c r="P845" i="8"/>
  <c r="P846" i="8" s="1"/>
  <c r="P849" i="8"/>
  <c r="P1880" i="1"/>
  <c r="P1881" i="1" s="1"/>
  <c r="P1893" i="1"/>
  <c r="P1898" i="1"/>
  <c r="P1899" i="1" s="1"/>
  <c r="P1896" i="1"/>
  <c r="P1897" i="1" s="1"/>
  <c r="P1884" i="1"/>
  <c r="P1496" i="1"/>
  <c r="Q1290" i="1"/>
  <c r="P190" i="8"/>
  <c r="P189" i="8" s="1"/>
  <c r="P505" i="8" s="1"/>
  <c r="P509" i="8" s="1"/>
  <c r="T1220" i="1"/>
  <c r="T211" i="7" s="1"/>
  <c r="T157" i="8"/>
  <c r="T156" i="8" s="1"/>
  <c r="T1285" i="1"/>
  <c r="T279" i="7" s="1"/>
  <c r="Q1797" i="1"/>
  <c r="Q1807" i="1" s="1"/>
  <c r="Q1869" i="1"/>
  <c r="Q1723" i="1"/>
  <c r="Q608" i="7" s="1"/>
  <c r="Q310" i="8"/>
  <c r="Q309" i="8" s="1"/>
  <c r="Q1283" i="1"/>
  <c r="Q277" i="7" s="1"/>
  <c r="R583" i="8"/>
  <c r="R172" i="8"/>
  <c r="R1560" i="1"/>
  <c r="R440" i="7" s="1"/>
  <c r="R281" i="8" l="1"/>
  <c r="R1558" i="1"/>
  <c r="R438" i="7" s="1"/>
  <c r="R47" i="8"/>
  <c r="R1331" i="1"/>
  <c r="R327" i="7" s="1"/>
  <c r="R1568" i="1"/>
  <c r="R448" i="7" s="1"/>
  <c r="R2015" i="1"/>
  <c r="R173" i="8"/>
  <c r="R1942" i="1"/>
  <c r="R1941" i="1" s="1"/>
  <c r="R1948" i="1" s="1"/>
  <c r="R280" i="8"/>
  <c r="R289" i="8" s="1"/>
  <c r="R682" i="8" s="1"/>
  <c r="U1680" i="1"/>
  <c r="U1682" i="1" s="1"/>
  <c r="U566" i="7" s="1"/>
  <c r="U1666" i="1"/>
  <c r="U1663" i="1" s="1"/>
  <c r="U1664" i="1"/>
  <c r="U548" i="7" s="1"/>
  <c r="U1681" i="1"/>
  <c r="U565" i="7" s="1"/>
  <c r="U1704" i="1"/>
  <c r="U588" i="7" s="1"/>
  <c r="U1688" i="1"/>
  <c r="U572" i="7" s="1"/>
  <c r="U1690" i="1"/>
  <c r="U574" i="7" s="1"/>
  <c r="U1705" i="1"/>
  <c r="U589" i="7" s="1"/>
  <c r="Q188" i="8"/>
  <c r="Q187" i="8" s="1"/>
  <c r="Q284" i="7"/>
  <c r="Q834" i="8"/>
  <c r="Q684" i="8"/>
  <c r="Q694" i="8" s="1"/>
  <c r="Q760" i="8"/>
  <c r="Q770" i="8" s="1"/>
  <c r="P570" i="8"/>
  <c r="P512" i="8"/>
  <c r="P589" i="8"/>
  <c r="P506" i="8"/>
  <c r="P1498" i="1"/>
  <c r="P850" i="8"/>
  <c r="O851" i="8" s="1"/>
  <c r="X56" i="7"/>
  <c r="P331" i="8"/>
  <c r="P1356" i="1"/>
  <c r="P352" i="7" s="1"/>
  <c r="P2027" i="1"/>
  <c r="S56" i="8"/>
  <c r="T54" i="8" s="1"/>
  <c r="S57" i="8"/>
  <c r="S929" i="8"/>
  <c r="S180" i="8"/>
  <c r="S918" i="8" s="1"/>
  <c r="S580" i="8"/>
  <c r="Q1733" i="1"/>
  <c r="Q618" i="7" s="1"/>
  <c r="R498" i="8"/>
  <c r="R497" i="8" s="1"/>
  <c r="S1745" i="1"/>
  <c r="S630" i="7" s="1"/>
  <c r="O514" i="8"/>
  <c r="O569" i="8"/>
  <c r="U470" i="8"/>
  <c r="U469" i="8" s="1"/>
  <c r="U1472" i="1"/>
  <c r="O479" i="8"/>
  <c r="O1501" i="1"/>
  <c r="O1556" i="1"/>
  <c r="O436" i="7" s="1"/>
  <c r="R1342" i="1"/>
  <c r="R338" i="7" s="1"/>
  <c r="R2019" i="1"/>
  <c r="R305" i="8"/>
  <c r="R304" i="8" s="1"/>
  <c r="R935" i="8" s="1"/>
  <c r="R931" i="8"/>
  <c r="R573" i="8"/>
  <c r="R909" i="8"/>
  <c r="R581" i="8"/>
  <c r="R571" i="8"/>
  <c r="Q184" i="8"/>
  <c r="Q183" i="8" s="1"/>
  <c r="Q185" i="8" s="1"/>
  <c r="Q932" i="8" s="1"/>
  <c r="Q1350" i="1"/>
  <c r="Q346" i="7" s="1"/>
  <c r="Q1188" i="1"/>
  <c r="Q1289" i="1"/>
  <c r="Q283" i="7" s="1"/>
  <c r="Q1808" i="1"/>
  <c r="Q1809" i="1" s="1"/>
  <c r="Q1826" i="1"/>
  <c r="Q1827" i="1" s="1"/>
  <c r="Q1821" i="1"/>
  <c r="Q1824" i="1"/>
  <c r="Q1825" i="1" s="1"/>
  <c r="Q1812" i="1"/>
  <c r="T2012" i="1"/>
  <c r="T1286" i="1"/>
  <c r="T280" i="7" s="1"/>
  <c r="T177" i="8"/>
  <c r="T1566" i="1"/>
  <c r="T446" i="7" s="1"/>
  <c r="T176" i="1"/>
  <c r="T75" i="7" s="1"/>
  <c r="T169" i="8"/>
  <c r="T168" i="8" s="1"/>
  <c r="T2014" i="1"/>
  <c r="P1885" i="1"/>
  <c r="S1886" i="1" s="1"/>
  <c r="P1890" i="1"/>
  <c r="S1891" i="1" s="1"/>
  <c r="P855" i="8"/>
  <c r="O856" i="8" s="1"/>
  <c r="S173" i="1"/>
  <c r="S72" i="7" s="1"/>
  <c r="S187" i="1"/>
  <c r="S86" i="7" s="1"/>
  <c r="X468" i="8"/>
  <c r="X467" i="8" s="1"/>
  <c r="R1795" i="1"/>
  <c r="T183" i="1"/>
  <c r="T82" i="7" s="1"/>
  <c r="Y405" i="1"/>
  <c r="R911" i="8"/>
  <c r="U1559" i="1"/>
  <c r="U439" i="7" s="1"/>
  <c r="U130" i="8"/>
  <c r="U129" i="8" s="1"/>
  <c r="U1208" i="1"/>
  <c r="U199" i="7" s="1"/>
  <c r="U2011" i="1"/>
  <c r="U1562" i="1"/>
  <c r="U442" i="7" s="1"/>
  <c r="V591" i="1"/>
  <c r="V944" i="1" s="1"/>
  <c r="V451" i="1"/>
  <c r="R84" i="8"/>
  <c r="R83" i="8" s="1"/>
  <c r="R1167" i="1"/>
  <c r="R69" i="8" s="1"/>
  <c r="R68" i="8" s="1"/>
  <c r="R1721" i="1" l="1"/>
  <c r="R606" i="7" s="1"/>
  <c r="R832" i="8"/>
  <c r="R758" i="8"/>
  <c r="R1867" i="1"/>
  <c r="R290" i="8"/>
  <c r="U564" i="7"/>
  <c r="U550" i="7"/>
  <c r="U1687" i="1"/>
  <c r="U571" i="7" s="1"/>
  <c r="U547" i="7"/>
  <c r="U1683" i="1"/>
  <c r="U567" i="7" s="1"/>
  <c r="U1678" i="1"/>
  <c r="U562" i="7" s="1"/>
  <c r="U1706" i="1"/>
  <c r="U590" i="7" s="1"/>
  <c r="S58" i="8"/>
  <c r="S44" i="8" s="1"/>
  <c r="S170" i="8" s="1"/>
  <c r="V1670" i="1"/>
  <c r="V988" i="1"/>
  <c r="V980" i="1" s="1"/>
  <c r="V1207" i="1"/>
  <c r="V198" i="7" s="1"/>
  <c r="V1694" i="1"/>
  <c r="U145" i="8"/>
  <c r="U144" i="8" s="1"/>
  <c r="U1214" i="1"/>
  <c r="U205" i="7" s="1"/>
  <c r="U1563" i="1"/>
  <c r="U443" i="7" s="1"/>
  <c r="S59" i="8"/>
  <c r="S174" i="1"/>
  <c r="S73" i="7" s="1"/>
  <c r="S1221" i="1"/>
  <c r="S212" i="7" s="1"/>
  <c r="S1052" i="1"/>
  <c r="S1048" i="1" s="1"/>
  <c r="S227" i="1"/>
  <c r="S126" i="7" s="1"/>
  <c r="S1976" i="1"/>
  <c r="S1994" i="1" s="1"/>
  <c r="S2001" i="1" s="1"/>
  <c r="S1977" i="1"/>
  <c r="S1995" i="1" s="1"/>
  <c r="S2002" i="1" s="1"/>
  <c r="T184" i="1"/>
  <c r="T177" i="1"/>
  <c r="T76" i="7" s="1"/>
  <c r="T179" i="8"/>
  <c r="T1287" i="1"/>
  <c r="T281" i="7" s="1"/>
  <c r="T2013" i="1"/>
  <c r="T1567" i="1"/>
  <c r="T447" i="7" s="1"/>
  <c r="Q1813" i="1"/>
  <c r="R1814" i="1" s="1"/>
  <c r="Q1818" i="1"/>
  <c r="R1819" i="1" s="1"/>
  <c r="Q106" i="8"/>
  <c r="Q105" i="8" s="1"/>
  <c r="Q1185" i="1"/>
  <c r="Q101" i="8" s="1"/>
  <c r="Q100" i="8" s="1"/>
  <c r="U462" i="8"/>
  <c r="U461" i="8" s="1"/>
  <c r="U1479" i="1"/>
  <c r="Q1752" i="1"/>
  <c r="Q637" i="7" s="1"/>
  <c r="Q1747" i="1"/>
  <c r="Q632" i="7" s="1"/>
  <c r="Q1734" i="1"/>
  <c r="Q619" i="7" s="1"/>
  <c r="Q1750" i="1"/>
  <c r="Q635" i="7" s="1"/>
  <c r="Q1738" i="1"/>
  <c r="Q623" i="7" s="1"/>
  <c r="X1053" i="1"/>
  <c r="X1212" i="1"/>
  <c r="X203" i="7" s="1"/>
  <c r="P590" i="8"/>
  <c r="P588" i="8"/>
  <c r="Q708" i="8"/>
  <c r="Q695" i="8"/>
  <c r="Q696" i="8" s="1"/>
  <c r="Q713" i="8"/>
  <c r="Q714" i="8" s="1"/>
  <c r="Q711" i="8"/>
  <c r="Q712" i="8" s="1"/>
  <c r="Q699" i="8"/>
  <c r="V452" i="1"/>
  <c r="U927" i="8"/>
  <c r="U575" i="8"/>
  <c r="U576" i="8" s="1"/>
  <c r="U577" i="8" s="1"/>
  <c r="U572" i="8"/>
  <c r="Z395" i="1"/>
  <c r="Y579" i="1"/>
  <c r="Z394" i="1"/>
  <c r="Z578" i="1" s="1"/>
  <c r="T55" i="8"/>
  <c r="T930" i="8"/>
  <c r="T176" i="8"/>
  <c r="Q186" i="8"/>
  <c r="Q2016" i="1"/>
  <c r="Q1291" i="1"/>
  <c r="Q285" i="7" s="1"/>
  <c r="Q1875" i="1"/>
  <c r="Q1879" i="1" s="1"/>
  <c r="Q1352" i="1"/>
  <c r="Q348" i="7" s="1"/>
  <c r="Q325" i="8"/>
  <c r="Q324" i="8" s="1"/>
  <c r="Q840" i="8" s="1"/>
  <c r="Q844" i="8" s="1"/>
  <c r="R908" i="8"/>
  <c r="R915" i="8" s="1"/>
  <c r="R1869" i="1"/>
  <c r="R1797" i="1"/>
  <c r="R1807" i="1" s="1"/>
  <c r="R310" i="8"/>
  <c r="R309" i="8" s="1"/>
  <c r="R1723" i="1"/>
  <c r="R608" i="7" s="1"/>
  <c r="P1193" i="1"/>
  <c r="P1093" i="1"/>
  <c r="P1136" i="1"/>
  <c r="P2029" i="1"/>
  <c r="P1461" i="1"/>
  <c r="P1091" i="1"/>
  <c r="P1135" i="1"/>
  <c r="P1192" i="1"/>
  <c r="P335" i="8"/>
  <c r="P334" i="8" s="1"/>
  <c r="Q1355" i="1"/>
  <c r="Q351" i="7" s="1"/>
  <c r="P1557" i="1"/>
  <c r="P437" i="7" s="1"/>
  <c r="P510" i="8"/>
  <c r="P1576" i="1"/>
  <c r="P456" i="7" s="1"/>
  <c r="P1500" i="1"/>
  <c r="Q771" i="8"/>
  <c r="Q772" i="8" s="1"/>
  <c r="Q787" i="8"/>
  <c r="Q788" i="8" s="1"/>
  <c r="Q784" i="8"/>
  <c r="Q789" i="8"/>
  <c r="Q790" i="8" s="1"/>
  <c r="Q775" i="8"/>
  <c r="U1702" i="1" l="1"/>
  <c r="U586" i="7" s="1"/>
  <c r="U1707" i="1"/>
  <c r="U591" i="7" s="1"/>
  <c r="V1701" i="1"/>
  <c r="V585" i="7" s="1"/>
  <c r="V578" i="7"/>
  <c r="T186" i="1"/>
  <c r="T85" i="7" s="1"/>
  <c r="T83" i="7"/>
  <c r="V1677" i="1"/>
  <c r="V561" i="7" s="1"/>
  <c r="V554" i="7"/>
  <c r="S46" i="8"/>
  <c r="R1733" i="1"/>
  <c r="R1747" i="1" s="1"/>
  <c r="R632" i="7" s="1"/>
  <c r="P1137" i="1"/>
  <c r="P945" i="8"/>
  <c r="P1092" i="1"/>
  <c r="P440" i="8"/>
  <c r="P458" i="8" s="1"/>
  <c r="Q328" i="8"/>
  <c r="Q327" i="8" s="1"/>
  <c r="Q330" i="8" s="1"/>
  <c r="Q943" i="8" s="1"/>
  <c r="Q1354" i="1"/>
  <c r="Q350" i="7" s="1"/>
  <c r="Q858" i="8"/>
  <c r="Q845" i="8"/>
  <c r="Q846" i="8" s="1"/>
  <c r="Q863" i="8"/>
  <c r="Q864" i="8" s="1"/>
  <c r="Q861" i="8"/>
  <c r="Q862" i="8" s="1"/>
  <c r="Q849" i="8"/>
  <c r="P1577" i="1"/>
  <c r="P457" i="7" s="1"/>
  <c r="P513" i="8"/>
  <c r="P1575" i="1"/>
  <c r="P455" i="7" s="1"/>
  <c r="Q333" i="8"/>
  <c r="Q332" i="8" s="1"/>
  <c r="Q2028" i="1"/>
  <c r="R1283" i="1"/>
  <c r="R277" i="7" s="1"/>
  <c r="P441" i="8"/>
  <c r="P1470" i="1"/>
  <c r="R1821" i="1"/>
  <c r="R1824" i="1"/>
  <c r="R1825" i="1" s="1"/>
  <c r="R1826" i="1"/>
  <c r="R1827" i="1" s="1"/>
  <c r="R1808" i="1"/>
  <c r="R1809" i="1" s="1"/>
  <c r="Q1893" i="1"/>
  <c r="Q1880" i="1"/>
  <c r="Q1881" i="1" s="1"/>
  <c r="Q1896" i="1"/>
  <c r="Q1897" i="1" s="1"/>
  <c r="Q1898" i="1"/>
  <c r="Q1899" i="1" s="1"/>
  <c r="Q1884" i="1"/>
  <c r="Q1496" i="1"/>
  <c r="R1290" i="1"/>
  <c r="Q190" i="8"/>
  <c r="Q189" i="8" s="1"/>
  <c r="Q505" i="8" s="1"/>
  <c r="Q509" i="8" s="1"/>
  <c r="Y1475" i="1"/>
  <c r="Y158" i="1"/>
  <c r="Y57" i="7" s="1"/>
  <c r="Q705" i="8"/>
  <c r="N706" i="8" s="1"/>
  <c r="X153" i="8"/>
  <c r="X152" i="8" s="1"/>
  <c r="Q1739" i="1"/>
  <c r="Q624" i="7" s="1"/>
  <c r="Q1735" i="1"/>
  <c r="Q620" i="7" s="1"/>
  <c r="Q1753" i="1"/>
  <c r="Q638" i="7" s="1"/>
  <c r="U476" i="8"/>
  <c r="U475" i="8" s="1"/>
  <c r="T1951" i="1"/>
  <c r="T181" i="8"/>
  <c r="T49" i="8"/>
  <c r="T48" i="8" s="1"/>
  <c r="T187" i="1"/>
  <c r="T86" i="7" s="1"/>
  <c r="S1486" i="1"/>
  <c r="S1066" i="1"/>
  <c r="S1067" i="1" s="1"/>
  <c r="S1068" i="1" s="1"/>
  <c r="S1070" i="1" s="1"/>
  <c r="U1564" i="1"/>
  <c r="U444" i="7" s="1"/>
  <c r="Q776" i="8"/>
  <c r="N777" i="8" s="1"/>
  <c r="Q781" i="8"/>
  <c r="N782" i="8" s="1"/>
  <c r="R834" i="8"/>
  <c r="R684" i="8"/>
  <c r="R694" i="8" s="1"/>
  <c r="R699" i="8" s="1"/>
  <c r="R760" i="8"/>
  <c r="R770" i="8" s="1"/>
  <c r="R775" i="8" s="1"/>
  <c r="T928" i="8"/>
  <c r="T178" i="8"/>
  <c r="T579" i="8"/>
  <c r="Z404" i="1"/>
  <c r="W442" i="1"/>
  <c r="V592" i="1"/>
  <c r="V1476" i="1" s="1"/>
  <c r="Q700" i="8"/>
  <c r="N701" i="8" s="1"/>
  <c r="S172" i="8"/>
  <c r="S583" i="8"/>
  <c r="Q1751" i="1"/>
  <c r="Q636" i="7" s="1"/>
  <c r="R1812" i="1"/>
  <c r="T185" i="1"/>
  <c r="T84" i="7" s="1"/>
  <c r="U182" i="1"/>
  <c r="U81" i="7" s="1"/>
  <c r="S1326" i="1"/>
  <c r="S322" i="7" s="1"/>
  <c r="S171" i="8"/>
  <c r="S1222" i="1"/>
  <c r="S213" i="7" s="1"/>
  <c r="S1570" i="1"/>
  <c r="S450" i="7" s="1"/>
  <c r="S45" i="8"/>
  <c r="S175" i="1"/>
  <c r="S74" i="7" s="1"/>
  <c r="U157" i="8"/>
  <c r="U156" i="8" s="1"/>
  <c r="U1285" i="1"/>
  <c r="U279" i="7" s="1"/>
  <c r="U1220" i="1"/>
  <c r="U211" i="7" s="1"/>
  <c r="V1943" i="1"/>
  <c r="V1200" i="1"/>
  <c r="V191" i="7" s="1"/>
  <c r="V143" i="8"/>
  <c r="V142" i="8" s="1"/>
  <c r="V910" i="8" s="1"/>
  <c r="V1664" i="1" l="1"/>
  <c r="V548" i="7" s="1"/>
  <c r="V1690" i="1"/>
  <c r="V1687" i="1" s="1"/>
  <c r="V571" i="7" s="1"/>
  <c r="V1680" i="1"/>
  <c r="V564" i="7" s="1"/>
  <c r="V1666" i="1"/>
  <c r="V550" i="7" s="1"/>
  <c r="V1681" i="1"/>
  <c r="V565" i="7" s="1"/>
  <c r="V1704" i="1"/>
  <c r="V588" i="7" s="1"/>
  <c r="V1688" i="1"/>
  <c r="V572" i="7" s="1"/>
  <c r="V1705" i="1"/>
  <c r="V589" i="7" s="1"/>
  <c r="T173" i="1"/>
  <c r="T72" i="7" s="1"/>
  <c r="R188" i="8"/>
  <c r="R187" i="8" s="1"/>
  <c r="R284" i="7"/>
  <c r="R1738" i="1"/>
  <c r="R623" i="7" s="1"/>
  <c r="R618" i="7"/>
  <c r="R1750" i="1"/>
  <c r="R635" i="7" s="1"/>
  <c r="R1734" i="1"/>
  <c r="R619" i="7" s="1"/>
  <c r="R1752" i="1"/>
  <c r="R637" i="7" s="1"/>
  <c r="R776" i="8"/>
  <c r="M777" i="8" s="1"/>
  <c r="V2011" i="1"/>
  <c r="V1562" i="1"/>
  <c r="V442" i="7" s="1"/>
  <c r="V1208" i="1"/>
  <c r="V199" i="7" s="1"/>
  <c r="V130" i="8"/>
  <c r="V129" i="8" s="1"/>
  <c r="V1559" i="1"/>
  <c r="V439" i="7" s="1"/>
  <c r="U1286" i="1"/>
  <c r="U280" i="7" s="1"/>
  <c r="U177" i="8"/>
  <c r="U2012" i="1"/>
  <c r="U1566" i="1"/>
  <c r="U446" i="7" s="1"/>
  <c r="S1331" i="1"/>
  <c r="S327" i="7" s="1"/>
  <c r="S281" i="8"/>
  <c r="S280" i="8" s="1"/>
  <c r="S289" i="8" s="1"/>
  <c r="U183" i="1"/>
  <c r="U82" i="7" s="1"/>
  <c r="R700" i="8"/>
  <c r="M701" i="8" s="1"/>
  <c r="V470" i="8"/>
  <c r="V469" i="8" s="1"/>
  <c r="V1472" i="1"/>
  <c r="Z405" i="1"/>
  <c r="R708" i="8"/>
  <c r="R695" i="8"/>
  <c r="R696" i="8" s="1"/>
  <c r="R711" i="8"/>
  <c r="R712" i="8" s="1"/>
  <c r="R713" i="8"/>
  <c r="R714" i="8" s="1"/>
  <c r="S1175" i="1"/>
  <c r="S1339" i="1"/>
  <c r="S335" i="7" s="1"/>
  <c r="R1740" i="1"/>
  <c r="R625" i="7" s="1"/>
  <c r="Y56" i="7"/>
  <c r="Q506" i="8"/>
  <c r="Q1498" i="1"/>
  <c r="Q1890" i="1"/>
  <c r="R1891" i="1" s="1"/>
  <c r="R1818" i="1"/>
  <c r="Q1819" i="1" s="1"/>
  <c r="P1481" i="1"/>
  <c r="P1573" i="1"/>
  <c r="P453" i="7" s="1"/>
  <c r="P459" i="8"/>
  <c r="P1572" i="1"/>
  <c r="P452" i="7" s="1"/>
  <c r="R184" i="8"/>
  <c r="R183" i="8" s="1"/>
  <c r="R185" i="8" s="1"/>
  <c r="R932" i="8" s="1"/>
  <c r="R1188" i="1"/>
  <c r="R1350" i="1"/>
  <c r="R346" i="7" s="1"/>
  <c r="R1289" i="1"/>
  <c r="R283" i="7" s="1"/>
  <c r="Q121" i="8"/>
  <c r="Q944" i="8"/>
  <c r="Q855" i="8"/>
  <c r="N856" i="8" s="1"/>
  <c r="Q331" i="8"/>
  <c r="Q2027" i="1"/>
  <c r="Q1356" i="1"/>
  <c r="Q352" i="7" s="1"/>
  <c r="P586" i="8"/>
  <c r="P478" i="8"/>
  <c r="P585" i="8"/>
  <c r="U169" i="8"/>
  <c r="U168" i="8" s="1"/>
  <c r="U2014" i="1"/>
  <c r="U176" i="1"/>
  <c r="U75" i="7" s="1"/>
  <c r="S47" i="8"/>
  <c r="S173" i="8"/>
  <c r="S2015" i="1"/>
  <c r="S1560" i="1"/>
  <c r="S440" i="7" s="1"/>
  <c r="S1942" i="1"/>
  <c r="S1568" i="1"/>
  <c r="S448" i="7" s="1"/>
  <c r="S1558" i="1"/>
  <c r="S438" i="7" s="1"/>
  <c r="T57" i="8"/>
  <c r="R1813" i="1"/>
  <c r="Q1814" i="1" s="1"/>
  <c r="S573" i="8"/>
  <c r="S931" i="8"/>
  <c r="S909" i="8"/>
  <c r="S581" i="8"/>
  <c r="S571" i="8"/>
  <c r="W591" i="1"/>
  <c r="W944" i="1" s="1"/>
  <c r="W451" i="1"/>
  <c r="T929" i="8"/>
  <c r="T180" i="8"/>
  <c r="T918" i="8" s="1"/>
  <c r="T580" i="8"/>
  <c r="R784" i="8"/>
  <c r="R771" i="8"/>
  <c r="R772" i="8" s="1"/>
  <c r="R787" i="8"/>
  <c r="R788" i="8" s="1"/>
  <c r="R789" i="8"/>
  <c r="R790" i="8" s="1"/>
  <c r="S1944" i="1"/>
  <c r="S488" i="8"/>
  <c r="S487" i="8" s="1"/>
  <c r="S1491" i="1"/>
  <c r="T59" i="8"/>
  <c r="T56" i="8"/>
  <c r="U54" i="8" s="1"/>
  <c r="Q1744" i="1"/>
  <c r="Q629" i="7" s="1"/>
  <c r="Q570" i="8"/>
  <c r="Q589" i="8"/>
  <c r="Q512" i="8"/>
  <c r="Q1885" i="1"/>
  <c r="R1886" i="1" s="1"/>
  <c r="Q850" i="8"/>
  <c r="N851" i="8" s="1"/>
  <c r="V1706" i="1" l="1"/>
  <c r="V590" i="7" s="1"/>
  <c r="V574" i="7"/>
  <c r="V1682" i="1"/>
  <c r="V566" i="7" s="1"/>
  <c r="T1221" i="1"/>
  <c r="T212" i="7" s="1"/>
  <c r="T1977" i="1"/>
  <c r="T1995" i="1" s="1"/>
  <c r="T2002" i="1" s="1"/>
  <c r="V1663" i="1"/>
  <c r="V547" i="7" s="1"/>
  <c r="R1753" i="1"/>
  <c r="R638" i="7" s="1"/>
  <c r="T1052" i="1"/>
  <c r="T1048" i="1" s="1"/>
  <c r="T1486" i="1" s="1"/>
  <c r="R1739" i="1"/>
  <c r="R624" i="7" s="1"/>
  <c r="T1976" i="1"/>
  <c r="T1994" i="1" s="1"/>
  <c r="T2001" i="1" s="1"/>
  <c r="T227" i="1"/>
  <c r="T126" i="7" s="1"/>
  <c r="T174" i="1"/>
  <c r="T73" i="7" s="1"/>
  <c r="R1751" i="1"/>
  <c r="R636" i="7" s="1"/>
  <c r="V1702" i="1"/>
  <c r="V586" i="7" s="1"/>
  <c r="V1707" i="1"/>
  <c r="V591" i="7" s="1"/>
  <c r="R1735" i="1"/>
  <c r="R620" i="7" s="1"/>
  <c r="R1745" i="1"/>
  <c r="R630" i="7" s="1"/>
  <c r="S498" i="8"/>
  <c r="S497" i="8" s="1"/>
  <c r="R781" i="8"/>
  <c r="M782" i="8" s="1"/>
  <c r="T58" i="8"/>
  <c r="T44" i="8" s="1"/>
  <c r="S911" i="8"/>
  <c r="S908" i="8" s="1"/>
  <c r="S915" i="8" s="1"/>
  <c r="W452" i="1"/>
  <c r="S1941" i="1"/>
  <c r="S1948" i="1" s="1"/>
  <c r="U184" i="1"/>
  <c r="U177" i="1"/>
  <c r="U76" i="7" s="1"/>
  <c r="P569" i="8"/>
  <c r="P514" i="8"/>
  <c r="R186" i="8"/>
  <c r="R2016" i="1"/>
  <c r="R1291" i="1"/>
  <c r="R285" i="7" s="1"/>
  <c r="R1185" i="1"/>
  <c r="R101" i="8" s="1"/>
  <c r="R100" i="8" s="1"/>
  <c r="R106" i="8"/>
  <c r="R105" i="8" s="1"/>
  <c r="Q510" i="8"/>
  <c r="Q1557" i="1"/>
  <c r="Q437" i="7" s="1"/>
  <c r="Q1500" i="1"/>
  <c r="Q1576" i="1"/>
  <c r="Q456" i="7" s="1"/>
  <c r="Y1053" i="1"/>
  <c r="Y1212" i="1"/>
  <c r="Y203" i="7" s="1"/>
  <c r="T1066" i="1"/>
  <c r="T1067" i="1" s="1"/>
  <c r="T1068" i="1" s="1"/>
  <c r="T1070" i="1" s="1"/>
  <c r="S1167" i="1"/>
  <c r="S69" i="8" s="1"/>
  <c r="S68" i="8" s="1"/>
  <c r="S84" i="8"/>
  <c r="S83" i="8" s="1"/>
  <c r="U55" i="8"/>
  <c r="S1795" i="1"/>
  <c r="S290" i="8"/>
  <c r="S1867" i="1"/>
  <c r="S1721" i="1"/>
  <c r="S606" i="7" s="1"/>
  <c r="V1214" i="1"/>
  <c r="V205" i="7" s="1"/>
  <c r="V145" i="8"/>
  <c r="V144" i="8" s="1"/>
  <c r="Q588" i="8"/>
  <c r="Q590" i="8"/>
  <c r="W1670" i="1"/>
  <c r="W1207" i="1"/>
  <c r="W198" i="7" s="1"/>
  <c r="W1694" i="1"/>
  <c r="W988" i="1"/>
  <c r="W980" i="1" s="1"/>
  <c r="U930" i="8"/>
  <c r="U176" i="8"/>
  <c r="Q1136" i="1"/>
  <c r="Q1093" i="1"/>
  <c r="Q335" i="8"/>
  <c r="Q334" i="8" s="1"/>
  <c r="Q2029" i="1"/>
  <c r="Q1461" i="1"/>
  <c r="Q1091" i="1"/>
  <c r="Q1193" i="1"/>
  <c r="Q1192" i="1"/>
  <c r="Q1135" i="1"/>
  <c r="R1355" i="1"/>
  <c r="R351" i="7" s="1"/>
  <c r="R1875" i="1"/>
  <c r="R1879" i="1" s="1"/>
  <c r="R1352" i="1"/>
  <c r="R348" i="7" s="1"/>
  <c r="R325" i="8"/>
  <c r="R324" i="8" s="1"/>
  <c r="R840" i="8" s="1"/>
  <c r="R844" i="8" s="1"/>
  <c r="P479" i="8"/>
  <c r="P1501" i="1"/>
  <c r="P1556" i="1"/>
  <c r="P436" i="7" s="1"/>
  <c r="S2019" i="1"/>
  <c r="S1342" i="1"/>
  <c r="S338" i="7" s="1"/>
  <c r="S305" i="8"/>
  <c r="S304" i="8" s="1"/>
  <c r="S935" i="8" s="1"/>
  <c r="R705" i="8"/>
  <c r="M706" i="8" s="1"/>
  <c r="AA395" i="1"/>
  <c r="Z579" i="1"/>
  <c r="AA394" i="1"/>
  <c r="AA578" i="1" s="1"/>
  <c r="V1479" i="1"/>
  <c r="V462" i="8"/>
  <c r="V461" i="8" s="1"/>
  <c r="S758" i="8"/>
  <c r="S682" i="8"/>
  <c r="S832" i="8"/>
  <c r="U1287" i="1"/>
  <c r="U281" i="7" s="1"/>
  <c r="U179" i="8"/>
  <c r="U2013" i="1"/>
  <c r="U1567" i="1"/>
  <c r="U447" i="7" s="1"/>
  <c r="V927" i="8"/>
  <c r="V575" i="8"/>
  <c r="V576" i="8" s="1"/>
  <c r="V577" i="8" s="1"/>
  <c r="V572" i="8"/>
  <c r="V1563" i="1"/>
  <c r="V443" i="7" s="1"/>
  <c r="V1683" i="1" l="1"/>
  <c r="V567" i="7" s="1"/>
  <c r="T1222" i="1"/>
  <c r="T213" i="7" s="1"/>
  <c r="T1570" i="1"/>
  <c r="T450" i="7" s="1"/>
  <c r="T171" i="8"/>
  <c r="T175" i="1"/>
  <c r="T74" i="7" s="1"/>
  <c r="T45" i="8"/>
  <c r="Q1740" i="1"/>
  <c r="Q625" i="7" s="1"/>
  <c r="V1678" i="1"/>
  <c r="V562" i="7" s="1"/>
  <c r="T1326" i="1"/>
  <c r="T322" i="7" s="1"/>
  <c r="W1701" i="1"/>
  <c r="W585" i="7" s="1"/>
  <c r="W578" i="7"/>
  <c r="W1677" i="1"/>
  <c r="W561" i="7" s="1"/>
  <c r="W554" i="7"/>
  <c r="U186" i="1"/>
  <c r="U85" i="7" s="1"/>
  <c r="U83" i="7"/>
  <c r="R1744" i="1"/>
  <c r="R629" i="7" s="1"/>
  <c r="V182" i="1"/>
  <c r="V81" i="7" s="1"/>
  <c r="V1564" i="1"/>
  <c r="V444" i="7" s="1"/>
  <c r="V476" i="8"/>
  <c r="V475" i="8" s="1"/>
  <c r="Z1475" i="1"/>
  <c r="Z158" i="1"/>
  <c r="Z57" i="7" s="1"/>
  <c r="S1869" i="1"/>
  <c r="S1797" i="1"/>
  <c r="S1807" i="1" s="1"/>
  <c r="S1723" i="1"/>
  <c r="S608" i="7" s="1"/>
  <c r="S310" i="8"/>
  <c r="S309" i="8" s="1"/>
  <c r="R328" i="8"/>
  <c r="R327" i="8" s="1"/>
  <c r="R330" i="8" s="1"/>
  <c r="R943" i="8" s="1"/>
  <c r="R1354" i="1"/>
  <c r="R350" i="7" s="1"/>
  <c r="R333" i="8"/>
  <c r="R332" i="8" s="1"/>
  <c r="R2028" i="1"/>
  <c r="S1283" i="1"/>
  <c r="S277" i="7" s="1"/>
  <c r="T488" i="8"/>
  <c r="T487" i="8" s="1"/>
  <c r="T1944" i="1"/>
  <c r="T1491" i="1"/>
  <c r="R1496" i="1"/>
  <c r="S1290" i="1"/>
  <c r="R190" i="8"/>
  <c r="R189" i="8" s="1"/>
  <c r="R505" i="8" s="1"/>
  <c r="R509" i="8" s="1"/>
  <c r="U49" i="8"/>
  <c r="U48" i="8" s="1"/>
  <c r="X442" i="1"/>
  <c r="W592" i="1"/>
  <c r="W1476" i="1" s="1"/>
  <c r="T170" i="8"/>
  <c r="T46" i="8"/>
  <c r="U181" i="8"/>
  <c r="U1951" i="1"/>
  <c r="AA404" i="1"/>
  <c r="R861" i="8"/>
  <c r="R862" i="8" s="1"/>
  <c r="R845" i="8"/>
  <c r="R846" i="8" s="1"/>
  <c r="R863" i="8"/>
  <c r="R864" i="8" s="1"/>
  <c r="R858" i="8"/>
  <c r="R849" i="8"/>
  <c r="R1880" i="1"/>
  <c r="R1881" i="1" s="1"/>
  <c r="R1893" i="1"/>
  <c r="R1898" i="1"/>
  <c r="R1899" i="1" s="1"/>
  <c r="R1896" i="1"/>
  <c r="R1897" i="1" s="1"/>
  <c r="R1884" i="1"/>
  <c r="Q441" i="8"/>
  <c r="Q1470" i="1"/>
  <c r="Q1137" i="1"/>
  <c r="Q1092" i="1"/>
  <c r="Q440" i="8"/>
  <c r="Q458" i="8" s="1"/>
  <c r="Q945" i="8"/>
  <c r="U928" i="8"/>
  <c r="U178" i="8"/>
  <c r="U579" i="8"/>
  <c r="W1200" i="1"/>
  <c r="W191" i="7" s="1"/>
  <c r="W1943" i="1"/>
  <c r="W143" i="8"/>
  <c r="W142" i="8" s="1"/>
  <c r="W910" i="8" s="1"/>
  <c r="V1285" i="1"/>
  <c r="V279" i="7" s="1"/>
  <c r="V157" i="8"/>
  <c r="V156" i="8" s="1"/>
  <c r="V1220" i="1"/>
  <c r="V211" i="7" s="1"/>
  <c r="T1339" i="1"/>
  <c r="T335" i="7" s="1"/>
  <c r="T1175" i="1"/>
  <c r="Q513" i="8"/>
  <c r="Q1577" i="1"/>
  <c r="Q457" i="7" s="1"/>
  <c r="Q1575" i="1"/>
  <c r="Q455" i="7" s="1"/>
  <c r="U185" i="1"/>
  <c r="U84" i="7" s="1"/>
  <c r="T1560" i="1" l="1"/>
  <c r="T440" i="7" s="1"/>
  <c r="T1942" i="1"/>
  <c r="T1558" i="1"/>
  <c r="T438" i="7" s="1"/>
  <c r="T2015" i="1"/>
  <c r="T1568" i="1"/>
  <c r="T448" i="7" s="1"/>
  <c r="T173" i="8"/>
  <c r="T1331" i="1"/>
  <c r="T327" i="7" s="1"/>
  <c r="V183" i="1"/>
  <c r="V82" i="7" s="1"/>
  <c r="T281" i="8"/>
  <c r="T280" i="8" s="1"/>
  <c r="T289" i="8" s="1"/>
  <c r="T832" i="8" s="1"/>
  <c r="T47" i="8"/>
  <c r="W1705" i="1"/>
  <c r="W589" i="7" s="1"/>
  <c r="U187" i="1"/>
  <c r="U86" i="7" s="1"/>
  <c r="S1733" i="1"/>
  <c r="S618" i="7" s="1"/>
  <c r="W1664" i="1"/>
  <c r="W548" i="7" s="1"/>
  <c r="W1681" i="1"/>
  <c r="W565" i="7" s="1"/>
  <c r="W1704" i="1"/>
  <c r="W588" i="7" s="1"/>
  <c r="Q1745" i="1"/>
  <c r="Q630" i="7" s="1"/>
  <c r="U173" i="1"/>
  <c r="U72" i="7" s="1"/>
  <c r="W1666" i="1"/>
  <c r="W550" i="7" s="1"/>
  <c r="W1680" i="1"/>
  <c r="W1682" i="1" s="1"/>
  <c r="W566" i="7" s="1"/>
  <c r="W1690" i="1"/>
  <c r="W1687" i="1" s="1"/>
  <c r="W1688" i="1"/>
  <c r="W572" i="7" s="1"/>
  <c r="S188" i="8"/>
  <c r="S187" i="8" s="1"/>
  <c r="S284" i="7"/>
  <c r="T1795" i="1"/>
  <c r="T305" i="8"/>
  <c r="T304" i="8" s="1"/>
  <c r="T935" i="8" s="1"/>
  <c r="T2019" i="1"/>
  <c r="T1342" i="1"/>
  <c r="T338" i="7" s="1"/>
  <c r="V2014" i="1"/>
  <c r="V176" i="1"/>
  <c r="V75" i="7" s="1"/>
  <c r="V169" i="8"/>
  <c r="V168" i="8" s="1"/>
  <c r="V2012" i="1"/>
  <c r="V1286" i="1"/>
  <c r="V280" i="7" s="1"/>
  <c r="V177" i="8"/>
  <c r="V1566" i="1"/>
  <c r="V446" i="7" s="1"/>
  <c r="W1559" i="1"/>
  <c r="W439" i="7" s="1"/>
  <c r="W2011" i="1"/>
  <c r="W130" i="8"/>
  <c r="W129" i="8" s="1"/>
  <c r="W1562" i="1"/>
  <c r="W442" i="7" s="1"/>
  <c r="W1208" i="1"/>
  <c r="W199" i="7" s="1"/>
  <c r="Q478" i="8"/>
  <c r="Q586" i="8"/>
  <c r="Q585" i="8"/>
  <c r="U57" i="8"/>
  <c r="T84" i="8"/>
  <c r="T83" i="8" s="1"/>
  <c r="T1167" i="1"/>
  <c r="T69" i="8" s="1"/>
  <c r="T68" i="8" s="1"/>
  <c r="U180" i="8"/>
  <c r="U918" i="8" s="1"/>
  <c r="U929" i="8"/>
  <c r="U580" i="8"/>
  <c r="Q459" i="8"/>
  <c r="Q1573" i="1"/>
  <c r="Q453" i="7" s="1"/>
  <c r="Q1481" i="1"/>
  <c r="Q1572" i="1"/>
  <c r="Q452" i="7" s="1"/>
  <c r="R1885" i="1"/>
  <c r="Q1886" i="1" s="1"/>
  <c r="R1890" i="1"/>
  <c r="Q1891" i="1" s="1"/>
  <c r="R855" i="8"/>
  <c r="M856" i="8" s="1"/>
  <c r="AA405" i="1"/>
  <c r="T583" i="8"/>
  <c r="T172" i="8"/>
  <c r="X591" i="1"/>
  <c r="X944" i="1" s="1"/>
  <c r="X451" i="1"/>
  <c r="R506" i="8"/>
  <c r="R1498" i="1"/>
  <c r="R121" i="8"/>
  <c r="R944" i="8"/>
  <c r="S834" i="8"/>
  <c r="S684" i="8"/>
  <c r="S694" i="8" s="1"/>
  <c r="S760" i="8"/>
  <c r="S770" i="8" s="1"/>
  <c r="S1808" i="1"/>
  <c r="S1809" i="1" s="1"/>
  <c r="S1821" i="1"/>
  <c r="S1824" i="1"/>
  <c r="S1825" i="1" s="1"/>
  <c r="S1826" i="1"/>
  <c r="S1827" i="1" s="1"/>
  <c r="S1812" i="1"/>
  <c r="R850" i="8"/>
  <c r="M851" i="8" s="1"/>
  <c r="W470" i="8"/>
  <c r="W469" i="8" s="1"/>
  <c r="W1472" i="1"/>
  <c r="U56" i="8"/>
  <c r="V54" i="8" s="1"/>
  <c r="R570" i="8"/>
  <c r="R589" i="8"/>
  <c r="R512" i="8"/>
  <c r="T498" i="8"/>
  <c r="T497" i="8" s="1"/>
  <c r="T911" i="8"/>
  <c r="T1941" i="1"/>
  <c r="T1948" i="1" s="1"/>
  <c r="S184" i="8"/>
  <c r="S183" i="8" s="1"/>
  <c r="S185" i="8" s="1"/>
  <c r="S932" i="8" s="1"/>
  <c r="S1188" i="1"/>
  <c r="S1350" i="1"/>
  <c r="S346" i="7" s="1"/>
  <c r="S1289" i="1"/>
  <c r="S283" i="7" s="1"/>
  <c r="R331" i="8"/>
  <c r="R2027" i="1"/>
  <c r="R1356" i="1"/>
  <c r="R352" i="7" s="1"/>
  <c r="Z56" i="7"/>
  <c r="U59" i="8" l="1"/>
  <c r="T1867" i="1"/>
  <c r="T1721" i="1"/>
  <c r="T606" i="7" s="1"/>
  <c r="T290" i="8"/>
  <c r="V55" i="8"/>
  <c r="T682" i="8"/>
  <c r="T758" i="8"/>
  <c r="S1750" i="1"/>
  <c r="S635" i="7" s="1"/>
  <c r="U1976" i="1"/>
  <c r="U1994" i="1" s="1"/>
  <c r="U2001" i="1" s="1"/>
  <c r="S1738" i="1"/>
  <c r="S623" i="7" s="1"/>
  <c r="S1734" i="1"/>
  <c r="S619" i="7" s="1"/>
  <c r="W1706" i="1"/>
  <c r="W590" i="7" s="1"/>
  <c r="W564" i="7"/>
  <c r="W574" i="7"/>
  <c r="W1663" i="1"/>
  <c r="W547" i="7" s="1"/>
  <c r="S1752" i="1"/>
  <c r="S637" i="7" s="1"/>
  <c r="S1747" i="1"/>
  <c r="S632" i="7" s="1"/>
  <c r="U1052" i="1"/>
  <c r="U1048" i="1" s="1"/>
  <c r="U1486" i="1" s="1"/>
  <c r="U227" i="1"/>
  <c r="U126" i="7" s="1"/>
  <c r="W571" i="7"/>
  <c r="W1702" i="1"/>
  <c r="W586" i="7" s="1"/>
  <c r="W1707" i="1"/>
  <c r="W591" i="7" s="1"/>
  <c r="U1977" i="1"/>
  <c r="U1995" i="1" s="1"/>
  <c r="U2002" i="1" s="1"/>
  <c r="U174" i="1"/>
  <c r="U73" i="7" s="1"/>
  <c r="U1221" i="1"/>
  <c r="U212" i="7" s="1"/>
  <c r="U58" i="8"/>
  <c r="U44" i="8" s="1"/>
  <c r="U170" i="8" s="1"/>
  <c r="W1563" i="1"/>
  <c r="W443" i="7" s="1"/>
  <c r="R1136" i="1"/>
  <c r="R1193" i="1"/>
  <c r="R1135" i="1"/>
  <c r="R1093" i="1"/>
  <c r="R1192" i="1"/>
  <c r="R1091" i="1"/>
  <c r="R2029" i="1"/>
  <c r="S1355" i="1"/>
  <c r="S351" i="7" s="1"/>
  <c r="R1461" i="1"/>
  <c r="R335" i="8"/>
  <c r="R334" i="8" s="1"/>
  <c r="Z1053" i="1"/>
  <c r="Z1212" i="1"/>
  <c r="Z203" i="7" s="1"/>
  <c r="S1875" i="1"/>
  <c r="S1879" i="1" s="1"/>
  <c r="S1352" i="1"/>
  <c r="S348" i="7" s="1"/>
  <c r="S325" i="8"/>
  <c r="S324" i="8" s="1"/>
  <c r="S840" i="8" s="1"/>
  <c r="S844" i="8" s="1"/>
  <c r="R590" i="8"/>
  <c r="R588" i="8"/>
  <c r="W1479" i="1"/>
  <c r="W462" i="8"/>
  <c r="W461" i="8" s="1"/>
  <c r="S1813" i="1"/>
  <c r="P1814" i="1" s="1"/>
  <c r="S1818" i="1"/>
  <c r="P1819" i="1" s="1"/>
  <c r="S711" i="8"/>
  <c r="S712" i="8" s="1"/>
  <c r="S713" i="8"/>
  <c r="S714" i="8" s="1"/>
  <c r="S708" i="8"/>
  <c r="S695" i="8"/>
  <c r="S696" i="8" s="1"/>
  <c r="S699" i="8"/>
  <c r="R510" i="8"/>
  <c r="R1557" i="1"/>
  <c r="R437" i="7" s="1"/>
  <c r="R1500" i="1"/>
  <c r="R1576" i="1"/>
  <c r="R456" i="7" s="1"/>
  <c r="X452" i="1"/>
  <c r="T931" i="8"/>
  <c r="T573" i="8"/>
  <c r="T909" i="8"/>
  <c r="T908" i="8" s="1"/>
  <c r="T915" i="8" s="1"/>
  <c r="T581" i="8"/>
  <c r="T571" i="8"/>
  <c r="AA579" i="1"/>
  <c r="AB395" i="1"/>
  <c r="AB394" i="1"/>
  <c r="Q569" i="8"/>
  <c r="Q514" i="8"/>
  <c r="V184" i="1"/>
  <c r="V177" i="1"/>
  <c r="V76" i="7" s="1"/>
  <c r="S2016" i="1"/>
  <c r="S186" i="8"/>
  <c r="S1291" i="1"/>
  <c r="S285" i="7" s="1"/>
  <c r="S1185" i="1"/>
  <c r="S101" i="8" s="1"/>
  <c r="S100" i="8" s="1"/>
  <c r="S106" i="8"/>
  <c r="S105" i="8" s="1"/>
  <c r="S1751" i="1"/>
  <c r="S636" i="7" s="1"/>
  <c r="S784" i="8"/>
  <c r="S771" i="8"/>
  <c r="S772" i="8" s="1"/>
  <c r="S787" i="8"/>
  <c r="S788" i="8" s="1"/>
  <c r="S789" i="8"/>
  <c r="S790" i="8" s="1"/>
  <c r="S775" i="8"/>
  <c r="X1670" i="1"/>
  <c r="X988" i="1"/>
  <c r="X980" i="1" s="1"/>
  <c r="X1694" i="1"/>
  <c r="X1207" i="1"/>
  <c r="X198" i="7" s="1"/>
  <c r="Q479" i="8"/>
  <c r="Q1556" i="1"/>
  <c r="Q436" i="7" s="1"/>
  <c r="Q1501" i="1"/>
  <c r="W1214" i="1"/>
  <c r="W205" i="7" s="1"/>
  <c r="W145" i="8"/>
  <c r="W144" i="8" s="1"/>
  <c r="W572" i="8"/>
  <c r="W927" i="8"/>
  <c r="W575" i="8"/>
  <c r="W576" i="8" s="1"/>
  <c r="W577" i="8" s="1"/>
  <c r="V179" i="8"/>
  <c r="V1287" i="1"/>
  <c r="V281" i="7" s="1"/>
  <c r="V2013" i="1"/>
  <c r="V1567" i="1"/>
  <c r="V447" i="7" s="1"/>
  <c r="V930" i="8"/>
  <c r="V176" i="8"/>
  <c r="T1869" i="1"/>
  <c r="T310" i="8"/>
  <c r="T309" i="8" s="1"/>
  <c r="T1797" i="1"/>
  <c r="T1807" i="1" s="1"/>
  <c r="T1723" i="1"/>
  <c r="T608" i="7" s="1"/>
  <c r="U1570" i="1" l="1"/>
  <c r="U450" i="7" s="1"/>
  <c r="S1735" i="1"/>
  <c r="S620" i="7" s="1"/>
  <c r="U1066" i="1"/>
  <c r="U1067" i="1" s="1"/>
  <c r="U1068" i="1" s="1"/>
  <c r="U1070" i="1" s="1"/>
  <c r="U1175" i="1" s="1"/>
  <c r="S1739" i="1"/>
  <c r="S624" i="7" s="1"/>
  <c r="U45" i="8"/>
  <c r="S1753" i="1"/>
  <c r="S638" i="7" s="1"/>
  <c r="W1678" i="1"/>
  <c r="W562" i="7" s="1"/>
  <c r="W1683" i="1"/>
  <c r="W567" i="7" s="1"/>
  <c r="U171" i="8"/>
  <c r="U1222" i="1"/>
  <c r="U213" i="7" s="1"/>
  <c r="U1326" i="1"/>
  <c r="U322" i="7" s="1"/>
  <c r="U175" i="1"/>
  <c r="U74" i="7" s="1"/>
  <c r="T1733" i="1"/>
  <c r="T618" i="7" s="1"/>
  <c r="X1701" i="1"/>
  <c r="X585" i="7" s="1"/>
  <c r="X578" i="7"/>
  <c r="X1677" i="1"/>
  <c r="X561" i="7" s="1"/>
  <c r="X554" i="7"/>
  <c r="V186" i="1"/>
  <c r="V85" i="7" s="1"/>
  <c r="V83" i="7"/>
  <c r="AB578" i="1"/>
  <c r="W1564" i="1"/>
  <c r="W444" i="7" s="1"/>
  <c r="W182" i="1"/>
  <c r="W81" i="7" s="1"/>
  <c r="U46" i="8"/>
  <c r="X143" i="8"/>
  <c r="X142" i="8" s="1"/>
  <c r="X910" i="8" s="1"/>
  <c r="X1943" i="1"/>
  <c r="X1200" i="1"/>
  <c r="X191" i="7" s="1"/>
  <c r="S858" i="8"/>
  <c r="S845" i="8"/>
  <c r="S846" i="8" s="1"/>
  <c r="S861" i="8"/>
  <c r="S862" i="8" s="1"/>
  <c r="S863" i="8"/>
  <c r="S864" i="8" s="1"/>
  <c r="S849" i="8"/>
  <c r="S781" i="8"/>
  <c r="L782" i="8" s="1"/>
  <c r="U1944" i="1"/>
  <c r="U488" i="8"/>
  <c r="U487" i="8" s="1"/>
  <c r="U1491" i="1"/>
  <c r="T1808" i="1"/>
  <c r="T1809" i="1" s="1"/>
  <c r="T1824" i="1"/>
  <c r="T1825" i="1" s="1"/>
  <c r="T1826" i="1"/>
  <c r="T1827" i="1" s="1"/>
  <c r="T1821" i="1"/>
  <c r="V928" i="8"/>
  <c r="V178" i="8"/>
  <c r="V579" i="8"/>
  <c r="V1951" i="1"/>
  <c r="V181" i="8"/>
  <c r="W157" i="8"/>
  <c r="W156" i="8" s="1"/>
  <c r="W1285" i="1"/>
  <c r="W279" i="7" s="1"/>
  <c r="W1220" i="1"/>
  <c r="W211" i="7" s="1"/>
  <c r="S776" i="8"/>
  <c r="L777" i="8" s="1"/>
  <c r="S1496" i="1"/>
  <c r="S190" i="8"/>
  <c r="S189" i="8" s="1"/>
  <c r="S505" i="8" s="1"/>
  <c r="S509" i="8" s="1"/>
  <c r="T1290" i="1"/>
  <c r="V49" i="8"/>
  <c r="V48" i="8" s="1"/>
  <c r="V185" i="1"/>
  <c r="V84" i="7" s="1"/>
  <c r="AB404" i="1"/>
  <c r="Y442" i="1"/>
  <c r="X592" i="1"/>
  <c r="X1476" i="1" s="1"/>
  <c r="S700" i="8"/>
  <c r="L701" i="8" s="1"/>
  <c r="W476" i="8"/>
  <c r="W475" i="8" s="1"/>
  <c r="S328" i="8"/>
  <c r="S327" i="8" s="1"/>
  <c r="S330" i="8" s="1"/>
  <c r="S943" i="8" s="1"/>
  <c r="S1354" i="1"/>
  <c r="S350" i="7" s="1"/>
  <c r="R945" i="8"/>
  <c r="R1092" i="1"/>
  <c r="R1137" i="1"/>
  <c r="R440" i="8"/>
  <c r="R458" i="8" s="1"/>
  <c r="S2028" i="1"/>
  <c r="S333" i="8"/>
  <c r="S332" i="8" s="1"/>
  <c r="T1283" i="1"/>
  <c r="T277" i="7" s="1"/>
  <c r="T834" i="8"/>
  <c r="T760" i="8"/>
  <c r="T770" i="8" s="1"/>
  <c r="T684" i="8"/>
  <c r="T694" i="8" s="1"/>
  <c r="AA1475" i="1"/>
  <c r="AA158" i="1"/>
  <c r="AA57" i="7" s="1"/>
  <c r="R1577" i="1"/>
  <c r="R457" i="7" s="1"/>
  <c r="R1575" i="1"/>
  <c r="R455" i="7" s="1"/>
  <c r="R513" i="8"/>
  <c r="S705" i="8"/>
  <c r="L706" i="8" s="1"/>
  <c r="T1812" i="1"/>
  <c r="S1893" i="1"/>
  <c r="S1880" i="1"/>
  <c r="S1881" i="1" s="1"/>
  <c r="S1898" i="1"/>
  <c r="S1899" i="1" s="1"/>
  <c r="S1896" i="1"/>
  <c r="S1897" i="1" s="1"/>
  <c r="S1884" i="1"/>
  <c r="U583" i="8"/>
  <c r="U172" i="8"/>
  <c r="R441" i="8"/>
  <c r="R1470" i="1"/>
  <c r="U1339" i="1" l="1"/>
  <c r="U335" i="7" s="1"/>
  <c r="U1558" i="1"/>
  <c r="U438" i="7" s="1"/>
  <c r="S1744" i="1"/>
  <c r="S629" i="7" s="1"/>
  <c r="X1666" i="1"/>
  <c r="X1663" i="1" s="1"/>
  <c r="X547" i="7" s="1"/>
  <c r="P1740" i="1"/>
  <c r="P625" i="7" s="1"/>
  <c r="T1734" i="1"/>
  <c r="T619" i="7" s="1"/>
  <c r="X1705" i="1"/>
  <c r="X589" i="7" s="1"/>
  <c r="U1942" i="1"/>
  <c r="U1941" i="1" s="1"/>
  <c r="U1948" i="1" s="1"/>
  <c r="W183" i="1"/>
  <c r="W82" i="7" s="1"/>
  <c r="U2015" i="1"/>
  <c r="U47" i="8"/>
  <c r="U1331" i="1"/>
  <c r="U327" i="7" s="1"/>
  <c r="X1664" i="1"/>
  <c r="X548" i="7" s="1"/>
  <c r="X1688" i="1"/>
  <c r="X572" i="7" s="1"/>
  <c r="U1568" i="1"/>
  <c r="U448" i="7" s="1"/>
  <c r="U1560" i="1"/>
  <c r="U440" i="7" s="1"/>
  <c r="U173" i="8"/>
  <c r="T1738" i="1"/>
  <c r="T623" i="7" s="1"/>
  <c r="T1747" i="1"/>
  <c r="T632" i="7" s="1"/>
  <c r="U281" i="8"/>
  <c r="U280" i="8" s="1"/>
  <c r="U289" i="8" s="1"/>
  <c r="U682" i="8" s="1"/>
  <c r="X1680" i="1"/>
  <c r="X1682" i="1" s="1"/>
  <c r="X566" i="7" s="1"/>
  <c r="X1681" i="1"/>
  <c r="X565" i="7" s="1"/>
  <c r="X1690" i="1"/>
  <c r="X1687" i="1" s="1"/>
  <c r="X1704" i="1"/>
  <c r="X588" i="7" s="1"/>
  <c r="V173" i="1"/>
  <c r="V72" i="7" s="1"/>
  <c r="V187" i="1"/>
  <c r="V86" i="7" s="1"/>
  <c r="T1752" i="1"/>
  <c r="T637" i="7" s="1"/>
  <c r="T1750" i="1"/>
  <c r="T635" i="7" s="1"/>
  <c r="T188" i="8"/>
  <c r="T187" i="8" s="1"/>
  <c r="T284" i="7"/>
  <c r="U573" i="8"/>
  <c r="U931" i="8"/>
  <c r="U909" i="8"/>
  <c r="U581" i="8"/>
  <c r="U571" i="8"/>
  <c r="S1885" i="1"/>
  <c r="P1886" i="1" s="1"/>
  <c r="T708" i="8"/>
  <c r="T695" i="8"/>
  <c r="T696" i="8" s="1"/>
  <c r="T711" i="8"/>
  <c r="T712" i="8" s="1"/>
  <c r="T713" i="8"/>
  <c r="T714" i="8" s="1"/>
  <c r="S1890" i="1"/>
  <c r="P1891" i="1" s="1"/>
  <c r="T1813" i="1"/>
  <c r="O1814" i="1" s="1"/>
  <c r="AA56" i="7"/>
  <c r="T771" i="8"/>
  <c r="T772" i="8" s="1"/>
  <c r="T784" i="8"/>
  <c r="T789" i="8"/>
  <c r="T790" i="8" s="1"/>
  <c r="T787" i="8"/>
  <c r="T788" i="8" s="1"/>
  <c r="T1188" i="1"/>
  <c r="T1350" i="1"/>
  <c r="T346" i="7" s="1"/>
  <c r="T184" i="8"/>
  <c r="T183" i="8" s="1"/>
  <c r="T185" i="8" s="1"/>
  <c r="T932" i="8" s="1"/>
  <c r="T1289" i="1"/>
  <c r="T283" i="7" s="1"/>
  <c r="R478" i="8"/>
  <c r="R586" i="8"/>
  <c r="R585" i="8"/>
  <c r="S331" i="8"/>
  <c r="S2027" i="1"/>
  <c r="S1356" i="1"/>
  <c r="S352" i="7" s="1"/>
  <c r="Y591" i="1"/>
  <c r="Y944" i="1" s="1"/>
  <c r="Y451" i="1"/>
  <c r="V56" i="8"/>
  <c r="W54" i="8" s="1"/>
  <c r="U1167" i="1"/>
  <c r="U69" i="8" s="1"/>
  <c r="U68" i="8" s="1"/>
  <c r="U84" i="8"/>
  <c r="U83" i="8" s="1"/>
  <c r="T775" i="8"/>
  <c r="W2012" i="1"/>
  <c r="W1286" i="1"/>
  <c r="W280" i="7" s="1"/>
  <c r="W177" i="8"/>
  <c r="W1566" i="1"/>
  <c r="W446" i="7" s="1"/>
  <c r="V929" i="8"/>
  <c r="V180" i="8"/>
  <c r="V918" i="8" s="1"/>
  <c r="V580" i="8"/>
  <c r="U498" i="8"/>
  <c r="U497" i="8" s="1"/>
  <c r="S850" i="8"/>
  <c r="L851" i="8" s="1"/>
  <c r="R459" i="8"/>
  <c r="R1481" i="1"/>
  <c r="R1573" i="1"/>
  <c r="R453" i="7" s="1"/>
  <c r="R1572" i="1"/>
  <c r="R452" i="7" s="1"/>
  <c r="S121" i="8"/>
  <c r="S944" i="8"/>
  <c r="T699" i="8"/>
  <c r="X470" i="8"/>
  <c r="X469" i="8" s="1"/>
  <c r="X1472" i="1"/>
  <c r="AB405" i="1"/>
  <c r="V57" i="8"/>
  <c r="U305" i="8"/>
  <c r="U304" i="8" s="1"/>
  <c r="U935" i="8" s="1"/>
  <c r="S570" i="8"/>
  <c r="S589" i="8"/>
  <c r="S512" i="8"/>
  <c r="S1498" i="1"/>
  <c r="S506" i="8"/>
  <c r="W169" i="8"/>
  <c r="W168" i="8" s="1"/>
  <c r="W176" i="1"/>
  <c r="W75" i="7" s="1"/>
  <c r="W2014" i="1"/>
  <c r="T1818" i="1"/>
  <c r="O1819" i="1" s="1"/>
  <c r="U911" i="8"/>
  <c r="S855" i="8"/>
  <c r="L856" i="8" s="1"/>
  <c r="X1559" i="1"/>
  <c r="X439" i="7" s="1"/>
  <c r="X1562" i="1"/>
  <c r="X442" i="7" s="1"/>
  <c r="X2011" i="1"/>
  <c r="X130" i="8"/>
  <c r="X129" i="8" s="1"/>
  <c r="X1208" i="1"/>
  <c r="X199" i="7" s="1"/>
  <c r="U1342" i="1" l="1"/>
  <c r="U338" i="7" s="1"/>
  <c r="U1867" i="1"/>
  <c r="U1795" i="1"/>
  <c r="U290" i="8"/>
  <c r="U1721" i="1"/>
  <c r="U606" i="7" s="1"/>
  <c r="U2019" i="1"/>
  <c r="X550" i="7"/>
  <c r="T1753" i="1"/>
  <c r="T638" i="7" s="1"/>
  <c r="P1745" i="1"/>
  <c r="P630" i="7" s="1"/>
  <c r="T1735" i="1"/>
  <c r="T620" i="7" s="1"/>
  <c r="V1221" i="1"/>
  <c r="V212" i="7" s="1"/>
  <c r="U832" i="8"/>
  <c r="W55" i="8"/>
  <c r="V59" i="8"/>
  <c r="U758" i="8"/>
  <c r="X1706" i="1"/>
  <c r="X590" i="7" s="1"/>
  <c r="T1739" i="1"/>
  <c r="T624" i="7" s="1"/>
  <c r="X1683" i="1"/>
  <c r="X567" i="7" s="1"/>
  <c r="V227" i="1"/>
  <c r="V126" i="7" s="1"/>
  <c r="V174" i="1"/>
  <c r="V73" i="7" s="1"/>
  <c r="X574" i="7"/>
  <c r="T1751" i="1"/>
  <c r="T636" i="7" s="1"/>
  <c r="V1977" i="1"/>
  <c r="V1995" i="1" s="1"/>
  <c r="V2002" i="1" s="1"/>
  <c r="V1976" i="1"/>
  <c r="V1994" i="1" s="1"/>
  <c r="V2001" i="1" s="1"/>
  <c r="V1052" i="1"/>
  <c r="V1048" i="1" s="1"/>
  <c r="V1486" i="1" s="1"/>
  <c r="X564" i="7"/>
  <c r="X571" i="7"/>
  <c r="X1702" i="1"/>
  <c r="X586" i="7" s="1"/>
  <c r="X1707" i="1"/>
  <c r="X591" i="7" s="1"/>
  <c r="X1678" i="1"/>
  <c r="X562" i="7" s="1"/>
  <c r="V58" i="8"/>
  <c r="V44" i="8" s="1"/>
  <c r="V46" i="8" s="1"/>
  <c r="X1563" i="1"/>
  <c r="X443" i="7" s="1"/>
  <c r="X1214" i="1"/>
  <c r="X205" i="7" s="1"/>
  <c r="X145" i="8"/>
  <c r="X144" i="8" s="1"/>
  <c r="X927" i="8"/>
  <c r="X572" i="8"/>
  <c r="X575" i="8"/>
  <c r="X576" i="8" s="1"/>
  <c r="X577" i="8" s="1"/>
  <c r="W184" i="1"/>
  <c r="W186" i="1" s="1"/>
  <c r="W85" i="7" s="1"/>
  <c r="W177" i="1"/>
  <c r="W76" i="7" s="1"/>
  <c r="W176" i="8"/>
  <c r="W930" i="8"/>
  <c r="S510" i="8"/>
  <c r="S1557" i="1"/>
  <c r="S437" i="7" s="1"/>
  <c r="S1500" i="1"/>
  <c r="S1576" i="1"/>
  <c r="S456" i="7" s="1"/>
  <c r="AC395" i="1"/>
  <c r="AB579" i="1"/>
  <c r="AC394" i="1"/>
  <c r="X462" i="8"/>
  <c r="X461" i="8" s="1"/>
  <c r="X1479" i="1"/>
  <c r="T700" i="8"/>
  <c r="K701" i="8" s="1"/>
  <c r="Y452" i="1"/>
  <c r="T186" i="8"/>
  <c r="T2016" i="1"/>
  <c r="T1291" i="1"/>
  <c r="T285" i="7" s="1"/>
  <c r="T325" i="8"/>
  <c r="T324" i="8" s="1"/>
  <c r="T840" i="8" s="1"/>
  <c r="T844" i="8" s="1"/>
  <c r="T1352" i="1"/>
  <c r="T348" i="7" s="1"/>
  <c r="T1875" i="1"/>
  <c r="T1879" i="1" s="1"/>
  <c r="T705" i="8"/>
  <c r="K706" i="8" s="1"/>
  <c r="U908" i="8"/>
  <c r="U915" i="8" s="1"/>
  <c r="S590" i="8"/>
  <c r="S588" i="8"/>
  <c r="U310" i="8"/>
  <c r="U309" i="8" s="1"/>
  <c r="U1797" i="1"/>
  <c r="U1807" i="1" s="1"/>
  <c r="R479" i="8"/>
  <c r="R1556" i="1"/>
  <c r="R436" i="7" s="1"/>
  <c r="R1501" i="1"/>
  <c r="W1287" i="1"/>
  <c r="W281" i="7" s="1"/>
  <c r="W179" i="8"/>
  <c r="W2013" i="1"/>
  <c r="W1567" i="1"/>
  <c r="W447" i="7" s="1"/>
  <c r="T776" i="8"/>
  <c r="K777" i="8" s="1"/>
  <c r="Y988" i="1"/>
  <c r="Y980" i="1" s="1"/>
  <c r="Y1670" i="1"/>
  <c r="Y1207" i="1"/>
  <c r="Y198" i="7" s="1"/>
  <c r="Y1694" i="1"/>
  <c r="S1091" i="1"/>
  <c r="S1136" i="1"/>
  <c r="S1093" i="1"/>
  <c r="S1192" i="1"/>
  <c r="S2029" i="1"/>
  <c r="S1135" i="1"/>
  <c r="S1193" i="1"/>
  <c r="S1461" i="1"/>
  <c r="S335" i="8"/>
  <c r="S334" i="8" s="1"/>
  <c r="T1355" i="1"/>
  <c r="T351" i="7" s="1"/>
  <c r="R514" i="8"/>
  <c r="R569" i="8"/>
  <c r="T106" i="8"/>
  <c r="T105" i="8" s="1"/>
  <c r="T1185" i="1"/>
  <c r="T101" i="8" s="1"/>
  <c r="T100" i="8" s="1"/>
  <c r="T781" i="8"/>
  <c r="K782" i="8" s="1"/>
  <c r="AA1053" i="1"/>
  <c r="AA1212" i="1"/>
  <c r="AA203" i="7" s="1"/>
  <c r="V1570" i="1" l="1"/>
  <c r="V450" i="7" s="1"/>
  <c r="U1723" i="1"/>
  <c r="U608" i="7" s="1"/>
  <c r="U1869" i="1"/>
  <c r="V1222" i="1"/>
  <c r="V213" i="7" s="1"/>
  <c r="T1744" i="1"/>
  <c r="T629" i="7" s="1"/>
  <c r="V170" i="8"/>
  <c r="V172" i="8" s="1"/>
  <c r="V171" i="8"/>
  <c r="V175" i="1"/>
  <c r="V74" i="7" s="1"/>
  <c r="O1740" i="1"/>
  <c r="O625" i="7" s="1"/>
  <c r="V1326" i="1"/>
  <c r="V322" i="7" s="1"/>
  <c r="V1066" i="1"/>
  <c r="V1067" i="1" s="1"/>
  <c r="V1068" i="1" s="1"/>
  <c r="V1070" i="1" s="1"/>
  <c r="V1339" i="1" s="1"/>
  <c r="V335" i="7" s="1"/>
  <c r="V45" i="8"/>
  <c r="X182" i="1"/>
  <c r="X81" i="7" s="1"/>
  <c r="W83" i="7"/>
  <c r="Y1701" i="1"/>
  <c r="Y585" i="7" s="1"/>
  <c r="Y578" i="7"/>
  <c r="Y1677" i="1"/>
  <c r="Y561" i="7" s="1"/>
  <c r="Y554" i="7"/>
  <c r="X1564" i="1"/>
  <c r="X444" i="7" s="1"/>
  <c r="S1137" i="1"/>
  <c r="S945" i="8"/>
  <c r="S440" i="8"/>
  <c r="S458" i="8" s="1"/>
  <c r="S1092" i="1"/>
  <c r="T1880" i="1"/>
  <c r="T1881" i="1" s="1"/>
  <c r="T1896" i="1"/>
  <c r="T1897" i="1" s="1"/>
  <c r="T1898" i="1"/>
  <c r="T1899" i="1" s="1"/>
  <c r="T1893" i="1"/>
  <c r="T1884" i="1"/>
  <c r="T858" i="8"/>
  <c r="T861" i="8"/>
  <c r="T862" i="8" s="1"/>
  <c r="T863" i="8"/>
  <c r="T864" i="8" s="1"/>
  <c r="T845" i="8"/>
  <c r="T846" i="8" s="1"/>
  <c r="T849" i="8"/>
  <c r="T190" i="8"/>
  <c r="T189" i="8" s="1"/>
  <c r="T505" i="8" s="1"/>
  <c r="T509" i="8" s="1"/>
  <c r="T1496" i="1"/>
  <c r="U1290" i="1"/>
  <c r="X476" i="8"/>
  <c r="X475" i="8" s="1"/>
  <c r="AC578" i="1"/>
  <c r="AE578" i="1" s="1"/>
  <c r="AE394" i="1"/>
  <c r="AE395" i="1"/>
  <c r="AC404" i="1"/>
  <c r="AC405" i="1" s="1"/>
  <c r="AC579" i="1" s="1"/>
  <c r="AC1475" i="1" s="1"/>
  <c r="S513" i="8"/>
  <c r="S1575" i="1"/>
  <c r="S455" i="7" s="1"/>
  <c r="S1577" i="1"/>
  <c r="S457" i="7" s="1"/>
  <c r="W928" i="8"/>
  <c r="W178" i="8"/>
  <c r="W579" i="8"/>
  <c r="W187" i="1"/>
  <c r="W86" i="7" s="1"/>
  <c r="W173" i="1"/>
  <c r="W72" i="7" s="1"/>
  <c r="W185" i="1"/>
  <c r="W84" i="7" s="1"/>
  <c r="X1285" i="1"/>
  <c r="X279" i="7" s="1"/>
  <c r="X157" i="8"/>
  <c r="X156" i="8" s="1"/>
  <c r="X1220" i="1"/>
  <c r="X211" i="7" s="1"/>
  <c r="U1733" i="1"/>
  <c r="U618" i="7" s="1"/>
  <c r="T333" i="8"/>
  <c r="T332" i="8" s="1"/>
  <c r="T2028" i="1"/>
  <c r="U1283" i="1"/>
  <c r="U277" i="7" s="1"/>
  <c r="S1470" i="1"/>
  <c r="S441" i="8"/>
  <c r="Y1943" i="1"/>
  <c r="Y1200" i="1"/>
  <c r="Y191" i="7" s="1"/>
  <c r="W181" i="8"/>
  <c r="W1951" i="1"/>
  <c r="U1824" i="1"/>
  <c r="U1825" i="1" s="1"/>
  <c r="U1808" i="1"/>
  <c r="U1809" i="1" s="1"/>
  <c r="U1821" i="1"/>
  <c r="U1826" i="1"/>
  <c r="U1827" i="1" s="1"/>
  <c r="U1812" i="1"/>
  <c r="U834" i="8"/>
  <c r="U684" i="8"/>
  <c r="U694" i="8" s="1"/>
  <c r="U760" i="8"/>
  <c r="U770" i="8" s="1"/>
  <c r="V173" i="8"/>
  <c r="V1560" i="1"/>
  <c r="V440" i="7" s="1"/>
  <c r="V2015" i="1"/>
  <c r="V1942" i="1"/>
  <c r="V1568" i="1"/>
  <c r="V448" i="7" s="1"/>
  <c r="V1558" i="1"/>
  <c r="V438" i="7" s="1"/>
  <c r="T328" i="8"/>
  <c r="T327" i="8" s="1"/>
  <c r="T330" i="8" s="1"/>
  <c r="T943" i="8" s="1"/>
  <c r="T1354" i="1"/>
  <c r="T350" i="7" s="1"/>
  <c r="Z442" i="1"/>
  <c r="Y592" i="1"/>
  <c r="Y1476" i="1" s="1"/>
  <c r="Y1472" i="1" s="1"/>
  <c r="Y1479" i="1" s="1"/>
  <c r="AB1475" i="1"/>
  <c r="AB158" i="1"/>
  <c r="AB57" i="7" s="1"/>
  <c r="W49" i="8"/>
  <c r="W48" i="8" s="1"/>
  <c r="V1944" i="1"/>
  <c r="V488" i="8"/>
  <c r="V487" i="8" s="1"/>
  <c r="V1491" i="1"/>
  <c r="V1331" i="1"/>
  <c r="V327" i="7" s="1"/>
  <c r="V281" i="8"/>
  <c r="V583" i="8" l="1"/>
  <c r="O1745" i="1"/>
  <c r="O630" i="7" s="1"/>
  <c r="V47" i="8"/>
  <c r="V1175" i="1"/>
  <c r="V1167" i="1" s="1"/>
  <c r="V69" i="8" s="1"/>
  <c r="V68" i="8" s="1"/>
  <c r="V280" i="8"/>
  <c r="V289" i="8" s="1"/>
  <c r="V682" i="8" s="1"/>
  <c r="X183" i="1"/>
  <c r="X82" i="7" s="1"/>
  <c r="Y1680" i="1"/>
  <c r="Y564" i="7" s="1"/>
  <c r="Y1690" i="1"/>
  <c r="Y1687" i="1" s="1"/>
  <c r="Y1664" i="1"/>
  <c r="Y548" i="7" s="1"/>
  <c r="Y1705" i="1"/>
  <c r="Y589" i="7" s="1"/>
  <c r="Y1666" i="1"/>
  <c r="Y550" i="7" s="1"/>
  <c r="Y1681" i="1"/>
  <c r="Y565" i="7" s="1"/>
  <c r="Y1704" i="1"/>
  <c r="Y588" i="7" s="1"/>
  <c r="Y1688" i="1"/>
  <c r="Y572" i="7" s="1"/>
  <c r="U188" i="8"/>
  <c r="U187" i="8" s="1"/>
  <c r="U284" i="7"/>
  <c r="AC158" i="1"/>
  <c r="AC57" i="7" s="1"/>
  <c r="V1941" i="1"/>
  <c r="V1948" i="1" s="1"/>
  <c r="V911" i="8"/>
  <c r="AB56" i="7"/>
  <c r="U771" i="8"/>
  <c r="U772" i="8" s="1"/>
  <c r="U789" i="8"/>
  <c r="U790" i="8" s="1"/>
  <c r="U784" i="8"/>
  <c r="U787" i="8"/>
  <c r="U788" i="8" s="1"/>
  <c r="U775" i="8"/>
  <c r="V290" i="8"/>
  <c r="V1867" i="1"/>
  <c r="V1795" i="1"/>
  <c r="V1721" i="1"/>
  <c r="V606" i="7" s="1"/>
  <c r="V498" i="8"/>
  <c r="V497" i="8" s="1"/>
  <c r="T1356" i="1"/>
  <c r="T352" i="7" s="1"/>
  <c r="T331" i="8"/>
  <c r="T2027" i="1"/>
  <c r="U708" i="8"/>
  <c r="U711" i="8"/>
  <c r="U712" i="8" s="1"/>
  <c r="U713" i="8"/>
  <c r="U714" i="8" s="1"/>
  <c r="U695" i="8"/>
  <c r="U696" i="8" s="1"/>
  <c r="U699" i="8"/>
  <c r="U1813" i="1"/>
  <c r="N1814" i="1" s="1"/>
  <c r="V931" i="8"/>
  <c r="V573" i="8"/>
  <c r="V909" i="8"/>
  <c r="V581" i="8"/>
  <c r="V571" i="8"/>
  <c r="U1188" i="1"/>
  <c r="U1350" i="1"/>
  <c r="U346" i="7" s="1"/>
  <c r="U184" i="8"/>
  <c r="U183" i="8" s="1"/>
  <c r="U185" i="8" s="1"/>
  <c r="U932" i="8" s="1"/>
  <c r="U1289" i="1"/>
  <c r="U283" i="7" s="1"/>
  <c r="T944" i="8"/>
  <c r="T121" i="8"/>
  <c r="U1750" i="1"/>
  <c r="U635" i="7" s="1"/>
  <c r="U1752" i="1"/>
  <c r="U637" i="7" s="1"/>
  <c r="U1747" i="1"/>
  <c r="U632" i="7" s="1"/>
  <c r="U1734" i="1"/>
  <c r="U619" i="7" s="1"/>
  <c r="U1738" i="1"/>
  <c r="U623" i="7" s="1"/>
  <c r="V84" i="8"/>
  <c r="V83" i="8" s="1"/>
  <c r="W59" i="8"/>
  <c r="Y468" i="8"/>
  <c r="Y467" i="8" s="1"/>
  <c r="T506" i="8"/>
  <c r="T1498" i="1"/>
  <c r="T850" i="8"/>
  <c r="K851" i="8" s="1"/>
  <c r="W56" i="8"/>
  <c r="X54" i="8" s="1"/>
  <c r="Z591" i="1"/>
  <c r="Z944" i="1" s="1"/>
  <c r="Z451" i="1"/>
  <c r="U1818" i="1"/>
  <c r="N1819" i="1" s="1"/>
  <c r="Y2011" i="1"/>
  <c r="Y1208" i="1"/>
  <c r="Y199" i="7" s="1"/>
  <c r="Y1562" i="1"/>
  <c r="Y442" i="7" s="1"/>
  <c r="Y1559" i="1"/>
  <c r="Y439" i="7" s="1"/>
  <c r="S1573" i="1"/>
  <c r="S453" i="7" s="1"/>
  <c r="S459" i="8"/>
  <c r="S1481" i="1"/>
  <c r="S1572" i="1"/>
  <c r="S452" i="7" s="1"/>
  <c r="X169" i="8"/>
  <c r="X168" i="8" s="1"/>
  <c r="X176" i="1"/>
  <c r="X75" i="7" s="1"/>
  <c r="X2014" i="1"/>
  <c r="X177" i="8"/>
  <c r="X2012" i="1"/>
  <c r="X1286" i="1"/>
  <c r="X280" i="7" s="1"/>
  <c r="X1566" i="1"/>
  <c r="X446" i="7" s="1"/>
  <c r="V2019" i="1"/>
  <c r="V1342" i="1"/>
  <c r="V338" i="7" s="1"/>
  <c r="V305" i="8"/>
  <c r="V304" i="8" s="1"/>
  <c r="V935" i="8" s="1"/>
  <c r="W57" i="8"/>
  <c r="W174" i="1"/>
  <c r="W73" i="7" s="1"/>
  <c r="W1221" i="1"/>
  <c r="W212" i="7" s="1"/>
  <c r="W1052" i="1"/>
  <c r="W1048" i="1" s="1"/>
  <c r="W1976" i="1"/>
  <c r="W1994" i="1" s="1"/>
  <c r="W2001" i="1" s="1"/>
  <c r="W1977" i="1"/>
  <c r="W1995" i="1" s="1"/>
  <c r="W2002" i="1" s="1"/>
  <c r="W227" i="1"/>
  <c r="W126" i="7" s="1"/>
  <c r="W180" i="8"/>
  <c r="W918" i="8" s="1"/>
  <c r="W929" i="8"/>
  <c r="W580" i="8"/>
  <c r="T570" i="8"/>
  <c r="T589" i="8"/>
  <c r="T512" i="8"/>
  <c r="T855" i="8"/>
  <c r="K856" i="8" s="1"/>
  <c r="T1885" i="1"/>
  <c r="O1886" i="1" s="1"/>
  <c r="T1890" i="1"/>
  <c r="O1891" i="1" s="1"/>
  <c r="S586" i="8"/>
  <c r="S478" i="8"/>
  <c r="S585" i="8"/>
  <c r="V758" i="8" l="1"/>
  <c r="V832" i="8"/>
  <c r="Y1663" i="1"/>
  <c r="Y547" i="7" s="1"/>
  <c r="V908" i="8"/>
  <c r="V915" i="8" s="1"/>
  <c r="X55" i="8"/>
  <c r="Y1682" i="1"/>
  <c r="Y566" i="7" s="1"/>
  <c r="Y574" i="7"/>
  <c r="Y571" i="7"/>
  <c r="Y1702" i="1"/>
  <c r="Y586" i="7" s="1"/>
  <c r="Y1707" i="1"/>
  <c r="Y591" i="7" s="1"/>
  <c r="Y1706" i="1"/>
  <c r="Y590" i="7" s="1"/>
  <c r="AC56" i="7"/>
  <c r="W58" i="8"/>
  <c r="W44" i="8" s="1"/>
  <c r="W170" i="8" s="1"/>
  <c r="S514" i="8"/>
  <c r="S569" i="8"/>
  <c r="T588" i="8"/>
  <c r="T590" i="8"/>
  <c r="W1486" i="1"/>
  <c r="W1066" i="1"/>
  <c r="W1067" i="1" s="1"/>
  <c r="W1068" i="1" s="1"/>
  <c r="W1070" i="1" s="1"/>
  <c r="W45" i="8"/>
  <c r="W175" i="1"/>
  <c r="W74" i="7" s="1"/>
  <c r="X930" i="8"/>
  <c r="X176" i="8"/>
  <c r="Z452" i="1"/>
  <c r="T1557" i="1"/>
  <c r="T437" i="7" s="1"/>
  <c r="T510" i="8"/>
  <c r="T1500" i="1"/>
  <c r="T1576" i="1"/>
  <c r="T456" i="7" s="1"/>
  <c r="U1739" i="1"/>
  <c r="U624" i="7" s="1"/>
  <c r="U2016" i="1"/>
  <c r="U186" i="8"/>
  <c r="U1291" i="1"/>
  <c r="U285" i="7" s="1"/>
  <c r="U1352" i="1"/>
  <c r="U348" i="7" s="1"/>
  <c r="U1875" i="1"/>
  <c r="U1879" i="1" s="1"/>
  <c r="U325" i="8"/>
  <c r="U324" i="8" s="1"/>
  <c r="U840" i="8" s="1"/>
  <c r="U844" i="8" s="1"/>
  <c r="U700" i="8"/>
  <c r="J701" i="8" s="1"/>
  <c r="U776" i="8"/>
  <c r="J777" i="8" s="1"/>
  <c r="U781" i="8"/>
  <c r="J782" i="8" s="1"/>
  <c r="AB1053" i="1"/>
  <c r="AB1212" i="1"/>
  <c r="AB203" i="7" s="1"/>
  <c r="W1326" i="1"/>
  <c r="W322" i="7" s="1"/>
  <c r="W171" i="8"/>
  <c r="W1570" i="1"/>
  <c r="W450" i="7" s="1"/>
  <c r="W1222" i="1"/>
  <c r="W213" i="7" s="1"/>
  <c r="V1869" i="1"/>
  <c r="V1723" i="1"/>
  <c r="V608" i="7" s="1"/>
  <c r="V310" i="8"/>
  <c r="V309" i="8" s="1"/>
  <c r="V1797" i="1"/>
  <c r="V1807" i="1" s="1"/>
  <c r="X179" i="8"/>
  <c r="X2013" i="1"/>
  <c r="X1287" i="1"/>
  <c r="X281" i="7" s="1"/>
  <c r="X1567" i="1"/>
  <c r="X447" i="7" s="1"/>
  <c r="X177" i="1"/>
  <c r="X76" i="7" s="1"/>
  <c r="X184" i="1"/>
  <c r="S479" i="8"/>
  <c r="S1556" i="1"/>
  <c r="S436" i="7" s="1"/>
  <c r="S1501" i="1"/>
  <c r="Y1214" i="1"/>
  <c r="Y205" i="7" s="1"/>
  <c r="Y1563" i="1"/>
  <c r="Y443" i="7" s="1"/>
  <c r="Z988" i="1"/>
  <c r="Z980" i="1" s="1"/>
  <c r="Z1694" i="1"/>
  <c r="Z1207" i="1"/>
  <c r="Z198" i="7" s="1"/>
  <c r="Z1670" i="1"/>
  <c r="U1735" i="1"/>
  <c r="U620" i="7" s="1"/>
  <c r="U1753" i="1"/>
  <c r="U638" i="7" s="1"/>
  <c r="U1751" i="1"/>
  <c r="U636" i="7" s="1"/>
  <c r="U106" i="8"/>
  <c r="U105" i="8" s="1"/>
  <c r="U1185" i="1"/>
  <c r="U101" i="8" s="1"/>
  <c r="U100" i="8" s="1"/>
  <c r="U705" i="8"/>
  <c r="J706" i="8" s="1"/>
  <c r="T1193" i="1"/>
  <c r="T1091" i="1"/>
  <c r="T1093" i="1"/>
  <c r="T1461" i="1"/>
  <c r="T1192" i="1"/>
  <c r="T1135" i="1"/>
  <c r="T1136" i="1"/>
  <c r="T2029" i="1"/>
  <c r="T335" i="8"/>
  <c r="T334" i="8" s="1"/>
  <c r="U1355" i="1"/>
  <c r="U351" i="7" s="1"/>
  <c r="Y1683" i="1" l="1"/>
  <c r="Y567" i="7" s="1"/>
  <c r="Y1678" i="1"/>
  <c r="Y562" i="7" s="1"/>
  <c r="W46" i="8"/>
  <c r="AC1053" i="1"/>
  <c r="AE157" i="1"/>
  <c r="AE56" i="7" s="1"/>
  <c r="AC1212" i="1"/>
  <c r="AC203" i="7" s="1"/>
  <c r="X186" i="1"/>
  <c r="X85" i="7" s="1"/>
  <c r="X83" i="7"/>
  <c r="Z1677" i="1"/>
  <c r="Z561" i="7" s="1"/>
  <c r="Z554" i="7"/>
  <c r="Z1701" i="1"/>
  <c r="Z585" i="7" s="1"/>
  <c r="Z578" i="7"/>
  <c r="V1733" i="1"/>
  <c r="V618" i="7" s="1"/>
  <c r="T1092" i="1"/>
  <c r="T945" i="8"/>
  <c r="T1137" i="1"/>
  <c r="T440" i="8"/>
  <c r="T458" i="8" s="1"/>
  <c r="U1744" i="1"/>
  <c r="U629" i="7" s="1"/>
  <c r="Y1564" i="1"/>
  <c r="Y444" i="7" s="1"/>
  <c r="X49" i="8"/>
  <c r="X48" i="8" s="1"/>
  <c r="X181" i="8"/>
  <c r="X1951" i="1"/>
  <c r="V834" i="8"/>
  <c r="V760" i="8"/>
  <c r="V770" i="8" s="1"/>
  <c r="V684" i="8"/>
  <c r="V694" i="8" s="1"/>
  <c r="W173" i="8"/>
  <c r="W1560" i="1"/>
  <c r="W440" i="7" s="1"/>
  <c r="W2015" i="1"/>
  <c r="W1942" i="1"/>
  <c r="W1568" i="1"/>
  <c r="W448" i="7" s="1"/>
  <c r="W1558" i="1"/>
  <c r="W438" i="7" s="1"/>
  <c r="W1331" i="1"/>
  <c r="W327" i="7" s="1"/>
  <c r="W281" i="8"/>
  <c r="W280" i="8" s="1"/>
  <c r="W289" i="8" s="1"/>
  <c r="U1893" i="1"/>
  <c r="U1880" i="1"/>
  <c r="U1881" i="1" s="1"/>
  <c r="U1898" i="1"/>
  <c r="U1899" i="1" s="1"/>
  <c r="U1896" i="1"/>
  <c r="U1897" i="1" s="1"/>
  <c r="U1884" i="1"/>
  <c r="N1740" i="1"/>
  <c r="N625" i="7" s="1"/>
  <c r="T513" i="8"/>
  <c r="T1575" i="1"/>
  <c r="T455" i="7" s="1"/>
  <c r="T1577" i="1"/>
  <c r="T457" i="7" s="1"/>
  <c r="X928" i="8"/>
  <c r="X178" i="8"/>
  <c r="X579" i="8"/>
  <c r="W1339" i="1"/>
  <c r="W335" i="7" s="1"/>
  <c r="W1175" i="1"/>
  <c r="U2028" i="1"/>
  <c r="U333" i="8"/>
  <c r="U332" i="8" s="1"/>
  <c r="V1283" i="1"/>
  <c r="V277" i="7" s="1"/>
  <c r="T1470" i="1"/>
  <c r="T441" i="8"/>
  <c r="W172" i="8"/>
  <c r="W583" i="8"/>
  <c r="Z1200" i="1"/>
  <c r="Z191" i="7" s="1"/>
  <c r="Z1943" i="1"/>
  <c r="Y1285" i="1"/>
  <c r="Y279" i="7" s="1"/>
  <c r="Y1220" i="1"/>
  <c r="Y211" i="7" s="1"/>
  <c r="X185" i="1"/>
  <c r="X84" i="7" s="1"/>
  <c r="Y182" i="1"/>
  <c r="Y81" i="7" s="1"/>
  <c r="V1824" i="1"/>
  <c r="V1825" i="1" s="1"/>
  <c r="V1808" i="1"/>
  <c r="V1809" i="1" s="1"/>
  <c r="V1821" i="1"/>
  <c r="V1826" i="1"/>
  <c r="V1827" i="1" s="1"/>
  <c r="V1812" i="1"/>
  <c r="U858" i="8"/>
  <c r="U845" i="8"/>
  <c r="U846" i="8" s="1"/>
  <c r="U863" i="8"/>
  <c r="U864" i="8" s="1"/>
  <c r="U861" i="8"/>
  <c r="U862" i="8" s="1"/>
  <c r="U849" i="8"/>
  <c r="U328" i="8"/>
  <c r="U327" i="8" s="1"/>
  <c r="U330" i="8" s="1"/>
  <c r="U943" i="8" s="1"/>
  <c r="U1354" i="1"/>
  <c r="U350" i="7" s="1"/>
  <c r="U1496" i="1"/>
  <c r="V1290" i="1"/>
  <c r="U190" i="8"/>
  <c r="U189" i="8" s="1"/>
  <c r="U505" i="8" s="1"/>
  <c r="U509" i="8" s="1"/>
  <c r="AA442" i="1"/>
  <c r="Z592" i="1"/>
  <c r="Z1476" i="1" s="1"/>
  <c r="Z1472" i="1" s="1"/>
  <c r="Z1479" i="1" s="1"/>
  <c r="W47" i="8"/>
  <c r="W488" i="8"/>
  <c r="W487" i="8" s="1"/>
  <c r="W1944" i="1"/>
  <c r="W1491" i="1"/>
  <c r="Y153" i="8" l="1"/>
  <c r="AA153" i="8" s="1"/>
  <c r="V1738" i="1"/>
  <c r="V623" i="7" s="1"/>
  <c r="Z1681" i="1"/>
  <c r="Z565" i="7" s="1"/>
  <c r="AE1212" i="1"/>
  <c r="AE203" i="7" s="1"/>
  <c r="X173" i="1"/>
  <c r="X72" i="7" s="1"/>
  <c r="Z1688" i="1"/>
  <c r="Z572" i="7" s="1"/>
  <c r="Z1704" i="1"/>
  <c r="Z588" i="7" s="1"/>
  <c r="Z1664" i="1"/>
  <c r="Z548" i="7" s="1"/>
  <c r="V1752" i="1"/>
  <c r="V637" i="7" s="1"/>
  <c r="X187" i="1"/>
  <c r="X86" i="7" s="1"/>
  <c r="Z1690" i="1"/>
  <c r="Z574" i="7" s="1"/>
  <c r="Z1705" i="1"/>
  <c r="Z589" i="7" s="1"/>
  <c r="Z1680" i="1"/>
  <c r="Z564" i="7" s="1"/>
  <c r="Z1666" i="1"/>
  <c r="Z550" i="7" s="1"/>
  <c r="V188" i="8"/>
  <c r="V187" i="8" s="1"/>
  <c r="V284" i="7"/>
  <c r="V1750" i="1"/>
  <c r="V635" i="7" s="1"/>
  <c r="V1747" i="1"/>
  <c r="V632" i="7" s="1"/>
  <c r="V1734" i="1"/>
  <c r="V619" i="7" s="1"/>
  <c r="U570" i="8"/>
  <c r="U589" i="8"/>
  <c r="U512" i="8"/>
  <c r="U506" i="8"/>
  <c r="U1498" i="1"/>
  <c r="U2027" i="1"/>
  <c r="U331" i="8"/>
  <c r="U1356" i="1"/>
  <c r="U352" i="7" s="1"/>
  <c r="U855" i="8"/>
  <c r="J856" i="8" s="1"/>
  <c r="V1818" i="1"/>
  <c r="M1819" i="1" s="1"/>
  <c r="Y183" i="1"/>
  <c r="Y82" i="7" s="1"/>
  <c r="Y2012" i="1"/>
  <c r="Y1286" i="1"/>
  <c r="Y280" i="7" s="1"/>
  <c r="Y1566" i="1"/>
  <c r="Y446" i="7" s="1"/>
  <c r="W931" i="8"/>
  <c r="W573" i="8"/>
  <c r="W909" i="8"/>
  <c r="W581" i="8"/>
  <c r="W571" i="8"/>
  <c r="T1573" i="1"/>
  <c r="T453" i="7" s="1"/>
  <c r="T1481" i="1"/>
  <c r="T459" i="8"/>
  <c r="T1572" i="1"/>
  <c r="T452" i="7" s="1"/>
  <c r="U121" i="8"/>
  <c r="U944" i="8"/>
  <c r="W1342" i="1"/>
  <c r="W338" i="7" s="1"/>
  <c r="W305" i="8"/>
  <c r="W304" i="8" s="1"/>
  <c r="W935" i="8" s="1"/>
  <c r="W2019" i="1"/>
  <c r="X929" i="8"/>
  <c r="X180" i="8"/>
  <c r="X918" i="8" s="1"/>
  <c r="X580" i="8"/>
  <c r="U1885" i="1"/>
  <c r="N1886" i="1" s="1"/>
  <c r="W832" i="8"/>
  <c r="W682" i="8"/>
  <c r="W758" i="8"/>
  <c r="W1795" i="1"/>
  <c r="W290" i="8"/>
  <c r="W1867" i="1"/>
  <c r="W1721" i="1"/>
  <c r="W606" i="7" s="1"/>
  <c r="V771" i="8"/>
  <c r="V772" i="8" s="1"/>
  <c r="V787" i="8"/>
  <c r="V788" i="8" s="1"/>
  <c r="V784" i="8"/>
  <c r="V789" i="8"/>
  <c r="V790" i="8" s="1"/>
  <c r="V775" i="8"/>
  <c r="X56" i="8"/>
  <c r="Y54" i="8" s="1"/>
  <c r="X1052" i="1"/>
  <c r="X1048" i="1" s="1"/>
  <c r="T586" i="8"/>
  <c r="T478" i="8"/>
  <c r="T585" i="8"/>
  <c r="W498" i="8"/>
  <c r="W497" i="8" s="1"/>
  <c r="W911" i="8"/>
  <c r="AA591" i="1"/>
  <c r="AA944" i="1" s="1"/>
  <c r="AA451" i="1"/>
  <c r="U850" i="8"/>
  <c r="J851" i="8" s="1"/>
  <c r="Y152" i="8"/>
  <c r="AA152" i="8" s="1"/>
  <c r="V1813" i="1"/>
  <c r="M1814" i="1" s="1"/>
  <c r="X57" i="8"/>
  <c r="Y176" i="1"/>
  <c r="Y75" i="7" s="1"/>
  <c r="Y2014" i="1"/>
  <c r="Z1208" i="1"/>
  <c r="Z199" i="7" s="1"/>
  <c r="Z1559" i="1"/>
  <c r="Z439" i="7" s="1"/>
  <c r="Z1562" i="1"/>
  <c r="Z442" i="7" s="1"/>
  <c r="Z2011" i="1"/>
  <c r="V184" i="8"/>
  <c r="V183" i="8" s="1"/>
  <c r="V185" i="8" s="1"/>
  <c r="V932" i="8" s="1"/>
  <c r="V1350" i="1"/>
  <c r="V346" i="7" s="1"/>
  <c r="V1188" i="1"/>
  <c r="V1289" i="1"/>
  <c r="V283" i="7" s="1"/>
  <c r="W84" i="8"/>
  <c r="W83" i="8" s="1"/>
  <c r="W1167" i="1"/>
  <c r="W69" i="8" s="1"/>
  <c r="W68" i="8" s="1"/>
  <c r="U1890" i="1"/>
  <c r="N1891" i="1" s="1"/>
  <c r="W1941" i="1"/>
  <c r="W1948" i="1" s="1"/>
  <c r="V708" i="8"/>
  <c r="V711" i="8"/>
  <c r="V712" i="8" s="1"/>
  <c r="V695" i="8"/>
  <c r="V696" i="8" s="1"/>
  <c r="V713" i="8"/>
  <c r="V714" i="8" s="1"/>
  <c r="V699" i="8"/>
  <c r="N1745" i="1"/>
  <c r="N630" i="7" s="1"/>
  <c r="X59" i="8" l="1"/>
  <c r="V1739" i="1"/>
  <c r="V624" i="7" s="1"/>
  <c r="Z1663" i="1"/>
  <c r="Z1678" i="1" s="1"/>
  <c r="Z562" i="7" s="1"/>
  <c r="Z1687" i="1"/>
  <c r="Z571" i="7" s="1"/>
  <c r="X1976" i="1"/>
  <c r="X1994" i="1" s="1"/>
  <c r="X2001" i="1" s="1"/>
  <c r="X227" i="1"/>
  <c r="X126" i="7" s="1"/>
  <c r="V1751" i="1"/>
  <c r="V636" i="7" s="1"/>
  <c r="V1753" i="1"/>
  <c r="V638" i="7" s="1"/>
  <c r="X1977" i="1"/>
  <c r="X1995" i="1" s="1"/>
  <c r="X2002" i="1" s="1"/>
  <c r="X174" i="1"/>
  <c r="X73" i="7" s="1"/>
  <c r="X1221" i="1"/>
  <c r="X212" i="7" s="1"/>
  <c r="Z1706" i="1"/>
  <c r="Z590" i="7" s="1"/>
  <c r="Z1682" i="1"/>
  <c r="Z566" i="7" s="1"/>
  <c r="V1735" i="1"/>
  <c r="V620" i="7" s="1"/>
  <c r="X58" i="8"/>
  <c r="X44" i="8" s="1"/>
  <c r="X46" i="8" s="1"/>
  <c r="Z1563" i="1"/>
  <c r="V700" i="8"/>
  <c r="I701" i="8" s="1"/>
  <c r="Z1214" i="1"/>
  <c r="Z205" i="7" s="1"/>
  <c r="Y184" i="1"/>
  <c r="Y83" i="7" s="1"/>
  <c r="Y177" i="1"/>
  <c r="Y76" i="7" s="1"/>
  <c r="AA1670" i="1"/>
  <c r="AA988" i="1"/>
  <c r="AA980" i="1" s="1"/>
  <c r="AA1694" i="1"/>
  <c r="AA1207" i="1"/>
  <c r="AA198" i="7" s="1"/>
  <c r="T569" i="8"/>
  <c r="T514" i="8"/>
  <c r="X1066" i="1"/>
  <c r="X1067" i="1" s="1"/>
  <c r="X1068" i="1" s="1"/>
  <c r="X1070" i="1" s="1"/>
  <c r="X1486" i="1"/>
  <c r="V776" i="8"/>
  <c r="I777" i="8" s="1"/>
  <c r="V781" i="8"/>
  <c r="I782" i="8" s="1"/>
  <c r="Y2013" i="1"/>
  <c r="Y1287" i="1"/>
  <c r="Y1567" i="1"/>
  <c r="Y447" i="7" s="1"/>
  <c r="U1093" i="1"/>
  <c r="U1192" i="1"/>
  <c r="U1136" i="1"/>
  <c r="U1135" i="1"/>
  <c r="V1355" i="1"/>
  <c r="V351" i="7" s="1"/>
  <c r="U1193" i="1"/>
  <c r="U1091" i="1"/>
  <c r="U335" i="8"/>
  <c r="U334" i="8" s="1"/>
  <c r="U1461" i="1"/>
  <c r="U2029" i="1"/>
  <c r="U1557" i="1"/>
  <c r="U437" i="7" s="1"/>
  <c r="U510" i="8"/>
  <c r="U1500" i="1"/>
  <c r="U1576" i="1"/>
  <c r="U456" i="7" s="1"/>
  <c r="U590" i="8"/>
  <c r="U588" i="8"/>
  <c r="V705" i="8"/>
  <c r="I706" i="8" s="1"/>
  <c r="V1185" i="1"/>
  <c r="V101" i="8" s="1"/>
  <c r="V100" i="8" s="1"/>
  <c r="V106" i="8"/>
  <c r="V105" i="8" s="1"/>
  <c r="M1740" i="1"/>
  <c r="M625" i="7" s="1"/>
  <c r="V2016" i="1"/>
  <c r="V186" i="8"/>
  <c r="V1291" i="1"/>
  <c r="V285" i="7" s="1"/>
  <c r="V1875" i="1"/>
  <c r="V1879" i="1" s="1"/>
  <c r="V325" i="8"/>
  <c r="V324" i="8" s="1"/>
  <c r="V840" i="8" s="1"/>
  <c r="V844" i="8" s="1"/>
  <c r="V1352" i="1"/>
  <c r="V348" i="7" s="1"/>
  <c r="AA452" i="1"/>
  <c r="W1869" i="1"/>
  <c r="W310" i="8"/>
  <c r="W309" i="8" s="1"/>
  <c r="W1797" i="1"/>
  <c r="W1807" i="1" s="1"/>
  <c r="W1723" i="1"/>
  <c r="W608" i="7" s="1"/>
  <c r="T1556" i="1"/>
  <c r="T436" i="7" s="1"/>
  <c r="T479" i="8"/>
  <c r="T1501" i="1"/>
  <c r="W908" i="8"/>
  <c r="W915" i="8" s="1"/>
  <c r="Z1702" i="1" l="1"/>
  <c r="Z586" i="7" s="1"/>
  <c r="Z547" i="7"/>
  <c r="Z1683" i="1"/>
  <c r="Z567" i="7" s="1"/>
  <c r="Z1707" i="1"/>
  <c r="Z591" i="7" s="1"/>
  <c r="X1222" i="1"/>
  <c r="X213" i="7" s="1"/>
  <c r="X170" i="8"/>
  <c r="X172" i="8" s="1"/>
  <c r="X45" i="8"/>
  <c r="X175" i="1"/>
  <c r="X74" i="7" s="1"/>
  <c r="X1326" i="1"/>
  <c r="X322" i="7" s="1"/>
  <c r="X1570" i="1"/>
  <c r="X450" i="7" s="1"/>
  <c r="X171" i="8"/>
  <c r="Y1951" i="1"/>
  <c r="Y281" i="7"/>
  <c r="AA1701" i="1"/>
  <c r="AA585" i="7" s="1"/>
  <c r="AA578" i="7"/>
  <c r="AA1677" i="1"/>
  <c r="AA561" i="7" s="1"/>
  <c r="AA554" i="7"/>
  <c r="Z1564" i="1"/>
  <c r="Z444" i="7" s="1"/>
  <c r="Z443" i="7"/>
  <c r="V1744" i="1"/>
  <c r="V629" i="7" s="1"/>
  <c r="W834" i="8"/>
  <c r="W684" i="8"/>
  <c r="W694" i="8" s="1"/>
  <c r="W760" i="8"/>
  <c r="W770" i="8" s="1"/>
  <c r="V845" i="8"/>
  <c r="V846" i="8" s="1"/>
  <c r="V858" i="8"/>
  <c r="V861" i="8"/>
  <c r="V862" i="8" s="1"/>
  <c r="V863" i="8"/>
  <c r="V864" i="8" s="1"/>
  <c r="V849" i="8"/>
  <c r="V1893" i="1"/>
  <c r="V1880" i="1"/>
  <c r="V1881" i="1" s="1"/>
  <c r="V1898" i="1"/>
  <c r="V1899" i="1" s="1"/>
  <c r="V1896" i="1"/>
  <c r="V1897" i="1" s="1"/>
  <c r="V1884" i="1"/>
  <c r="U1575" i="1"/>
  <c r="U455" i="7" s="1"/>
  <c r="U513" i="8"/>
  <c r="U1577" i="1"/>
  <c r="U457" i="7" s="1"/>
  <c r="U441" i="8"/>
  <c r="U1470" i="1"/>
  <c r="X1175" i="1"/>
  <c r="X1339" i="1"/>
  <c r="X335" i="7" s="1"/>
  <c r="Y185" i="1"/>
  <c r="Y84" i="7" s="1"/>
  <c r="Y186" i="1"/>
  <c r="Y85" i="7" s="1"/>
  <c r="Z1285" i="1"/>
  <c r="Z279" i="7" s="1"/>
  <c r="Z1220" i="1"/>
  <c r="Z211" i="7" s="1"/>
  <c r="W1808" i="1"/>
  <c r="W1809" i="1" s="1"/>
  <c r="W1824" i="1"/>
  <c r="W1825" i="1" s="1"/>
  <c r="W1821" i="1"/>
  <c r="W1826" i="1"/>
  <c r="W1827" i="1" s="1"/>
  <c r="W1812" i="1"/>
  <c r="W1733" i="1"/>
  <c r="W618" i="7" s="1"/>
  <c r="AB442" i="1"/>
  <c r="AA592" i="1"/>
  <c r="AA1476" i="1" s="1"/>
  <c r="AA1472" i="1" s="1"/>
  <c r="AA1479" i="1" s="1"/>
  <c r="V328" i="8"/>
  <c r="V327" i="8" s="1"/>
  <c r="V330" i="8" s="1"/>
  <c r="V943" i="8" s="1"/>
  <c r="V1354" i="1"/>
  <c r="V350" i="7" s="1"/>
  <c r="V1496" i="1"/>
  <c r="W1290" i="1"/>
  <c r="V190" i="8"/>
  <c r="V189" i="8" s="1"/>
  <c r="V505" i="8" s="1"/>
  <c r="V509" i="8" s="1"/>
  <c r="U945" i="8"/>
  <c r="U1092" i="1"/>
  <c r="U1137" i="1"/>
  <c r="U440" i="8"/>
  <c r="U458" i="8" s="1"/>
  <c r="V333" i="8"/>
  <c r="V332" i="8" s="1"/>
  <c r="V2028" i="1"/>
  <c r="W1283" i="1"/>
  <c r="W277" i="7" s="1"/>
  <c r="X488" i="8"/>
  <c r="X487" i="8" s="1"/>
  <c r="X1944" i="1"/>
  <c r="X1491" i="1"/>
  <c r="AA1943" i="1"/>
  <c r="AA1200" i="1"/>
  <c r="AA191" i="7" s="1"/>
  <c r="Z182" i="1"/>
  <c r="Z81" i="7" s="1"/>
  <c r="X281" i="8" l="1"/>
  <c r="X280" i="8" s="1"/>
  <c r="X289" i="8" s="1"/>
  <c r="X682" i="8" s="1"/>
  <c r="X2015" i="1"/>
  <c r="X1942" i="1"/>
  <c r="X1941" i="1" s="1"/>
  <c r="X1948" i="1" s="1"/>
  <c r="X1558" i="1"/>
  <c r="X438" i="7" s="1"/>
  <c r="X1568" i="1"/>
  <c r="X448" i="7" s="1"/>
  <c r="X173" i="8"/>
  <c r="X1560" i="1"/>
  <c r="X440" i="7" s="1"/>
  <c r="AA1680" i="1"/>
  <c r="AA1682" i="1" s="1"/>
  <c r="AA566" i="7" s="1"/>
  <c r="AA1704" i="1"/>
  <c r="AA588" i="7" s="1"/>
  <c r="X583" i="8"/>
  <c r="X1331" i="1"/>
  <c r="X327" i="7" s="1"/>
  <c r="AA1666" i="1"/>
  <c r="AA550" i="7" s="1"/>
  <c r="AA1690" i="1"/>
  <c r="AA574" i="7" s="1"/>
  <c r="M1745" i="1"/>
  <c r="M630" i="7" s="1"/>
  <c r="X47" i="8"/>
  <c r="AA1664" i="1"/>
  <c r="AA548" i="7" s="1"/>
  <c r="AA1681" i="1"/>
  <c r="AA565" i="7" s="1"/>
  <c r="AA1688" i="1"/>
  <c r="AA572" i="7" s="1"/>
  <c r="AA1705" i="1"/>
  <c r="AA589" i="7" s="1"/>
  <c r="W188" i="8"/>
  <c r="W187" i="8" s="1"/>
  <c r="W284" i="7"/>
  <c r="X498" i="8"/>
  <c r="X497" i="8" s="1"/>
  <c r="X911" i="8"/>
  <c r="W1734" i="1"/>
  <c r="W619" i="7" s="1"/>
  <c r="W1747" i="1"/>
  <c r="W632" i="7" s="1"/>
  <c r="W1752" i="1"/>
  <c r="W637" i="7" s="1"/>
  <c r="W1750" i="1"/>
  <c r="W635" i="7" s="1"/>
  <c r="W1738" i="1"/>
  <c r="W623" i="7" s="1"/>
  <c r="Z176" i="1"/>
  <c r="Z75" i="7" s="1"/>
  <c r="Z2014" i="1"/>
  <c r="X305" i="8"/>
  <c r="X304" i="8" s="1"/>
  <c r="X935" i="8" s="1"/>
  <c r="X1342" i="1"/>
  <c r="X338" i="7" s="1"/>
  <c r="X2019" i="1"/>
  <c r="U459" i="8"/>
  <c r="U1481" i="1"/>
  <c r="U1573" i="1"/>
  <c r="U453" i="7" s="1"/>
  <c r="U1572" i="1"/>
  <c r="U452" i="7" s="1"/>
  <c r="V1890" i="1"/>
  <c r="M1891" i="1" s="1"/>
  <c r="V850" i="8"/>
  <c r="I851" i="8" s="1"/>
  <c r="V855" i="8"/>
  <c r="I856" i="8" s="1"/>
  <c r="W708" i="8"/>
  <c r="W695" i="8"/>
  <c r="W696" i="8" s="1"/>
  <c r="W713" i="8"/>
  <c r="W714" i="8" s="1"/>
  <c r="W711" i="8"/>
  <c r="W712" i="8" s="1"/>
  <c r="W699" i="8"/>
  <c r="V121" i="8"/>
  <c r="V944" i="8"/>
  <c r="Z183" i="1"/>
  <c r="Z82" i="7" s="1"/>
  <c r="AA1208" i="1"/>
  <c r="AA199" i="7" s="1"/>
  <c r="AA1562" i="1"/>
  <c r="AA442" i="7" s="1"/>
  <c r="AA2011" i="1"/>
  <c r="AA1559" i="1"/>
  <c r="AA439" i="7" s="1"/>
  <c r="W1188" i="1"/>
  <c r="W184" i="8"/>
  <c r="W183" i="8" s="1"/>
  <c r="W185" i="8" s="1"/>
  <c r="W932" i="8" s="1"/>
  <c r="W1350" i="1"/>
  <c r="W346" i="7" s="1"/>
  <c r="W1289" i="1"/>
  <c r="W283" i="7" s="1"/>
  <c r="U478" i="8"/>
  <c r="U586" i="8"/>
  <c r="U585" i="8"/>
  <c r="V570" i="8"/>
  <c r="V589" i="8"/>
  <c r="V512" i="8"/>
  <c r="V1498" i="1"/>
  <c r="V506" i="8"/>
  <c r="V2027" i="1"/>
  <c r="V1356" i="1"/>
  <c r="V352" i="7" s="1"/>
  <c r="V331" i="8"/>
  <c r="AB591" i="1"/>
  <c r="AB944" i="1" s="1"/>
  <c r="AB451" i="1"/>
  <c r="W1813" i="1"/>
  <c r="L1814" i="1" s="1"/>
  <c r="W1818" i="1"/>
  <c r="L1819" i="1" s="1"/>
  <c r="Z1286" i="1"/>
  <c r="Z280" i="7" s="1"/>
  <c r="Z2012" i="1"/>
  <c r="Z1566" i="1"/>
  <c r="Z446" i="7" s="1"/>
  <c r="Y173" i="1"/>
  <c r="Y72" i="7" s="1"/>
  <c r="Y187" i="1"/>
  <c r="Y86" i="7" s="1"/>
  <c r="X1167" i="1"/>
  <c r="X69" i="8" s="1"/>
  <c r="X68" i="8" s="1"/>
  <c r="X84" i="8"/>
  <c r="X83" i="8" s="1"/>
  <c r="V1885" i="1"/>
  <c r="M1886" i="1" s="1"/>
  <c r="X573" i="8"/>
  <c r="X931" i="8"/>
  <c r="X909" i="8"/>
  <c r="X581" i="8"/>
  <c r="X571" i="8"/>
  <c r="W771" i="8"/>
  <c r="W772" i="8" s="1"/>
  <c r="W784" i="8"/>
  <c r="W789" i="8"/>
  <c r="W790" i="8" s="1"/>
  <c r="W787" i="8"/>
  <c r="W788" i="8" s="1"/>
  <c r="W775" i="8"/>
  <c r="X290" i="8" l="1"/>
  <c r="X1795" i="1"/>
  <c r="X758" i="8"/>
  <c r="X1867" i="1"/>
  <c r="X1721" i="1"/>
  <c r="X606" i="7" s="1"/>
  <c r="X832" i="8"/>
  <c r="AA1706" i="1"/>
  <c r="AA590" i="7" s="1"/>
  <c r="AA1663" i="1"/>
  <c r="AA547" i="7" s="1"/>
  <c r="AA564" i="7"/>
  <c r="AA1687" i="1"/>
  <c r="AA571" i="7" s="1"/>
  <c r="X908" i="8"/>
  <c r="X915" i="8" s="1"/>
  <c r="AA1563" i="1"/>
  <c r="Y174" i="1"/>
  <c r="Y73" i="7" s="1"/>
  <c r="Y1221" i="1"/>
  <c r="Y212" i="7" s="1"/>
  <c r="Y1052" i="1"/>
  <c r="Y1048" i="1" s="1"/>
  <c r="Y1977" i="1"/>
  <c r="Y1995" i="1" s="1"/>
  <c r="Y2002" i="1" s="1"/>
  <c r="Y227" i="1"/>
  <c r="Y126" i="7" s="1"/>
  <c r="Y1976" i="1"/>
  <c r="Y1994" i="1" s="1"/>
  <c r="Y2001" i="1" s="1"/>
  <c r="Z2013" i="1"/>
  <c r="Z1287" i="1"/>
  <c r="Z1567" i="1"/>
  <c r="Z447" i="7" s="1"/>
  <c r="AB1694" i="1"/>
  <c r="AB988" i="1"/>
  <c r="AB980" i="1" s="1"/>
  <c r="AB1670" i="1"/>
  <c r="AB1207" i="1"/>
  <c r="AB198" i="7" s="1"/>
  <c r="V1192" i="1"/>
  <c r="V1461" i="1"/>
  <c r="V1136" i="1"/>
  <c r="V1193" i="1"/>
  <c r="V1093" i="1"/>
  <c r="V1135" i="1"/>
  <c r="W1355" i="1"/>
  <c r="W351" i="7" s="1"/>
  <c r="V1091" i="1"/>
  <c r="V2029" i="1"/>
  <c r="V335" i="8"/>
  <c r="V334" i="8" s="1"/>
  <c r="V510" i="8"/>
  <c r="V1557" i="1"/>
  <c r="V437" i="7" s="1"/>
  <c r="V1500" i="1"/>
  <c r="V1576" i="1"/>
  <c r="V456" i="7" s="1"/>
  <c r="U569" i="8"/>
  <c r="U514" i="8"/>
  <c r="W1875" i="1"/>
  <c r="W1879" i="1" s="1"/>
  <c r="W1352" i="1"/>
  <c r="W348" i="7" s="1"/>
  <c r="W325" i="8"/>
  <c r="W324" i="8" s="1"/>
  <c r="W840" i="8" s="1"/>
  <c r="W844" i="8" s="1"/>
  <c r="W1185" i="1"/>
  <c r="W101" i="8" s="1"/>
  <c r="W100" i="8" s="1"/>
  <c r="W106" i="8"/>
  <c r="W105" i="8" s="1"/>
  <c r="W705" i="8"/>
  <c r="H706" i="8" s="1"/>
  <c r="U479" i="8"/>
  <c r="U1501" i="1"/>
  <c r="U1556" i="1"/>
  <c r="U436" i="7" s="1"/>
  <c r="W1751" i="1"/>
  <c r="W636" i="7" s="1"/>
  <c r="W776" i="8"/>
  <c r="H777" i="8" s="1"/>
  <c r="W781" i="8"/>
  <c r="H782" i="8" s="1"/>
  <c r="AB452" i="1"/>
  <c r="V588" i="8"/>
  <c r="V590" i="8"/>
  <c r="W186" i="8"/>
  <c r="W2016" i="1"/>
  <c r="W1291" i="1"/>
  <c r="W285" i="7" s="1"/>
  <c r="AA1214" i="1"/>
  <c r="AA205" i="7" s="1"/>
  <c r="W700" i="8"/>
  <c r="H701" i="8" s="1"/>
  <c r="X1869" i="1"/>
  <c r="X1723" i="1"/>
  <c r="X608" i="7" s="1"/>
  <c r="X1797" i="1"/>
  <c r="X310" i="8"/>
  <c r="X309" i="8" s="1"/>
  <c r="Z184" i="1"/>
  <c r="AA182" i="1" s="1"/>
  <c r="AA81" i="7" s="1"/>
  <c r="Z177" i="1"/>
  <c r="Z76" i="7" s="1"/>
  <c r="W1739" i="1"/>
  <c r="W624" i="7" s="1"/>
  <c r="W1753" i="1"/>
  <c r="W638" i="7" s="1"/>
  <c r="W1735" i="1"/>
  <c r="W620" i="7" s="1"/>
  <c r="X1807" i="1" l="1"/>
  <c r="X1826" i="1" s="1"/>
  <c r="X1827" i="1" s="1"/>
  <c r="AA1683" i="1"/>
  <c r="AA567" i="7" s="1"/>
  <c r="AA1678" i="1"/>
  <c r="AA562" i="7" s="1"/>
  <c r="AA1702" i="1"/>
  <c r="AA586" i="7" s="1"/>
  <c r="AA1707" i="1"/>
  <c r="AA591" i="7" s="1"/>
  <c r="Z186" i="1"/>
  <c r="Z85" i="7" s="1"/>
  <c r="Z83" i="7"/>
  <c r="AB1677" i="1"/>
  <c r="AB561" i="7" s="1"/>
  <c r="AB554" i="7"/>
  <c r="AB1701" i="1"/>
  <c r="AB585" i="7" s="1"/>
  <c r="AB578" i="7"/>
  <c r="Z1951" i="1"/>
  <c r="Z281" i="7"/>
  <c r="AA1564" i="1"/>
  <c r="AA444" i="7" s="1"/>
  <c r="AA443" i="7"/>
  <c r="W1744" i="1"/>
  <c r="W629" i="7" s="1"/>
  <c r="L1740" i="1"/>
  <c r="L625" i="7" s="1"/>
  <c r="Z187" i="1"/>
  <c r="Z86" i="7" s="1"/>
  <c r="AC442" i="1"/>
  <c r="AB592" i="1"/>
  <c r="AB1476" i="1" s="1"/>
  <c r="AB1472" i="1" s="1"/>
  <c r="AB1479" i="1" s="1"/>
  <c r="AA183" i="1"/>
  <c r="AA82" i="7" s="1"/>
  <c r="Z185" i="1"/>
  <c r="Z84" i="7" s="1"/>
  <c r="AA1220" i="1"/>
  <c r="AA211" i="7" s="1"/>
  <c r="AA1285" i="1"/>
  <c r="AA279" i="7" s="1"/>
  <c r="X1733" i="1"/>
  <c r="X618" i="7" s="1"/>
  <c r="W1496" i="1"/>
  <c r="X1290" i="1"/>
  <c r="W190" i="8"/>
  <c r="W189" i="8" s="1"/>
  <c r="W505" i="8" s="1"/>
  <c r="W509" i="8" s="1"/>
  <c r="W328" i="8"/>
  <c r="W327" i="8" s="1"/>
  <c r="W330" i="8" s="1"/>
  <c r="W943" i="8" s="1"/>
  <c r="W1354" i="1"/>
  <c r="W350" i="7" s="1"/>
  <c r="W1880" i="1"/>
  <c r="W1881" i="1" s="1"/>
  <c r="W1896" i="1"/>
  <c r="W1897" i="1" s="1"/>
  <c r="W1898" i="1"/>
  <c r="W1899" i="1" s="1"/>
  <c r="W1893" i="1"/>
  <c r="W1884" i="1"/>
  <c r="V513" i="8"/>
  <c r="V1577" i="1"/>
  <c r="V457" i="7" s="1"/>
  <c r="V1575" i="1"/>
  <c r="V455" i="7" s="1"/>
  <c r="W333" i="8"/>
  <c r="W332" i="8" s="1"/>
  <c r="W2028" i="1"/>
  <c r="X1283" i="1"/>
  <c r="X277" i="7" s="1"/>
  <c r="V1470" i="1"/>
  <c r="V441" i="8"/>
  <c r="AB1943" i="1"/>
  <c r="AB1200" i="1"/>
  <c r="AB191" i="7" s="1"/>
  <c r="Y1326" i="1"/>
  <c r="Y322" i="7" s="1"/>
  <c r="Y1486" i="1"/>
  <c r="Y1066" i="1"/>
  <c r="Y1067" i="1" s="1"/>
  <c r="Y1068" i="1" s="1"/>
  <c r="Y1070" i="1" s="1"/>
  <c r="Y175" i="1"/>
  <c r="Y74" i="7" s="1"/>
  <c r="X834" i="8"/>
  <c r="X684" i="8"/>
  <c r="X694" i="8" s="1"/>
  <c r="X760" i="8"/>
  <c r="X770" i="8" s="1"/>
  <c r="W845" i="8"/>
  <c r="W846" i="8" s="1"/>
  <c r="W861" i="8"/>
  <c r="W862" i="8" s="1"/>
  <c r="W863" i="8"/>
  <c r="W864" i="8" s="1"/>
  <c r="W858" i="8"/>
  <c r="W849" i="8"/>
  <c r="V945" i="8"/>
  <c r="V1092" i="1"/>
  <c r="V1137" i="1"/>
  <c r="V440" i="8"/>
  <c r="V458" i="8" s="1"/>
  <c r="Y1570" i="1"/>
  <c r="Y450" i="7" s="1"/>
  <c r="Y1222" i="1"/>
  <c r="Y213" i="7" s="1"/>
  <c r="X1824" i="1" l="1"/>
  <c r="X1825" i="1" s="1"/>
  <c r="X1821" i="1"/>
  <c r="X1812" i="1"/>
  <c r="X1813" i="1" s="1"/>
  <c r="K1814" i="1" s="1"/>
  <c r="X1808" i="1"/>
  <c r="X1809" i="1" s="1"/>
  <c r="X1818" i="1" s="1"/>
  <c r="K1819" i="1" s="1"/>
  <c r="AB1690" i="1"/>
  <c r="AB1687" i="1" s="1"/>
  <c r="AB571" i="7" s="1"/>
  <c r="AB1688" i="1"/>
  <c r="AB572" i="7" s="1"/>
  <c r="AB1664" i="1"/>
  <c r="AB548" i="7" s="1"/>
  <c r="AB1681" i="1"/>
  <c r="AB565" i="7" s="1"/>
  <c r="AB1704" i="1"/>
  <c r="AB1706" i="1" s="1"/>
  <c r="AB590" i="7" s="1"/>
  <c r="AB1705" i="1"/>
  <c r="AB589" i="7" s="1"/>
  <c r="AB1680" i="1"/>
  <c r="AB1682" i="1" s="1"/>
  <c r="AB566" i="7" s="1"/>
  <c r="AB1666" i="1"/>
  <c r="AB550" i="7" s="1"/>
  <c r="Z173" i="1"/>
  <c r="Z72" i="7" s="1"/>
  <c r="X188" i="8"/>
  <c r="X187" i="8" s="1"/>
  <c r="X284" i="7"/>
  <c r="V586" i="8"/>
  <c r="V478" i="8"/>
  <c r="V585" i="8"/>
  <c r="W850" i="8"/>
  <c r="H851" i="8" s="1"/>
  <c r="W855" i="8"/>
  <c r="H856" i="8" s="1"/>
  <c r="X695" i="8"/>
  <c r="X696" i="8" s="1"/>
  <c r="X713" i="8"/>
  <c r="X714" i="8" s="1"/>
  <c r="X708" i="8"/>
  <c r="X711" i="8"/>
  <c r="X712" i="8" s="1"/>
  <c r="X699" i="8"/>
  <c r="Y1339" i="1"/>
  <c r="Y335" i="7" s="1"/>
  <c r="Y1175" i="1"/>
  <c r="Y1167" i="1" s="1"/>
  <c r="Y1331" i="1"/>
  <c r="Y327" i="7" s="1"/>
  <c r="AB1208" i="1"/>
  <c r="AB199" i="7" s="1"/>
  <c r="AB1562" i="1"/>
  <c r="AB442" i="7" s="1"/>
  <c r="AB1559" i="1"/>
  <c r="AB439" i="7" s="1"/>
  <c r="AB2011" i="1"/>
  <c r="V1481" i="1"/>
  <c r="V459" i="8"/>
  <c r="V1573" i="1"/>
  <c r="V453" i="7" s="1"/>
  <c r="V1572" i="1"/>
  <c r="V452" i="7" s="1"/>
  <c r="W944" i="8"/>
  <c r="W121" i="8"/>
  <c r="W1885" i="1"/>
  <c r="L1886" i="1" s="1"/>
  <c r="W1890" i="1"/>
  <c r="L1891" i="1" s="1"/>
  <c r="W570" i="8"/>
  <c r="W589" i="8"/>
  <c r="W512" i="8"/>
  <c r="X1752" i="1"/>
  <c r="X637" i="7" s="1"/>
  <c r="X1734" i="1"/>
  <c r="X619" i="7" s="1"/>
  <c r="X1747" i="1"/>
  <c r="X632" i="7" s="1"/>
  <c r="X1750" i="1"/>
  <c r="X635" i="7" s="1"/>
  <c r="X1738" i="1"/>
  <c r="X623" i="7" s="1"/>
  <c r="AC591" i="1"/>
  <c r="AE442" i="1"/>
  <c r="AC451" i="1"/>
  <c r="AC452" i="1" s="1"/>
  <c r="AC592" i="1" s="1"/>
  <c r="AC1476" i="1" s="1"/>
  <c r="Y1942" i="1"/>
  <c r="Y2015" i="1"/>
  <c r="Y1560" i="1"/>
  <c r="Y440" i="7" s="1"/>
  <c r="Y1558" i="1"/>
  <c r="Y438" i="7" s="1"/>
  <c r="Y1568" i="1"/>
  <c r="Y448" i="7" s="1"/>
  <c r="X771" i="8"/>
  <c r="X772" i="8" s="1"/>
  <c r="X784" i="8"/>
  <c r="X787" i="8"/>
  <c r="X788" i="8" s="1"/>
  <c r="X789" i="8"/>
  <c r="X790" i="8" s="1"/>
  <c r="X775" i="8"/>
  <c r="Y1944" i="1"/>
  <c r="Y1491" i="1"/>
  <c r="X184" i="8"/>
  <c r="X183" i="8" s="1"/>
  <c r="X185" i="8" s="1"/>
  <c r="X932" i="8" s="1"/>
  <c r="X1350" i="1"/>
  <c r="X346" i="7" s="1"/>
  <c r="X1188" i="1"/>
  <c r="X1289" i="1"/>
  <c r="X283" i="7" s="1"/>
  <c r="W331" i="8"/>
  <c r="W2027" i="1"/>
  <c r="W1356" i="1"/>
  <c r="W352" i="7" s="1"/>
  <c r="W506" i="8"/>
  <c r="W1498" i="1"/>
  <c r="AA2012" i="1"/>
  <c r="AA1286" i="1"/>
  <c r="AA280" i="7" s="1"/>
  <c r="AA1566" i="1"/>
  <c r="AA446" i="7" s="1"/>
  <c r="AA2014" i="1"/>
  <c r="AA176" i="1"/>
  <c r="AA75" i="7" s="1"/>
  <c r="L1745" i="1"/>
  <c r="L630" i="7" s="1"/>
  <c r="AB574" i="7" l="1"/>
  <c r="Z174" i="1"/>
  <c r="Z73" i="7" s="1"/>
  <c r="AB1663" i="1"/>
  <c r="AB547" i="7" s="1"/>
  <c r="AB564" i="7"/>
  <c r="AB588" i="7"/>
  <c r="Z1977" i="1"/>
  <c r="Z1995" i="1" s="1"/>
  <c r="Z2002" i="1" s="1"/>
  <c r="Z1052" i="1"/>
  <c r="Z1048" i="1" s="1"/>
  <c r="Z1066" i="1" s="1"/>
  <c r="Z1067" i="1" s="1"/>
  <c r="Z1068" i="1" s="1"/>
  <c r="Z1070" i="1" s="1"/>
  <c r="Z1976" i="1"/>
  <c r="Z1994" i="1" s="1"/>
  <c r="Z2001" i="1" s="1"/>
  <c r="Z227" i="1"/>
  <c r="Z126" i="7" s="1"/>
  <c r="Z1221" i="1"/>
  <c r="Z212" i="7" s="1"/>
  <c r="AB1707" i="1"/>
  <c r="AB591" i="7" s="1"/>
  <c r="AB1702" i="1"/>
  <c r="AB586" i="7" s="1"/>
  <c r="AA177" i="1"/>
  <c r="AA76" i="7" s="1"/>
  <c r="AA184" i="1"/>
  <c r="X106" i="8"/>
  <c r="X105" i="8" s="1"/>
  <c r="X1185" i="1"/>
  <c r="X101" i="8" s="1"/>
  <c r="X100" i="8" s="1"/>
  <c r="X776" i="8"/>
  <c r="G777" i="8" s="1"/>
  <c r="X781" i="8"/>
  <c r="G782" i="8" s="1"/>
  <c r="Y470" i="8"/>
  <c r="Y469" i="8" s="1"/>
  <c r="AC1472" i="1"/>
  <c r="AA2013" i="1"/>
  <c r="AA1287" i="1"/>
  <c r="AA1567" i="1"/>
  <c r="AA447" i="7" s="1"/>
  <c r="W1557" i="1"/>
  <c r="W437" i="7" s="1"/>
  <c r="W510" i="8"/>
  <c r="W1576" i="1"/>
  <c r="W456" i="7" s="1"/>
  <c r="W1500" i="1"/>
  <c r="W1192" i="1"/>
  <c r="W1135" i="1"/>
  <c r="W1193" i="1"/>
  <c r="W1461" i="1"/>
  <c r="W1136" i="1"/>
  <c r="W1091" i="1"/>
  <c r="W1093" i="1"/>
  <c r="W2029" i="1"/>
  <c r="W335" i="8"/>
  <c r="W334" i="8" s="1"/>
  <c r="X1355" i="1"/>
  <c r="X351" i="7" s="1"/>
  <c r="X2016" i="1"/>
  <c r="X186" i="8"/>
  <c r="X1291" i="1"/>
  <c r="X285" i="7" s="1"/>
  <c r="X1875" i="1"/>
  <c r="X1879" i="1" s="1"/>
  <c r="X325" i="8"/>
  <c r="X324" i="8" s="1"/>
  <c r="X840" i="8" s="1"/>
  <c r="X844" i="8" s="1"/>
  <c r="X1352" i="1"/>
  <c r="X348" i="7" s="1"/>
  <c r="X1739" i="1"/>
  <c r="X624" i="7" s="1"/>
  <c r="X1735" i="1"/>
  <c r="X620" i="7" s="1"/>
  <c r="W590" i="8"/>
  <c r="W588" i="8"/>
  <c r="V479" i="8"/>
  <c r="V1501" i="1"/>
  <c r="V1556" i="1"/>
  <c r="V436" i="7" s="1"/>
  <c r="AB1563" i="1"/>
  <c r="AB443" i="7" s="1"/>
  <c r="Y1795" i="1"/>
  <c r="Y1867" i="1"/>
  <c r="Y1721" i="1"/>
  <c r="Y606" i="7" s="1"/>
  <c r="X700" i="8"/>
  <c r="G701" i="8" s="1"/>
  <c r="X705" i="8"/>
  <c r="G706" i="8" s="1"/>
  <c r="V514" i="8"/>
  <c r="V569" i="8"/>
  <c r="Y1941" i="1"/>
  <c r="Y1948" i="1" s="1"/>
  <c r="AC944" i="1"/>
  <c r="AE591" i="1"/>
  <c r="X1751" i="1"/>
  <c r="X636" i="7" s="1"/>
  <c r="X1753" i="1"/>
  <c r="X638" i="7" s="1"/>
  <c r="AB1214" i="1"/>
  <c r="AB205" i="7" s="1"/>
  <c r="Y1342" i="1"/>
  <c r="Y338" i="7" s="1"/>
  <c r="Y2019" i="1"/>
  <c r="Z1326" i="1" l="1"/>
  <c r="Z322" i="7" s="1"/>
  <c r="Z175" i="1"/>
  <c r="Z74" i="7" s="1"/>
  <c r="Z1570" i="1"/>
  <c r="Z450" i="7" s="1"/>
  <c r="AB1683" i="1"/>
  <c r="AB567" i="7" s="1"/>
  <c r="Z1486" i="1"/>
  <c r="Z1944" i="1" s="1"/>
  <c r="AB1678" i="1"/>
  <c r="AB562" i="7" s="1"/>
  <c r="Z1222" i="1"/>
  <c r="Z213" i="7" s="1"/>
  <c r="AA1951" i="1"/>
  <c r="AA281" i="7"/>
  <c r="AA186" i="1"/>
  <c r="AA85" i="7" s="1"/>
  <c r="AA83" i="7"/>
  <c r="AB1285" i="1"/>
  <c r="AB279" i="7" s="1"/>
  <c r="AB1220" i="1"/>
  <c r="AB211" i="7" s="1"/>
  <c r="AC1207" i="1"/>
  <c r="AC198" i="7" s="1"/>
  <c r="AC988" i="1"/>
  <c r="AC1670" i="1"/>
  <c r="AC1694" i="1"/>
  <c r="AE944" i="1"/>
  <c r="Z1175" i="1"/>
  <c r="Z1167" i="1" s="1"/>
  <c r="Z1339" i="1"/>
  <c r="Z335" i="7" s="1"/>
  <c r="X328" i="8"/>
  <c r="X327" i="8" s="1"/>
  <c r="X330" i="8" s="1"/>
  <c r="X943" i="8" s="1"/>
  <c r="X1354" i="1"/>
  <c r="X350" i="7" s="1"/>
  <c r="Y1290" i="1"/>
  <c r="Y284" i="7" s="1"/>
  <c r="X1496" i="1"/>
  <c r="X190" i="8"/>
  <c r="X189" i="8" s="1"/>
  <c r="X505" i="8" s="1"/>
  <c r="X509" i="8" s="1"/>
  <c r="W1092" i="1"/>
  <c r="W1137" i="1"/>
  <c r="W945" i="8"/>
  <c r="W440" i="8"/>
  <c r="W458" i="8" s="1"/>
  <c r="W441" i="8"/>
  <c r="W1470" i="1"/>
  <c r="W513" i="8"/>
  <c r="W1577" i="1"/>
  <c r="W457" i="7" s="1"/>
  <c r="W1575" i="1"/>
  <c r="W455" i="7" s="1"/>
  <c r="Y1869" i="1"/>
  <c r="Y1797" i="1"/>
  <c r="Y1807" i="1" s="1"/>
  <c r="Y1723" i="1"/>
  <c r="Y608" i="7" s="1"/>
  <c r="AB1564" i="1"/>
  <c r="AB444" i="7" s="1"/>
  <c r="X1744" i="1"/>
  <c r="X629" i="7" s="1"/>
  <c r="K1740" i="1"/>
  <c r="K625" i="7" s="1"/>
  <c r="X858" i="8"/>
  <c r="X845" i="8"/>
  <c r="X846" i="8" s="1"/>
  <c r="X863" i="8"/>
  <c r="X864" i="8" s="1"/>
  <c r="X861" i="8"/>
  <c r="X862" i="8" s="1"/>
  <c r="X849" i="8"/>
  <c r="X1880" i="1"/>
  <c r="X1881" i="1" s="1"/>
  <c r="X1898" i="1"/>
  <c r="X1899" i="1" s="1"/>
  <c r="X1893" i="1"/>
  <c r="X1896" i="1"/>
  <c r="X1897" i="1" s="1"/>
  <c r="X1884" i="1"/>
  <c r="X333" i="8"/>
  <c r="X332" i="8" s="1"/>
  <c r="X2028" i="1"/>
  <c r="Y1283" i="1"/>
  <c r="Y277" i="7" s="1"/>
  <c r="Y462" i="8"/>
  <c r="Y461" i="8" s="1"/>
  <c r="AC1479" i="1"/>
  <c r="AA185" i="1"/>
  <c r="AA84" i="7" s="1"/>
  <c r="AB182" i="1"/>
  <c r="AB81" i="7" s="1"/>
  <c r="Z1331" i="1" l="1"/>
  <c r="Z327" i="7" s="1"/>
  <c r="Z1560" i="1"/>
  <c r="Z440" i="7" s="1"/>
  <c r="Z1491" i="1"/>
  <c r="Z1558" i="1"/>
  <c r="Z438" i="7" s="1"/>
  <c r="AA187" i="1"/>
  <c r="AA86" i="7" s="1"/>
  <c r="Z1568" i="1"/>
  <c r="Z448" i="7" s="1"/>
  <c r="Z1942" i="1"/>
  <c r="Z1941" i="1" s="1"/>
  <c r="Z1948" i="1" s="1"/>
  <c r="Z2015" i="1"/>
  <c r="AC1701" i="1"/>
  <c r="AC585" i="7" s="1"/>
  <c r="AC578" i="7"/>
  <c r="AA173" i="1"/>
  <c r="AA72" i="7" s="1"/>
  <c r="AC1677" i="1"/>
  <c r="AC561" i="7" s="1"/>
  <c r="AC554" i="7"/>
  <c r="X121" i="8"/>
  <c r="X944" i="8"/>
  <c r="X850" i="8"/>
  <c r="G851" i="8" s="1"/>
  <c r="Y1808" i="1"/>
  <c r="Y1809" i="1" s="1"/>
  <c r="Y1821" i="1"/>
  <c r="Y1826" i="1"/>
  <c r="Y1827" i="1" s="1"/>
  <c r="Y1824" i="1"/>
  <c r="Y1825" i="1" s="1"/>
  <c r="Y1812" i="1"/>
  <c r="W1481" i="1"/>
  <c r="W1573" i="1"/>
  <c r="W453" i="7" s="1"/>
  <c r="W459" i="8"/>
  <c r="W1572" i="1"/>
  <c r="W452" i="7" s="1"/>
  <c r="W478" i="8"/>
  <c r="W586" i="8"/>
  <c r="W585" i="8"/>
  <c r="X570" i="8"/>
  <c r="X512" i="8"/>
  <c r="X589" i="8"/>
  <c r="X506" i="8"/>
  <c r="X1498" i="1"/>
  <c r="X331" i="8"/>
  <c r="X2027" i="1"/>
  <c r="X1356" i="1"/>
  <c r="X352" i="7" s="1"/>
  <c r="AC980" i="1"/>
  <c r="AE980" i="1" s="1"/>
  <c r="AE988" i="1"/>
  <c r="AB2014" i="1"/>
  <c r="AB176" i="1"/>
  <c r="AB75" i="7" s="1"/>
  <c r="AB183" i="1"/>
  <c r="AB82" i="7" s="1"/>
  <c r="Y476" i="8"/>
  <c r="Y475" i="8" s="1"/>
  <c r="Y1350" i="1"/>
  <c r="Y346" i="7" s="1"/>
  <c r="Y1188" i="1"/>
  <c r="Y1185" i="1" s="1"/>
  <c r="Y1289" i="1"/>
  <c r="Y283" i="7" s="1"/>
  <c r="X1885" i="1"/>
  <c r="K1886" i="1" s="1"/>
  <c r="X1890" i="1"/>
  <c r="K1891" i="1" s="1"/>
  <c r="X855" i="8"/>
  <c r="G856" i="8" s="1"/>
  <c r="Z1867" i="1"/>
  <c r="Z1795" i="1"/>
  <c r="Z1721" i="1"/>
  <c r="Z606" i="7" s="1"/>
  <c r="K1745" i="1"/>
  <c r="K630" i="7" s="1"/>
  <c r="Y1733" i="1"/>
  <c r="Y618" i="7" s="1"/>
  <c r="Z1342" i="1"/>
  <c r="Z338" i="7" s="1"/>
  <c r="Z2019" i="1"/>
  <c r="AC1943" i="1"/>
  <c r="AE1943" i="1" s="1"/>
  <c r="AC1200" i="1"/>
  <c r="AC191" i="7" s="1"/>
  <c r="Y143" i="8"/>
  <c r="AE1207" i="1"/>
  <c r="AE198" i="7" s="1"/>
  <c r="AB1286" i="1"/>
  <c r="AB280" i="7" s="1"/>
  <c r="AB2012" i="1"/>
  <c r="AB1566" i="1"/>
  <c r="AB446" i="7" s="1"/>
  <c r="AC1688" i="1" l="1"/>
  <c r="AC572" i="7" s="1"/>
  <c r="AA1977" i="1"/>
  <c r="AA1995" i="1" s="1"/>
  <c r="AA2002" i="1" s="1"/>
  <c r="AC1681" i="1"/>
  <c r="AC565" i="7" s="1"/>
  <c r="AA1976" i="1"/>
  <c r="AA1994" i="1" s="1"/>
  <c r="AA2001" i="1" s="1"/>
  <c r="AA174" i="1"/>
  <c r="AA73" i="7" s="1"/>
  <c r="AC1680" i="1"/>
  <c r="AC1682" i="1" s="1"/>
  <c r="AC566" i="7" s="1"/>
  <c r="AC1705" i="1"/>
  <c r="AC589" i="7" s="1"/>
  <c r="AC1666" i="1"/>
  <c r="AC550" i="7" s="1"/>
  <c r="AC1664" i="1"/>
  <c r="AC548" i="7" s="1"/>
  <c r="AA227" i="1"/>
  <c r="AA126" i="7" s="1"/>
  <c r="AA1052" i="1"/>
  <c r="AA1048" i="1" s="1"/>
  <c r="AA1486" i="1" s="1"/>
  <c r="AA1221" i="1"/>
  <c r="AA212" i="7" s="1"/>
  <c r="AC1690" i="1"/>
  <c r="AC574" i="7" s="1"/>
  <c r="AC1704" i="1"/>
  <c r="AC1706" i="1" s="1"/>
  <c r="AC590" i="7" s="1"/>
  <c r="AB1287" i="1"/>
  <c r="AB2013" i="1"/>
  <c r="AB1567" i="1"/>
  <c r="AB447" i="7" s="1"/>
  <c r="AC1208" i="1"/>
  <c r="AC199" i="7" s="1"/>
  <c r="Y130" i="8"/>
  <c r="AC1559" i="1"/>
  <c r="AC439" i="7" s="1"/>
  <c r="AC1562" i="1"/>
  <c r="AC442" i="7" s="1"/>
  <c r="AC2011" i="1"/>
  <c r="AE1200" i="1"/>
  <c r="AE191" i="7" s="1"/>
  <c r="Z1869" i="1"/>
  <c r="Z1797" i="1"/>
  <c r="Z1807" i="1" s="1"/>
  <c r="Z1812" i="1" s="1"/>
  <c r="Z1723" i="1"/>
  <c r="Z608" i="7" s="1"/>
  <c r="Y1752" i="1"/>
  <c r="Y637" i="7" s="1"/>
  <c r="Y1750" i="1"/>
  <c r="Y635" i="7" s="1"/>
  <c r="Y1747" i="1"/>
  <c r="Y632" i="7" s="1"/>
  <c r="Y1734" i="1"/>
  <c r="Y619" i="7" s="1"/>
  <c r="Y1738" i="1"/>
  <c r="Y623" i="7" s="1"/>
  <c r="X588" i="8"/>
  <c r="X590" i="8"/>
  <c r="W514" i="8"/>
  <c r="W569" i="8"/>
  <c r="W1501" i="1"/>
  <c r="W479" i="8"/>
  <c r="W1556" i="1"/>
  <c r="W436" i="7" s="1"/>
  <c r="Y142" i="8"/>
  <c r="AA143" i="8"/>
  <c r="Y2016" i="1"/>
  <c r="Y1291" i="1"/>
  <c r="Y285" i="7" s="1"/>
  <c r="Y1875" i="1"/>
  <c r="Y1879" i="1" s="1"/>
  <c r="Y1352" i="1"/>
  <c r="Y348" i="7" s="1"/>
  <c r="AB184" i="1"/>
  <c r="AB177" i="1"/>
  <c r="AB76" i="7" s="1"/>
  <c r="X1136" i="1"/>
  <c r="X1193" i="1"/>
  <c r="X1192" i="1"/>
  <c r="X1135" i="1"/>
  <c r="X1461" i="1"/>
  <c r="X335" i="8"/>
  <c r="X334" i="8" s="1"/>
  <c r="X1091" i="1"/>
  <c r="X1093" i="1"/>
  <c r="Y1355" i="1"/>
  <c r="Y351" i="7" s="1"/>
  <c r="X2029" i="1"/>
  <c r="X1557" i="1"/>
  <c r="X437" i="7" s="1"/>
  <c r="X510" i="8"/>
  <c r="X1500" i="1"/>
  <c r="X1576" i="1"/>
  <c r="X456" i="7" s="1"/>
  <c r="Y1813" i="1"/>
  <c r="J1814" i="1" s="1"/>
  <c r="Y1818" i="1"/>
  <c r="J1819" i="1" s="1"/>
  <c r="AC1687" i="1" l="1"/>
  <c r="AC571" i="7" s="1"/>
  <c r="AA175" i="1"/>
  <c r="AA74" i="7" s="1"/>
  <c r="AA1066" i="1"/>
  <c r="AA1067" i="1" s="1"/>
  <c r="AA1068" i="1" s="1"/>
  <c r="AA1070" i="1" s="1"/>
  <c r="AA1339" i="1" s="1"/>
  <c r="AA335" i="7" s="1"/>
  <c r="AA1326" i="1"/>
  <c r="AA322" i="7" s="1"/>
  <c r="AC1663" i="1"/>
  <c r="AC547" i="7" s="1"/>
  <c r="AC564" i="7"/>
  <c r="AA1570" i="1"/>
  <c r="AA450" i="7" s="1"/>
  <c r="AA1222" i="1"/>
  <c r="AA213" i="7" s="1"/>
  <c r="AC588" i="7"/>
  <c r="AC182" i="1"/>
  <c r="AC81" i="7" s="1"/>
  <c r="AB83" i="7"/>
  <c r="AB1951" i="1"/>
  <c r="AB281" i="7"/>
  <c r="X945" i="8"/>
  <c r="X1092" i="1"/>
  <c r="X1137" i="1"/>
  <c r="X440" i="8"/>
  <c r="X458" i="8" s="1"/>
  <c r="AB185" i="1"/>
  <c r="AB84" i="7" s="1"/>
  <c r="AB186" i="1"/>
  <c r="AB85" i="7" s="1"/>
  <c r="Y1893" i="1"/>
  <c r="Y1880" i="1"/>
  <c r="Y1881" i="1" s="1"/>
  <c r="Y1898" i="1"/>
  <c r="Y1899" i="1" s="1"/>
  <c r="Y1896" i="1"/>
  <c r="Y1897" i="1" s="1"/>
  <c r="Y1884" i="1"/>
  <c r="Z1290" i="1"/>
  <c r="Z284" i="7" s="1"/>
  <c r="Y1496" i="1"/>
  <c r="Y1498" i="1" s="1"/>
  <c r="Z1733" i="1"/>
  <c r="Y1735" i="1"/>
  <c r="Y620" i="7" s="1"/>
  <c r="Y1751" i="1"/>
  <c r="Y636" i="7" s="1"/>
  <c r="Z1808" i="1"/>
  <c r="Z1809" i="1" s="1"/>
  <c r="Z1826" i="1"/>
  <c r="Z1827" i="1" s="1"/>
  <c r="Z1821" i="1"/>
  <c r="Z1824" i="1"/>
  <c r="Z1825" i="1" s="1"/>
  <c r="AE2011" i="1"/>
  <c r="Y129" i="8"/>
  <c r="AA130" i="8"/>
  <c r="Y145" i="8"/>
  <c r="AC1214" i="1"/>
  <c r="AC205" i="7" s="1"/>
  <c r="AE1208" i="1"/>
  <c r="AE199" i="7" s="1"/>
  <c r="AA1944" i="1"/>
  <c r="AA1491" i="1"/>
  <c r="Z1813" i="1"/>
  <c r="I1814" i="1" s="1"/>
  <c r="X1577" i="1"/>
  <c r="X457" i="7" s="1"/>
  <c r="X513" i="8"/>
  <c r="X1575" i="1"/>
  <c r="X455" i="7" s="1"/>
  <c r="Y2028" i="1"/>
  <c r="Z1283" i="1"/>
  <c r="Z277" i="7" s="1"/>
  <c r="X441" i="8"/>
  <c r="X1470" i="1"/>
  <c r="Y1354" i="1"/>
  <c r="Y350" i="7" s="1"/>
  <c r="Y910" i="8"/>
  <c r="AA910" i="8" s="1"/>
  <c r="AA142" i="8"/>
  <c r="Y1739" i="1"/>
  <c r="Y624" i="7" s="1"/>
  <c r="Y1753" i="1"/>
  <c r="Y638" i="7" s="1"/>
  <c r="AC1563" i="1"/>
  <c r="AC443" i="7" s="1"/>
  <c r="AC1702" i="1" l="1"/>
  <c r="AC586" i="7" s="1"/>
  <c r="AC1707" i="1"/>
  <c r="AC591" i="7" s="1"/>
  <c r="AC1678" i="1"/>
  <c r="AC562" i="7" s="1"/>
  <c r="AA1175" i="1"/>
  <c r="AA1167" i="1" s="1"/>
  <c r="AA1331" i="1"/>
  <c r="AA327" i="7" s="1"/>
  <c r="AC1683" i="1"/>
  <c r="AC567" i="7" s="1"/>
  <c r="AA1942" i="1"/>
  <c r="AA1568" i="1"/>
  <c r="AA448" i="7" s="1"/>
  <c r="AA2015" i="1"/>
  <c r="AA1558" i="1"/>
  <c r="AA438" i="7" s="1"/>
  <c r="AA1560" i="1"/>
  <c r="AA440" i="7" s="1"/>
  <c r="AC183" i="1"/>
  <c r="AC82" i="7" s="1"/>
  <c r="Z1738" i="1"/>
  <c r="Z623" i="7" s="1"/>
  <c r="Z618" i="7"/>
  <c r="AA1941" i="1"/>
  <c r="AA1948" i="1" s="1"/>
  <c r="AA2019" i="1"/>
  <c r="AA1342" i="1"/>
  <c r="AA338" i="7" s="1"/>
  <c r="Y1356" i="1"/>
  <c r="Y352" i="7" s="1"/>
  <c r="Y2027" i="1"/>
  <c r="X1573" i="1"/>
  <c r="X453" i="7" s="1"/>
  <c r="X1481" i="1"/>
  <c r="X459" i="8"/>
  <c r="X1572" i="1"/>
  <c r="X452" i="7" s="1"/>
  <c r="Z1350" i="1"/>
  <c r="Z346" i="7" s="1"/>
  <c r="Z1188" i="1"/>
  <c r="Z1185" i="1" s="1"/>
  <c r="Z1289" i="1"/>
  <c r="Z283" i="7" s="1"/>
  <c r="Y144" i="8"/>
  <c r="AA144" i="8" s="1"/>
  <c r="AA145" i="8"/>
  <c r="Y1744" i="1"/>
  <c r="Y629" i="7" s="1"/>
  <c r="Z1750" i="1"/>
  <c r="Z635" i="7" s="1"/>
  <c r="Z1752" i="1"/>
  <c r="Z637" i="7" s="1"/>
  <c r="Z1747" i="1"/>
  <c r="Z632" i="7" s="1"/>
  <c r="Z1734" i="1"/>
  <c r="Z619" i="7" s="1"/>
  <c r="Y1885" i="1"/>
  <c r="J1886" i="1" s="1"/>
  <c r="X586" i="8"/>
  <c r="X478" i="8"/>
  <c r="X585" i="8"/>
  <c r="AC1564" i="1"/>
  <c r="AC444" i="7" s="1"/>
  <c r="J1740" i="1"/>
  <c r="J625" i="7" s="1"/>
  <c r="Y157" i="8"/>
  <c r="AC1220" i="1"/>
  <c r="AC211" i="7" s="1"/>
  <c r="AC1285" i="1"/>
  <c r="AC279" i="7" s="1"/>
  <c r="AE1214" i="1"/>
  <c r="AE205" i="7" s="1"/>
  <c r="Y927" i="8"/>
  <c r="AA927" i="8" s="1"/>
  <c r="Y572" i="8"/>
  <c r="Y575" i="8"/>
  <c r="Y576" i="8" s="1"/>
  <c r="Y577" i="8" s="1"/>
  <c r="AA129" i="8"/>
  <c r="Z1818" i="1"/>
  <c r="I1819" i="1" s="1"/>
  <c r="Y1557" i="1"/>
  <c r="Y437" i="7" s="1"/>
  <c r="Y1576" i="1"/>
  <c r="Y456" i="7" s="1"/>
  <c r="Y1500" i="1"/>
  <c r="Y1890" i="1"/>
  <c r="J1891" i="1" s="1"/>
  <c r="AB187" i="1"/>
  <c r="AB86" i="7" s="1"/>
  <c r="AB173" i="1"/>
  <c r="AB72" i="7" s="1"/>
  <c r="Y55" i="8" l="1"/>
  <c r="AA1721" i="1"/>
  <c r="AA606" i="7" s="1"/>
  <c r="AA1795" i="1"/>
  <c r="AA1867" i="1"/>
  <c r="Z1739" i="1"/>
  <c r="Z624" i="7" s="1"/>
  <c r="AB174" i="1"/>
  <c r="AB73" i="7" s="1"/>
  <c r="AB1221" i="1"/>
  <c r="AB212" i="7" s="1"/>
  <c r="AB1052" i="1"/>
  <c r="AB1048" i="1" s="1"/>
  <c r="AB1977" i="1"/>
  <c r="AB1995" i="1" s="1"/>
  <c r="AB2002" i="1" s="1"/>
  <c r="AB1976" i="1"/>
  <c r="AB1994" i="1" s="1"/>
  <c r="AB2001" i="1" s="1"/>
  <c r="AB227" i="1"/>
  <c r="AB126" i="7" s="1"/>
  <c r="Y177" i="8"/>
  <c r="AA177" i="8" s="1"/>
  <c r="AC2012" i="1"/>
  <c r="AC1286" i="1"/>
  <c r="AC280" i="7" s="1"/>
  <c r="AE1285" i="1"/>
  <c r="AE279" i="7" s="1"/>
  <c r="AC1566" i="1"/>
  <c r="AC446" i="7" s="1"/>
  <c r="Y156" i="8"/>
  <c r="AA156" i="8" s="1"/>
  <c r="AA157" i="8"/>
  <c r="Z1751" i="1"/>
  <c r="Z636" i="7" s="1"/>
  <c r="Z1735" i="1"/>
  <c r="Z620" i="7" s="1"/>
  <c r="Z2016" i="1"/>
  <c r="Z1291" i="1"/>
  <c r="Z285" i="7" s="1"/>
  <c r="Z1875" i="1"/>
  <c r="Z1879" i="1" s="1"/>
  <c r="Z1352" i="1"/>
  <c r="Z348" i="7" s="1"/>
  <c r="Y1091" i="1"/>
  <c r="Y1192" i="1"/>
  <c r="Y1193" i="1"/>
  <c r="Y2029" i="1"/>
  <c r="Y1093" i="1"/>
  <c r="Y1135" i="1"/>
  <c r="Y1136" i="1"/>
  <c r="Z1355" i="1"/>
  <c r="Z351" i="7" s="1"/>
  <c r="Y1461" i="1"/>
  <c r="Y1470" i="1" s="1"/>
  <c r="Y1577" i="1"/>
  <c r="Y457" i="7" s="1"/>
  <c r="Y1575" i="1"/>
  <c r="Y455" i="7" s="1"/>
  <c r="AC176" i="1"/>
  <c r="AC75" i="7" s="1"/>
  <c r="Y169" i="8"/>
  <c r="AC2014" i="1"/>
  <c r="AE1220" i="1"/>
  <c r="AE211" i="7" s="1"/>
  <c r="X514" i="8"/>
  <c r="X569" i="8"/>
  <c r="Z1753" i="1"/>
  <c r="Z638" i="7" s="1"/>
  <c r="J1745" i="1"/>
  <c r="J630" i="7" s="1"/>
  <c r="X479" i="8"/>
  <c r="X1501" i="1"/>
  <c r="X1556" i="1"/>
  <c r="X436" i="7" s="1"/>
  <c r="AA1869" i="1"/>
  <c r="AA1797" i="1"/>
  <c r="AA1723" i="1"/>
  <c r="AA608" i="7" s="1"/>
  <c r="AA1807" i="1" l="1"/>
  <c r="AA1808" i="1" s="1"/>
  <c r="AA1809" i="1" s="1"/>
  <c r="I1740" i="1"/>
  <c r="I625" i="7" s="1"/>
  <c r="AE2014" i="1"/>
  <c r="Y1573" i="1"/>
  <c r="Y453" i="7" s="1"/>
  <c r="Y1481" i="1"/>
  <c r="Y1572" i="1"/>
  <c r="Y452" i="7" s="1"/>
  <c r="Z1354" i="1"/>
  <c r="Z350" i="7" s="1"/>
  <c r="Z1893" i="1"/>
  <c r="Z1898" i="1"/>
  <c r="Z1899" i="1" s="1"/>
  <c r="Z1880" i="1"/>
  <c r="Z1881" i="1" s="1"/>
  <c r="Z1896" i="1"/>
  <c r="Z1897" i="1" s="1"/>
  <c r="Z1884" i="1"/>
  <c r="Y179" i="8"/>
  <c r="AA179" i="8" s="1"/>
  <c r="AC1287" i="1"/>
  <c r="AC281" i="7" s="1"/>
  <c r="AC2013" i="1"/>
  <c r="AE1286" i="1"/>
  <c r="AE280" i="7" s="1"/>
  <c r="AC1567" i="1"/>
  <c r="AC447" i="7" s="1"/>
  <c r="AB1066" i="1"/>
  <c r="AB1067" i="1" s="1"/>
  <c r="AB1068" i="1" s="1"/>
  <c r="AB1070" i="1" s="1"/>
  <c r="AB1486" i="1"/>
  <c r="AA1821" i="1"/>
  <c r="AA1824" i="1"/>
  <c r="AA1825" i="1" s="1"/>
  <c r="Y168" i="8"/>
  <c r="AA169" i="8"/>
  <c r="AC177" i="1"/>
  <c r="AC76" i="7" s="1"/>
  <c r="AC184" i="1"/>
  <c r="AE176" i="1"/>
  <c r="AE75" i="7" s="1"/>
  <c r="Z2028" i="1"/>
  <c r="AA1283" i="1"/>
  <c r="AA277" i="7" s="1"/>
  <c r="AA1290" i="1"/>
  <c r="AA284" i="7" s="1"/>
  <c r="Z1496" i="1"/>
  <c r="Z1498" i="1" s="1"/>
  <c r="Z1744" i="1"/>
  <c r="Z629" i="7" s="1"/>
  <c r="AE2012" i="1"/>
  <c r="AA1733" i="1"/>
  <c r="AA618" i="7" s="1"/>
  <c r="AB1326" i="1"/>
  <c r="AB322" i="7" s="1"/>
  <c r="AB1222" i="1"/>
  <c r="AB213" i="7" s="1"/>
  <c r="AB1570" i="1"/>
  <c r="AB450" i="7" s="1"/>
  <c r="AB175" i="1"/>
  <c r="AB74" i="7" s="1"/>
  <c r="AA1812" i="1" l="1"/>
  <c r="AA1826" i="1"/>
  <c r="AA1827" i="1" s="1"/>
  <c r="AC186" i="1"/>
  <c r="AC85" i="7" s="1"/>
  <c r="AC83" i="7"/>
  <c r="AB1331" i="1"/>
  <c r="AB327" i="7" s="1"/>
  <c r="AA1747" i="1"/>
  <c r="AA632" i="7" s="1"/>
  <c r="AA1734" i="1"/>
  <c r="AA619" i="7" s="1"/>
  <c r="AA1752" i="1"/>
  <c r="AA637" i="7" s="1"/>
  <c r="AA1750" i="1"/>
  <c r="AA635" i="7" s="1"/>
  <c r="AA1738" i="1"/>
  <c r="AA623" i="7" s="1"/>
  <c r="Z1557" i="1"/>
  <c r="Z437" i="7" s="1"/>
  <c r="Z1576" i="1"/>
  <c r="Z456" i="7" s="1"/>
  <c r="Z1500" i="1"/>
  <c r="Y930" i="8"/>
  <c r="AA930" i="8" s="1"/>
  <c r="Y176" i="8"/>
  <c r="AA168" i="8"/>
  <c r="AB1944" i="1"/>
  <c r="AB1491" i="1"/>
  <c r="AE2013" i="1"/>
  <c r="Z2027" i="1"/>
  <c r="Z1356" i="1"/>
  <c r="Z352" i="7" s="1"/>
  <c r="AB1560" i="1"/>
  <c r="AB440" i="7" s="1"/>
  <c r="AB2015" i="1"/>
  <c r="AB1942" i="1"/>
  <c r="AB1568" i="1"/>
  <c r="AB448" i="7" s="1"/>
  <c r="AB1558" i="1"/>
  <c r="AB438" i="7" s="1"/>
  <c r="I1745" i="1"/>
  <c r="I630" i="7" s="1"/>
  <c r="AA1350" i="1"/>
  <c r="AA346" i="7" s="1"/>
  <c r="AA1188" i="1"/>
  <c r="AA1185" i="1" s="1"/>
  <c r="AA1289" i="1"/>
  <c r="AA283" i="7" s="1"/>
  <c r="AC185" i="1"/>
  <c r="AC84" i="7" s="1"/>
  <c r="Y49" i="8"/>
  <c r="AE177" i="1"/>
  <c r="AE76" i="7" s="1"/>
  <c r="AA1813" i="1"/>
  <c r="H1814" i="1" s="1"/>
  <c r="AA1818" i="1"/>
  <c r="H1819" i="1" s="1"/>
  <c r="AB1175" i="1"/>
  <c r="AB1167" i="1" s="1"/>
  <c r="AB1339" i="1"/>
  <c r="AB335" i="7" s="1"/>
  <c r="Y181" i="8"/>
  <c r="AA181" i="8" s="1"/>
  <c r="AC1951" i="1"/>
  <c r="B1950" i="1" s="1"/>
  <c r="B1952" i="1" s="1"/>
  <c r="AE1287" i="1"/>
  <c r="AE281" i="7" s="1"/>
  <c r="Z1885" i="1"/>
  <c r="I1886" i="1" s="1"/>
  <c r="Z1890" i="1"/>
  <c r="I1891" i="1" s="1"/>
  <c r="Y1556" i="1"/>
  <c r="Y436" i="7" s="1"/>
  <c r="Y1501" i="1"/>
  <c r="AC173" i="1" l="1"/>
  <c r="AC72" i="7" s="1"/>
  <c r="AC187" i="1"/>
  <c r="AC86" i="7" s="1"/>
  <c r="AB1941" i="1"/>
  <c r="AB1948" i="1" s="1"/>
  <c r="AB1342" i="1"/>
  <c r="AB338" i="7" s="1"/>
  <c r="AB2019" i="1"/>
  <c r="Y48" i="8"/>
  <c r="AA49" i="8"/>
  <c r="Y57" i="8"/>
  <c r="Z1192" i="1"/>
  <c r="Z1136" i="1"/>
  <c r="AA1355" i="1"/>
  <c r="AA351" i="7" s="1"/>
  <c r="Z1091" i="1"/>
  <c r="Z2029" i="1"/>
  <c r="Z1093" i="1"/>
  <c r="Z1135" i="1"/>
  <c r="Z1193" i="1"/>
  <c r="Z1461" i="1"/>
  <c r="Z1470" i="1" s="1"/>
  <c r="Y178" i="8"/>
  <c r="Y928" i="8"/>
  <c r="AA928" i="8" s="1"/>
  <c r="AA176" i="8"/>
  <c r="Y579" i="8"/>
  <c r="AA1739" i="1"/>
  <c r="AA624" i="7" s="1"/>
  <c r="AA1735" i="1"/>
  <c r="AA620" i="7" s="1"/>
  <c r="AA2016" i="1"/>
  <c r="AA1291" i="1"/>
  <c r="AA285" i="7" s="1"/>
  <c r="AA1875" i="1"/>
  <c r="AA1879" i="1" s="1"/>
  <c r="AA1352" i="1"/>
  <c r="AA348" i="7" s="1"/>
  <c r="Z1575" i="1"/>
  <c r="Z455" i="7" s="1"/>
  <c r="Z1577" i="1"/>
  <c r="Z457" i="7" s="1"/>
  <c r="AA1751" i="1"/>
  <c r="AA636" i="7" s="1"/>
  <c r="AA1753" i="1"/>
  <c r="AA638" i="7" s="1"/>
  <c r="AB1795" i="1"/>
  <c r="AB1867" i="1"/>
  <c r="AB1721" i="1"/>
  <c r="AB606" i="7" s="1"/>
  <c r="AE173" i="1" l="1"/>
  <c r="AE72" i="7" s="1"/>
  <c r="AC1976" i="1"/>
  <c r="AE1976" i="1" s="1"/>
  <c r="AC1221" i="1"/>
  <c r="AC212" i="7" s="1"/>
  <c r="Y59" i="8"/>
  <c r="AC227" i="1"/>
  <c r="AC126" i="7" s="1"/>
  <c r="AC1977" i="1"/>
  <c r="AE1977" i="1" s="1"/>
  <c r="AC1052" i="1"/>
  <c r="AC1048" i="1" s="1"/>
  <c r="AC1486" i="1" s="1"/>
  <c r="AC174" i="1"/>
  <c r="AC73" i="7" s="1"/>
  <c r="AA1880" i="1"/>
  <c r="AA1881" i="1" s="1"/>
  <c r="AA1893" i="1"/>
  <c r="AA1896" i="1"/>
  <c r="AA1897" i="1" s="1"/>
  <c r="AA1898" i="1"/>
  <c r="AA1899" i="1" s="1"/>
  <c r="AA1884" i="1"/>
  <c r="AB1290" i="1"/>
  <c r="AB284" i="7" s="1"/>
  <c r="AA1496" i="1"/>
  <c r="AA1498" i="1" s="1"/>
  <c r="AA1744" i="1"/>
  <c r="AA629" i="7" s="1"/>
  <c r="H1740" i="1"/>
  <c r="H625" i="7" s="1"/>
  <c r="Y929" i="8"/>
  <c r="AA929" i="8" s="1"/>
  <c r="Y180" i="8"/>
  <c r="AA178" i="8"/>
  <c r="Y580" i="8"/>
  <c r="AA2028" i="1"/>
  <c r="AB1283" i="1"/>
  <c r="AB277" i="7" s="1"/>
  <c r="Y56" i="8"/>
  <c r="Y58" i="8" s="1"/>
  <c r="Y44" i="8" s="1"/>
  <c r="AA48" i="8"/>
  <c r="AB1869" i="1"/>
  <c r="AB1797" i="1"/>
  <c r="AB1807" i="1" s="1"/>
  <c r="AB1723" i="1"/>
  <c r="AB608" i="7" s="1"/>
  <c r="AA1354" i="1"/>
  <c r="AA350" i="7" s="1"/>
  <c r="Z1481" i="1"/>
  <c r="Z1573" i="1"/>
  <c r="Z453" i="7" s="1"/>
  <c r="Z1572" i="1"/>
  <c r="Z452" i="7" s="1"/>
  <c r="AC1994" i="1" l="1"/>
  <c r="AC2001" i="1" s="1"/>
  <c r="AE2001" i="1" s="1"/>
  <c r="B2004" i="1" s="1"/>
  <c r="Y45" i="8"/>
  <c r="AA45" i="8" s="1"/>
  <c r="AC1995" i="1"/>
  <c r="AC2002" i="1" s="1"/>
  <c r="AE2002" i="1" s="1"/>
  <c r="B2005" i="1" s="1"/>
  <c r="AE174" i="1"/>
  <c r="AE73" i="7" s="1"/>
  <c r="AC1570" i="1"/>
  <c r="AC450" i="7" s="1"/>
  <c r="AE1221" i="1"/>
  <c r="AE212" i="7" s="1"/>
  <c r="AC1326" i="1"/>
  <c r="AC322" i="7" s="1"/>
  <c r="AC1222" i="1"/>
  <c r="AC213" i="7" s="1"/>
  <c r="Y171" i="8"/>
  <c r="AA171" i="8" s="1"/>
  <c r="AC175" i="1"/>
  <c r="AC74" i="7" s="1"/>
  <c r="AC1066" i="1"/>
  <c r="AC1067" i="1" s="1"/>
  <c r="AC1068" i="1" s="1"/>
  <c r="AC1070" i="1" s="1"/>
  <c r="AC1175" i="1" s="1"/>
  <c r="AE227" i="1"/>
  <c r="AE126" i="7" s="1"/>
  <c r="AB1733" i="1"/>
  <c r="Y170" i="8"/>
  <c r="Y46" i="8"/>
  <c r="AA44" i="8"/>
  <c r="Y918" i="8"/>
  <c r="B917" i="8" s="1"/>
  <c r="B919" i="8" s="1"/>
  <c r="AA180" i="8"/>
  <c r="AA1557" i="1"/>
  <c r="AA437" i="7" s="1"/>
  <c r="AA1576" i="1"/>
  <c r="AA456" i="7" s="1"/>
  <c r="AA1500" i="1"/>
  <c r="Z1501" i="1"/>
  <c r="Z1556" i="1"/>
  <c r="Z436" i="7" s="1"/>
  <c r="AA2027" i="1"/>
  <c r="AA1356" i="1"/>
  <c r="AA352" i="7" s="1"/>
  <c r="AC1944" i="1"/>
  <c r="AE1944" i="1" s="1"/>
  <c r="Y488" i="8"/>
  <c r="Y487" i="8" s="1"/>
  <c r="Y911" i="8" s="1"/>
  <c r="AA911" i="8" s="1"/>
  <c r="AC1491" i="1"/>
  <c r="AB1808" i="1"/>
  <c r="AB1809" i="1" s="1"/>
  <c r="AB1821" i="1"/>
  <c r="AB1824" i="1"/>
  <c r="AB1825" i="1" s="1"/>
  <c r="AB1826" i="1"/>
  <c r="AB1827" i="1" s="1"/>
  <c r="AB1812" i="1"/>
  <c r="AB1188" i="1"/>
  <c r="AB1185" i="1" s="1"/>
  <c r="AB1350" i="1"/>
  <c r="AB346" i="7" s="1"/>
  <c r="AB1289" i="1"/>
  <c r="AB283" i="7" s="1"/>
  <c r="H1745" i="1"/>
  <c r="H630" i="7" s="1"/>
  <c r="AA1885" i="1"/>
  <c r="H1886" i="1" s="1"/>
  <c r="AA1890" i="1"/>
  <c r="H1891" i="1" s="1"/>
  <c r="AC1558" i="1" l="1"/>
  <c r="AC438" i="7" s="1"/>
  <c r="AC1560" i="1"/>
  <c r="AC440" i="7" s="1"/>
  <c r="AE1994" i="1"/>
  <c r="AC1942" i="1"/>
  <c r="AC1941" i="1" s="1"/>
  <c r="AC1568" i="1"/>
  <c r="AC448" i="7" s="1"/>
  <c r="Y173" i="8"/>
  <c r="AA173" i="8" s="1"/>
  <c r="AE1222" i="1"/>
  <c r="AE213" i="7" s="1"/>
  <c r="AC2015" i="1"/>
  <c r="AE2015" i="1" s="1"/>
  <c r="Y47" i="8"/>
  <c r="AE1995" i="1"/>
  <c r="AC1331" i="1"/>
  <c r="AC327" i="7" s="1"/>
  <c r="AC1339" i="1"/>
  <c r="AC335" i="7" s="1"/>
  <c r="AE1326" i="1"/>
  <c r="AE322" i="7" s="1"/>
  <c r="Y281" i="8"/>
  <c r="Y280" i="8" s="1"/>
  <c r="AB1750" i="1"/>
  <c r="AB635" i="7" s="1"/>
  <c r="AB618" i="7"/>
  <c r="AB1747" i="1"/>
  <c r="AB632" i="7" s="1"/>
  <c r="AB1734" i="1"/>
  <c r="AB1738" i="1"/>
  <c r="AB1752" i="1"/>
  <c r="AB1875" i="1"/>
  <c r="AB1879" i="1" s="1"/>
  <c r="AB1352" i="1"/>
  <c r="AB348" i="7" s="1"/>
  <c r="AB1813" i="1"/>
  <c r="G1814" i="1" s="1"/>
  <c r="AB1818" i="1"/>
  <c r="G1819" i="1" s="1"/>
  <c r="AA1135" i="1"/>
  <c r="AA1093" i="1"/>
  <c r="AA1193" i="1"/>
  <c r="AA1136" i="1"/>
  <c r="AA1192" i="1"/>
  <c r="AA1091" i="1"/>
  <c r="AA2029" i="1"/>
  <c r="AA1461" i="1"/>
  <c r="AA1470" i="1" s="1"/>
  <c r="AB1355" i="1"/>
  <c r="AB351" i="7" s="1"/>
  <c r="AB2016" i="1"/>
  <c r="AB1291" i="1"/>
  <c r="AB285" i="7" s="1"/>
  <c r="Y498" i="8"/>
  <c r="Y497" i="8" s="1"/>
  <c r="AA1577" i="1"/>
  <c r="AA457" i="7" s="1"/>
  <c r="AA1575" i="1"/>
  <c r="AA455" i="7" s="1"/>
  <c r="Y84" i="8"/>
  <c r="AC1167" i="1"/>
  <c r="AE1175" i="1"/>
  <c r="AA170" i="8"/>
  <c r="Y583" i="8"/>
  <c r="Y172" i="8"/>
  <c r="AE1942" i="1" l="1"/>
  <c r="AG1222" i="1"/>
  <c r="Y290" i="8"/>
  <c r="AA290" i="8" s="1"/>
  <c r="AC1721" i="1"/>
  <c r="AC606" i="7" s="1"/>
  <c r="AC1867" i="1"/>
  <c r="AE1867" i="1" s="1"/>
  <c r="AE1331" i="1"/>
  <c r="AE327" i="7" s="1"/>
  <c r="AC1795" i="1"/>
  <c r="AE1795" i="1" s="1"/>
  <c r="AE1339" i="1"/>
  <c r="AE335" i="7" s="1"/>
  <c r="Y305" i="8"/>
  <c r="Y304" i="8" s="1"/>
  <c r="AC1342" i="1"/>
  <c r="AC338" i="7" s="1"/>
  <c r="AC2019" i="1"/>
  <c r="AE2019" i="1" s="1"/>
  <c r="AA281" i="8"/>
  <c r="AB1751" i="1"/>
  <c r="AB636" i="7" s="1"/>
  <c r="AB1753" i="1"/>
  <c r="AB638" i="7" s="1"/>
  <c r="AB637" i="7"/>
  <c r="AB1735" i="1"/>
  <c r="AB620" i="7" s="1"/>
  <c r="AB619" i="7"/>
  <c r="AB1739" i="1"/>
  <c r="AB624" i="7" s="1"/>
  <c r="AB623" i="7"/>
  <c r="Y69" i="8"/>
  <c r="AE1167" i="1"/>
  <c r="Y289" i="8"/>
  <c r="AA280" i="8"/>
  <c r="AA1481" i="1"/>
  <c r="AA1573" i="1"/>
  <c r="AA453" i="7" s="1"/>
  <c r="AA1572" i="1"/>
  <c r="AA452" i="7" s="1"/>
  <c r="Y931" i="8"/>
  <c r="AA931" i="8" s="1"/>
  <c r="Y573" i="8"/>
  <c r="Y909" i="8"/>
  <c r="AA172" i="8"/>
  <c r="Y571" i="8"/>
  <c r="Y581" i="8"/>
  <c r="Y83" i="8"/>
  <c r="AA83" i="8" s="1"/>
  <c r="AA84" i="8"/>
  <c r="AC1290" i="1"/>
  <c r="AB1496" i="1"/>
  <c r="AB1498" i="1" s="1"/>
  <c r="AB2028" i="1"/>
  <c r="AB1354" i="1"/>
  <c r="AB350" i="7" s="1"/>
  <c r="AB1893" i="1"/>
  <c r="AB1896" i="1"/>
  <c r="AB1897" i="1" s="1"/>
  <c r="AB1880" i="1"/>
  <c r="AB1881" i="1" s="1"/>
  <c r="AB1898" i="1"/>
  <c r="AB1899" i="1" s="1"/>
  <c r="AB1884" i="1"/>
  <c r="AC1948" i="1"/>
  <c r="AE1948" i="1" s="1"/>
  <c r="B1954" i="1" s="1"/>
  <c r="AE1941" i="1"/>
  <c r="AC1869" i="1" l="1"/>
  <c r="AE1869" i="1" s="1"/>
  <c r="G1740" i="1"/>
  <c r="G625" i="7" s="1"/>
  <c r="AE1721" i="1"/>
  <c r="AE606" i="7" s="1"/>
  <c r="AE1342" i="1"/>
  <c r="AE338" i="7" s="1"/>
  <c r="AA305" i="8"/>
  <c r="AB1744" i="1"/>
  <c r="AB629" i="7" s="1"/>
  <c r="AC1283" i="1"/>
  <c r="AC277" i="7" s="1"/>
  <c r="AC1723" i="1"/>
  <c r="AC608" i="7" s="1"/>
  <c r="AC1797" i="1"/>
  <c r="AC1807" i="1" s="1"/>
  <c r="Y310" i="8"/>
  <c r="AA310" i="8" s="1"/>
  <c r="Y188" i="8"/>
  <c r="Y187" i="8" s="1"/>
  <c r="AC284" i="7"/>
  <c r="AB1885" i="1"/>
  <c r="G1886" i="1" s="1"/>
  <c r="Y908" i="8"/>
  <c r="AA909" i="8"/>
  <c r="AA1501" i="1"/>
  <c r="AA1556" i="1"/>
  <c r="AA436" i="7" s="1"/>
  <c r="Y682" i="8"/>
  <c r="AA682" i="8" s="1"/>
  <c r="Y758" i="8"/>
  <c r="AA758" i="8" s="1"/>
  <c r="Y832" i="8"/>
  <c r="AA832" i="8" s="1"/>
  <c r="AA289" i="8"/>
  <c r="AB1890" i="1"/>
  <c r="G1891" i="1" s="1"/>
  <c r="AB2027" i="1"/>
  <c r="AB1356" i="1"/>
  <c r="AB352" i="7" s="1"/>
  <c r="AB1557" i="1"/>
  <c r="AB437" i="7" s="1"/>
  <c r="AB1500" i="1"/>
  <c r="AB1576" i="1"/>
  <c r="AB456" i="7" s="1"/>
  <c r="Y935" i="8"/>
  <c r="AA935" i="8" s="1"/>
  <c r="AA304" i="8"/>
  <c r="Y68" i="8"/>
  <c r="AA68" i="8" s="1"/>
  <c r="AA69" i="8"/>
  <c r="Y309" i="8" l="1"/>
  <c r="Y684" i="8" s="1"/>
  <c r="G1745" i="1"/>
  <c r="G630" i="7" s="1"/>
  <c r="AE1797" i="1"/>
  <c r="AC1733" i="1"/>
  <c r="AC618" i="7" s="1"/>
  <c r="AE1723" i="1"/>
  <c r="AE608" i="7" s="1"/>
  <c r="Y184" i="8"/>
  <c r="Y183" i="8" s="1"/>
  <c r="AC1350" i="1"/>
  <c r="AC346" i="7" s="1"/>
  <c r="AC1289" i="1"/>
  <c r="AC283" i="7" s="1"/>
  <c r="AC1188" i="1"/>
  <c r="Y106" i="8" s="1"/>
  <c r="AE1283" i="1"/>
  <c r="AE277" i="7" s="1"/>
  <c r="AC1821" i="1"/>
  <c r="E1820" i="1" s="1"/>
  <c r="B1820" i="1" s="1"/>
  <c r="B2040" i="1" s="1"/>
  <c r="AC1808" i="1"/>
  <c r="AC1826" i="1"/>
  <c r="AC1824" i="1"/>
  <c r="E1829" i="1"/>
  <c r="B1829" i="1" s="1"/>
  <c r="AE1807" i="1"/>
  <c r="AC1812" i="1"/>
  <c r="AC1813" i="1" s="1"/>
  <c r="F1814" i="1" s="1"/>
  <c r="E1813" i="1" s="1"/>
  <c r="B1811" i="1" s="1"/>
  <c r="C1811" i="1" s="1"/>
  <c r="AB1577" i="1"/>
  <c r="AB457" i="7" s="1"/>
  <c r="AB1575" i="1"/>
  <c r="AB455" i="7" s="1"/>
  <c r="AB1193" i="1"/>
  <c r="AB1135" i="1"/>
  <c r="AB1136" i="1"/>
  <c r="AB1192" i="1"/>
  <c r="AB1093" i="1"/>
  <c r="AB1091" i="1"/>
  <c r="AB2029" i="1"/>
  <c r="AB1461" i="1"/>
  <c r="AB1470" i="1" s="1"/>
  <c r="AC1355" i="1"/>
  <c r="AC351" i="7" s="1"/>
  <c r="Y915" i="8"/>
  <c r="AA915" i="8" s="1"/>
  <c r="B921" i="8" s="1"/>
  <c r="AA908" i="8"/>
  <c r="Y834" i="8"/>
  <c r="AA309" i="8" l="1"/>
  <c r="Y760" i="8"/>
  <c r="AA760" i="8" s="1"/>
  <c r="AC1875" i="1"/>
  <c r="AE1875" i="1" s="1"/>
  <c r="AA184" i="8"/>
  <c r="AC1747" i="1"/>
  <c r="AC632" i="7" s="1"/>
  <c r="AC1291" i="1"/>
  <c r="AC285" i="7" s="1"/>
  <c r="AC1185" i="1"/>
  <c r="Y101" i="8" s="1"/>
  <c r="E1755" i="1"/>
  <c r="E640" i="7" s="1"/>
  <c r="AC1738" i="1"/>
  <c r="AC623" i="7" s="1"/>
  <c r="AC1734" i="1"/>
  <c r="AC619" i="7" s="1"/>
  <c r="AE1289" i="1"/>
  <c r="AE283" i="7" s="1"/>
  <c r="AE1733" i="1"/>
  <c r="AE618" i="7" s="1"/>
  <c r="AC1752" i="1"/>
  <c r="AC637" i="7" s="1"/>
  <c r="AE1350" i="1"/>
  <c r="AE346" i="7" s="1"/>
  <c r="AC2016" i="1"/>
  <c r="AE2016" i="1" s="1"/>
  <c r="AC1750" i="1"/>
  <c r="AC635" i="7" s="1"/>
  <c r="Y186" i="8"/>
  <c r="AA186" i="8" s="1"/>
  <c r="Y325" i="8"/>
  <c r="AA325" i="8" s="1"/>
  <c r="AC1352" i="1"/>
  <c r="AC348" i="7" s="1"/>
  <c r="AA834" i="8"/>
  <c r="AB1481" i="1"/>
  <c r="AB1573" i="1"/>
  <c r="AB453" i="7" s="1"/>
  <c r="AB1572" i="1"/>
  <c r="AB452" i="7" s="1"/>
  <c r="AA183" i="8"/>
  <c r="Y185" i="8"/>
  <c r="Y105" i="8"/>
  <c r="AA105" i="8" s="1"/>
  <c r="AA106" i="8"/>
  <c r="AC1827" i="1"/>
  <c r="AE1827" i="1" s="1"/>
  <c r="AE1826" i="1"/>
  <c r="Y694" i="8"/>
  <c r="AA684" i="8"/>
  <c r="Y333" i="8"/>
  <c r="Y332" i="8" s="1"/>
  <c r="AC2028" i="1"/>
  <c r="AC1825" i="1"/>
  <c r="AE1825" i="1" s="1"/>
  <c r="AE1824" i="1"/>
  <c r="AE1808" i="1"/>
  <c r="B1816" i="1" s="1"/>
  <c r="B2038" i="1" s="1"/>
  <c r="AC1809" i="1"/>
  <c r="AC1818" i="1" s="1"/>
  <c r="F1819" i="1" s="1"/>
  <c r="E1818" i="1" s="1"/>
  <c r="B1817" i="1" s="1"/>
  <c r="Y770" i="8" l="1"/>
  <c r="Y771" i="8" s="1"/>
  <c r="AC1879" i="1"/>
  <c r="AC1898" i="1" s="1"/>
  <c r="E1746" i="1"/>
  <c r="E631" i="7" s="1"/>
  <c r="AE1352" i="1"/>
  <c r="AE348" i="7" s="1"/>
  <c r="AC1751" i="1"/>
  <c r="AC636" i="7" s="1"/>
  <c r="AE1185" i="1"/>
  <c r="AC1354" i="1"/>
  <c r="AC350" i="7" s="1"/>
  <c r="AC1496" i="1"/>
  <c r="AC1498" i="1" s="1"/>
  <c r="B1755" i="1"/>
  <c r="B640" i="7" s="1"/>
  <c r="Y190" i="8"/>
  <c r="Y189" i="8" s="1"/>
  <c r="Y505" i="8" s="1"/>
  <c r="Y509" i="8" s="1"/>
  <c r="Y589" i="8" s="1"/>
  <c r="AE1734" i="1"/>
  <c r="AE619" i="7" s="1"/>
  <c r="AE1750" i="1"/>
  <c r="AE635" i="7" s="1"/>
  <c r="AE1752" i="1"/>
  <c r="AE637" i="7" s="1"/>
  <c r="AC1739" i="1"/>
  <c r="AC624" i="7" s="1"/>
  <c r="AC1735" i="1"/>
  <c r="AC620" i="7" s="1"/>
  <c r="AC1753" i="1"/>
  <c r="AC638" i="7" s="1"/>
  <c r="Y328" i="8"/>
  <c r="AA328" i="8" s="1"/>
  <c r="Y324" i="8"/>
  <c r="Y840" i="8" s="1"/>
  <c r="B1823" i="1"/>
  <c r="B2041" i="1" s="1"/>
  <c r="AC1880" i="1"/>
  <c r="Y100" i="8"/>
  <c r="AA100" i="8" s="1"/>
  <c r="AA101" i="8"/>
  <c r="Y121" i="8"/>
  <c r="B122" i="8" s="1"/>
  <c r="Y944" i="8"/>
  <c r="B2039" i="1"/>
  <c r="C1817" i="1"/>
  <c r="C2039" i="1" s="1"/>
  <c r="Y695" i="8"/>
  <c r="Y711" i="8"/>
  <c r="Y708" i="8"/>
  <c r="E707" i="8" s="1"/>
  <c r="B707" i="8" s="1"/>
  <c r="B950" i="8" s="1"/>
  <c r="Y713" i="8"/>
  <c r="AA694" i="8"/>
  <c r="E716" i="8"/>
  <c r="B716" i="8" s="1"/>
  <c r="Y699" i="8"/>
  <c r="Y700" i="8" s="1"/>
  <c r="F701" i="8" s="1"/>
  <c r="E700" i="8" s="1"/>
  <c r="B698" i="8" s="1"/>
  <c r="C698" i="8" s="1"/>
  <c r="Y506" i="8"/>
  <c r="Y932" i="8"/>
  <c r="AA932" i="8" s="1"/>
  <c r="AA185" i="8"/>
  <c r="AB1556" i="1"/>
  <c r="AB436" i="7" s="1"/>
  <c r="AB1501" i="1"/>
  <c r="Y784" i="8"/>
  <c r="E783" i="8" s="1"/>
  <c r="B783" i="8" s="1"/>
  <c r="B956" i="8" s="1"/>
  <c r="Y787" i="8"/>
  <c r="AA770" i="8"/>
  <c r="Y327" i="8" l="1"/>
  <c r="Y775" i="8"/>
  <c r="Y776" i="8" s="1"/>
  <c r="F777" i="8" s="1"/>
  <c r="E776" i="8" s="1"/>
  <c r="B774" i="8" s="1"/>
  <c r="C774" i="8" s="1"/>
  <c r="E792" i="8"/>
  <c r="B792" i="8" s="1"/>
  <c r="Y789" i="8"/>
  <c r="Y790" i="8" s="1"/>
  <c r="AA790" i="8" s="1"/>
  <c r="AC1884" i="1"/>
  <c r="AC1885" i="1" s="1"/>
  <c r="F1886" i="1" s="1"/>
  <c r="E1885" i="1" s="1"/>
  <c r="B1883" i="1" s="1"/>
  <c r="C1883" i="1" s="1"/>
  <c r="Y331" i="8"/>
  <c r="AA331" i="8" s="1"/>
  <c r="AC1896" i="1"/>
  <c r="AC1897" i="1" s="1"/>
  <c r="AE1897" i="1" s="1"/>
  <c r="AC1356" i="1"/>
  <c r="AC352" i="7" s="1"/>
  <c r="E1901" i="1"/>
  <c r="B1901" i="1" s="1"/>
  <c r="AC1893" i="1"/>
  <c r="E1892" i="1" s="1"/>
  <c r="B1892" i="1" s="1"/>
  <c r="B2045" i="1" s="1"/>
  <c r="AE1879" i="1"/>
  <c r="AE1751" i="1"/>
  <c r="AE636" i="7" s="1"/>
  <c r="B1746" i="1"/>
  <c r="B631" i="7" s="1"/>
  <c r="AE1354" i="1"/>
  <c r="AE350" i="7" s="1"/>
  <c r="AC2027" i="1"/>
  <c r="AE2027" i="1" s="1"/>
  <c r="AA324" i="8"/>
  <c r="Y512" i="8"/>
  <c r="Y588" i="8" s="1"/>
  <c r="B1742" i="1"/>
  <c r="B627" i="7" s="1"/>
  <c r="Y570" i="8"/>
  <c r="AC1744" i="1"/>
  <c r="AC629" i="7" s="1"/>
  <c r="F1740" i="1"/>
  <c r="F625" i="7" s="1"/>
  <c r="AE1753" i="1"/>
  <c r="AE638" i="7" s="1"/>
  <c r="AA789" i="8"/>
  <c r="AA771" i="8"/>
  <c r="B779" i="8" s="1"/>
  <c r="B954" i="8" s="1"/>
  <c r="Y772" i="8"/>
  <c r="Y781" i="8" s="1"/>
  <c r="F782" i="8" s="1"/>
  <c r="E781" i="8" s="1"/>
  <c r="B780" i="8" s="1"/>
  <c r="AA840" i="8"/>
  <c r="Y844" i="8"/>
  <c r="Y714" i="8"/>
  <c r="AA714" i="8" s="1"/>
  <c r="AA713" i="8"/>
  <c r="Y712" i="8"/>
  <c r="AA712" i="8" s="1"/>
  <c r="AA711" i="8"/>
  <c r="AE1880" i="1"/>
  <c r="B1888" i="1" s="1"/>
  <c r="AC1881" i="1"/>
  <c r="AC1890" i="1" s="1"/>
  <c r="F1891" i="1" s="1"/>
  <c r="E1890" i="1" s="1"/>
  <c r="B1889" i="1" s="1"/>
  <c r="Y788" i="8"/>
  <c r="AA788" i="8" s="1"/>
  <c r="AA787" i="8"/>
  <c r="Y510" i="8"/>
  <c r="AC1557" i="1"/>
  <c r="AC437" i="7" s="1"/>
  <c r="AC1500" i="1"/>
  <c r="AC1576" i="1"/>
  <c r="AC456" i="7" s="1"/>
  <c r="AA695" i="8"/>
  <c r="B703" i="8" s="1"/>
  <c r="B948" i="8" s="1"/>
  <c r="Y696" i="8"/>
  <c r="Y705" i="8" s="1"/>
  <c r="F706" i="8" s="1"/>
  <c r="E705" i="8" s="1"/>
  <c r="B704" i="8" s="1"/>
  <c r="Y330" i="8"/>
  <c r="AA327" i="8"/>
  <c r="AC1899" i="1"/>
  <c r="AE1899" i="1" s="1"/>
  <c r="AE1898" i="1"/>
  <c r="AE1896" i="1" l="1"/>
  <c r="AC1135" i="1"/>
  <c r="AC1461" i="1"/>
  <c r="AC1470" i="1" s="1"/>
  <c r="AC1192" i="1"/>
  <c r="B1194" i="1" s="1"/>
  <c r="AC1093" i="1"/>
  <c r="AC1091" i="1"/>
  <c r="AC1136" i="1"/>
  <c r="Y335" i="8"/>
  <c r="Y334" i="8" s="1"/>
  <c r="Y945" i="8" s="1"/>
  <c r="AC2029" i="1"/>
  <c r="AC1193" i="1"/>
  <c r="B2034" i="1"/>
  <c r="Y590" i="8"/>
  <c r="B1895" i="1"/>
  <c r="B2032" i="1"/>
  <c r="E1739" i="1"/>
  <c r="E624" i="7" s="1"/>
  <c r="B1749" i="1"/>
  <c r="B634" i="7" s="1"/>
  <c r="F1745" i="1"/>
  <c r="F630" i="7" s="1"/>
  <c r="B786" i="8"/>
  <c r="B957" i="8" s="1"/>
  <c r="B2044" i="1"/>
  <c r="C1889" i="1"/>
  <c r="C2044" i="1" s="1"/>
  <c r="Y845" i="8"/>
  <c r="Y861" i="8"/>
  <c r="Y858" i="8"/>
  <c r="E857" i="8" s="1"/>
  <c r="B857" i="8" s="1"/>
  <c r="B961" i="8" s="1"/>
  <c r="Y863" i="8"/>
  <c r="AA844" i="8"/>
  <c r="E866" i="8"/>
  <c r="B866" i="8" s="1"/>
  <c r="Y849" i="8"/>
  <c r="Y850" i="8" s="1"/>
  <c r="F851" i="8" s="1"/>
  <c r="E850" i="8" s="1"/>
  <c r="B848" i="8" s="1"/>
  <c r="C848" i="8" s="1"/>
  <c r="B955" i="8"/>
  <c r="C780" i="8"/>
  <c r="C955" i="8" s="1"/>
  <c r="B949" i="8"/>
  <c r="C704" i="8"/>
  <c r="C949" i="8" s="1"/>
  <c r="Y943" i="8"/>
  <c r="AA943" i="8" s="1"/>
  <c r="AA330" i="8"/>
  <c r="Y513" i="8"/>
  <c r="AC1575" i="1"/>
  <c r="AC455" i="7" s="1"/>
  <c r="AC1577" i="1"/>
  <c r="AC457" i="7" s="1"/>
  <c r="Y441" i="8"/>
  <c r="B710" i="8"/>
  <c r="B951" i="8" s="1"/>
  <c r="Y1092" i="1" l="1"/>
  <c r="Y1137" i="1"/>
  <c r="Y440" i="8"/>
  <c r="Y458" i="8" s="1"/>
  <c r="Y586" i="8" s="1"/>
  <c r="B1737" i="1"/>
  <c r="B622" i="7" s="1"/>
  <c r="B2035" i="1"/>
  <c r="E1744" i="1"/>
  <c r="E629" i="7" s="1"/>
  <c r="Y459" i="8"/>
  <c r="AC1481" i="1"/>
  <c r="AC1573" i="1"/>
  <c r="AC453" i="7" s="1"/>
  <c r="AC1572" i="1"/>
  <c r="AC452" i="7" s="1"/>
  <c r="Y864" i="8"/>
  <c r="AA864" i="8" s="1"/>
  <c r="AA863" i="8"/>
  <c r="Y862" i="8"/>
  <c r="AA862" i="8" s="1"/>
  <c r="AA861" i="8"/>
  <c r="Y478" i="8"/>
  <c r="AA845" i="8"/>
  <c r="B853" i="8" s="1"/>
  <c r="Y846" i="8"/>
  <c r="Y855" i="8" s="1"/>
  <c r="F856" i="8" s="1"/>
  <c r="E855" i="8" s="1"/>
  <c r="B854" i="8" s="1"/>
  <c r="Y585" i="8" l="1"/>
  <c r="B1743" i="1"/>
  <c r="B628" i="7" s="1"/>
  <c r="C1737" i="1"/>
  <c r="C622" i="7" s="1"/>
  <c r="B860" i="8"/>
  <c r="B960" i="8"/>
  <c r="C854" i="8"/>
  <c r="C960" i="8" s="1"/>
  <c r="Y479" i="8"/>
  <c r="AC1501" i="1"/>
  <c r="B1501" i="1" s="1"/>
  <c r="AC1556" i="1"/>
  <c r="AC436" i="7" s="1"/>
  <c r="Y569" i="8"/>
  <c r="Y514" i="8"/>
  <c r="B514" i="8" s="1"/>
  <c r="B2033" i="1" l="1"/>
  <c r="C1743" i="1"/>
  <c r="C628" i="7" s="1"/>
  <c r="C203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Назаренко</author>
    <author>komar</author>
  </authors>
  <commentList>
    <comment ref="B136" authorId="0" shapeId="0" xr:uid="{00000000-0006-0000-0000-000001000000}">
      <text>
        <r>
          <rPr>
            <b/>
            <sz val="9"/>
            <color indexed="81"/>
            <rFont val="Tahoma"/>
            <family val="2"/>
            <charset val="204"/>
          </rPr>
          <t>Назаренко:</t>
        </r>
        <r>
          <rPr>
            <sz val="9"/>
            <color indexed="81"/>
            <rFont val="Tahoma"/>
            <family val="2"/>
            <charset val="204"/>
          </rPr>
          <t xml:space="preserve">
https://eures.praca.gov.pl/en/index.php?option=com_content&amp;view=article&amp;id=81&amp;Itemid=114
http://www.marciniuk.com/zus-contributions-of-employees.php
http://www.marciniuk.com/zus-contributions-of-employees.php
</t>
        </r>
      </text>
    </comment>
    <comment ref="B144" authorId="1" shapeId="0" xr:uid="{00000000-0006-0000-0000-000002000000}">
      <text>
        <r>
          <rPr>
            <b/>
            <sz val="9"/>
            <color indexed="81"/>
            <rFont val="Tahoma"/>
            <family val="2"/>
            <charset val="204"/>
          </rPr>
          <t>komar:</t>
        </r>
        <r>
          <rPr>
            <sz val="9"/>
            <color indexed="81"/>
            <rFont val="Tahoma"/>
            <family val="2"/>
            <charset val="204"/>
          </rPr>
          <t xml:space="preserve">
http://www.globalpropertyguide.com/Europe/Poland/Taxes-and-Costs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Дмитрий Рябых</author>
    <author>Jonas .</author>
  </authors>
  <commentList>
    <comment ref="A39" authorId="0" shapeId="0" xr:uid="{00000000-0006-0000-0400-000001000000}">
      <text>
        <r>
          <rPr>
            <b/>
            <sz val="9"/>
            <color indexed="81"/>
            <rFont val="Tahoma"/>
            <family val="2"/>
            <charset val="204"/>
          </rPr>
          <t xml:space="preserve">Список валют.
</t>
        </r>
        <r>
          <rPr>
            <sz val="9"/>
            <color indexed="81"/>
            <rFont val="Tahoma"/>
            <family val="2"/>
            <charset val="204"/>
          </rPr>
          <t>Можно редактировать, но следите за именем области</t>
        </r>
      </text>
    </comment>
    <comment ref="D330" authorId="1" shapeId="0" xr:uid="{00000000-0006-0000-0400-000002000000}">
      <text>
        <r>
          <rPr>
            <b/>
            <sz val="9"/>
            <color indexed="81"/>
            <rFont val="Arial Cyr"/>
          </rPr>
          <t>Jonas .:</t>
        </r>
        <r>
          <rPr>
            <sz val="9"/>
            <color indexed="81"/>
            <rFont val="Arial Cyr"/>
          </rPr>
          <t xml:space="preserve">
Used English version - "end of the period" </t>
        </r>
      </text>
    </comment>
    <comment ref="D407" authorId="1" shapeId="0" xr:uid="{00000000-0006-0000-0400-000003000000}">
      <text>
        <r>
          <rPr>
            <b/>
            <sz val="9"/>
            <color indexed="81"/>
            <rFont val="Arial"/>
            <family val="2"/>
          </rPr>
          <t>Jonas .:</t>
        </r>
        <r>
          <rPr>
            <sz val="9"/>
            <color indexed="81"/>
            <rFont val="Arial"/>
            <family val="2"/>
          </rPr>
          <t xml:space="preserve">
Translated</t>
        </r>
      </text>
    </comment>
    <comment ref="D692" authorId="1" shapeId="0" xr:uid="{00000000-0006-0000-0400-000004000000}">
      <text>
        <r>
          <rPr>
            <b/>
            <sz val="9"/>
            <color indexed="81"/>
            <rFont val="Arial"/>
            <family val="2"/>
          </rPr>
          <t>Jonas .:</t>
        </r>
        <r>
          <rPr>
            <sz val="9"/>
            <color indexed="81"/>
            <rFont val="Arial"/>
            <family val="2"/>
          </rPr>
          <t xml:space="preserve">
Changed</t>
        </r>
      </text>
    </comment>
  </commentList>
</comments>
</file>

<file path=xl/sharedStrings.xml><?xml version="1.0" encoding="utf-8"?>
<sst xmlns="http://schemas.openxmlformats.org/spreadsheetml/2006/main" count="4744" uniqueCount="3004">
  <si>
    <t>Pastatai ir statiniai balanse</t>
  </si>
  <si>
    <t>Sumokėtas, bet dar nepripažintas PVM</t>
  </si>
  <si>
    <t>Perduoto ploto nurašymas:</t>
  </si>
  <si>
    <t xml:space="preserve">  einamuoju laikotarpiu perduoto turto dalis (%)</t>
  </si>
  <si>
    <t xml:space="preserve">  buhalterinė vertė</t>
  </si>
  <si>
    <t>Likusio turto vertė laikotarpio pabaigoje:</t>
  </si>
  <si>
    <t xml:space="preserve">  neparduoto turto dalis (%)</t>
  </si>
  <si>
    <t>Piniginės įplaukos už parduotą turtą</t>
  </si>
  <si>
    <t xml:space="preserve">  mokestinė draudimo bazė</t>
  </si>
  <si>
    <t xml:space="preserve">  mokestinė draudimo bazė/įvertintoji bazė</t>
  </si>
  <si>
    <t xml:space="preserve">  mokesčio dydis</t>
  </si>
  <si>
    <t xml:space="preserve">Supaprastinta mokesčių sistema </t>
  </si>
  <si>
    <t>Pajamos</t>
  </si>
  <si>
    <t>Pajamos, sumažintos išlaidų dydžiu</t>
  </si>
  <si>
    <t>Mokesčių objektas</t>
  </si>
  <si>
    <t>Sukaupti mokesčiai</t>
  </si>
  <si>
    <t>Mokestinė bazė iki nuostolių nurašymo</t>
  </si>
  <si>
    <t>Mokestinė bazė</t>
  </si>
  <si>
    <t>Area to be transferred to co-investors</t>
  </si>
  <si>
    <t>Buildings and structures on the balance sheet</t>
  </si>
  <si>
    <t>VAT paid but not yet recognized</t>
  </si>
  <si>
    <t>Writing off the transferred area:</t>
  </si>
  <si>
    <t xml:space="preserve">    % of area transferred in the current period</t>
  </si>
  <si>
    <t xml:space="preserve">    book value</t>
  </si>
  <si>
    <t xml:space="preserve">    % of area unsold </t>
  </si>
  <si>
    <t>Существующие активы</t>
  </si>
  <si>
    <t>Present assets</t>
  </si>
  <si>
    <t>Dabartinis turtas</t>
  </si>
  <si>
    <t>Cost of properties sold</t>
  </si>
  <si>
    <t xml:space="preserve">    VAT payable on advances</t>
  </si>
  <si>
    <t>Mokėjimų grafikas pagal plotus</t>
  </si>
  <si>
    <t>1 kv.m. kaštai (įskaitant PVM)</t>
  </si>
  <si>
    <t xml:space="preserve">  įskaitant projekto valdytojo atlygį</t>
  </si>
  <si>
    <t>Gaunamas finansavimas</t>
  </si>
  <si>
    <t>Perdavimo grafikas</t>
  </si>
  <si>
    <t xml:space="preserve">  perdavimo grafikas</t>
  </si>
  <si>
    <t xml:space="preserve">    excise taxes</t>
  </si>
  <si>
    <t xml:space="preserve">    sales tax</t>
  </si>
  <si>
    <t>Ad valorem</t>
  </si>
  <si>
    <t>Fixed</t>
  </si>
  <si>
    <t xml:space="preserve">         SALES</t>
  </si>
  <si>
    <t xml:space="preserve">    sales (net of VAT)</t>
  </si>
  <si>
    <t xml:space="preserve">    of which taxes and duties</t>
  </si>
  <si>
    <t xml:space="preserve">    VAT accrued</t>
  </si>
  <si>
    <t xml:space="preserve">    payments (net of VAT)</t>
  </si>
  <si>
    <t xml:space="preserve">    VAT received</t>
  </si>
  <si>
    <t xml:space="preserve">    accounts receivable</t>
  </si>
  <si>
    <t xml:space="preserve">    advances</t>
  </si>
  <si>
    <t xml:space="preserve"> = Total</t>
  </si>
  <si>
    <t>VAT</t>
  </si>
  <si>
    <t>Income tax</t>
  </si>
  <si>
    <t>Other taxes</t>
  </si>
  <si>
    <t xml:space="preserve">  gauti išankstiniai apmokėjimai</t>
  </si>
  <si>
    <t xml:space="preserve">  pardavimai su pikėjų įsiskolonimu</t>
  </si>
  <si>
    <t xml:space="preserve">  remiantis apyvartumo rodikliu</t>
  </si>
  <si>
    <t xml:space="preserve">  remiantis gautinų sumų apmokėjimo grafiku</t>
  </si>
  <si>
    <t>Gauti išankstiniai mokėjimai</t>
  </si>
  <si>
    <t>MOKĖJIMAI TIEKĖJAMS</t>
  </si>
  <si>
    <t>Mokėjimai už žaliavas ir komponentus</t>
  </si>
  <si>
    <t xml:space="preserve">  sumokėtos sumos</t>
  </si>
  <si>
    <t xml:space="preserve">  sumokėti išankstiniai mokėjimai</t>
  </si>
  <si>
    <t xml:space="preserve">  pajamos be PVM</t>
  </si>
  <si>
    <t>Perduodamas parduotas turtas</t>
  </si>
  <si>
    <t xml:space="preserve">   perdavimas be PVM</t>
  </si>
  <si>
    <t>Parduoto turto savikaina</t>
  </si>
  <si>
    <t xml:space="preserve">  mokėtinas PVM už gautus avansus</t>
  </si>
  <si>
    <t xml:space="preserve">  sumokėtas PVM</t>
  </si>
  <si>
    <t>Turto apskaita trumpalaikiame turte</t>
  </si>
  <si>
    <t>Nebaigtos statybos</t>
  </si>
  <si>
    <t xml:space="preserve"> = Total: Equipment and other assets</t>
  </si>
  <si>
    <t xml:space="preserve"> = Total: Intangible assets</t>
  </si>
  <si>
    <t xml:space="preserve"> = Total: Financial assets</t>
  </si>
  <si>
    <t xml:space="preserve">  parduoto turto % negali viršyti 100%</t>
  </si>
  <si>
    <t xml:space="preserve">  pardavimo pelnas (nuostolis)</t>
  </si>
  <si>
    <t>Percentage of area exempt from VAT</t>
  </si>
  <si>
    <t>Total: sales</t>
  </si>
  <si>
    <t>Area of transferred property</t>
  </si>
  <si>
    <t xml:space="preserve">        CONSTRUCTION: LEASE AT COMPLETION</t>
  </si>
  <si>
    <t>Rate per sq. m per year (including VAT)</t>
  </si>
  <si>
    <t>Area available for lease</t>
  </si>
  <si>
    <t>Leased</t>
  </si>
  <si>
    <t>Lease revenue</t>
  </si>
  <si>
    <t>Total: lease revenue</t>
  </si>
  <si>
    <t xml:space="preserve">         CONSTRUCTION: PROPERTY BALANCE SHEET</t>
  </si>
  <si>
    <t>Attention! % of area sold cannot exceed 100%</t>
  </si>
  <si>
    <t>years</t>
  </si>
  <si>
    <t>Construction cost</t>
  </si>
  <si>
    <t xml:space="preserve">    cost net of VAT</t>
  </si>
  <si>
    <t xml:space="preserve">    VAT</t>
  </si>
  <si>
    <t xml:space="preserve">    reverse charge VAT</t>
  </si>
  <si>
    <t>Work completed</t>
  </si>
  <si>
    <t xml:space="preserve">    VAT offset</t>
  </si>
  <si>
    <t>Equipment cost (including VAT)</t>
  </si>
  <si>
    <t xml:space="preserve">    net book value (net of VAT)</t>
  </si>
  <si>
    <t xml:space="preserve">    lessor's remuneration</t>
  </si>
  <si>
    <t xml:space="preserve">    anticipated leasing payments (net of VAT)</t>
  </si>
  <si>
    <t xml:space="preserve">    anticipated leasing payments (including VAT)</t>
  </si>
  <si>
    <t>Advance payment (including VAT)</t>
  </si>
  <si>
    <t>Actual leasing payments (including VAT)</t>
  </si>
  <si>
    <t xml:space="preserve">    advances paid to lessor</t>
  </si>
  <si>
    <t xml:space="preserve">    rented fixed assets (net book value)</t>
  </si>
  <si>
    <t xml:space="preserve">    taxable property</t>
  </si>
  <si>
    <t>Asset purchase at the end of lease term at net book value</t>
  </si>
  <si>
    <t xml:space="preserve">    gross book value after purchase</t>
  </si>
  <si>
    <t xml:space="preserve">    net book value after purchase</t>
  </si>
  <si>
    <t xml:space="preserve">    depreciation charges after purchase</t>
  </si>
  <si>
    <t xml:space="preserve">    VAT paid at purchase</t>
  </si>
  <si>
    <t xml:space="preserve">    VAT paid</t>
  </si>
  <si>
    <t>Accounts receivable</t>
  </si>
  <si>
    <t xml:space="preserve">   revenue net of VAT</t>
  </si>
  <si>
    <t>The property is treated as a current asset</t>
  </si>
  <si>
    <t xml:space="preserve">         PRESENT PROJECT ASSETS</t>
  </si>
  <si>
    <t>Present fixed assets</t>
  </si>
  <si>
    <t>Buildings and structures</t>
  </si>
  <si>
    <t xml:space="preserve">    initial value</t>
  </si>
  <si>
    <t>Changes included in operating cash flows</t>
  </si>
  <si>
    <t>Investment in working capital</t>
  </si>
  <si>
    <t>percentage of total</t>
  </si>
  <si>
    <t>term, days</t>
  </si>
  <si>
    <t>Create reserves</t>
  </si>
  <si>
    <t>Do not create reserves</t>
  </si>
  <si>
    <t xml:space="preserve">         SALES FORECAST</t>
  </si>
  <si>
    <t>Product (service) name</t>
  </si>
  <si>
    <t>Nominal volume</t>
  </si>
  <si>
    <t>unit</t>
  </si>
  <si>
    <t>Average capacity utilization</t>
  </si>
  <si>
    <t xml:space="preserve">         UNIT SALES</t>
  </si>
  <si>
    <t xml:space="preserve">         SALES PRICE (per unit, including VAT)</t>
  </si>
  <si>
    <t xml:space="preserve">    price net of VAT and excise taxes</t>
  </si>
  <si>
    <t>Earnings before interest and taxes (EBIT)</t>
  </si>
  <si>
    <t>Interest</t>
  </si>
  <si>
    <t>Earnings before income tax</t>
  </si>
  <si>
    <t>Net income (loss)</t>
  </si>
  <si>
    <t xml:space="preserve">         INCOME STATEMENT ADDENDUM</t>
  </si>
  <si>
    <t>Ankstesnio laikotarpio investicijų PVM, įtrauktas į sąnaudas</t>
  </si>
  <si>
    <t>Dabartinis ilgalaikis turtas</t>
  </si>
  <si>
    <t xml:space="preserve">Pastatai ir statiniai </t>
  </si>
  <si>
    <t xml:space="preserve">  pradinė vertė</t>
  </si>
  <si>
    <t xml:space="preserve">    gain (loss) on disposal</t>
  </si>
  <si>
    <t xml:space="preserve">    VAT payable on disposal</t>
  </si>
  <si>
    <t>Advances to contractors</t>
  </si>
  <si>
    <t>Grynieji pinigai trumpalaikiams poreikiams</t>
  </si>
  <si>
    <t xml:space="preserve">  sudaryti?</t>
  </si>
  <si>
    <t xml:space="preserve">  poreikio padengimo koeficientas</t>
  </si>
  <si>
    <t>Viso trumpalaikio turto</t>
  </si>
  <si>
    <t>Viso trumpalaikių įsipareigojimų</t>
  </si>
  <si>
    <t>Grynoji apyvartinio kapitalo vertė</t>
  </si>
  <si>
    <t>Grynojo apyvartinio kapitalo pokytis</t>
  </si>
  <si>
    <t>Pokyčiai, įtraukti į veiklos pinigų srautus</t>
  </si>
  <si>
    <t>Payable to contractors</t>
  </si>
  <si>
    <t>Sale proceeds</t>
  </si>
  <si>
    <t>Payments for property sold</t>
  </si>
  <si>
    <t xml:space="preserve">   proceeds net of VAT</t>
  </si>
  <si>
    <t>Transfer of sold properties</t>
  </si>
  <si>
    <t xml:space="preserve">    transfer net of VAT</t>
  </si>
  <si>
    <t>Įranga ir kitas turtas</t>
  </si>
  <si>
    <t>Būsimųjų laikotarpių išlaidos</t>
  </si>
  <si>
    <t>Finansinis turtas</t>
  </si>
  <si>
    <t>VISO</t>
  </si>
  <si>
    <t>pagal atsiskaitymų už turtą grafiką</t>
  </si>
  <si>
    <t>po operacijų pradžios</t>
  </si>
  <si>
    <t>taip</t>
  </si>
  <si>
    <t>ne</t>
  </si>
  <si>
    <t>laikotarpio</t>
  </si>
  <si>
    <t>laikotarpis</t>
  </si>
  <si>
    <t>Pavadinimas</t>
  </si>
  <si>
    <t xml:space="preserve">  mokėjimai</t>
  </si>
  <si>
    <t xml:space="preserve">  mokėjimai (su PVM)</t>
  </si>
  <si>
    <t xml:space="preserve">  ansktesniojo laikotarpio investicijos (be PVM)</t>
  </si>
  <si>
    <t xml:space="preserve">  balanse nuo</t>
  </si>
  <si>
    <t xml:space="preserve">  mokėjimų suma (be PVM)</t>
  </si>
  <si>
    <t xml:space="preserve">  bendroji turto savikaina (be PVM)</t>
  </si>
  <si>
    <t>Iš viso: turto įsigijimo savikaina (be PVM)</t>
  </si>
  <si>
    <t xml:space="preserve">  neužbaigtos investicijos</t>
  </si>
  <si>
    <t xml:space="preserve">  mokėtinos sumos</t>
  </si>
  <si>
    <t>Pastatai ir statiniai</t>
  </si>
  <si>
    <t xml:space="preserve">  nusidėvėjimas (pagreitintas),     dėl naudingo tarnavimo laiko: </t>
  </si>
  <si>
    <t xml:space="preserve">  grąžintinas PVM</t>
  </si>
  <si>
    <t xml:space="preserve">  laukiami išperkamosios nuomos mokėjimai (su PVM)</t>
  </si>
  <si>
    <t>Išankstiniai mokėjimai (su PVM)</t>
  </si>
  <si>
    <t>Faktiniai nuomos mokėjimai (su PVM)</t>
  </si>
  <si>
    <t xml:space="preserve"> = Total: Deferred expenses</t>
  </si>
  <si>
    <t xml:space="preserve"> = Total: ALL ASSETS</t>
  </si>
  <si>
    <t xml:space="preserve">         LEASING</t>
  </si>
  <si>
    <t xml:space="preserve">    type of lease</t>
  </si>
  <si>
    <t xml:space="preserve">    No. of period in which equipment operation started</t>
  </si>
  <si>
    <t xml:space="preserve">    leasing term</t>
  </si>
  <si>
    <t xml:space="preserve">  mokėtinas PVM už parduotą turtą</t>
  </si>
  <si>
    <t xml:space="preserve">  importuoti?</t>
  </si>
  <si>
    <t xml:space="preserve">  importo data</t>
  </si>
  <si>
    <t xml:space="preserve">  importo muito mokesčiai</t>
  </si>
  <si>
    <t xml:space="preserve">  finansinio turto pelningumas</t>
  </si>
  <si>
    <t xml:space="preserve">  sumokėti avansai</t>
  </si>
  <si>
    <t>Palūkanos sumokėtos investiciniu laikotrapiu</t>
  </si>
  <si>
    <t xml:space="preserve">  investicinė stadijas baigiasi nuo</t>
  </si>
  <si>
    <t>Iš viso ankstesniojo laikotarpio investicijos</t>
  </si>
  <si>
    <t>Administrative personnel headcount</t>
  </si>
  <si>
    <t>Sales and marketing personnel headcount</t>
  </si>
  <si>
    <t>Total</t>
  </si>
  <si>
    <t>Monthly wages and salaries</t>
  </si>
  <si>
    <t>Headcount</t>
  </si>
  <si>
    <t>persons</t>
  </si>
  <si>
    <t xml:space="preserve"> = Viso: būsimų laikotarpių išlaidos</t>
  </si>
  <si>
    <t xml:space="preserve"> = Viso: TURTAS</t>
  </si>
  <si>
    <t xml:space="preserve">  Išperkamosios nuomos rūšis</t>
  </si>
  <si>
    <t xml:space="preserve">  Periodo numeris, kuriame pradėta naudoti įranga</t>
  </si>
  <si>
    <t xml:space="preserve">  išperkamosios nuomos laikotarpis</t>
  </si>
  <si>
    <t>Įrangos savikaina (su PVM)</t>
  </si>
  <si>
    <t xml:space="preserve">  grynoji buhalterinė vertė (be PVM)</t>
  </si>
  <si>
    <t xml:space="preserve">  nuomotojo atlygis</t>
  </si>
  <si>
    <t xml:space="preserve">  laukiami išperkamosios nuomos mokėjimai (be PVM)</t>
  </si>
  <si>
    <t xml:space="preserve"> = Total leasing payments, accrued, net of VAT</t>
  </si>
  <si>
    <t xml:space="preserve"> = Total leasing payments, accrued, including VAT</t>
  </si>
  <si>
    <t xml:space="preserve"> = Total leasing payments, paid, including VAT</t>
  </si>
  <si>
    <t xml:space="preserve">  išankstiniai mokėjimai nuomotojui</t>
  </si>
  <si>
    <t xml:space="preserve">  išnuomotas ilgalaikis turtas (grynoji buhalterinė vertė)</t>
  </si>
  <si>
    <t xml:space="preserve">  apmokestinamas turtas</t>
  </si>
  <si>
    <t>Išperkamosios nuomos termino pabaigoje įsigyjamo turto grynoji buhalterinė vertė</t>
  </si>
  <si>
    <t xml:space="preserve">  bendroji buhalterinė vertė po įsigijimo</t>
  </si>
  <si>
    <t xml:space="preserve">  grynoji buhalterinė vertė po įsigijimo</t>
  </si>
  <si>
    <t xml:space="preserve">  nusidėvėjimo sąnaudos po įsigijimo</t>
  </si>
  <si>
    <t xml:space="preserve">  įsigijimo metu sumokėtas PVM</t>
  </si>
  <si>
    <t xml:space="preserve"> = Iš viso sukaupti išperkamosios nuomos mokėjimai be PVM</t>
  </si>
  <si>
    <t xml:space="preserve"> = Iš viso sukaupti išperkamosios nuomos mokėjimai su PVM</t>
  </si>
  <si>
    <t xml:space="preserve"> = Iš viso sumokėti išperkamosios nuomos mokėjimai su PVM</t>
  </si>
  <si>
    <t xml:space="preserve"> = Iš viso kaina išperkamosios nuomos termino pabaigoje su PVM</t>
  </si>
  <si>
    <t xml:space="preserve">  su išperkamosios nuomos mokėjimais sumokėtas PVM</t>
  </si>
  <si>
    <t>su įsigijimo galimybe (turtas - nuomotojo nuosavybė)</t>
  </si>
  <si>
    <t>su įsigijimo galimybe (turtas - nuomininko nuosavybė)</t>
  </si>
  <si>
    <t xml:space="preserve"> = Total purchase at the end of lease term, including VAT</t>
  </si>
  <si>
    <t xml:space="preserve">    VAT paid on leasing payments</t>
  </si>
  <si>
    <t xml:space="preserve">    VAT paid on purchase</t>
  </si>
  <si>
    <t xml:space="preserve">  skolos tiekėjams</t>
  </si>
  <si>
    <t>Mokėtinos sumos</t>
  </si>
  <si>
    <t xml:space="preserve">  remiantis mokėtinų sumų apmokėjimo grafiku</t>
  </si>
  <si>
    <t>Išankstiniai mokėjimai</t>
  </si>
  <si>
    <t>MOKĖTINI MOKESČIAI</t>
  </si>
  <si>
    <t>PVM</t>
  </si>
  <si>
    <t>Akcizų ir eksporto muitų mokesčiai</t>
  </si>
  <si>
    <t>Importo muito mokesčiai</t>
  </si>
  <si>
    <t>Kiti mokesčiai</t>
  </si>
  <si>
    <t>DARBO UŽMOKESTIS</t>
  </si>
  <si>
    <t>Mokėtinas darbo užmokestis</t>
  </si>
  <si>
    <t xml:space="preserve">  mokėjimo dienos periodiškumas</t>
  </si>
  <si>
    <t>GRYNIEJI PINIGAI</t>
  </si>
  <si>
    <t>Earnings before interest, taxes, depreciation and amortization (EBITDA)</t>
  </si>
  <si>
    <t xml:space="preserve">  pelnas/nuostolis dėl turto pardavimo</t>
  </si>
  <si>
    <t xml:space="preserve">  mokėtinas PVM nuo turto pardavimo pajamų</t>
  </si>
  <si>
    <t>Žemė</t>
  </si>
  <si>
    <t>Nematerialusis turtas</t>
  </si>
  <si>
    <t>Незавершенные инвестиции по данным текущей таблицы</t>
  </si>
  <si>
    <t>Total short-term liabilities</t>
  </si>
  <si>
    <t>Long-term liabilities</t>
  </si>
  <si>
    <t xml:space="preserve"> pardavimo pajamos (be PVM)</t>
  </si>
  <si>
    <t xml:space="preserve">  iš kurių mokesčiai ir muitai</t>
  </si>
  <si>
    <t xml:space="preserve">  sukauptas PVM</t>
  </si>
  <si>
    <t xml:space="preserve">  mokėjimų grafikas (be PVM)</t>
  </si>
  <si>
    <t xml:space="preserve">  gautas PVM</t>
  </si>
  <si>
    <t xml:space="preserve">  gautinos sumos</t>
  </si>
  <si>
    <t>Loan currency</t>
  </si>
  <si>
    <t>Interest rate (annualized)</t>
  </si>
  <si>
    <t>Grace period on interest payments</t>
  </si>
  <si>
    <t>Proceeds from loan disbursement</t>
  </si>
  <si>
    <t>Repayment of principal</t>
  </si>
  <si>
    <t>Interest accrued</t>
  </si>
  <si>
    <t>Interest paid</t>
  </si>
  <si>
    <t xml:space="preserve">  ankstesnio laikotarpio investicijų PVM</t>
  </si>
  <si>
    <t xml:space="preserve">  išankstiniai mokėjimai</t>
  </si>
  <si>
    <t xml:space="preserve"> = Viso</t>
  </si>
  <si>
    <t xml:space="preserve">  gamybos grafikas</t>
  </si>
  <si>
    <t xml:space="preserve">  pardavimų prognozė</t>
  </si>
  <si>
    <t xml:space="preserve">  pagaminta, bet neparduota produkcija</t>
  </si>
  <si>
    <t xml:space="preserve">  nebaigta gamyba</t>
  </si>
  <si>
    <t>Dėmesio! Pardavimai viršija gamybą ir atsargas!</t>
  </si>
  <si>
    <t>Žaliavos arba komponentų pavadinimas</t>
  </si>
  <si>
    <t>Suplanuotas poreikis vienam produkcijos vienetui</t>
  </si>
  <si>
    <t xml:space="preserve">  kaina be PVM</t>
  </si>
  <si>
    <t xml:space="preserve">  su importo muitais</t>
  </si>
  <si>
    <t>Sht</t>
  </si>
  <si>
    <t>Profitability</t>
  </si>
  <si>
    <t>Рентабельность</t>
  </si>
  <si>
    <t>Cash flow from financing activities</t>
  </si>
  <si>
    <t>Change in cash</t>
  </si>
  <si>
    <t>Cash at the beginning of period</t>
  </si>
  <si>
    <t>Cash at the end of period</t>
  </si>
  <si>
    <t>Chart: Cash flows</t>
  </si>
  <si>
    <t>Chart: Cash</t>
  </si>
  <si>
    <t xml:space="preserve">         BALANCE SHEET</t>
  </si>
  <si>
    <t>Other current assets</t>
  </si>
  <si>
    <t xml:space="preserve">    land</t>
  </si>
  <si>
    <t xml:space="preserve">    price net of VAT</t>
  </si>
  <si>
    <t xml:space="preserve">    including import duties</t>
  </si>
  <si>
    <t xml:space="preserve">         COST OF RAW MATERIALS AND COMPONENTS</t>
  </si>
  <si>
    <t xml:space="preserve">    raw materials and supplies purchased (net of VAT)</t>
  </si>
  <si>
    <t xml:space="preserve">    inventories, based on turnover ratio</t>
  </si>
  <si>
    <t xml:space="preserve">    inventories, based on detailed payment schedule</t>
  </si>
  <si>
    <t xml:space="preserve">    raw materials and supplies paid for (net of VAT)</t>
  </si>
  <si>
    <t xml:space="preserve">    costs written off against sales</t>
  </si>
  <si>
    <t xml:space="preserve">    remainder costs in inventory</t>
  </si>
  <si>
    <t xml:space="preserve">    remainder costs in work-in-progress</t>
  </si>
  <si>
    <t xml:space="preserve">         OTHER VARIABLE COSTS</t>
  </si>
  <si>
    <t xml:space="preserve">    costs net of VAT</t>
  </si>
  <si>
    <t>Use per period</t>
  </si>
  <si>
    <t xml:space="preserve">    costs paid for (net of VAT)</t>
  </si>
  <si>
    <t xml:space="preserve">         PERSONNEL AND WAGES</t>
  </si>
  <si>
    <t>Production personnel headcount</t>
  </si>
  <si>
    <t>Support personnel headcount</t>
  </si>
  <si>
    <t xml:space="preserve">  mokėjimai (be PVM)</t>
  </si>
  <si>
    <t xml:space="preserve">    величина платежей (без НДС)</t>
  </si>
  <si>
    <t>žmonės</t>
  </si>
  <si>
    <t>Apskaičiuoti mokesčiai, susiję su darbo užmokesčiu</t>
  </si>
  <si>
    <t xml:space="preserve">    - production personnel</t>
  </si>
  <si>
    <t xml:space="preserve">    - support personnel</t>
  </si>
  <si>
    <t xml:space="preserve">    - administrative personnel</t>
  </si>
  <si>
    <t xml:space="preserve">    - sales and marketing personnel</t>
  </si>
  <si>
    <t xml:space="preserve">         OPERATING COSTS</t>
  </si>
  <si>
    <t>Other variable costs</t>
  </si>
  <si>
    <t>Direct production costs</t>
  </si>
  <si>
    <t>Indirect production costs</t>
  </si>
  <si>
    <t>General and administrative expenses</t>
  </si>
  <si>
    <t>Sales and marketing expenses</t>
  </si>
  <si>
    <t>Sales and marketing expenses as % of sales</t>
  </si>
  <si>
    <t xml:space="preserve">    Production costs</t>
  </si>
  <si>
    <t xml:space="preserve">        net of VAT</t>
  </si>
  <si>
    <t xml:space="preserve">        VAT</t>
  </si>
  <si>
    <t xml:space="preserve">    Administrative expenses</t>
  </si>
  <si>
    <t xml:space="preserve">    Sales and marketing expenses</t>
  </si>
  <si>
    <t>Investicijos į apyvartinį kapitalą</t>
  </si>
  <si>
    <t>procentais nuo viso</t>
  </si>
  <si>
    <t>be įsigijimo/ veiklos (turtas - nuomotojo nuosavybė)</t>
  </si>
  <si>
    <t>be įsigijimo/ veiklos (turtas - nuomininko nuosavybė)</t>
  </si>
  <si>
    <t>ATSARGOS</t>
  </si>
  <si>
    <t xml:space="preserve">  vidutiniškai atsargų saugojimo trukmė (dienomis)</t>
  </si>
  <si>
    <t xml:space="preserve">  produkcijos gamybos ciklo trukmė</t>
  </si>
  <si>
    <t xml:space="preserve">  išsiuntimo periodiškumas</t>
  </si>
  <si>
    <t xml:space="preserve">  minimalus atsargų likutis</t>
  </si>
  <si>
    <t xml:space="preserve">   vidutiniškai atsargų saugojimo trukmė (dienomis)</t>
  </si>
  <si>
    <t>PIRKĖJŲ MOKĖJIMAI</t>
  </si>
  <si>
    <t>Pardavimai:</t>
  </si>
  <si>
    <t xml:space="preserve">  pardavimai už grynuosius pinigus</t>
  </si>
  <si>
    <t>Investment in intangible assets</t>
  </si>
  <si>
    <t>Investment in financial assets</t>
  </si>
  <si>
    <t>Investment in buildings and structures</t>
  </si>
  <si>
    <t>Investment in equipment and other assets</t>
  </si>
  <si>
    <t>Investment in deferred expenses</t>
  </si>
  <si>
    <t>Proceeds from financing</t>
  </si>
  <si>
    <t>Repayment of financing</t>
  </si>
  <si>
    <t>Dividends</t>
  </si>
  <si>
    <t xml:space="preserve">   Wages and salaries of production and support personnel</t>
  </si>
  <si>
    <t xml:space="preserve">    Leasing expenses</t>
  </si>
  <si>
    <t xml:space="preserve">    Other production costs</t>
  </si>
  <si>
    <t>Gross profit</t>
  </si>
  <si>
    <t>Wages and salaries of administrative, sales and marketing personnel</t>
  </si>
  <si>
    <t>Operating income</t>
  </si>
  <si>
    <t>Taxes not deductible for income tax purposes</t>
  </si>
  <si>
    <t xml:space="preserve">  kaštai įtraukti į nebaigtą gamybą</t>
  </si>
  <si>
    <t>Išlaidų rūšis</t>
  </si>
  <si>
    <t xml:space="preserve">  išlaidos be PVM</t>
  </si>
  <si>
    <t>Planuojamas poreikis vienam produkcijos vienetui</t>
  </si>
  <si>
    <t>Poreikis periodui</t>
  </si>
  <si>
    <t xml:space="preserve">  apmokėtos išlaidos (be PVM)</t>
  </si>
  <si>
    <t>Darbuotojų gamyboje skaičius</t>
  </si>
  <si>
    <t>Pagalbinių darbuotojų skaičius</t>
  </si>
  <si>
    <t xml:space="preserve">  -gamybos darbuotojų</t>
  </si>
  <si>
    <t xml:space="preserve">  -pagalbinių darbuotojų</t>
  </si>
  <si>
    <t xml:space="preserve">  -administracijos darbuotojų</t>
  </si>
  <si>
    <t>Taxes received by federal government</t>
  </si>
  <si>
    <t>Taxes received by regional and local governments</t>
  </si>
  <si>
    <t>Financing provided by governments</t>
  </si>
  <si>
    <t>Federal government</t>
  </si>
  <si>
    <t xml:space="preserve">    grants</t>
  </si>
  <si>
    <t xml:space="preserve">    loans provided</t>
  </si>
  <si>
    <t xml:space="preserve">    loans repayment</t>
  </si>
  <si>
    <t xml:space="preserve">    interest</t>
  </si>
  <si>
    <t>Regional and local governments</t>
  </si>
  <si>
    <t>Total cash flow for federal government</t>
  </si>
  <si>
    <t>Total cash flow for regional and local governments</t>
  </si>
  <si>
    <t>Discount rate</t>
  </si>
  <si>
    <t xml:space="preserve">    discount ratio</t>
  </si>
  <si>
    <t>Discounted cash flow for federal government</t>
  </si>
  <si>
    <t>Discounted flow for regional and local governments</t>
  </si>
  <si>
    <t xml:space="preserve">  gamybos darbuotojų ir pagalbinių darbininkų atlyginimai</t>
  </si>
  <si>
    <t xml:space="preserve">  Kitos gamybos sąnaudos</t>
  </si>
  <si>
    <t>Bendrasis pelnas</t>
  </si>
  <si>
    <t>Administracijos, pardavimų ir marketingo darbuotojų atlyginimai</t>
  </si>
  <si>
    <t>Mokesčiai nemažinantys pelno mokesčio</t>
  </si>
  <si>
    <t>Ilgalaikio turto pardavimo pelnas (nuostolis)</t>
  </si>
  <si>
    <t>Statybų veiklos pelnas (nuostolis)</t>
  </si>
  <si>
    <t>Pelnas (nuostolis) dėl valiutų kursų svyravimo</t>
  </si>
  <si>
    <t>Kitos pajamos</t>
  </si>
  <si>
    <t>Kitas nuostolis</t>
  </si>
  <si>
    <t>Pelnas prieš palūkanas, mokesčius, nusidėvėjimą ir amortizaciją (EBITDA)</t>
  </si>
  <si>
    <t>Pelnas prieš palūkanas ir mokesčius (EBIT)</t>
  </si>
  <si>
    <t>Palūkanos</t>
  </si>
  <si>
    <t>Pelnas prieš mokesčius</t>
  </si>
  <si>
    <t>Grynasis pelnas (nuostolis)</t>
  </si>
  <si>
    <t>Diagrama: Grynasis pelnas</t>
  </si>
  <si>
    <t>Kitos pajamos (be PVM)</t>
  </si>
  <si>
    <t>Kiti netekimai/nuostoliai (be PVM)</t>
  </si>
  <si>
    <t>Nepaskirstytasis pelnas (per laikotarpį)</t>
  </si>
  <si>
    <t>Nepaskirstytasis pelnas (laikotarpio pradžioje, sukauptas)</t>
  </si>
  <si>
    <t>Darbo užmokestis įskaitant mokesčius</t>
  </si>
  <si>
    <t>Kitos kintamos išlaidos</t>
  </si>
  <si>
    <t>Tiesioginė gamybos savikaina</t>
  </si>
  <si>
    <t>Netiesioginė gamybos savikaina</t>
  </si>
  <si>
    <t>Bendrosios ir administracinės sąnaudos</t>
  </si>
  <si>
    <t>Pardavimų ir marketingo sąnaudos</t>
  </si>
  <si>
    <t>Pardavimų ir marketingo sąnaudos (kaip % nuo pardavimo pajamų)</t>
  </si>
  <si>
    <t xml:space="preserve">  Gamybos savikaina</t>
  </si>
  <si>
    <t xml:space="preserve">     be PVM</t>
  </si>
  <si>
    <t xml:space="preserve">     PVM</t>
  </si>
  <si>
    <t xml:space="preserve">  Administracinės sąnaudos</t>
  </si>
  <si>
    <t xml:space="preserve">  Pardavimų ir marketingo sąnaudos</t>
  </si>
  <si>
    <t>Žaliavų ir komponentų kaštai</t>
  </si>
  <si>
    <t>Gamybos darbuotojų darbo užmokestis</t>
  </si>
  <si>
    <t>Su gamybos darbuotojų darbo užmokesčiu susiję mokesčiai</t>
  </si>
  <si>
    <t xml:space="preserve">   Administracinės sąnaudos</t>
  </si>
  <si>
    <t xml:space="preserve">   Pardavimų ir marketingo sąnaudos</t>
  </si>
  <si>
    <t xml:space="preserve">   Žaliavos ir komponentai</t>
  </si>
  <si>
    <t>Įstatinis kapitalas/Akcininkų įnašai</t>
  </si>
  <si>
    <t>Savininko 1</t>
  </si>
  <si>
    <t>Savininko 2</t>
  </si>
  <si>
    <t xml:space="preserve">          Žaliavų ir atsargų kaina (už vienetą su PVM)</t>
  </si>
  <si>
    <t xml:space="preserve">    на основе циклов оборачиваемости (c НДС на аванс)</t>
  </si>
  <si>
    <t>Мало!</t>
  </si>
  <si>
    <t>Too small!</t>
  </si>
  <si>
    <t>NPV федерального бюджета</t>
  </si>
  <si>
    <t>NPV территориального бюджета</t>
  </si>
  <si>
    <t>NPV for federal government</t>
  </si>
  <si>
    <t>NPV for regional and local governments</t>
  </si>
  <si>
    <t>_NPV1</t>
  </si>
  <si>
    <t>_NPV2</t>
  </si>
  <si>
    <t>_NPV3</t>
  </si>
  <si>
    <t>Net operating profit less adjusted taxes</t>
  </si>
  <si>
    <t>Discounted terminal value</t>
  </si>
  <si>
    <t>Total value</t>
  </si>
  <si>
    <t xml:space="preserve">         EFFICIENCY FOR THE GOVERNMENT</t>
  </si>
  <si>
    <t>federal</t>
  </si>
  <si>
    <t xml:space="preserve"> = TOTAL LIABILITIES AND EQUITY</t>
  </si>
  <si>
    <t>Attention! Balance sheet is unbalanced!</t>
  </si>
  <si>
    <t>Chart: Project assets</t>
  </si>
  <si>
    <t>Chart: Project liabilities and equity</t>
  </si>
  <si>
    <t xml:space="preserve">         FINANCIAL RATIOS</t>
  </si>
  <si>
    <t>Return on assets</t>
  </si>
  <si>
    <t>Return on equity</t>
  </si>
  <si>
    <t>Return on fixed assets</t>
  </si>
  <si>
    <t xml:space="preserve">COGS / sales </t>
  </si>
  <si>
    <t>Gross margin</t>
  </si>
  <si>
    <t>Fixed costs / COGS</t>
  </si>
  <si>
    <t>Break-even point</t>
  </si>
  <si>
    <t>"Margin of safety"</t>
  </si>
  <si>
    <t>Unified tax on imputed income</t>
  </si>
  <si>
    <t>Simplified taxation system</t>
  </si>
  <si>
    <t>Individual income tax rate</t>
  </si>
  <si>
    <t>Info: grynieji pinigai laikotrapio pabaigai (visų projektų)</t>
  </si>
  <si>
    <t>Paskolos rūšis</t>
  </si>
  <si>
    <t>Прирост чистого оборотного капитала</t>
  </si>
  <si>
    <t>График: Движение денег по кредитам</t>
  </si>
  <si>
    <t>Chart: Debt cash flows</t>
  </si>
  <si>
    <t>Paskolų įplaukos</t>
  </si>
  <si>
    <t>Fist period start date</t>
  </si>
  <si>
    <t>Duration</t>
  </si>
  <si>
    <t>Projects execution periods</t>
  </si>
  <si>
    <t>from period</t>
  </si>
  <si>
    <t>till period</t>
  </si>
  <si>
    <t>Budget start year</t>
  </si>
  <si>
    <t>График лизинговых платежей (с НДС)</t>
  </si>
  <si>
    <t>Nuosavo ir skolinto kapitalo santykis</t>
  </si>
  <si>
    <t>Times interest earned</t>
  </si>
  <si>
    <t>Chart: Profitability</t>
  </si>
  <si>
    <t>Chart: Gross margin</t>
  </si>
  <si>
    <t>Chart: EBIT margin</t>
  </si>
  <si>
    <t xml:space="preserve">         INVESTMENT EFFICIENCY</t>
  </si>
  <si>
    <t>(real — without inflation)</t>
  </si>
  <si>
    <t>(nominal — with inflation)</t>
  </si>
  <si>
    <t>Include prior period investments</t>
  </si>
  <si>
    <t>Include residual value of project assets</t>
  </si>
  <si>
    <t>Currency of calculation:</t>
  </si>
  <si>
    <t>Annualized discount rate:</t>
  </si>
  <si>
    <t xml:space="preserve">    discount rate per period</t>
  </si>
  <si>
    <t xml:space="preserve">    discount ratio at the beginning of period</t>
  </si>
  <si>
    <t xml:space="preserve">    discount ratio at the end of period</t>
  </si>
  <si>
    <t>Cash flows included:</t>
  </si>
  <si>
    <t xml:space="preserve">    excluding interest </t>
  </si>
  <si>
    <t>Residual value of project assets</t>
  </si>
  <si>
    <t>Net cash flow</t>
  </si>
  <si>
    <t>Discounted net cash flow</t>
  </si>
  <si>
    <t>Discounted net cash flow, cumulative</t>
  </si>
  <si>
    <t>Simple payback period</t>
  </si>
  <si>
    <t xml:space="preserve">    undiscounted cash flow, cumulative</t>
  </si>
  <si>
    <t xml:space="preserve">    sign of the cash at the end of period</t>
  </si>
  <si>
    <t>Net Present Value (NPV)</t>
  </si>
  <si>
    <t>Discounted Payback Period (PBP)</t>
  </si>
  <si>
    <t>valstybinis</t>
  </si>
  <si>
    <t>regioninis/vietinis</t>
  </si>
  <si>
    <t>Mokestinių įplaukų dalys skirtingų lygių biudžetams</t>
  </si>
  <si>
    <t xml:space="preserve">Mokesčiai, susiję su darbo užmokesčiu </t>
  </si>
  <si>
    <t>Gyventojų pajamų mokestis (GPM)</t>
  </si>
  <si>
    <t>Nekilnojamajo turto mokestis</t>
  </si>
  <si>
    <t>Bendrasis pajamų mokestis</t>
  </si>
  <si>
    <t>GMP dydis (%)</t>
  </si>
  <si>
    <t>Centrinės valdžios surenkami mokesčiai</t>
  </si>
  <si>
    <t>Regioninės savivaldos surenkami mokesčiai</t>
  </si>
  <si>
    <t>Vyriausybės suteiktas finansavimas</t>
  </si>
  <si>
    <t>Centrinės valdžios</t>
  </si>
  <si>
    <t xml:space="preserve">  dotacijos</t>
  </si>
  <si>
    <t xml:space="preserve">  paskolos</t>
  </si>
  <si>
    <t xml:space="preserve">  paskolų grąžinimas</t>
  </si>
  <si>
    <t>Nepaskirstytasis pelnas (laikotarpio pabaigoje, sukauptas)</t>
  </si>
  <si>
    <t>Pinigų srautai iš pirkėjų</t>
  </si>
  <si>
    <t>Mokėjimai tiekėjams</t>
  </si>
  <si>
    <t xml:space="preserve">    зачет НДС</t>
  </si>
  <si>
    <t xml:space="preserve">    реализация актива (без НДС)</t>
  </si>
  <si>
    <t xml:space="preserve">    прибыль/убыток от реализации актива</t>
  </si>
  <si>
    <t xml:space="preserve">    НДС к выручке от реализации актива</t>
  </si>
  <si>
    <t xml:space="preserve">   в том числе</t>
  </si>
  <si>
    <t>Существующие внеоборотные активы</t>
  </si>
  <si>
    <t xml:space="preserve">   - здания и сооружения</t>
  </si>
  <si>
    <t xml:space="preserve">         INFLATION AND MACROECONOMIC FORECASTS</t>
  </si>
  <si>
    <t xml:space="preserve"> = VISO TURTO</t>
  </si>
  <si>
    <t xml:space="preserve">  tiekėjams už žaliavas ir komponentus</t>
  </si>
  <si>
    <t xml:space="preserve">  tiekėjams už ilgalaikį turtą</t>
  </si>
  <si>
    <t>Mokėtini mokesčiai</t>
  </si>
  <si>
    <t>Trumpalaikės paskolos</t>
  </si>
  <si>
    <t>Kiti trumpalaikiai įsipareigojimai</t>
  </si>
  <si>
    <t>Ilgalaikiai įsipareigojimai</t>
  </si>
  <si>
    <t>Alcininkų nuosavybė/nuosavas kapitalas</t>
  </si>
  <si>
    <t>Nepaskirstytasis pelnas</t>
  </si>
  <si>
    <t>Kitas kapitalas</t>
  </si>
  <si>
    <t>Viso nuosavo kapitalo</t>
  </si>
  <si>
    <t xml:space="preserve"> = VISO ĮSIPAREIGOJIMŲ IR NUOSAVO KAPITALO</t>
  </si>
  <si>
    <t xml:space="preserve">    № периода ввода в действие оборудования</t>
  </si>
  <si>
    <t xml:space="preserve">    срок лизинга</t>
  </si>
  <si>
    <t>Стоимость объекта (с НДС)</t>
  </si>
  <si>
    <t xml:space="preserve">    амортизационные отчисления</t>
  </si>
  <si>
    <t xml:space="preserve">    остаточная стоимость (без НДС)</t>
  </si>
  <si>
    <t>Valstybinės mokestinės pajamos</t>
  </si>
  <si>
    <t xml:space="preserve">  palūkanos</t>
  </si>
  <si>
    <t>Regioninės savivaldos</t>
  </si>
  <si>
    <t xml:space="preserve">         BASIC PROJECT PARAMETERS</t>
  </si>
  <si>
    <t>Sales (net of VAT)</t>
  </si>
  <si>
    <t>Production costs (net of VAT)</t>
  </si>
  <si>
    <t>Investment in fixed assets</t>
  </si>
  <si>
    <t>Equity investment and grants</t>
  </si>
  <si>
    <t>Loans provided</t>
  </si>
  <si>
    <t>Loans repayment</t>
  </si>
  <si>
    <t>Investment efficiency</t>
  </si>
  <si>
    <t>Return on lender(s)</t>
  </si>
  <si>
    <t xml:space="preserve">        SENSITIVITY ANALYSIS</t>
  </si>
  <si>
    <t>Company projects portfolio</t>
  </si>
  <si>
    <t xml:space="preserve">         PORTFOLIO STRUCTURE</t>
  </si>
  <si>
    <t>Company name:</t>
  </si>
  <si>
    <t>Unnamed company</t>
  </si>
  <si>
    <t>Include?</t>
  </si>
  <si>
    <t>Source</t>
  </si>
  <si>
    <t>Last update from external workbooks:</t>
  </si>
  <si>
    <t>Projects portfolio budget parameters</t>
  </si>
  <si>
    <t xml:space="preserve">  diskonto daugiklis</t>
  </si>
  <si>
    <t>Budget start month</t>
  </si>
  <si>
    <t xml:space="preserve">         INCOME TAX RECALCULATION</t>
  </si>
  <si>
    <t>Recalculate tax</t>
  </si>
  <si>
    <t>Do not recalculate tax</t>
  </si>
  <si>
    <t>Tax base before loss write-off</t>
  </si>
  <si>
    <t xml:space="preserve">         CONSTRUCTION: SALE AT COMPLETION</t>
  </si>
  <si>
    <t xml:space="preserve"> = Total: Buildings and structures</t>
  </si>
  <si>
    <t>Предполагаемый темп годового роста цен</t>
  </si>
  <si>
    <t>для основной валюты</t>
  </si>
  <si>
    <t>То же, в пересчете на период, равный шагу проекта</t>
  </si>
  <si>
    <t>Множитель прироста цен для основной валюты</t>
  </si>
  <si>
    <t>Предполагаемый годовой темп прироста</t>
  </si>
  <si>
    <t>обменного курса иностранной валюты</t>
  </si>
  <si>
    <t xml:space="preserve">АЛЬТ-Инвест™ </t>
  </si>
  <si>
    <t xml:space="preserve">Сумм </t>
  </si>
  <si>
    <t xml:space="preserve">Строительство </t>
  </si>
  <si>
    <t xml:space="preserve">Демо </t>
  </si>
  <si>
    <t xml:space="preserve">Пробная версия </t>
  </si>
  <si>
    <t xml:space="preserve">ALT-Invest™ </t>
  </si>
  <si>
    <t xml:space="preserve">Summ </t>
  </si>
  <si>
    <t xml:space="preserve">Demo </t>
  </si>
  <si>
    <t xml:space="preserve">Trial </t>
  </si>
  <si>
    <t>Название проекта:</t>
  </si>
  <si>
    <t>Проект 1</t>
  </si>
  <si>
    <t>Дата начала проекта</t>
  </si>
  <si>
    <t>Срок жизни проекта</t>
  </si>
  <si>
    <t>Шаг планирования</t>
  </si>
  <si>
    <t>Длительность шага планирования</t>
  </si>
  <si>
    <t>Основная валюта расчета</t>
  </si>
  <si>
    <t>Иностранная валюта</t>
  </si>
  <si>
    <t>Валюта для отображения результатов</t>
  </si>
  <si>
    <t>год</t>
  </si>
  <si>
    <t>тыс. руб.</t>
  </si>
  <si>
    <t>$</t>
  </si>
  <si>
    <t>Язык интерфейса и таблиц</t>
  </si>
  <si>
    <t>Защита</t>
  </si>
  <si>
    <t>Показывать реальные даты в названиях периодов?</t>
  </si>
  <si>
    <t>Įtraukta likutinė projekto turto vertė</t>
  </si>
  <si>
    <t>Skaičiavimo valiuta:</t>
  </si>
  <si>
    <t>Metinė diskonto norma:</t>
  </si>
  <si>
    <t xml:space="preserve">  periodo diskonto norma</t>
  </si>
  <si>
    <t xml:space="preserve">  diskonto norma laikotarpio pradžioje</t>
  </si>
  <si>
    <t xml:space="preserve">  diskonto norma laikotarpio pabaigoje</t>
  </si>
  <si>
    <t>Pinigų srautai įskaičiuojant:</t>
  </si>
  <si>
    <t>Pinigų srautai iš įprastinės veiklos</t>
  </si>
  <si>
    <t xml:space="preserve">  atimant palūkanas</t>
  </si>
  <si>
    <t>Ankstesniojo laikotarpio investicijos</t>
  </si>
  <si>
    <t>Likutinė projekto turto vertė</t>
  </si>
  <si>
    <t>Grynieji pinigų srautai</t>
  </si>
  <si>
    <t>Diskontuoti grynieji pinigų srautai</t>
  </si>
  <si>
    <t>Diskontuoti grynieji pinigų srautai, sukaupti</t>
  </si>
  <si>
    <t>Paprastasis atsipirkimo laikotarpis</t>
  </si>
  <si>
    <t xml:space="preserve">   nediskontuoti pinigų srautai, sukaupti</t>
  </si>
  <si>
    <t xml:space="preserve">  grynųjų pinigų likučio ženklas</t>
  </si>
  <si>
    <t xml:space="preserve">  grynųjų pinigų likučio laikotarpio pabaigoje ženklas</t>
  </si>
  <si>
    <t>Grynoji dabartinė vertė</t>
  </si>
  <si>
    <t>Diskontuotas atsipirkimo laikotarpis</t>
  </si>
  <si>
    <t xml:space="preserve">  diskontuotų grynųjų pinigų likučio ženklas</t>
  </si>
  <si>
    <t xml:space="preserve">  diskontuotų grynųjų pinigų likučio laikotarpio pabaigoje ženklas</t>
  </si>
  <si>
    <t>Vidinė grąžos norma</t>
  </si>
  <si>
    <t>Pelningumo koeficinetas</t>
  </si>
  <si>
    <t xml:space="preserve">  įplaukos</t>
  </si>
  <si>
    <t xml:space="preserve">  diskontuotos įplaukos</t>
  </si>
  <si>
    <t>Gamybos ir pardavimo apimtis (produkcijos vienetais)</t>
  </si>
  <si>
    <t>Pardavimo kaina</t>
  </si>
  <si>
    <t>Diagrama: Grynoji dabartinė konsoliduotų pinigų srautų vertė (visų investicijų)</t>
  </si>
  <si>
    <t>Diagrama: Grynoji dabartinė konsoliduotų pinigų srautų vertė (akcinio kapitalo)</t>
  </si>
  <si>
    <t>Diagrama: Grynoji dabartinė konsoliduotų pinigų srautų vertė (skolinto kapitalo)</t>
  </si>
  <si>
    <t>Parametrų pokytis</t>
  </si>
  <si>
    <t>Intervale</t>
  </si>
  <si>
    <t>Nuo:</t>
  </si>
  <si>
    <t xml:space="preserve">su žingsniu/etapu: </t>
  </si>
  <si>
    <t>Bendras indeksas</t>
  </si>
  <si>
    <t>Apskaičiuotų verčių lentelė</t>
  </si>
  <si>
    <t>Reikšmė</t>
  </si>
  <si>
    <t>Rezultatas</t>
  </si>
  <si>
    <t>Grafikas: Jautrumo analizė</t>
  </si>
  <si>
    <t>&lt;analizuojamų parametrų sąrašo pabaiga&gt;</t>
  </si>
  <si>
    <t>Regionas</t>
  </si>
  <si>
    <t>nuo planuojamo dydžio</t>
  </si>
  <si>
    <t>Įskaičiuoti</t>
  </si>
  <si>
    <t>Balansas nesubalansuotas!</t>
  </si>
  <si>
    <t>Diagrama: EBITDA</t>
  </si>
  <si>
    <t>Базовый язык интерфейса?</t>
  </si>
  <si>
    <t>Сейчас будет собрана модификация:</t>
  </si>
  <si>
    <t>СБОРКА ДИСТРИБУТИВА</t>
  </si>
  <si>
    <t>0 - нет, 1 - да</t>
  </si>
  <si>
    <t>0 - рабочая, 1 - демо, 2 - пробная</t>
  </si>
  <si>
    <t>1 - русский, 2 - английский</t>
  </si>
  <si>
    <t>Демо или пробная версия?</t>
  </si>
  <si>
    <t>Параметры программы</t>
  </si>
  <si>
    <t>Внимание! Измение этих параметров вручную приведет к неправильной работе ряда формул и макросов</t>
  </si>
  <si>
    <t>дн.</t>
  </si>
  <si>
    <t>руб.</t>
  </si>
  <si>
    <t>EUR</t>
  </si>
  <si>
    <t>GBP</t>
  </si>
  <si>
    <t>гр.</t>
  </si>
  <si>
    <t>тнг.</t>
  </si>
  <si>
    <t>тыс. $</t>
  </si>
  <si>
    <t>тыс. EUR</t>
  </si>
  <si>
    <t>тыс. GBP</t>
  </si>
  <si>
    <t>тыс. гр.</t>
  </si>
  <si>
    <t>тыс. тнг</t>
  </si>
  <si>
    <t>леи</t>
  </si>
  <si>
    <t>тыс. леев</t>
  </si>
  <si>
    <t>Ilgalaikio turto grąža</t>
  </si>
  <si>
    <t>Parduotos produkcijos savikaina/pardavimai</t>
  </si>
  <si>
    <t>Bendrojo pelno norma</t>
  </si>
  <si>
    <t>Nekintamos išlaidos/parduotų prekių savikaina</t>
  </si>
  <si>
    <t>Lūžio taškas</t>
  </si>
  <si>
    <t>"Nenuostolingumo taškas"</t>
  </si>
  <si>
    <t>EBITDA norma</t>
  </si>
  <si>
    <t>Mokėjimai darbuotojams</t>
  </si>
  <si>
    <t>Bendrosios sąnaudos</t>
  </si>
  <si>
    <t>Mokesčiai</t>
  </si>
  <si>
    <t>Kitos piniginės įplaukos</t>
  </si>
  <si>
    <t>Kitos piniginės išlaidos</t>
  </si>
  <si>
    <t>Pinigų srautai iš pagrindinės veiklos</t>
  </si>
  <si>
    <t>Базовое значения для определения объема строительств в алте</t>
  </si>
  <si>
    <t>Diskontuoti pinigų srautai centrinei valdžiai</t>
  </si>
  <si>
    <t>Diskontuoti pinigų srautai regioninei savivaldai</t>
  </si>
  <si>
    <t xml:space="preserve">Grynoji dabartinė pinigų srautų centrinei valdžiai vertė </t>
  </si>
  <si>
    <t xml:space="preserve">Grynoji dabartinė pinigų srautų regioninei savivaldai vertė </t>
  </si>
  <si>
    <t xml:space="preserve">    PAGRINDINIAI PROJEKTO PARAMETRAI</t>
  </si>
  <si>
    <r>
      <t>1 m</t>
    </r>
    <r>
      <rPr>
        <sz val="8"/>
        <rFont val="Arial Cyr"/>
      </rPr>
      <t>2 kaštai (įskaitant PVM)</t>
    </r>
  </si>
  <si>
    <t>Statybos kaštai</t>
  </si>
  <si>
    <t>Est?</t>
  </si>
  <si>
    <t>Доходы от продажи дольщикам</t>
  </si>
  <si>
    <t>Construction co-investors</t>
  </si>
  <si>
    <t>Construction sales at completion</t>
  </si>
  <si>
    <t>Незавершенные инвестиции в стартовом балансе</t>
  </si>
  <si>
    <t>ПРОЧИЕ НАЛОГИ</t>
  </si>
  <si>
    <t>OTHER TAXES</t>
  </si>
  <si>
    <t>KITOS MOKESČIAI</t>
  </si>
  <si>
    <t xml:space="preserve">    - на зарплату административного персонала</t>
  </si>
  <si>
    <t xml:space="preserve">    Страховые взносы в социальные фонды</t>
  </si>
  <si>
    <t>Начисленные страховые взносы в фонды</t>
  </si>
  <si>
    <t>Расходы на зарплату с учетом страховых взносов</t>
  </si>
  <si>
    <t>Страховые взносы на зарплату основного произв. персонала</t>
  </si>
  <si>
    <t>Страховые взносы на зарплату вспомогательного произв. персонала</t>
  </si>
  <si>
    <t>Страховые взносы на зарплату коммерческого персонала</t>
  </si>
  <si>
    <t>Страховые взносы на зарплату административного персонала</t>
  </si>
  <si>
    <t>Страховые взносы в социальные фонды</t>
  </si>
  <si>
    <t xml:space="preserve">    выплаченные авансы</t>
  </si>
  <si>
    <t>Основной производственный персонал</t>
  </si>
  <si>
    <t>Вспомогательный производственный персонал</t>
  </si>
  <si>
    <t>Административный персонал</t>
  </si>
  <si>
    <t>Коммерческий персонал</t>
  </si>
  <si>
    <t>Выкуп основных средств по остаточной стоимости</t>
  </si>
  <si>
    <t xml:space="preserve">    балансовая стоимость после выкупа</t>
  </si>
  <si>
    <t xml:space="preserve">    остаточная стоимость после выкупа</t>
  </si>
  <si>
    <t xml:space="preserve">    амортизация средств у лизингополучателя после выкупа</t>
  </si>
  <si>
    <t xml:space="preserve">    НДС уплаченный при выкупе </t>
  </si>
  <si>
    <t xml:space="preserve"> = Итого лизинговые платежи, начисленные, без НДС</t>
  </si>
  <si>
    <t xml:space="preserve"> = Итого лизинговые платежи, уплаченные, с НДС</t>
  </si>
  <si>
    <t xml:space="preserve"> = Итого выкуп основных средств, с НДС</t>
  </si>
  <si>
    <t xml:space="preserve">    арендованные основные средства </t>
  </si>
  <si>
    <t>с выкупом (учет на балансе лизингодателя)</t>
  </si>
  <si>
    <t>с выкупом (учет на балансе лизингополучателя)</t>
  </si>
  <si>
    <t>РАСЧЕТЫ С БЮДЖЕТОМ</t>
  </si>
  <si>
    <t>По НДС</t>
  </si>
  <si>
    <t>По акцизам и экспортным пошлинам</t>
  </si>
  <si>
    <t>По импортным пошлинам</t>
  </si>
  <si>
    <t>По налогу на прибыль</t>
  </si>
  <si>
    <t>По прочим налогам и платежам</t>
  </si>
  <si>
    <t>РАСЧЕТЫ С ПЕРСОНАЛОМ</t>
  </si>
  <si>
    <t>Текущая задолженность по заработной плате</t>
  </si>
  <si>
    <t xml:space="preserve">    частота выплаты заработной платы</t>
  </si>
  <si>
    <t>РЕЗЕРВ ДЕНЕЖНЫХ СРЕДСТВ</t>
  </si>
  <si>
    <t>Резерв средств на обеспечение текущих расчетов</t>
  </si>
  <si>
    <t xml:space="preserve">    создавать?</t>
  </si>
  <si>
    <t xml:space="preserve">    покрытие потребности</t>
  </si>
  <si>
    <t>Итого текущих активов</t>
  </si>
  <si>
    <t>Число строк из проекта на листе Портфель</t>
  </si>
  <si>
    <t xml:space="preserve">    расчетная величина лизинговых платежей (c НДС)</t>
  </si>
  <si>
    <t xml:space="preserve">    от продажи активов</t>
  </si>
  <si>
    <t xml:space="preserve">    от прочей деятельности</t>
  </si>
  <si>
    <t>НДС уплаченный</t>
  </si>
  <si>
    <t xml:space="preserve">    при оплате материалов и комплектующих</t>
  </si>
  <si>
    <t xml:space="preserve">    при оплате текущих затрат</t>
  </si>
  <si>
    <t>НДС к ранее осуществленным инвестициям, включаемый в затраты</t>
  </si>
  <si>
    <t>VAT on prior period investments, written off against costs</t>
  </si>
  <si>
    <t>Платежи НДС в бюджет (или возврат из бюджета)</t>
  </si>
  <si>
    <t xml:space="preserve">    выплаченный, но еще не зачтенный НДС</t>
  </si>
  <si>
    <t xml:space="preserve">    НДС к уплате в бюджет (или к возврату из бюджета)</t>
  </si>
  <si>
    <t xml:space="preserve">    отложенный возврат НДС из бюджета</t>
  </si>
  <si>
    <t>Начисления на заработную плату</t>
  </si>
  <si>
    <t xml:space="preserve">        ставка</t>
  </si>
  <si>
    <t xml:space="preserve">        период уплаты</t>
  </si>
  <si>
    <t xml:space="preserve">    Страхование</t>
  </si>
  <si>
    <t>Земельный налог</t>
  </si>
  <si>
    <t xml:space="preserve">    полученные авансы</t>
  </si>
  <si>
    <t xml:space="preserve"> = Итого</t>
  </si>
  <si>
    <t xml:space="preserve">    цена без НДС</t>
  </si>
  <si>
    <t xml:space="preserve">    в том числе импортная пошлина</t>
  </si>
  <si>
    <t xml:space="preserve">    затраты на сырье и материалы без НДС</t>
  </si>
  <si>
    <t>Общие производственные расходы</t>
  </si>
  <si>
    <t>Прямые производственные расходы</t>
  </si>
  <si>
    <t>Зарплата вспомогательного произв. персонала</t>
  </si>
  <si>
    <t>Зарплата коммерческого персонала</t>
  </si>
  <si>
    <t>Зарплата административного персонала</t>
  </si>
  <si>
    <t>в том числе НДС</t>
  </si>
  <si>
    <t>Амортизация</t>
  </si>
  <si>
    <t>Земельный и другие налоги, относимые на текущие затраты</t>
  </si>
  <si>
    <t>1_02</t>
  </si>
  <si>
    <t xml:space="preserve"> = Итого: затраты в отчете о прибылях и убытках</t>
  </si>
  <si>
    <t xml:space="preserve">    материалы и комплектующие</t>
  </si>
  <si>
    <t xml:space="preserve">    оплата труда</t>
  </si>
  <si>
    <t xml:space="preserve">    налоги, относимые на текущие затраты</t>
  </si>
  <si>
    <t xml:space="preserve">    производственные расходы</t>
  </si>
  <si>
    <t xml:space="preserve">    начисленные лизинговые платежи</t>
  </si>
  <si>
    <t xml:space="preserve">    амортизация</t>
  </si>
  <si>
    <t xml:space="preserve">    коммерческие расходы</t>
  </si>
  <si>
    <t>Жилые площади</t>
  </si>
  <si>
    <t>Living area</t>
  </si>
  <si>
    <t xml:space="preserve">    административные расходы</t>
  </si>
  <si>
    <t xml:space="preserve"> = Итого: оплата текущих расходов</t>
  </si>
  <si>
    <t xml:space="preserve">    Материалы и комплектующие</t>
  </si>
  <si>
    <t>Упрощенная система налогообложения (специальный налоговый режим)</t>
  </si>
  <si>
    <t>ЕДИНЫЙ НАЛОГ НА ВМЕНЕННЫЙ ДОХОД</t>
  </si>
  <si>
    <t>Физический показатель доходности</t>
  </si>
  <si>
    <t>Базовая доходность</t>
  </si>
  <si>
    <t>Коэффициент-дефлятор К1</t>
  </si>
  <si>
    <t>Корректирующий коэффициент К2</t>
  </si>
  <si>
    <t>Величина вмененного дохода</t>
  </si>
  <si>
    <t>Взносы на обязательное пенсионное страхование</t>
  </si>
  <si>
    <t>Итого: оплата работ</t>
  </si>
  <si>
    <t>Авансы подрядчикам (с НДС)</t>
  </si>
  <si>
    <t>Кредиторская задолженность подрядчикам (с НДС)</t>
  </si>
  <si>
    <t>НДС к ранее осуществленным инвестициям</t>
  </si>
  <si>
    <t>Рыночная стоимость недостроенного объекта</t>
  </si>
  <si>
    <t>Очередь строительства №1</t>
  </si>
  <si>
    <t>Конец строительства очереди</t>
  </si>
  <si>
    <t>Категории площадей:</t>
  </si>
  <si>
    <t>Полезная площадь очереди</t>
  </si>
  <si>
    <t>Общая площадь очереди</t>
  </si>
  <si>
    <t>Итого: полезная площадь</t>
  </si>
  <si>
    <t>Итого: общая площадь</t>
  </si>
  <si>
    <t>Внимание! Общая площадь не может быть меньше полезной площади!</t>
  </si>
  <si>
    <t>Чистый денежный поток</t>
  </si>
  <si>
    <t>Дисконтированный чистый денежный поток</t>
  </si>
  <si>
    <t>Дисконтированный поток нарастающим итогом</t>
  </si>
  <si>
    <t>Простой срок окупаемости</t>
  </si>
  <si>
    <t xml:space="preserve">    недисконтированный поток нарастающим итогом</t>
  </si>
  <si>
    <t>График привлечения дольщиков / соинвесторов</t>
  </si>
  <si>
    <t>График оплаты площадей</t>
  </si>
  <si>
    <t>Стоимость 1 кв. м (без НДС)</t>
  </si>
  <si>
    <t xml:space="preserve">    в том числе вознаграждение заказчику</t>
  </si>
  <si>
    <t>Поступление финансирования</t>
  </si>
  <si>
    <t xml:space="preserve">    вариант зачета НДС</t>
  </si>
  <si>
    <t>по мере оплаты актива</t>
  </si>
  <si>
    <t>после постановки актива на баланс</t>
  </si>
  <si>
    <t xml:space="preserve">    величина платежей</t>
  </si>
  <si>
    <t>1_15</t>
  </si>
  <si>
    <t xml:space="preserve">    импорт?</t>
  </si>
  <si>
    <t xml:space="preserve">    пересечение границы при импорте</t>
  </si>
  <si>
    <t>период</t>
  </si>
  <si>
    <t>нет</t>
  </si>
  <si>
    <t>да</t>
  </si>
  <si>
    <t xml:space="preserve">    здания и сооружения</t>
  </si>
  <si>
    <t xml:space="preserve">    оборудование и прочие активы</t>
  </si>
  <si>
    <t>Незавершенные капиталовложения</t>
  </si>
  <si>
    <t>Суммарные внеоборотные активы</t>
  </si>
  <si>
    <t xml:space="preserve"> = ИТОГО АКТИВОВ</t>
  </si>
  <si>
    <t>Кредиторская задолженность</t>
  </si>
  <si>
    <t xml:space="preserve">    за поставленные товары</t>
  </si>
  <si>
    <t>Расчеты с бюджетом</t>
  </si>
  <si>
    <t>Расчеты с персоналом</t>
  </si>
  <si>
    <t>Авансы покупателей</t>
  </si>
  <si>
    <t>Краткосрочные кредиты</t>
  </si>
  <si>
    <t>Прочие краткосрочные обязательства</t>
  </si>
  <si>
    <t xml:space="preserve">    амортизация (линейная),       для срока использования:</t>
  </si>
  <si>
    <t xml:space="preserve">    импортная пошлина</t>
  </si>
  <si>
    <t xml:space="preserve">    доходность финансовых вложений</t>
  </si>
  <si>
    <t xml:space="preserve">    авансы выданные</t>
  </si>
  <si>
    <t>Учитывать при оценке эффективности в сумме</t>
  </si>
  <si>
    <t>1_03</t>
  </si>
  <si>
    <t>1_04</t>
  </si>
  <si>
    <t>1_11</t>
  </si>
  <si>
    <t>1_12</t>
  </si>
  <si>
    <t>1_13</t>
  </si>
  <si>
    <t>1_14</t>
  </si>
  <si>
    <t>1_05; int_end</t>
  </si>
  <si>
    <t>1_06; int_end</t>
  </si>
  <si>
    <t>1_09; int_end</t>
  </si>
  <si>
    <t>1_10; int_end</t>
  </si>
  <si>
    <t>1_07; int_end</t>
  </si>
  <si>
    <t>1_08; int_end</t>
  </si>
  <si>
    <t>1_16</t>
  </si>
  <si>
    <t>зачитывается при будущих расчетах</t>
  </si>
  <si>
    <t>сразу после постановки на баланс</t>
  </si>
  <si>
    <t>Период уплаты</t>
  </si>
  <si>
    <t xml:space="preserve"> НАЛОГ НА ДОБАВЛЕННУЮ СТОИМОСТЬ</t>
  </si>
  <si>
    <t>НАЛОГИ, ОТНОСИМЫЕ НА ФИНАНСОВЫЕ РЕЗУЛЬТАТЫ</t>
  </si>
  <si>
    <t>НАЛОГ НА ПРИБЫЛЬ</t>
  </si>
  <si>
    <t xml:space="preserve">    прямое возмещение налога через</t>
  </si>
  <si>
    <t>периодов</t>
  </si>
  <si>
    <t>тыс. кв. м</t>
  </si>
  <si>
    <t>Наименование налога</t>
  </si>
  <si>
    <t>Средства собственников</t>
  </si>
  <si>
    <t>Собственник 1</t>
  </si>
  <si>
    <t>Собственник 2</t>
  </si>
  <si>
    <t>Собственник 3</t>
  </si>
  <si>
    <t>Собственник 4</t>
  </si>
  <si>
    <t>Собственник 5</t>
  </si>
  <si>
    <t>Средства от инвесторов строительства</t>
  </si>
  <si>
    <t>Справка: Остаток средств на счете (текущий проект)</t>
  </si>
  <si>
    <t>Справка: Остаток средств на счете (портфель проектов)</t>
  </si>
  <si>
    <t>Тип кредита</t>
  </si>
  <si>
    <t>Валюта кредита</t>
  </si>
  <si>
    <t>Объем выполненных работ</t>
  </si>
  <si>
    <t>Оплата работ</t>
  </si>
  <si>
    <t>Итого: объем выполненных работ</t>
  </si>
  <si>
    <t xml:space="preserve">   НДС</t>
  </si>
  <si>
    <t>Учитывать остаточную стоимость проекта</t>
  </si>
  <si>
    <t>Валюта расчетов:</t>
  </si>
  <si>
    <t>Годовая ставка дисконтирования:</t>
  </si>
  <si>
    <t xml:space="preserve">    ставка дисконтирования на расчетный период</t>
  </si>
  <si>
    <t xml:space="preserve">    коэффициент дисконта</t>
  </si>
  <si>
    <t>Учитываемые денежные потоки проекта:</t>
  </si>
  <si>
    <t xml:space="preserve">    за исключением процентов по кредитам</t>
  </si>
  <si>
    <t>Поступления целевого финансирования</t>
  </si>
  <si>
    <t>Ранее осуществленные инвестиции</t>
  </si>
  <si>
    <t>Остаточная стоимость проекта</t>
  </si>
  <si>
    <t>Кредиторская задолженность подрядчикам (без НДС)</t>
  </si>
  <si>
    <t>Стоимость завершенного объекта</t>
  </si>
  <si>
    <t xml:space="preserve">    стоимость без НДС</t>
  </si>
  <si>
    <t xml:space="preserve">    знак остатка денежных средств</t>
  </si>
  <si>
    <t xml:space="preserve">    знак остатка денежных средств (с конца)</t>
  </si>
  <si>
    <t>Чистая приведенная стоимость (NPV)</t>
  </si>
  <si>
    <t>Дисконтированный срок окупаемости (PBP)</t>
  </si>
  <si>
    <t xml:space="preserve">    знак остатка дисконтированных денежных средств</t>
  </si>
  <si>
    <t xml:space="preserve">    знак остатка дисконтированных денежных средств (с конца)</t>
  </si>
  <si>
    <t>Оплата строительства объекта</t>
  </si>
  <si>
    <t xml:space="preserve">    оплата без НДС</t>
  </si>
  <si>
    <t>Выполненный объем работ</t>
  </si>
  <si>
    <t xml:space="preserve">    работы без НДС</t>
  </si>
  <si>
    <t>Авансы подрядчикам (без НДС)</t>
  </si>
  <si>
    <t>База распределения постоянных расходов</t>
  </si>
  <si>
    <t xml:space="preserve">    коэффициент распределения постоянных расходов</t>
  </si>
  <si>
    <t>Ценовой коэффициент</t>
  </si>
  <si>
    <t xml:space="preserve">    переменные затраты на единицу</t>
  </si>
  <si>
    <t xml:space="preserve">    постоянные затраты на единицу</t>
  </si>
  <si>
    <t>Кредит на пополнение оборотных средств</t>
  </si>
  <si>
    <t>Доля площадей к передаче дольщикам / соинвесторам</t>
  </si>
  <si>
    <t>Доля площадей к продаже</t>
  </si>
  <si>
    <t>Учет доли объекта для собственного использования</t>
  </si>
  <si>
    <t>Здания и сооружения на балансе</t>
  </si>
  <si>
    <t>Срок амортизации</t>
  </si>
  <si>
    <t>Инвестиции в финансовые активы</t>
  </si>
  <si>
    <t xml:space="preserve">    при оплате инвестиционных вложений</t>
  </si>
  <si>
    <t xml:space="preserve">    проценты по новым инвестиционным кредитам</t>
  </si>
  <si>
    <t>Прибыль / убыток от реализации внеоборотных активов</t>
  </si>
  <si>
    <t>Денежные средства на начало периода</t>
  </si>
  <si>
    <t xml:space="preserve">   НДС к зачету</t>
  </si>
  <si>
    <t xml:space="preserve">   НДС в бюджет</t>
  </si>
  <si>
    <t>Передача площадей</t>
  </si>
  <si>
    <t xml:space="preserve">    передача площадей</t>
  </si>
  <si>
    <t>Итого: Поступление финансирования</t>
  </si>
  <si>
    <t>Итого: Передано площадей на сумму</t>
  </si>
  <si>
    <t xml:space="preserve">    передано влощадей в кв. м</t>
  </si>
  <si>
    <t>Цены за кв. м (с НДС)</t>
  </si>
  <si>
    <t>Проценты по кредитам на инвестиционной фазе</t>
  </si>
  <si>
    <t>Общая величина ранее осуществленных инвестиций</t>
  </si>
  <si>
    <t xml:space="preserve">    в том числе НДС</t>
  </si>
  <si>
    <t xml:space="preserve"> = Итого: Здания и сооружения</t>
  </si>
  <si>
    <t xml:space="preserve">    балансовая стоимость</t>
  </si>
  <si>
    <t xml:space="preserve">    прибыль/убыток от реализации активов</t>
  </si>
  <si>
    <t xml:space="preserve"> = Итого: Земельные участки</t>
  </si>
  <si>
    <t xml:space="preserve"> = Итого: Нематериальные активы</t>
  </si>
  <si>
    <t xml:space="preserve"> = Итого: Финансовые вложения</t>
  </si>
  <si>
    <t xml:space="preserve"> = Итого: Оборудование и другие активы</t>
  </si>
  <si>
    <t xml:space="preserve"> = Итого: Расходы будущих периодов</t>
  </si>
  <si>
    <t xml:space="preserve"> = Итого: ВСЕ АКТИВЫ</t>
  </si>
  <si>
    <t>Рентабельность активов</t>
  </si>
  <si>
    <t>Рентабельность собственного капитала</t>
  </si>
  <si>
    <t xml:space="preserve"> = Итого: Начисление процентов</t>
  </si>
  <si>
    <t xml:space="preserve">    задолженность по кредитам на оборотный капитал</t>
  </si>
  <si>
    <t>Общий коэффициент покрытия долга</t>
  </si>
  <si>
    <t>Себестоимость единицы</t>
  </si>
  <si>
    <t xml:space="preserve">    сырье и материалы</t>
  </si>
  <si>
    <t xml:space="preserve">    прочие переменные расходы</t>
  </si>
  <si>
    <t xml:space="preserve">    прочие производственные расходы</t>
  </si>
  <si>
    <t xml:space="preserve">    лизинговые платежи</t>
  </si>
  <si>
    <t xml:space="preserve">    other production costs</t>
  </si>
  <si>
    <t xml:space="preserve">    general and administrative expenses</t>
  </si>
  <si>
    <t xml:space="preserve">  kitos gamybos sąnaudos</t>
  </si>
  <si>
    <t xml:space="preserve">  bendrosios ir administracinės sąnaudos</t>
  </si>
  <si>
    <t xml:space="preserve">  pardavimų ir marketingo sąnaudos</t>
  </si>
  <si>
    <t xml:space="preserve">    постоянные затраты</t>
  </si>
  <si>
    <t xml:space="preserve">    переменные затраты</t>
  </si>
  <si>
    <t>Variable costs</t>
  </si>
  <si>
    <t xml:space="preserve">    variable costs</t>
  </si>
  <si>
    <t xml:space="preserve">  kintamos išlaidos</t>
  </si>
  <si>
    <t xml:space="preserve">    fixe costs</t>
  </si>
  <si>
    <t>Cost of unit</t>
  </si>
  <si>
    <t>Маржинальная прибыль</t>
  </si>
  <si>
    <t>Duration of planning step</t>
  </si>
  <si>
    <t>Primary currency</t>
  </si>
  <si>
    <t>Foreign currency</t>
  </si>
  <si>
    <t>Currency for financial reports</t>
  </si>
  <si>
    <t>Calculation method</t>
  </si>
  <si>
    <t>Constant prices (without inflation adjustment)</t>
  </si>
  <si>
    <t>Передано площадей на сумму</t>
  </si>
  <si>
    <t>Доля площадей, не облагаемых НДС</t>
  </si>
  <si>
    <t xml:space="preserve"> = Итого: Задолженность по кредитам</t>
  </si>
  <si>
    <t xml:space="preserve">    задолженность по инвестиционным кредитам</t>
  </si>
  <si>
    <t xml:space="preserve">    проценты начисленные</t>
  </si>
  <si>
    <t>Начисленные проценты</t>
  </si>
  <si>
    <t>int_rate;int_avg</t>
  </si>
  <si>
    <t>Инвестиционный кредит из федерального бюджета</t>
  </si>
  <si>
    <t>Инвестиционный кредит из регионального бюджета</t>
  </si>
  <si>
    <t>Инвестиционный кредит</t>
  </si>
  <si>
    <t>autoloan_button</t>
  </si>
  <si>
    <t xml:space="preserve">    в том числе по процентам</t>
  </si>
  <si>
    <t>График: Движение денежных средств</t>
  </si>
  <si>
    <t>График: Остаток денежных средств</t>
  </si>
  <si>
    <t>График: Активы проекта</t>
  </si>
  <si>
    <t>График: Пассивы проекта</t>
  </si>
  <si>
    <t>года</t>
  </si>
  <si>
    <t>(реальная - без учета инфляции)</t>
  </si>
  <si>
    <t xml:space="preserve">    зачтенный НДС на инвестиционные вложения</t>
  </si>
  <si>
    <t>Налог на прибыль по консолидированной отчетности</t>
  </si>
  <si>
    <t>Источник</t>
  </si>
  <si>
    <t xml:space="preserve">         СОСТАВ ПОРТФЕЛЯ</t>
  </si>
  <si>
    <t>Ставка налога на прибыль</t>
  </si>
  <si>
    <t>(номинальная - с учетом инфляции)</t>
  </si>
  <si>
    <t>Норма доходности дисконтированных затрат (PI)</t>
  </si>
  <si>
    <t xml:space="preserve">    притоки</t>
  </si>
  <si>
    <t xml:space="preserve">    дисконтированные притоки</t>
  </si>
  <si>
    <t xml:space="preserve">    оттоки</t>
  </si>
  <si>
    <t xml:space="preserve">    дисконтированные оттоки</t>
  </si>
  <si>
    <t>Итого - поступления от продаж</t>
  </si>
  <si>
    <t>ПРИВЛЕЧЕНИЕ ДОЛЬЩИКОВ/СОИНВЕСТОРОВ</t>
  </si>
  <si>
    <t xml:space="preserve">    - на зарплату вспомогательного произв. персонала</t>
  </si>
  <si>
    <t xml:space="preserve"> = ИТОГО ПАССИВОВ</t>
  </si>
  <si>
    <t>Контроль сходимости баланса</t>
  </si>
  <si>
    <t xml:space="preserve">    земельные участки</t>
  </si>
  <si>
    <t xml:space="preserve">    нематериальные активы</t>
  </si>
  <si>
    <t xml:space="preserve">    за внеоборотные активы</t>
  </si>
  <si>
    <t>Нераспределенная прибыль (+) / убыток (-)</t>
  </si>
  <si>
    <t>Финансовые вложения</t>
  </si>
  <si>
    <t>Существующие финансовые вложения</t>
  </si>
  <si>
    <t>периода</t>
  </si>
  <si>
    <t>Административные расходы</t>
  </si>
  <si>
    <t>Коммерческие расходы</t>
  </si>
  <si>
    <t>Коммерческие расходы как % от продаж</t>
  </si>
  <si>
    <t xml:space="preserve">    Производственные расходы</t>
  </si>
  <si>
    <t xml:space="preserve">        сумма без НДС</t>
  </si>
  <si>
    <t xml:space="preserve">        НДС</t>
  </si>
  <si>
    <t xml:space="preserve">    Административные расходы</t>
  </si>
  <si>
    <t xml:space="preserve">    Коммерческие расходы</t>
  </si>
  <si>
    <t>Расходы на материалы и комплектующие</t>
  </si>
  <si>
    <t>Зарплата основного производственного персонала</t>
  </si>
  <si>
    <t>Доходы, уменьшенные на величину расходов</t>
  </si>
  <si>
    <t>Внутренняя норма рентабельности (IRR)</t>
  </si>
  <si>
    <t>Модифицированная IRR (MIRR)</t>
  </si>
  <si>
    <t>Ставка реинвестирования доходов</t>
  </si>
  <si>
    <t>Начало строительства очереди</t>
  </si>
  <si>
    <t>Ставка дисконтирования инвестиционных затрат</t>
  </si>
  <si>
    <t>Учитывать ранее осуществленные инвестиции</t>
  </si>
  <si>
    <t xml:space="preserve">    в пересчете на период, равный шагу проекта</t>
  </si>
  <si>
    <t>Площадь</t>
  </si>
  <si>
    <t>кв. м</t>
  </si>
  <si>
    <t>Стадия строительства №1</t>
  </si>
  <si>
    <t>Стоимость одного кв. м (с НДС)</t>
  </si>
  <si>
    <t>Внимание! Сумма продаваемых долей не может превышать 100%</t>
  </si>
  <si>
    <t>Стоимость оставшейся доли объекта на начало периода:</t>
  </si>
  <si>
    <t>К оплате от покупателей</t>
  </si>
  <si>
    <t>Текущие затраты</t>
  </si>
  <si>
    <t>Прибыльность продаж</t>
  </si>
  <si>
    <t>Доля постоянных  затрат</t>
  </si>
  <si>
    <t>Точка безубыточности</t>
  </si>
  <si>
    <t>"Запас прочности"</t>
  </si>
  <si>
    <t xml:space="preserve">Рентабельность по чистой прибыли </t>
  </si>
  <si>
    <t>Коэффициент общей ликвидности</t>
  </si>
  <si>
    <t>Чистый оборотный капитал</t>
  </si>
  <si>
    <t>Коэффициент общей платежеспособности</t>
  </si>
  <si>
    <t>Коэффициент автономии</t>
  </si>
  <si>
    <t>Доля долгосрочных кредитов в валюте баланса</t>
  </si>
  <si>
    <t>Покрытие процентов по кредитам</t>
  </si>
  <si>
    <t>Рентабельность внеоборотных активов</t>
  </si>
  <si>
    <t>1/1_01</t>
  </si>
  <si>
    <t>1/1_03</t>
  </si>
  <si>
    <t>1/1_04;int_end</t>
  </si>
  <si>
    <t>1/1_07</t>
  </si>
  <si>
    <t>1/1_02</t>
  </si>
  <si>
    <t>Общий коэффициент покрытия долга (текущий проект)</t>
  </si>
  <si>
    <t>Debt service coverage (current project)</t>
  </si>
  <si>
    <t>Paskolų padengimo rodiklis (dabartinis projektas)</t>
  </si>
  <si>
    <t>Общий коэффициент покрытия долга (портфель проектов)</t>
  </si>
  <si>
    <t>Debt service coverage (project portfolio)</t>
  </si>
  <si>
    <t>Paskolų padengimo rodiklis (visų projektų)</t>
  </si>
  <si>
    <t>Потребность в инвестициях</t>
  </si>
  <si>
    <t>Инвестиции в нематериальные активы</t>
  </si>
  <si>
    <t>Инвестиции в оборудование и прочие активы</t>
  </si>
  <si>
    <t>Инвестиции в оборотный капитал</t>
  </si>
  <si>
    <t>Инвестиции в земельные участки</t>
  </si>
  <si>
    <t>Средства от текущей деятельности</t>
  </si>
  <si>
    <t>Дивиденды</t>
  </si>
  <si>
    <t>Лизинговые платежи</t>
  </si>
  <si>
    <t>Возврат кредитов</t>
  </si>
  <si>
    <t>Минимальный остаток средств на счете</t>
  </si>
  <si>
    <t>Выручка (нетто)</t>
  </si>
  <si>
    <t>Валовая прибыль</t>
  </si>
  <si>
    <t>Проценты</t>
  </si>
  <si>
    <t>Налог на прибыль</t>
  </si>
  <si>
    <t>1_17; int_end</t>
  </si>
  <si>
    <t>1_18</t>
  </si>
  <si>
    <t>Инвестиции в здания и сооружения</t>
  </si>
  <si>
    <t xml:space="preserve">    затраты без НДС</t>
  </si>
  <si>
    <t>Прочие переменные затраты</t>
  </si>
  <si>
    <t xml:space="preserve">    прочие переменные затраты</t>
  </si>
  <si>
    <t>Акцизы и экспортные пошлины</t>
  </si>
  <si>
    <t>Импортные пошлины</t>
  </si>
  <si>
    <t xml:space="preserve">    ставка</t>
  </si>
  <si>
    <t xml:space="preserve">    период уплаты</t>
  </si>
  <si>
    <t xml:space="preserve">    способ зачета переплаченного НДС</t>
  </si>
  <si>
    <t>НДС полученный</t>
  </si>
  <si>
    <t xml:space="preserve">    от продажи товаров (работ, услуг)</t>
  </si>
  <si>
    <t xml:space="preserve">    investment stage starts in the</t>
  </si>
  <si>
    <t xml:space="preserve">    план реализации</t>
  </si>
  <si>
    <t xml:space="preserve">    склад готовой продукции</t>
  </si>
  <si>
    <t>Плановый расход на единицу продукции</t>
  </si>
  <si>
    <t xml:space="preserve">    списано затрат на реализованную продукцию</t>
  </si>
  <si>
    <t xml:space="preserve">    остаток затрат на складе готовой продукции</t>
  </si>
  <si>
    <t>Наименование материала</t>
  </si>
  <si>
    <t>Raw material or component name</t>
  </si>
  <si>
    <t>Name of cost</t>
  </si>
  <si>
    <t xml:space="preserve">    остаток затрат в незавершенном производстве</t>
  </si>
  <si>
    <t>Курсовые разницы</t>
  </si>
  <si>
    <t>в том числе</t>
  </si>
  <si>
    <t>Чистая прибыль (убыток)</t>
  </si>
  <si>
    <t>Нераспределенная прибыль</t>
  </si>
  <si>
    <t>Налоги, относимые на финансовые результаты</t>
  </si>
  <si>
    <t>Поступления от продаж</t>
  </si>
  <si>
    <t>Затраты на материалы и комплектующие</t>
  </si>
  <si>
    <t>Зарплата</t>
  </si>
  <si>
    <t>Общие затраты</t>
  </si>
  <si>
    <t>Налоги</t>
  </si>
  <si>
    <t>Выплата процентов по кредитам</t>
  </si>
  <si>
    <t>Прочие поступления</t>
  </si>
  <si>
    <t>Прочие затраты</t>
  </si>
  <si>
    <t>Денежные потоки от операционной деятельности</t>
  </si>
  <si>
    <t>Выручка от реализации активов</t>
  </si>
  <si>
    <t>Денежные потоки от инвестиционной деятельности</t>
  </si>
  <si>
    <t>Поступления кредитов</t>
  </si>
  <si>
    <t>Выплата дивидендов</t>
  </si>
  <si>
    <t xml:space="preserve">         ЛИЗИНГ</t>
  </si>
  <si>
    <t xml:space="preserve">         ПЛАН РЕАЛИЗАЦИИ</t>
  </si>
  <si>
    <t>Суммарные краткосрочные обязательства</t>
  </si>
  <si>
    <t>Долгосрочные обязательства</t>
  </si>
  <si>
    <t>Прочие источники финансирования</t>
  </si>
  <si>
    <t>Суммарный собственный капитал</t>
  </si>
  <si>
    <t>НДС как актив</t>
  </si>
  <si>
    <t xml:space="preserve">    план производства</t>
  </si>
  <si>
    <t xml:space="preserve">    инвестиционная фаза начинается с начала</t>
  </si>
  <si>
    <t xml:space="preserve">         БЮДЖЕТНАЯ ЭФФЕКТИВНОСТЬ</t>
  </si>
  <si>
    <t xml:space="preserve">         ОСНОВНЫЕ ПОКАЗАТЕЛИ ПРОЕКТА</t>
  </si>
  <si>
    <t xml:space="preserve">         ПРИЛОЖЕНИЕ К ОТЧЕТУ О ПРИБЫЛЯХ И УБЫТКАХ</t>
  </si>
  <si>
    <t>Прочие доходы</t>
  </si>
  <si>
    <t>Прочие расходы</t>
  </si>
  <si>
    <t>Не пересчитывать налог</t>
  </si>
  <si>
    <t xml:space="preserve">         то же, в итоговой валюте</t>
  </si>
  <si>
    <t>Value of remaining property at the beginning of the period:</t>
  </si>
  <si>
    <t xml:space="preserve">    outflows</t>
  </si>
  <si>
    <t xml:space="preserve">    discounted outflows</t>
  </si>
  <si>
    <t>Parameter to be changed</t>
  </si>
  <si>
    <t>Range</t>
  </si>
  <si>
    <t>from:</t>
  </si>
  <si>
    <t>step:</t>
  </si>
  <si>
    <t>Resulting parameter</t>
  </si>
  <si>
    <t>Calculated values</t>
  </si>
  <si>
    <t>Result</t>
  </si>
  <si>
    <t>Chart: Sensitivity analysis</t>
  </si>
  <si>
    <t>Properties of calculation</t>
  </si>
  <si>
    <t>Sales volume (in pcs)</t>
  </si>
  <si>
    <t>Sales price</t>
  </si>
  <si>
    <t>&lt;end of list&gt;</t>
  </si>
  <si>
    <t>NPV</t>
  </si>
  <si>
    <t>NPV for equity investments</t>
  </si>
  <si>
    <t>NPV for banks</t>
  </si>
  <si>
    <t>Total net profit</t>
  </si>
  <si>
    <t>relative to planned value</t>
  </si>
  <si>
    <t>Accrued special taxes</t>
  </si>
  <si>
    <t>Use</t>
  </si>
  <si>
    <t>Don't use</t>
  </si>
  <si>
    <t>Subtract</t>
  </si>
  <si>
    <t>Баланс не сходится!</t>
  </si>
  <si>
    <t>Don't balance</t>
  </si>
  <si>
    <t xml:space="preserve">    амортизация за текущий период</t>
  </si>
  <si>
    <t>Зачет НДС</t>
  </si>
  <si>
    <t xml:space="preserve">    прибыль / убыток от продажи объекта</t>
  </si>
  <si>
    <t xml:space="preserve">    НДС к выручке от продажи объекта</t>
  </si>
  <si>
    <t>Авансы подрядчикам</t>
  </si>
  <si>
    <t>Кредиторская задолженность подрядчикам</t>
  </si>
  <si>
    <t>Учет доли к передаче дольщикам / соинвесторам</t>
  </si>
  <si>
    <t>Списание стоимости переданных площадей:</t>
  </si>
  <si>
    <t xml:space="preserve">    доля объекта, переданная в текущем периоде</t>
  </si>
  <si>
    <t xml:space="preserve">    непроданная доля объекта</t>
  </si>
  <si>
    <t>Доходы от продажи площадей</t>
  </si>
  <si>
    <t>Поступления от продажи площадей</t>
  </si>
  <si>
    <t xml:space="preserve">    доходы без НДС</t>
  </si>
  <si>
    <t>Передача проданных площадей</t>
  </si>
  <si>
    <t xml:space="preserve">    передача без НДС</t>
  </si>
  <si>
    <t>Себестоимость проданных площадей</t>
  </si>
  <si>
    <t>Полученные авансы</t>
  </si>
  <si>
    <t xml:space="preserve">   НДС с авансов</t>
  </si>
  <si>
    <t>Доходы от аренды</t>
  </si>
  <si>
    <t xml:space="preserve">         ОБЪЕМЫ ПРОИЗВОДСТВА (в единицах)</t>
  </si>
  <si>
    <t xml:space="preserve">         РАСХОД СЫРЬЯ И МАТЕРИАЛОВ (в единицах)</t>
  </si>
  <si>
    <t xml:space="preserve">         ЦЕНА СЫРЬЯ И МАТЕРИАЛОВ (за единицу, с НДС)</t>
  </si>
  <si>
    <t xml:space="preserve">         ЗАТРАТЫ НА СЫРЬЕ И МАТЕРИАЛЫ</t>
  </si>
  <si>
    <t xml:space="preserve">         ПРОЧИЕ ПЕРЕМЕННЫЕ ЗАТРАТЫ</t>
  </si>
  <si>
    <t xml:space="preserve">         ПЕРСОНАЛ И ЗАРАБОТНАЯ ПЛАТА</t>
  </si>
  <si>
    <t xml:space="preserve">         ТЕКУЩИЕ ЗАТРАТЫ</t>
  </si>
  <si>
    <t xml:space="preserve">         ОБОРОТНЫЙ КАПИТАЛ</t>
  </si>
  <si>
    <t xml:space="preserve">         СОБСТВЕННЫЙ КАПИТАЛ</t>
  </si>
  <si>
    <t xml:space="preserve">         КРЕДИТЫ</t>
  </si>
  <si>
    <t>разы</t>
  </si>
  <si>
    <t>Существующие кредиты</t>
  </si>
  <si>
    <t>Новые кредиты</t>
  </si>
  <si>
    <t xml:space="preserve">         АНАЛИЗ СЕБЕСТОИМОСТИ</t>
  </si>
  <si>
    <t xml:space="preserve">         COST ANALYSIS</t>
  </si>
  <si>
    <t>Переменные затраты</t>
  </si>
  <si>
    <t>Затраты на сырье и материалы</t>
  </si>
  <si>
    <t>Kintamos išlaidos</t>
  </si>
  <si>
    <t>Pardavimai</t>
  </si>
  <si>
    <t>Выручка</t>
  </si>
  <si>
    <t>Учет объекта в текущих активах</t>
  </si>
  <si>
    <t xml:space="preserve">     НДС к существующим активам</t>
  </si>
  <si>
    <t xml:space="preserve">    VAT on present assets</t>
  </si>
  <si>
    <t xml:space="preserve">  dabartinis turtas PVM</t>
  </si>
  <si>
    <t>График: Окупаемость проектов (для банка)</t>
  </si>
  <si>
    <t xml:space="preserve">         ОСНОВНЫЕ ПОКАЗАТЕЛИ ПРОЕКТОВ</t>
  </si>
  <si>
    <t>Прямые расходы к выручке от реализации</t>
  </si>
  <si>
    <t>Рентабельность по EBITDA</t>
  </si>
  <si>
    <t>Рентабельность по EBIT</t>
  </si>
  <si>
    <t>График: Рентабельность активов</t>
  </si>
  <si>
    <t>График: Прибыльность продаж</t>
  </si>
  <si>
    <t>График: Рентабельность по EBITDA</t>
  </si>
  <si>
    <t>Прибыль до налогообложения</t>
  </si>
  <si>
    <t>Project description</t>
  </si>
  <si>
    <t xml:space="preserve">         PROJECT SETTINGS</t>
  </si>
  <si>
    <t>Project title:</t>
  </si>
  <si>
    <t>Project 1</t>
  </si>
  <si>
    <t>Project start date</t>
  </si>
  <si>
    <t>Project duration</t>
  </si>
  <si>
    <t>Planning step</t>
  </si>
  <si>
    <t xml:space="preserve">    убытки предыдущих периодов</t>
  </si>
  <si>
    <t xml:space="preserve">    prior period losses</t>
  </si>
  <si>
    <t xml:space="preserve">         ЭФФЕКТИВНОСТЬ ПОЛНЫХ ИНВЕСТИЦИОННЫХ ЗАТРАТ</t>
  </si>
  <si>
    <t xml:space="preserve">         ЭФФЕКТИВНОСТЬ ДЛЯ СОБСТВЕННОГО КАПИТАЛА</t>
  </si>
  <si>
    <t xml:space="preserve">         ЭФФЕКТИВНОСТЬ ДЛЯ БАНКА</t>
  </si>
  <si>
    <t xml:space="preserve">         ОЦЕНКА БИЗНЕСА</t>
  </si>
  <si>
    <t>Эффективная ставка налога на прибыль</t>
  </si>
  <si>
    <t>Портфель проектов компании</t>
  </si>
  <si>
    <t>Учитывать?</t>
  </si>
  <si>
    <t>Последнее обновление проектов из внешних книг:</t>
  </si>
  <si>
    <t>Параметры бюджета портфеля проектов</t>
  </si>
  <si>
    <t>Дата начала первого периода</t>
  </si>
  <si>
    <t>Длительность</t>
  </si>
  <si>
    <t>Периоды осуществления проектов</t>
  </si>
  <si>
    <t>с периода</t>
  </si>
  <si>
    <t>по период</t>
  </si>
  <si>
    <t>Год начала бюджета</t>
  </si>
  <si>
    <t>Месяц начала бюджета</t>
  </si>
  <si>
    <t>Задолженность с учетом отсроченных процентов</t>
  </si>
  <si>
    <t>Outstanding debt + deferred interest</t>
  </si>
  <si>
    <t>1_20;set_0</t>
  </si>
  <si>
    <t xml:space="preserve">    интервал, в котором впервые взят кредит</t>
  </si>
  <si>
    <t>Изменяемый параметр</t>
  </si>
  <si>
    <t>Итоговый показатель</t>
  </si>
  <si>
    <t>В интервале</t>
  </si>
  <si>
    <t xml:space="preserve">от: </t>
  </si>
  <si>
    <t xml:space="preserve">с шагом: </t>
  </si>
  <si>
    <t>Таблица рассчитанных значений</t>
  </si>
  <si>
    <t>Значение</t>
  </si>
  <si>
    <t>Результат</t>
  </si>
  <si>
    <t>Параметры анализа чувствительности</t>
  </si>
  <si>
    <t>Ставка дисконтирования</t>
  </si>
  <si>
    <t>&lt;конец списка изменяемых параметров&gt;</t>
  </si>
  <si>
    <t>NPV для полных инвестиционных затрат</t>
  </si>
  <si>
    <t>NPV для собственного капитала</t>
  </si>
  <si>
    <t>NPV для банка</t>
  </si>
  <si>
    <t xml:space="preserve">  investicinė stadija prasideda nuo</t>
  </si>
  <si>
    <t>Savikaina</t>
  </si>
  <si>
    <t>Mokesčiai, išskyrus pelno mokestį</t>
  </si>
  <si>
    <t>Veiklos pelnas (nuostolis)</t>
  </si>
  <si>
    <t>Grafikas: pardavimai</t>
  </si>
  <si>
    <t>Priskaičiuoti specialūs mokesčiai</t>
  </si>
  <si>
    <t>Išskaičiuoti</t>
  </si>
  <si>
    <t>Grafikas: paskolų srautų pokyčiai</t>
  </si>
  <si>
    <t>Grafikas: paskolų likučiai</t>
  </si>
  <si>
    <t>Grafikas: pardavimų įplaukos</t>
  </si>
  <si>
    <t>Annual exchange rate appreciation assumption</t>
  </si>
  <si>
    <t>1_01;int_end</t>
  </si>
  <si>
    <t xml:space="preserve">    инвестиционная фаза заканчивается с начала</t>
  </si>
  <si>
    <t xml:space="preserve">    при оплате прочих расходов</t>
  </si>
  <si>
    <t xml:space="preserve">    коэффициент дисконта для потока на конец периода</t>
  </si>
  <si>
    <t xml:space="preserve">    коэффициент дисконта для потока на начало периода</t>
  </si>
  <si>
    <t>Дисконтированный денежный поток</t>
  </si>
  <si>
    <t>Продленная стоимость проекта</t>
  </si>
  <si>
    <t>Дисконтированная продленная стоимость</t>
  </si>
  <si>
    <t>Итого стоимость бизнеса</t>
  </si>
  <si>
    <t>Посленалоговая операционная прибыль (NOPLAT)</t>
  </si>
  <si>
    <t>summprj;int_start</t>
  </si>
  <si>
    <t xml:space="preserve">     НДС к ранее осуществленным инвестициям</t>
  </si>
  <si>
    <t>Выплаченный, но не зачтенный НДС</t>
  </si>
  <si>
    <t xml:space="preserve">   - land</t>
  </si>
  <si>
    <t xml:space="preserve">   - intangible assets</t>
  </si>
  <si>
    <t xml:space="preserve">   - equipment and other assets</t>
  </si>
  <si>
    <t>Investments in process</t>
  </si>
  <si>
    <t>Financial investments</t>
  </si>
  <si>
    <t>Raw materials and components</t>
  </si>
  <si>
    <t>Work-in-progress</t>
  </si>
  <si>
    <t xml:space="preserve">         ŽALIAVOS IR ATSARGOS (vienetais)</t>
  </si>
  <si>
    <t xml:space="preserve">         ŽALIAVŲ IR KOMPONENTŲ SAVIKAINA</t>
  </si>
  <si>
    <t xml:space="preserve">         KITOS KINTAMOS IŠLAIDOS</t>
  </si>
  <si>
    <t xml:space="preserve">         PERSONALO IŠLAIDOS IR DARBO UŽMOKESTIS</t>
  </si>
  <si>
    <t xml:space="preserve">         VEIKLOS SĄNAUDOS</t>
  </si>
  <si>
    <t xml:space="preserve">         NUOSAVAS KAPITALAS</t>
  </si>
  <si>
    <t xml:space="preserve">         PASKOLOS</t>
  </si>
  <si>
    <t xml:space="preserve">         INVESTICIJŲ SUVESTINĖ</t>
  </si>
  <si>
    <t xml:space="preserve">         ПЕРЕСЧЕТ НАЛОГА НА ПРИБЫЛЬ</t>
  </si>
  <si>
    <t xml:space="preserve">         ОТЧЕТ О ПРИБЫЛЯХ И УБЫТКАХ</t>
  </si>
  <si>
    <t>Advances to contractors (including VAT)</t>
  </si>
  <si>
    <t xml:space="preserve">    including VAT</t>
  </si>
  <si>
    <t>Payable to contractors (including VAT)</t>
  </si>
  <si>
    <t>Prior period investments</t>
  </si>
  <si>
    <t xml:space="preserve">         PELNO (NUOSTOLIO) ATASKAITA</t>
  </si>
  <si>
    <t xml:space="preserve">         PELNO (NUOSTOLIO) ATASKAITOS PRIEDAS</t>
  </si>
  <si>
    <t xml:space="preserve">         PINIGŲ SRAUTŲ ATASKAITA</t>
  </si>
  <si>
    <t xml:space="preserve">         BALANSAS</t>
  </si>
  <si>
    <t xml:space="preserve">         FINANSINIAI RODIKLIAI</t>
  </si>
  <si>
    <t xml:space="preserve">         INVESTICIJŲ EFEKTYVUMAS</t>
  </si>
  <si>
    <t xml:space="preserve">         AKCINIO KAPITALO GRĄŽA</t>
  </si>
  <si>
    <t xml:space="preserve">         SKOLINTO KAPITALO GRĄŽA</t>
  </si>
  <si>
    <t xml:space="preserve">         VERSLO VERTINIMAS</t>
  </si>
  <si>
    <t xml:space="preserve">         EFEKTYVUMAS BIUDŽETO ATŽVILGIU</t>
  </si>
  <si>
    <t>Доли налоговых поступлений в бюджеты разных уровней</t>
  </si>
  <si>
    <t>федеральный</t>
  </si>
  <si>
    <t>территории</t>
  </si>
  <si>
    <t>Нераспределенная прибыль (на начало периода, нарастающим итогом)</t>
  </si>
  <si>
    <t>Нераспределенная прибыль (на конец периода, нарастающим итогом)</t>
  </si>
  <si>
    <t xml:space="preserve">    коэффициент дисконта на середину периода</t>
  </si>
  <si>
    <t xml:space="preserve">         СВОДНЫЙ ОТЧЕТ О ПРИБЫЛЯХ И УБЫТКАХ</t>
  </si>
  <si>
    <t xml:space="preserve">         СВОДНЫЙ ОТЧЕТ О ДВИЖЕНИИ ДЕНЕЖНЫХ СРЕДСТВ</t>
  </si>
  <si>
    <t xml:space="preserve">         ИНФЛЯЦИЯ И МАКРОЭКОНОМИЧЕСКИЕ ПРОГНОЗЫ</t>
  </si>
  <si>
    <t xml:space="preserve">         НАЛОГИ И ПЛАТЕЖИ В ФОНДЫ</t>
  </si>
  <si>
    <t xml:space="preserve">         СТРОИТЕЛЬСТВО: ИСПОЛЬЗОВАНИЕ ОБЪЕКТА</t>
  </si>
  <si>
    <t xml:space="preserve">         СТРОИТЕЛЬСТВО: ЗАТРАТЫ НА ОБЪЕКТ</t>
  </si>
  <si>
    <t xml:space="preserve">         СТРОИТЕЛЬСТВО: ПРИВЛЕЧЕНИЕ ДОЛЬЩИКОВ / СОИНВЕСТОРОВ</t>
  </si>
  <si>
    <t>Total: incoming financing</t>
  </si>
  <si>
    <t>Total: value of property transferred</t>
  </si>
  <si>
    <t xml:space="preserve">    area of transferred property</t>
  </si>
  <si>
    <t>Schedule of sales</t>
  </si>
  <si>
    <t>Price per square meter (including VAT)</t>
  </si>
  <si>
    <t>Transfer of completed properties to buyers (sq.m)</t>
  </si>
  <si>
    <t>Sales</t>
  </si>
  <si>
    <t>Cash received</t>
  </si>
  <si>
    <t>Value of property transferred</t>
  </si>
  <si>
    <t>Mokėtinos sumos tiekėjams</t>
  </si>
  <si>
    <t>Mokėtinos sumos biudžetui</t>
  </si>
  <si>
    <t>Savo poreikiams naudojamo turto plotas</t>
  </si>
  <si>
    <t>Neužbaigtos investicijos</t>
  </si>
  <si>
    <t>Nusidėvėjimo laikotarpis</t>
  </si>
  <si>
    <t xml:space="preserve">  bendroji buhalterinė vertė</t>
  </si>
  <si>
    <t xml:space="preserve">  nusidėvėjimas per laikotarpį</t>
  </si>
  <si>
    <t xml:space="preserve">  sukauptas nusidėvėjimas</t>
  </si>
  <si>
    <t xml:space="preserve">  grynoji buhalterinė vertė</t>
  </si>
  <si>
    <t xml:space="preserve">  neapmokestinama turto vertė</t>
  </si>
  <si>
    <t>ПРОДАЖА ГОТОВЫХ ПЛОЩАДЕЙ (ПОКУПАТЕЛИ)</t>
  </si>
  <si>
    <t>СОБСТВЕННОЕ ИСПОЛЬЗОВАНИЕ ОБЪЕКТА</t>
  </si>
  <si>
    <t>Итого - стоимость переданных площадей</t>
  </si>
  <si>
    <t>Ставка, за кв. м в год (с НДС)</t>
  </si>
  <si>
    <t>Доступные для сдачи площади</t>
  </si>
  <si>
    <t>Сдано в аренду</t>
  </si>
  <si>
    <t>Поступления от аренды</t>
  </si>
  <si>
    <t>Прочие доходы (без НДС)</t>
  </si>
  <si>
    <t>Прочие расходы (без НДС)</t>
  </si>
  <si>
    <t>Данные для иностранной валюты</t>
  </si>
  <si>
    <t>Расход за период</t>
  </si>
  <si>
    <t xml:space="preserve">    оплачено расходов (без НДС)</t>
  </si>
  <si>
    <t>Привлечение финансирования</t>
  </si>
  <si>
    <t>Возврат финансирования</t>
  </si>
  <si>
    <t>ИТОГО ПО ОБЪЕКТУ</t>
  </si>
  <si>
    <t>График привлечения покупателей</t>
  </si>
  <si>
    <t>Передача проданных площадей покупателям</t>
  </si>
  <si>
    <t>Итого - поступления от аренды</t>
  </si>
  <si>
    <t xml:space="preserve">    продаваемая доля объекта</t>
  </si>
  <si>
    <t>Суммарная чистая прибыль</t>
  </si>
  <si>
    <t>&lt;конец списка анализируемых результатов&gt;</t>
  </si>
  <si>
    <t>Область</t>
  </si>
  <si>
    <t>%?</t>
  </si>
  <si>
    <t>от планового значения</t>
  </si>
  <si>
    <t>SENS_Sales</t>
  </si>
  <si>
    <t>SENS_Price</t>
  </si>
  <si>
    <t>SENS_Invest</t>
  </si>
  <si>
    <t>SENS_Discount</t>
  </si>
  <si>
    <t>TotalProfit</t>
  </si>
  <si>
    <t>График: Анализ чувствительности</t>
  </si>
  <si>
    <t>Список проектов</t>
  </si>
  <si>
    <t>List of projects</t>
  </si>
  <si>
    <t xml:space="preserve">         ОБЪЕМЫ РЕАЛИЗАЦИИ (в единицах)</t>
  </si>
  <si>
    <t xml:space="preserve">         ЦЕНА РЕАЛИЗАЦИИ (за единицу, с НДС)</t>
  </si>
  <si>
    <t xml:space="preserve">         ДОХОДЫ ОТ ПРОДАЖ</t>
  </si>
  <si>
    <t>Interface and tables language</t>
  </si>
  <si>
    <t>Protection</t>
  </si>
  <si>
    <t xml:space="preserve">    в соответствии с графиком оплаты затрат</t>
  </si>
  <si>
    <t>Начисленный налог</t>
  </si>
  <si>
    <t xml:space="preserve">   задолженность перед бюджетом</t>
  </si>
  <si>
    <t>1_02;int_end</t>
  </si>
  <si>
    <t>Внимание! Баланс не сходится!</t>
  </si>
  <si>
    <t>Существующие расходы будущих периодов</t>
  </si>
  <si>
    <t xml:space="preserve">    первоначальная стоимость</t>
  </si>
  <si>
    <t xml:space="preserve">    прямое возмещение НДС из бюджета</t>
  </si>
  <si>
    <t xml:space="preserve">    запасы на основе периодов оборота</t>
  </si>
  <si>
    <t xml:space="preserve">    запасы на основе графика оплаты</t>
  </si>
  <si>
    <t xml:space="preserve">         СВОДНЫЙ ОТЧЕТ ОБ ИНВЕСТИЦИЯХ В ПРОЕКТ</t>
  </si>
  <si>
    <t xml:space="preserve">         БАЛАНС</t>
  </si>
  <si>
    <t xml:space="preserve">         ПОКАЗАТЕЛИ ФИНАНСОВОЙ СОСТОЯТЕЛЬНОСТИ</t>
  </si>
  <si>
    <t>Finished goods</t>
  </si>
  <si>
    <t>Accounts receivable from customers</t>
  </si>
  <si>
    <t>Advance payments to suppliers</t>
  </si>
  <si>
    <t>Deferred expenses</t>
  </si>
  <si>
    <t>VAT as assets</t>
  </si>
  <si>
    <t>Other debtors</t>
  </si>
  <si>
    <t>Cash</t>
  </si>
  <si>
    <t>Total assets</t>
  </si>
  <si>
    <t>Equity</t>
  </si>
  <si>
    <t>Retained earnings (+) / losses (-)</t>
  </si>
  <si>
    <t>Grants</t>
  </si>
  <si>
    <t>Loans</t>
  </si>
  <si>
    <t>Accounts payable to suppliers</t>
  </si>
  <si>
    <t>Accounts payable to budget</t>
  </si>
  <si>
    <t>Accounts payable to personnel</t>
  </si>
  <si>
    <t>Advances received</t>
  </si>
  <si>
    <t>Other creditors</t>
  </si>
  <si>
    <t>Total liabilities and equity</t>
  </si>
  <si>
    <t>Balance check</t>
  </si>
  <si>
    <t>Lithuanian</t>
  </si>
  <si>
    <t>Suma</t>
  </si>
  <si>
    <t>Neklinojamasis turtas</t>
  </si>
  <si>
    <t>Demo</t>
  </si>
  <si>
    <t>Bandomoji versija</t>
  </si>
  <si>
    <t>Apie</t>
  </si>
  <si>
    <t>Projektas</t>
  </si>
  <si>
    <t>Akcijų portfelis</t>
  </si>
  <si>
    <t>График: Окупаемость проекта (для полных инвестиционных затрат)</t>
  </si>
  <si>
    <t>График: Окупаемость проекта (для собственного капитала)</t>
  </si>
  <si>
    <t>График: Окупаемость проекта (для банка)</t>
  </si>
  <si>
    <t xml:space="preserve">    то же, в основной валюте</t>
  </si>
  <si>
    <t>Денежный поток для собственного капитала</t>
  </si>
  <si>
    <t>Долгосрочные темпы роста в постпрогнозный период</t>
  </si>
  <si>
    <t>Чистая прибыль</t>
  </si>
  <si>
    <t>Инвестиции</t>
  </si>
  <si>
    <t>Изменение долгосрочной задолженности</t>
  </si>
  <si>
    <t xml:space="preserve">    незавершенное производство</t>
  </si>
  <si>
    <t>График: Прибыль проектов</t>
  </si>
  <si>
    <t>Прибыль / убыток от строительной деятельности</t>
  </si>
  <si>
    <t xml:space="preserve">    прибыль/убыток от строительной деятельности</t>
  </si>
  <si>
    <t xml:space="preserve">    величина платежей (с НДС)</t>
  </si>
  <si>
    <t>Нераспределенная прибыль (за период)</t>
  </si>
  <si>
    <t xml:space="preserve">         СВОДНЫЙ БАЛАНС</t>
  </si>
  <si>
    <t>График: Активы проектов</t>
  </si>
  <si>
    <t>График: Пассивы проектов</t>
  </si>
  <si>
    <t xml:space="preserve">         СВОДНЫЕ ПОКАЗАТЕЛИ ФИНАНСОВОЙ СОСТОЯТЕЛЬНОСТИ</t>
  </si>
  <si>
    <t>График: Окупаемость проектов (для полных инвестиционных затрат)</t>
  </si>
  <si>
    <t>График: Окупаемость проектов (для собственного капитала)</t>
  </si>
  <si>
    <t xml:space="preserve">         ОТЧЕТ О ДВИЖЕНИИ ДЕНЕЖНЫХ СРЕДСТВ</t>
  </si>
  <si>
    <t xml:space="preserve">         СТРОИТЕЛЬСТВО: ПРОДАЖА ГОТОВЫХ ПЛОЩАДЕЙ</t>
  </si>
  <si>
    <t xml:space="preserve">         СТРОИТЕЛЬСТВО: БАЛАНС ПО ОБЪЕКТУ</t>
  </si>
  <si>
    <t xml:space="preserve">         СУЩЕСТВУЮЩИЕ АКТИВЫ ПРОЕКТА</t>
  </si>
  <si>
    <t xml:space="preserve">         ИНВЕСТИЦИИ ПРОЕКТА</t>
  </si>
  <si>
    <t>База, на которую начисляется налог</t>
  </si>
  <si>
    <t>Минимальный налог</t>
  </si>
  <si>
    <t xml:space="preserve">    при оплате лизинга</t>
  </si>
  <si>
    <t xml:space="preserve">    при выкупе арендованных активов</t>
  </si>
  <si>
    <t xml:space="preserve">    НДС к лизинговым платежам</t>
  </si>
  <si>
    <t xml:space="preserve">    НДС к выкупу</t>
  </si>
  <si>
    <t>Внимание! Конец стадии не может быть позднее конца строительства очереди!</t>
  </si>
  <si>
    <t>Продажа объекта после собственной эксплуатации (без НДС)</t>
  </si>
  <si>
    <t>Налог на добавленную стоимость</t>
  </si>
  <si>
    <t>Импортная пошлина</t>
  </si>
  <si>
    <t>Подоходный налог</t>
  </si>
  <si>
    <t>Ставка налога на доходы физических лиц</t>
  </si>
  <si>
    <t>Налоговые поступления в федеральный бюджет</t>
  </si>
  <si>
    <t>Налоговые поступления в территориальный бюджет</t>
  </si>
  <si>
    <t>Бюджетное финансирование</t>
  </si>
  <si>
    <t>Федеральный бюджет</t>
  </si>
  <si>
    <t xml:space="preserve">    целевое финансирование</t>
  </si>
  <si>
    <t xml:space="preserve">    кредиты выданные</t>
  </si>
  <si>
    <t>Название компании:</t>
  </si>
  <si>
    <t>Компания без названия</t>
  </si>
  <si>
    <t xml:space="preserve">         ПАРАМЕТРЫ ПРОЕКТА</t>
  </si>
  <si>
    <t xml:space="preserve">         СТАРТОВОЕ СОСТОЯНИЕ ПРОЕКТА</t>
  </si>
  <si>
    <t xml:space="preserve">    included in current expenses</t>
  </si>
  <si>
    <t xml:space="preserve">    included in other expenses</t>
  </si>
  <si>
    <t>Объем реализации (в единицах продукции)</t>
  </si>
  <si>
    <t xml:space="preserve">    included in leasing payments</t>
  </si>
  <si>
    <t xml:space="preserve">    included in price of assets purchased at the end of lease term</t>
  </si>
  <si>
    <t xml:space="preserve">    included in price of fixed assets</t>
  </si>
  <si>
    <t>VAT paid (received)</t>
  </si>
  <si>
    <t xml:space="preserve">    VAT offset on fixed assets</t>
  </si>
  <si>
    <t xml:space="preserve">    VAT paid but not yet recognized</t>
  </si>
  <si>
    <t xml:space="preserve">    VAT payable (receivable)</t>
  </si>
  <si>
    <t xml:space="preserve">    direct VAT repayment</t>
  </si>
  <si>
    <t xml:space="preserve">    deferred VAT repayment</t>
  </si>
  <si>
    <t>Payroll taxes</t>
  </si>
  <si>
    <t xml:space="preserve">        tax rate</t>
  </si>
  <si>
    <t xml:space="preserve">        payment period</t>
  </si>
  <si>
    <t xml:space="preserve">         GAMYBOS APIMTIS (VIENETAIS)</t>
  </si>
  <si>
    <t>Other taxes deductible for income tax purposes</t>
  </si>
  <si>
    <t>Other sales taxes</t>
  </si>
  <si>
    <t xml:space="preserve">    rate</t>
  </si>
  <si>
    <t>Начисленные налоги специальных режимов обложения</t>
  </si>
  <si>
    <t>Пересчитать налог</t>
  </si>
  <si>
    <t xml:space="preserve">    tax base</t>
  </si>
  <si>
    <t xml:space="preserve">   taxes payable</t>
  </si>
  <si>
    <t>TAXES NOT DEDUCTIBLE FOR INCOME TAX PURPOSES</t>
  </si>
  <si>
    <t>Property tax</t>
  </si>
  <si>
    <t xml:space="preserve">    average property value</t>
  </si>
  <si>
    <t>Ataskaita</t>
  </si>
  <si>
    <t>Projekto aprašymas</t>
  </si>
  <si>
    <t>Projekto pavadinimas:</t>
  </si>
  <si>
    <t>Projektas nr. 1</t>
  </si>
  <si>
    <t>Projekto pradžios data</t>
  </si>
  <si>
    <t>Projekto trukmė</t>
  </si>
  <si>
    <t>Planavimo laikotarpis (planavimo žingsnis)</t>
  </si>
  <si>
    <t>Planavimo laikotarpio trukmė</t>
  </si>
  <si>
    <t>Pagrindinė valiuta</t>
  </si>
  <si>
    <t>Užsienio valiuta</t>
  </si>
  <si>
    <t>Finansinių ataskaitų valiuta</t>
  </si>
  <si>
    <t>Skaičiavimo metodas</t>
  </si>
  <si>
    <t>Pastovios (nominalios) kainos (neįvertinant infliacijos įtakos)</t>
  </si>
  <si>
    <t>Palyginamosios kainos (įvertinant infliacijos įtaką)</t>
  </si>
  <si>
    <t>Kalba</t>
  </si>
  <si>
    <t>Apsauga</t>
  </si>
  <si>
    <t>Rodyti datas lentelių antraštėse</t>
  </si>
  <si>
    <t>mėn.</t>
  </si>
  <si>
    <t>ketv.</t>
  </si>
  <si>
    <t>pusm.</t>
  </si>
  <si>
    <t>m.</t>
  </si>
  <si>
    <t>mėnuo</t>
  </si>
  <si>
    <t>ketvirtis</t>
  </si>
  <si>
    <t>pusmetis</t>
  </si>
  <si>
    <t>metai</t>
  </si>
  <si>
    <t>tūkst. rub.</t>
  </si>
  <si>
    <t xml:space="preserve">    возврат кредитов</t>
  </si>
  <si>
    <t xml:space="preserve">    проценты по выданным кредитам</t>
  </si>
  <si>
    <t>Территориальный бюджет</t>
  </si>
  <si>
    <t>Доходы бюджетов</t>
  </si>
  <si>
    <t>Суммарные денежные потоки федерального бюджета</t>
  </si>
  <si>
    <t>Суммарные денежные потоки территориального бюджета</t>
  </si>
  <si>
    <t>Единый налог на вмененный доход</t>
  </si>
  <si>
    <t>Упрощенная система налогообложения</t>
  </si>
  <si>
    <t>Дисконтированные потоки федерального бюджета</t>
  </si>
  <si>
    <t>Дисконтированные потоки территориального бюджета</t>
  </si>
  <si>
    <t>Выручка от реализации (без НДС)</t>
  </si>
  <si>
    <t>Затраты на производство (без НДС)</t>
  </si>
  <si>
    <t>Инвестции во внеоборотные активы</t>
  </si>
  <si>
    <t xml:space="preserve">         JAUTRUMO ANALIZĖ</t>
  </si>
  <si>
    <t xml:space="preserve">         PORTFELIO STRUKTŪRA</t>
  </si>
  <si>
    <t xml:space="preserve">         PELNO MOKESČIŲ PERSKAIČIAVIMAS</t>
  </si>
  <si>
    <t xml:space="preserve">         KONSOLIDUOTA PELNO (NUOSTOLIO) ATASKAITA</t>
  </si>
  <si>
    <t xml:space="preserve">         KONSOLIDUOTA PINIGŲ SRAUTŲ ATASKAITA</t>
  </si>
  <si>
    <t xml:space="preserve">         KONSOLIDUOTAS BALANSAS</t>
  </si>
  <si>
    <t xml:space="preserve">         KONSOLIDUOTI FINANSINIAI RODIKLIAI</t>
  </si>
  <si>
    <t xml:space="preserve">         KONSOLIDUOTI PROJEKTŲ PAGRINDINIAI PARAMETRAI</t>
  </si>
  <si>
    <t xml:space="preserve">         PROJEKTO PARAMETRAI</t>
  </si>
  <si>
    <t>for the foreign currency</t>
  </si>
  <si>
    <t>Display absolute dates in the table headers</t>
  </si>
  <si>
    <t>mo.</t>
  </si>
  <si>
    <t>Q</t>
  </si>
  <si>
    <t>H</t>
  </si>
  <si>
    <t>yr.</t>
  </si>
  <si>
    <t>month</t>
  </si>
  <si>
    <t>quarter</t>
  </si>
  <si>
    <t>6 months</t>
  </si>
  <si>
    <t>year</t>
  </si>
  <si>
    <t>d.</t>
  </si>
  <si>
    <t>rub.</t>
  </si>
  <si>
    <t>UAH</t>
  </si>
  <si>
    <t>LVL</t>
  </si>
  <si>
    <t>KZT</t>
  </si>
  <si>
    <t>rub. 000</t>
  </si>
  <si>
    <t>$ 000</t>
  </si>
  <si>
    <t>EUR 000</t>
  </si>
  <si>
    <t>GBP 000</t>
  </si>
  <si>
    <t>UAH 000</t>
  </si>
  <si>
    <t>LVL 000</t>
  </si>
  <si>
    <t>KZT 000</t>
  </si>
  <si>
    <t>lei</t>
  </si>
  <si>
    <t>lei 000</t>
  </si>
  <si>
    <t>On</t>
  </si>
  <si>
    <t>Off</t>
  </si>
  <si>
    <t>VAT paid</t>
  </si>
  <si>
    <t xml:space="preserve">    included in price of raw materials and components</t>
  </si>
  <si>
    <t>Construction step 1</t>
  </si>
  <si>
    <t>beginning of the step</t>
  </si>
  <si>
    <t>Не обнулять баланс проекта после его окончания</t>
  </si>
  <si>
    <t>Do not clear project's balance after its end</t>
  </si>
  <si>
    <t>Да, не обнулять</t>
  </si>
  <si>
    <t>Нет, обнулять</t>
  </si>
  <si>
    <t>Yes, don't clear</t>
  </si>
  <si>
    <t>No, clear</t>
  </si>
  <si>
    <t>Iš viso: naudingas plotas</t>
  </si>
  <si>
    <t>Iš viso: bendras plotas</t>
  </si>
  <si>
    <t>Investuotojų / dalininkų pritraukimas</t>
  </si>
  <si>
    <t>Pardavimas pabaigus statybas</t>
  </si>
  <si>
    <t>Total: payments for work performed</t>
  </si>
  <si>
    <t>End of the phase construction</t>
  </si>
  <si>
    <t>Area by category:</t>
  </si>
  <si>
    <t>Usable area of the phase</t>
  </si>
  <si>
    <t>Gross area of the phase</t>
  </si>
  <si>
    <t>Total: usable area</t>
  </si>
  <si>
    <t>Total: gross area</t>
  </si>
  <si>
    <t xml:space="preserve">         CONSTRUCTION: USE</t>
  </si>
  <si>
    <t>Transfer to co-investors</t>
  </si>
  <si>
    <t>Sale at completion</t>
  </si>
  <si>
    <t>Internal use</t>
  </si>
  <si>
    <t>TOTAL</t>
  </si>
  <si>
    <t xml:space="preserve">         CONSTRUCTION: COSTS</t>
  </si>
  <si>
    <t>Attention: step cannot go beyond the end of the phase!</t>
  </si>
  <si>
    <t>Ilgalaikis turtas</t>
  </si>
  <si>
    <t xml:space="preserve">   įskaitant:</t>
  </si>
  <si>
    <t xml:space="preserve">   - pastatai ir statiniai</t>
  </si>
  <si>
    <t xml:space="preserve">   - žemė</t>
  </si>
  <si>
    <t xml:space="preserve">   - nematerialusis turtas</t>
  </si>
  <si>
    <t xml:space="preserve">   - įrengimai ir kitas turtas</t>
  </si>
  <si>
    <t>Nebaigtos investicijos</t>
  </si>
  <si>
    <t>Finansinės investicijos</t>
  </si>
  <si>
    <t>Žaliavos ir komponentai</t>
  </si>
  <si>
    <t>Nebaigta gamyba</t>
  </si>
  <si>
    <t>Pagaminta produkcija</t>
  </si>
  <si>
    <t>Gautinos sumos</t>
  </si>
  <si>
    <t>Išankstiniai mokėjimai tiekėjams</t>
  </si>
  <si>
    <t>Atidėtos išlaidos</t>
  </si>
  <si>
    <t>Gautinas PVM</t>
  </si>
  <si>
    <t>Kiti skolininkai</t>
  </si>
  <si>
    <t>Pinigai</t>
  </si>
  <si>
    <t>Iš viso turto</t>
  </si>
  <si>
    <t>Akcininkų nuosavybė</t>
  </si>
  <si>
    <t xml:space="preserve">    Insurance</t>
  </si>
  <si>
    <t xml:space="preserve">        insurance rate</t>
  </si>
  <si>
    <t>Land tax</t>
  </si>
  <si>
    <t xml:space="preserve">    tax rate (per 1,000 sq. m)</t>
  </si>
  <si>
    <t xml:space="preserve">    taxable area</t>
  </si>
  <si>
    <t>Naudojimas vidinėms reikmėms</t>
  </si>
  <si>
    <t>IŠ VISO</t>
  </si>
  <si>
    <t xml:space="preserve">         PRADINĖ PROJEKTO BŪSENA</t>
  </si>
  <si>
    <t xml:space="preserve">         INFLIACIJA IR MAKROEKONOMINĖS PROGNOZĖS</t>
  </si>
  <si>
    <t>LTL</t>
  </si>
  <si>
    <t>лат</t>
  </si>
  <si>
    <t>лит</t>
  </si>
  <si>
    <t>LTL 000</t>
  </si>
  <si>
    <t>tūkst. LTL</t>
  </si>
  <si>
    <t>тыс. лат</t>
  </si>
  <si>
    <t>тыс. лит</t>
  </si>
  <si>
    <t>Mokėtinos sumos darbuotojams</t>
  </si>
  <si>
    <t>Gauti avansai</t>
  </si>
  <si>
    <t>Kiti kreditoriai</t>
  </si>
  <si>
    <t>Exchange rate for the foreign currency</t>
  </si>
  <si>
    <t>Inflation multiplier for the foreign currency</t>
  </si>
  <si>
    <t>Central bank's discount rate</t>
  </si>
  <si>
    <t>Tax-deductible interest rate ceiling:</t>
  </si>
  <si>
    <t>primary currency</t>
  </si>
  <si>
    <t>foreign currency</t>
  </si>
  <si>
    <t xml:space="preserve">         TAXES AND DUTIES</t>
  </si>
  <si>
    <t>Taxation system</t>
  </si>
  <si>
    <t>Income tax (general tax treatment)</t>
  </si>
  <si>
    <t>Unified tax on imputed income (special tax treatment)</t>
  </si>
  <si>
    <t>Simplified taxation system (special tax treatment)</t>
  </si>
  <si>
    <t>Excise taxes and export duties</t>
  </si>
  <si>
    <t>Import duties</t>
  </si>
  <si>
    <t xml:space="preserve"> VALUE ADDED TAX</t>
  </si>
  <si>
    <t>Užsienio valiutos duomenys</t>
  </si>
  <si>
    <t>Metinis kurso kilimas</t>
  </si>
  <si>
    <t>užsienio valiutai</t>
  </si>
  <si>
    <t>Užsienio valiutos kursas</t>
  </si>
  <si>
    <t>Infliacijos koeficientas užsienio valiutai</t>
  </si>
  <si>
    <t>Centrinio banko palūkanų norma</t>
  </si>
  <si>
    <t xml:space="preserve">Mokėtinos paskolos palūkanos, mažinančios </t>
  </si>
  <si>
    <t>apmokestinamojo pelno dydį:</t>
  </si>
  <si>
    <t>pagrindinė valiuta</t>
  </si>
  <si>
    <t>užsienio valiuta</t>
  </si>
  <si>
    <t>Mokesčių sistema</t>
  </si>
  <si>
    <t>Pelno mokestis</t>
  </si>
  <si>
    <t>Bendrieji pelno mokesčiai (specialusis mokesčių režimas)</t>
  </si>
  <si>
    <t>Supaprastinta mokesčių sistema (specialusis mokesčių režimas)</t>
  </si>
  <si>
    <t>Akcizai ir eksporto muitai</t>
  </si>
  <si>
    <t>Importo muitai</t>
  </si>
  <si>
    <t>Собственные средства и целевое финансирование</t>
  </si>
  <si>
    <t>Привлечение кредитов</t>
  </si>
  <si>
    <t>Погашение кредитов</t>
  </si>
  <si>
    <t>Эффективность полных инвестиционных затрат</t>
  </si>
  <si>
    <t>Эффективность для собственного капитала</t>
  </si>
  <si>
    <t>Эффективность для банка</t>
  </si>
  <si>
    <t>Облагаемая база до списания убытков</t>
  </si>
  <si>
    <t xml:space="preserve">         STATYBOS: INVESTUOTOJŲ / DALININKŲ PRITRAUKIMAS</t>
  </si>
  <si>
    <t xml:space="preserve">         STATYBOS: PARDAVIMAS</t>
  </si>
  <si>
    <t xml:space="preserve">         STATYBOS: NUOMA</t>
  </si>
  <si>
    <t xml:space="preserve">         STATYBOS: TURTO BALANSO ATASKAITA</t>
  </si>
  <si>
    <t xml:space="preserve">         DABARTINIS PROJEKTO TURTAS</t>
  </si>
  <si>
    <t>Yes</t>
  </si>
  <si>
    <t>No</t>
  </si>
  <si>
    <t>Project start year</t>
  </si>
  <si>
    <t>Project start month</t>
  </si>
  <si>
    <t>Period numbers</t>
  </si>
  <si>
    <t>Period names (relative time scale)</t>
  </si>
  <si>
    <t>Period start date</t>
  </si>
  <si>
    <t>Period names (absolute time scale)</t>
  </si>
  <si>
    <t xml:space="preserve">         INITIAL PROJECT STATUS</t>
  </si>
  <si>
    <t>Currency</t>
  </si>
  <si>
    <t>Fixed assets</t>
  </si>
  <si>
    <t xml:space="preserve">   including:</t>
  </si>
  <si>
    <t xml:space="preserve">   - buildings and structures</t>
  </si>
  <si>
    <t xml:space="preserve">    tax rate</t>
  </si>
  <si>
    <t xml:space="preserve">    payment period</t>
  </si>
  <si>
    <t xml:space="preserve">    offset method for overpaid VAT</t>
  </si>
  <si>
    <t xml:space="preserve">    direct VAT repayment in</t>
  </si>
  <si>
    <t>periods</t>
  </si>
  <si>
    <t>VAT received</t>
  </si>
  <si>
    <t xml:space="preserve">    from customers</t>
  </si>
  <si>
    <t xml:space="preserve">    on deposition of fixed assets</t>
  </si>
  <si>
    <t xml:space="preserve">    from other activities</t>
  </si>
  <si>
    <t xml:space="preserve">    including project manager's remuneration</t>
  </si>
  <si>
    <t>Incoming financing</t>
  </si>
  <si>
    <t>Transfer schedule</t>
  </si>
  <si>
    <t xml:space="preserve">    transfer schedule</t>
  </si>
  <si>
    <t>CASH RESERVES</t>
  </si>
  <si>
    <t>Cash reserves for short-term needs</t>
  </si>
  <si>
    <t xml:space="preserve">    create?</t>
  </si>
  <si>
    <t xml:space="preserve">    coverage ratio</t>
  </si>
  <si>
    <t>Total current assets</t>
  </si>
  <si>
    <t xml:space="preserve">         RAW MATERIALS AND SUPPLIES (units)</t>
  </si>
  <si>
    <t>Planned use per production unit</t>
  </si>
  <si>
    <t xml:space="preserve">  mokėtinas PVM pardavus turtą</t>
  </si>
  <si>
    <t>Avansai suteikti rangovams</t>
  </si>
  <si>
    <t>Avansai gauti iš rangovų</t>
  </si>
  <si>
    <t>Kitiems investuotojams perduodamo turto plotas</t>
  </si>
  <si>
    <t>Nepaskirstytas pelnas (+) / nuostoliai (-)</t>
  </si>
  <si>
    <t>Dotacijos</t>
  </si>
  <si>
    <t>Paskolos</t>
  </si>
  <si>
    <t>Annual inflation rate assumption</t>
  </si>
  <si>
    <t>for the primary currency</t>
  </si>
  <si>
    <t>The above, recalculated per project step</t>
  </si>
  <si>
    <t>Inflation multiplier for the primary currency</t>
  </si>
  <si>
    <t xml:space="preserve">  (off)</t>
  </si>
  <si>
    <t xml:space="preserve">  (on)</t>
  </si>
  <si>
    <t>Foreign currency data</t>
  </si>
  <si>
    <t xml:space="preserve">         MOKESČIAI IR RINKLIAVOS</t>
  </si>
  <si>
    <t xml:space="preserve">         STATYBOS: PROJEKTO PARAMETRAI</t>
  </si>
  <si>
    <t xml:space="preserve">         STATYBOS: PANAUDOJIMAS</t>
  </si>
  <si>
    <t xml:space="preserve">         STATYBOS: KAŠTAI</t>
  </si>
  <si>
    <t>Turimi finansiniai įdėjimai</t>
  </si>
  <si>
    <t>Investicijos</t>
  </si>
  <si>
    <t>Beginning of the phase construction</t>
  </si>
  <si>
    <t xml:space="preserve">  PRIDĖTINĖS VERTĖS MOKESTIS (PVM)</t>
  </si>
  <si>
    <t xml:space="preserve">    mokesčio dydis (%)</t>
  </si>
  <si>
    <t xml:space="preserve">    mokestinis periodas</t>
  </si>
  <si>
    <t xml:space="preserve">    grąžintinas PVM</t>
  </si>
  <si>
    <t xml:space="preserve">    tiesioginis PVM grąžintinas</t>
  </si>
  <si>
    <t>periodais</t>
  </si>
  <si>
    <t>gautas PVM</t>
  </si>
  <si>
    <t xml:space="preserve">   iš klientų</t>
  </si>
  <si>
    <t xml:space="preserve">   iš ilgalaikio turto pardavimo</t>
  </si>
  <si>
    <t xml:space="preserve">   iš kitų veiklų</t>
  </si>
  <si>
    <t>sumokėtas PVM</t>
  </si>
  <si>
    <t xml:space="preserve">   įtrauktas į žaliavų ir komponentų kainas</t>
  </si>
  <si>
    <t xml:space="preserve">   įtrauktas į veiklos sąnaudas</t>
  </si>
  <si>
    <t xml:space="preserve">   įtrauktas į kitas sąnaudas</t>
  </si>
  <si>
    <t xml:space="preserve">   įtrauktas į lizingo mokėjimus</t>
  </si>
  <si>
    <t xml:space="preserve">   įtrauktas į lizinguoto turto įsigijimą, pasibaigos lizingo terminui</t>
  </si>
  <si>
    <t xml:space="preserve">   įtrauktas į ilgalaikio turto kainą</t>
  </si>
  <si>
    <t>sumokėtas (gautas) PVM</t>
  </si>
  <si>
    <t xml:space="preserve">PVM kompensacija dėl ilgaliakio turto </t>
  </si>
  <si>
    <t>sumokėtas, bet neapskaitytas PVM</t>
  </si>
  <si>
    <t>mokėtinas (gautinas) PVM</t>
  </si>
  <si>
    <t>tiesioginė PVM kompensacija</t>
  </si>
  <si>
    <t>atidėta PVM  kompensacija</t>
  </si>
  <si>
    <t>Darbo užmokesčio mokesčiai</t>
  </si>
  <si>
    <t>Bendrasis socialinis mokestis</t>
  </si>
  <si>
    <t xml:space="preserve">         PROJEKTO INVESTICIJOS</t>
  </si>
  <si>
    <t xml:space="preserve">         IŠPERKAMOJI NUOMA</t>
  </si>
  <si>
    <t xml:space="preserve">         APYVARTINIS KAPITALAS</t>
  </si>
  <si>
    <t xml:space="preserve">         PARDAVIMŲ PROGNOZĖS</t>
  </si>
  <si>
    <t xml:space="preserve">         PARDAVIMO PAJAMOS</t>
  </si>
  <si>
    <t xml:space="preserve">         PARDAVIMŲ APIMTIS (vienetais)</t>
  </si>
  <si>
    <t xml:space="preserve">         PARDAVIMŲ KAINA (už vienetą su PVM)</t>
  </si>
  <si>
    <t>end of the step</t>
  </si>
  <si>
    <t>Areas to which the step pertains</t>
  </si>
  <si>
    <t>Cost per square meter (including VAT)</t>
  </si>
  <si>
    <t>Cost of work performed</t>
  </si>
  <si>
    <t>Payments for work performed</t>
  </si>
  <si>
    <t>Total: work performed</t>
  </si>
  <si>
    <t xml:space="preserve">    Итого затраты</t>
  </si>
  <si>
    <t xml:space="preserve">    Total cost</t>
  </si>
  <si>
    <t xml:space="preserve">  Iš viso išlaidos</t>
  </si>
  <si>
    <t>according to schedule of payments for the asset</t>
  </si>
  <si>
    <t>after start of operations</t>
  </si>
  <si>
    <t>yes</t>
  </si>
  <si>
    <t>no</t>
  </si>
  <si>
    <t>Name</t>
  </si>
  <si>
    <t xml:space="preserve">  mokesčio dydis (%)</t>
  </si>
  <si>
    <t xml:space="preserve">  mokestinis periodas</t>
  </si>
  <si>
    <t>Kiti pelno mokesčio nemažinantys mokesčiai</t>
  </si>
  <si>
    <t xml:space="preserve">  mokestinė bazė</t>
  </si>
  <si>
    <t>Sukauptas pelno mokestis</t>
  </si>
  <si>
    <t>sukauptas pelno mokestis finansinės atskaitomybės valiuta</t>
  </si>
  <si>
    <t>pelnas prieš mokesčius</t>
  </si>
  <si>
    <t>sumokėtų palūkanų dalis viršijanti limitą, mažinantį pelno mokestį</t>
  </si>
  <si>
    <t xml:space="preserve">  neapmokestinamos pajamos</t>
  </si>
  <si>
    <t xml:space="preserve">    value of tax-exempt property </t>
  </si>
  <si>
    <t>Other taxes not deductible for income tax purposes</t>
  </si>
  <si>
    <t>INCOME TAX</t>
  </si>
  <si>
    <t>Income tax accrued</t>
  </si>
  <si>
    <t xml:space="preserve">         the above, in terms of financial report currency</t>
  </si>
  <si>
    <t>Dėmesio! Bendras plotas negali būti mažesnis už naudingą plotą</t>
  </si>
  <si>
    <t>periodas</t>
  </si>
  <si>
    <r>
      <t>m</t>
    </r>
    <r>
      <rPr>
        <sz val="10"/>
        <rFont val="Arial Cyr"/>
      </rPr>
      <t>2</t>
    </r>
  </si>
  <si>
    <t>Plotas</t>
  </si>
  <si>
    <t>Statybų etapas nr. 1</t>
  </si>
  <si>
    <t>Statybų etapo pradžia</t>
  </si>
  <si>
    <t>Dėmesio! Stadija negali būti po etapo pabaigos!</t>
  </si>
  <si>
    <t>Statybų stadija Nr. 1</t>
  </si>
  <si>
    <t>stadijos pradžia</t>
  </si>
  <si>
    <t>stadijos pabaiga</t>
  </si>
  <si>
    <t xml:space="preserve">Sritys, su kuriomis stadija yra susijusi </t>
  </si>
  <si>
    <t>Atliktų darbų kaštai</t>
  </si>
  <si>
    <t>Atlyginimai už atliktą darbą</t>
  </si>
  <si>
    <t>Viso: atliktų darbų apimtis</t>
  </si>
  <si>
    <t>Viso: atlyginimai už atliktą darbą</t>
  </si>
  <si>
    <t>Avansai rangovams pagal sutartys (su PVM)</t>
  </si>
  <si>
    <t>VAT on prior period investments</t>
  </si>
  <si>
    <t>Iš viso turto ir įsipareigojimų</t>
  </si>
  <si>
    <t>Balanso kontrolė</t>
  </si>
  <si>
    <t>Metinė infliacija</t>
  </si>
  <si>
    <t>pagrindinei valiutai</t>
  </si>
  <si>
    <t>perskaičiuota vienai projekto laikotarpio atkarpai</t>
  </si>
  <si>
    <t>Infliacijos koeficientas pagrindinei valiutai</t>
  </si>
  <si>
    <t xml:space="preserve">  (įjungta)</t>
  </si>
  <si>
    <t xml:space="preserve">  (išjungta)</t>
  </si>
  <si>
    <t xml:space="preserve">  sukauptas einamųjų metų pelnas (nuostolis) </t>
  </si>
  <si>
    <t xml:space="preserve">  ankstesnio laikotarpio nuostoliai</t>
  </si>
  <si>
    <t xml:space="preserve">  nurašyti ankstesnio laikotarpio nuostoliai</t>
  </si>
  <si>
    <t>Compulsory pension insurance fees</t>
  </si>
  <si>
    <t xml:space="preserve">    insurance rate</t>
  </si>
  <si>
    <t xml:space="preserve">    insurance base</t>
  </si>
  <si>
    <t xml:space="preserve">    fee value</t>
  </si>
  <si>
    <t>SIMPLIFIED TAXATION SYSTEM</t>
  </si>
  <si>
    <t>Revenue</t>
  </si>
  <si>
    <t>Revenue, reduced by the amount of expenses</t>
  </si>
  <si>
    <t>Object of taxation</t>
  </si>
  <si>
    <t>Tax accrued</t>
  </si>
  <si>
    <t>Tax base</t>
  </si>
  <si>
    <t>Minimum tax</t>
  </si>
  <si>
    <t>Total tax payments</t>
  </si>
  <si>
    <t>days</t>
  </si>
  <si>
    <t>returned by tax authorities</t>
  </si>
  <si>
    <t>used to offset future payments</t>
  </si>
  <si>
    <t>immediately after start of operations</t>
  </si>
  <si>
    <t>Payment period</t>
  </si>
  <si>
    <t>1000 sq. m</t>
  </si>
  <si>
    <t>Tax name</t>
  </si>
  <si>
    <t xml:space="preserve">         CONSTRUCTION: PROJECT PARAMETERS</t>
  </si>
  <si>
    <t>Площадь, к которой относятся работы</t>
  </si>
  <si>
    <t>Attention! Gross area cannot be less than usable area!</t>
  </si>
  <si>
    <t>period</t>
  </si>
  <si>
    <t>sq. m</t>
  </si>
  <si>
    <t>Area</t>
  </si>
  <si>
    <t>Construction phase 1</t>
  </si>
  <si>
    <t>Mokesčio pavadinimas</t>
  </si>
  <si>
    <t xml:space="preserve">   mokesčio dydis (%)</t>
  </si>
  <si>
    <t xml:space="preserve">   mokestinis periodas</t>
  </si>
  <si>
    <t xml:space="preserve"> Draudimas</t>
  </si>
  <si>
    <t xml:space="preserve">   draudimo dydis </t>
  </si>
  <si>
    <t>Žemės mokestis</t>
  </si>
  <si>
    <r>
      <t xml:space="preserve">   mokesčio dydis (už 1000 m</t>
    </r>
    <r>
      <rPr>
        <sz val="10"/>
        <rFont val="Arial Cyr"/>
      </rPr>
      <t>2</t>
    </r>
    <r>
      <rPr>
        <sz val="10"/>
        <rFont val="Arial Cyr"/>
      </rPr>
      <t>)</t>
    </r>
  </si>
  <si>
    <t xml:space="preserve">   apmokestinamas plotas</t>
  </si>
  <si>
    <t>Kiti mokesčiai, mažinantys pelno mokestį</t>
  </si>
  <si>
    <t xml:space="preserve">Kiti pardavimo/prekybos mokesčiai </t>
  </si>
  <si>
    <t xml:space="preserve">   dydis (%)</t>
  </si>
  <si>
    <t xml:space="preserve">   mokestinė bazė</t>
  </si>
  <si>
    <t xml:space="preserve">   mokėtini mokesčiai </t>
  </si>
  <si>
    <t>Pelno mokesčio nemažinantys mokesčiai</t>
  </si>
  <si>
    <t>Turto mokesčiai</t>
  </si>
  <si>
    <t xml:space="preserve">  vidutinė turto vertė</t>
  </si>
  <si>
    <t>tūkst. $</t>
  </si>
  <si>
    <t>tūkst. EUR</t>
  </si>
  <si>
    <t>tūkst. GBP</t>
  </si>
  <si>
    <t>tūkst. UAH</t>
  </si>
  <si>
    <t>tūkst. LVL</t>
  </si>
  <si>
    <t>tūkst. KZT</t>
  </si>
  <si>
    <t>lėja</t>
  </si>
  <si>
    <t>tūkst. lėjų</t>
  </si>
  <si>
    <t>Įjungta</t>
  </si>
  <si>
    <t>Išjungta</t>
  </si>
  <si>
    <t>Taip</t>
  </si>
  <si>
    <t>Ne</t>
  </si>
  <si>
    <t>Projekto pradžios metai</t>
  </si>
  <si>
    <t>Projekto pradžios mėnuo</t>
  </si>
  <si>
    <t>Periodų skaičius</t>
  </si>
  <si>
    <t>Periodo pavadinimai (santykinė laiko skalė)</t>
  </si>
  <si>
    <t>Periodo pradžios data</t>
  </si>
  <si>
    <t>Periodo pavadinimai (absoliutinė laiko skalė)</t>
  </si>
  <si>
    <t>Valiuta</t>
  </si>
  <si>
    <t>Вычитать</t>
  </si>
  <si>
    <t>Учитывать</t>
  </si>
  <si>
    <t>panaudojami būsimųjų mokėjimų užskaitoms</t>
  </si>
  <si>
    <t>iškart po operacijos pradžios</t>
  </si>
  <si>
    <t>Mokestinis periodas</t>
  </si>
  <si>
    <r>
      <t>1000 m</t>
    </r>
    <r>
      <rPr>
        <sz val="10"/>
        <rFont val="Arial Cyr"/>
      </rPr>
      <t>2</t>
    </r>
  </si>
  <si>
    <t>Equipment and other assets</t>
  </si>
  <si>
    <t>Present deferred expenses</t>
  </si>
  <si>
    <t>Present financial assets</t>
  </si>
  <si>
    <t>Market value of construction in progress</t>
  </si>
  <si>
    <t xml:space="preserve">         CONSTRUCTION: CO-INVESTORS</t>
  </si>
  <si>
    <t>Schedule of co-investors entry</t>
  </si>
  <si>
    <t>Schedule of payment of the areas</t>
  </si>
  <si>
    <t>Cost per square meter (excluding VAT)</t>
  </si>
  <si>
    <t xml:space="preserve">         PROJECT INVESTMENTS</t>
  </si>
  <si>
    <t xml:space="preserve">    exempt income</t>
  </si>
  <si>
    <t xml:space="preserve">    accumulated profit (loss) of current year</t>
  </si>
  <si>
    <t xml:space="preserve">    prior period losses written off</t>
  </si>
  <si>
    <t xml:space="preserve">    taxable income</t>
  </si>
  <si>
    <t>SPECIAL TAX TREATMENTS</t>
  </si>
  <si>
    <t>UNIFIED TAX ON IMPUTED INCOME</t>
  </si>
  <si>
    <t>times</t>
  </si>
  <si>
    <t>Accrued unified tax on imputed income</t>
  </si>
  <si>
    <t>Natural index unit</t>
  </si>
  <si>
    <t>Base yield</t>
  </si>
  <si>
    <t>K1 deflator coefficient</t>
  </si>
  <si>
    <t>K2 correcting coefficient</t>
  </si>
  <si>
    <t>Imputed income value</t>
  </si>
  <si>
    <t>Area to be used internally</t>
  </si>
  <si>
    <t>Investments in progress</t>
  </si>
  <si>
    <t>Depreciation period</t>
  </si>
  <si>
    <t xml:space="preserve">    gross book value</t>
  </si>
  <si>
    <t xml:space="preserve">    current period depreciation</t>
  </si>
  <si>
    <t xml:space="preserve">    accumulated depreciation</t>
  </si>
  <si>
    <t xml:space="preserve">    net book value</t>
  </si>
  <si>
    <t>VAT offset</t>
  </si>
  <si>
    <t>Sale of property after operating it (excluding VAT)</t>
  </si>
  <si>
    <t xml:space="preserve">    % of area sold cannot exceed 100%</t>
  </si>
  <si>
    <t>1 kv.m. kaina (su PVM)</t>
  </si>
  <si>
    <t>Parduotų plotų perdavimas pirkėjams (kv.m.)</t>
  </si>
  <si>
    <t>Pardavimo pajamos</t>
  </si>
  <si>
    <t>Piniginės įplaukos</t>
  </si>
  <si>
    <t>Perduoto turto vertė</t>
  </si>
  <si>
    <t>Plotas, kuriam netaikomas PVM (%)</t>
  </si>
  <si>
    <t>Viso: pardavimo pajamos</t>
  </si>
  <si>
    <t>Viso: perduoto turto vertė</t>
  </si>
  <si>
    <t>Perduoto turto plotas</t>
  </si>
  <si>
    <t>1 kv.m.kaina metams (su PVM)</t>
  </si>
  <si>
    <t>Nuomai skirtas plotas</t>
  </si>
  <si>
    <t>Išnuomota</t>
  </si>
  <si>
    <t>Nuomos pajamos</t>
  </si>
  <si>
    <t>Viso: nuomos pajamos</t>
  </si>
  <si>
    <t>Dėmesio! Parduoto turto % negali viršyti 100%</t>
  </si>
  <si>
    <t>Statybų sąnaudos</t>
  </si>
  <si>
    <t xml:space="preserve">  sąnaudos be PVM</t>
  </si>
  <si>
    <t xml:space="preserve">  apmokestinamos pajamos</t>
  </si>
  <si>
    <t>Specialusis mokesčių režimas</t>
  </si>
  <si>
    <t>Bendrasis pelno mokestis</t>
  </si>
  <si>
    <t>kartai</t>
  </si>
  <si>
    <t>Sukauptas bendrasis pelno mokestis</t>
  </si>
  <si>
    <t>Tikrasis pelningumo indeksas</t>
  </si>
  <si>
    <t>Bazinis pelningumas</t>
  </si>
  <si>
    <t xml:space="preserve">Defliatoriaus koeficientas K1 </t>
  </si>
  <si>
    <t>Korekcijos koeficientas K2</t>
  </si>
  <si>
    <t>Sąlyginio uždarbio vertė</t>
  </si>
  <si>
    <t>Pirvalomojo pensijų draudimo mokesčiai</t>
  </si>
  <si>
    <t xml:space="preserve">  draudimo mokesčio dydis (%)</t>
  </si>
  <si>
    <t>Statybų etapo pabaiga</t>
  </si>
  <si>
    <t>Plotas pagal paskirtį:</t>
  </si>
  <si>
    <t>Gyvenamasis plotas</t>
  </si>
  <si>
    <t>Naudingas etapo plotas</t>
  </si>
  <si>
    <t>Bendras etapo plotas</t>
  </si>
  <si>
    <t>Minimalūs mokesčiai</t>
  </si>
  <si>
    <t>Iš viso mokesčių</t>
  </si>
  <si>
    <t>dienos</t>
  </si>
  <si>
    <t>grąžinami mokesčiai</t>
  </si>
  <si>
    <t>Advances to contractors (excluding VAT)</t>
  </si>
  <si>
    <t>Payable to contractors (excluding VAT)</t>
  </si>
  <si>
    <t>Cost of completed property</t>
  </si>
  <si>
    <t>% of area to be transferred to co-investors</t>
  </si>
  <si>
    <t>% of area to be sold</t>
  </si>
  <si>
    <t xml:space="preserve">         UNIT PRODUCTION</t>
  </si>
  <si>
    <t xml:space="preserve">    production schedule</t>
  </si>
  <si>
    <t xml:space="preserve">    sales forecast</t>
  </si>
  <si>
    <t xml:space="preserve">    goods finished but not sold</t>
  </si>
  <si>
    <t xml:space="preserve">    work-in-progress</t>
  </si>
  <si>
    <t xml:space="preserve">    payments</t>
  </si>
  <si>
    <t xml:space="preserve">    payments (including VAT)</t>
  </si>
  <si>
    <t xml:space="preserve">    prior period investments (net of VAT)</t>
  </si>
  <si>
    <t xml:space="preserve">    operational since</t>
  </si>
  <si>
    <t xml:space="preserve">    payments amount (net of VAT)</t>
  </si>
  <si>
    <t xml:space="preserve">    total asset cost (net of VAT)</t>
  </si>
  <si>
    <t xml:space="preserve">    total cost of asset acquisition (net of VAT)</t>
  </si>
  <si>
    <t xml:space="preserve">    investments in progress</t>
  </si>
  <si>
    <t xml:space="preserve">    accounts payable</t>
  </si>
  <si>
    <t xml:space="preserve">    depreciation (accelerated),          for useful life:</t>
  </si>
  <si>
    <t xml:space="preserve">    VAT on prior period investments</t>
  </si>
  <si>
    <t xml:space="preserve">  įskaitant PVM</t>
  </si>
  <si>
    <t>Mokėtinos sumos rangovams pagal sutartis (įskainat PVM)</t>
  </si>
  <si>
    <t>Ankstesnio laikotarpio investicijos</t>
  </si>
  <si>
    <t>Ankstesnio laikotarpio investicijų PVM</t>
  </si>
  <si>
    <t>Nebaigtų statybų rinkos vertė</t>
  </si>
  <si>
    <t>Investuotojų / dalininkų prisijungimo grafikas</t>
  </si>
  <si>
    <t xml:space="preserve">    income before tax</t>
  </si>
  <si>
    <t xml:space="preserve">    interest paid in excess of tax-deductible limit</t>
  </si>
  <si>
    <t>Viso: gaunamas finansavimas</t>
  </si>
  <si>
    <t>Viso: perduotų plotų vertė</t>
  </si>
  <si>
    <t xml:space="preserve">  perduota plotų, m2</t>
  </si>
  <si>
    <t>Pardavimo grafikas</t>
  </si>
  <si>
    <t>Mokėjimų už plotus grafikas</t>
  </si>
  <si>
    <t xml:space="preserve">    depreciation (straight-line),          for useful life:</t>
  </si>
  <si>
    <t xml:space="preserve">    sale of asset (net of VAT)</t>
  </si>
  <si>
    <t xml:space="preserve">    gain / loss from sale of asset</t>
  </si>
  <si>
    <t xml:space="preserve">    VAT payable on proceeds from sale of asset</t>
  </si>
  <si>
    <t>Land</t>
  </si>
  <si>
    <t>Intangible assets</t>
  </si>
  <si>
    <t>Neužbaigtos investicijos remiantis pradiniu balansu</t>
  </si>
  <si>
    <t xml:space="preserve">  ankstesniojo laikotarpio investicijų PVM</t>
  </si>
  <si>
    <t>Neužbaigtos investicijos remiantis skaičiavimo lentelėmis</t>
  </si>
  <si>
    <t>Ansktesniojo laikotarpio investicijos efektyvumo vertinimui</t>
  </si>
  <si>
    <t xml:space="preserve"> = Viso: Žemė</t>
  </si>
  <si>
    <t xml:space="preserve"> = Viso: Pastatai ir statiniai</t>
  </si>
  <si>
    <t xml:space="preserve">  avansiniai mokėjimai</t>
  </si>
  <si>
    <t xml:space="preserve">  nusidėvėjimas</t>
  </si>
  <si>
    <t xml:space="preserve">  pelnas (nuostolis) iš statybų veiklos</t>
  </si>
  <si>
    <t xml:space="preserve"> = Viso: Įranga ir kiti įrengimai</t>
  </si>
  <si>
    <t xml:space="preserve"> = Viso: nematerialusis turtas</t>
  </si>
  <si>
    <t xml:space="preserve"> = Viso: finansinis turtas</t>
  </si>
  <si>
    <t xml:space="preserve">    imported?</t>
  </si>
  <si>
    <t xml:space="preserve">    date of importing</t>
  </si>
  <si>
    <t xml:space="preserve">    import customs duty</t>
  </si>
  <si>
    <t>Financial assets</t>
  </si>
  <si>
    <t xml:space="preserve">    financial assets yield</t>
  </si>
  <si>
    <t xml:space="preserve">    advances paid</t>
  </si>
  <si>
    <t>Interest paid during the investment stage</t>
  </si>
  <si>
    <t xml:space="preserve">    investment stage ends in the</t>
  </si>
  <si>
    <t>Total prior period investments</t>
  </si>
  <si>
    <t>Investments in progress according to the initial balance sheet</t>
  </si>
  <si>
    <t>Investments in progress according to calculation tables</t>
  </si>
  <si>
    <t>Prior period investments for efficiency assessment</t>
  </si>
  <si>
    <t xml:space="preserve">         СТРОИТЕЛЬСТВО: СДАЧА ПЛОЩАДЕЙ В АРЕНДУ</t>
  </si>
  <si>
    <t xml:space="preserve">         АНАЛИЗ ЧУВСТВИТЕЛЬНОСТИ</t>
  </si>
  <si>
    <t xml:space="preserve"> = Total: Land</t>
  </si>
  <si>
    <t xml:space="preserve">    advanced payments</t>
  </si>
  <si>
    <t xml:space="preserve">    depreciation</t>
  </si>
  <si>
    <t xml:space="preserve">    gain (loss) from construction activities</t>
  </si>
  <si>
    <t>Total current liabilities</t>
  </si>
  <si>
    <t>Net working capital</t>
  </si>
  <si>
    <t>Change in net working capital</t>
  </si>
  <si>
    <t>PVM užskaita</t>
  </si>
  <si>
    <t>Naudoto turto pardavimas (be PVM)</t>
  </si>
  <si>
    <t xml:space="preserve">  PVM</t>
  </si>
  <si>
    <t xml:space="preserve">  atvirkštinio apmokestinimo PVM</t>
  </si>
  <si>
    <t>Užbaigti darbai</t>
  </si>
  <si>
    <t xml:space="preserve">  vertė be PVM</t>
  </si>
  <si>
    <t xml:space="preserve">  PVM užskaita</t>
  </si>
  <si>
    <t>Avansai rangovams pagal sutartis (be PVM)</t>
  </si>
  <si>
    <t>Mokėtinios sumos rangovams pagal sutartis (be PVM)</t>
  </si>
  <si>
    <t>Užbaigto turto vertė</t>
  </si>
  <si>
    <t xml:space="preserve">    vertė be PVM</t>
  </si>
  <si>
    <t>kitiems investuotojams perduodamo turto dalis (%)</t>
  </si>
  <si>
    <t>parduodamo turto dalis (%)</t>
  </si>
  <si>
    <t>Справка: Остаток средств на счете (без учета операционной деятельности)</t>
  </si>
  <si>
    <t>Info: Cash at the end of period (without cash flow from operating activities)</t>
  </si>
  <si>
    <t>Info: grynieji pinigai laikotrapio pabaigai (be pinigų srautai iš pagrindinės veiklos)</t>
  </si>
  <si>
    <t>WAGES AND SALARIES</t>
  </si>
  <si>
    <t>Wages and salaries payable</t>
  </si>
  <si>
    <t xml:space="preserve">    payday periodicity</t>
  </si>
  <si>
    <t>terminas, dienos</t>
  </si>
  <si>
    <t>Sudaryti rezervą</t>
  </si>
  <si>
    <t>Nesudaryti rezervo</t>
  </si>
  <si>
    <t>Prekės (paslaugos) pavadinimas</t>
  </si>
  <si>
    <t>Nominali apimtis</t>
  </si>
  <si>
    <t>vienetas</t>
  </si>
  <si>
    <t>Vidutinis pajėgumų naudojimas</t>
  </si>
  <si>
    <t xml:space="preserve">  kaina be PVM ir be akcizo</t>
  </si>
  <si>
    <t xml:space="preserve">  akcizai</t>
  </si>
  <si>
    <t xml:space="preserve">  pardavimo mokesčiai</t>
  </si>
  <si>
    <t>Advalioriniai muitai (% nuo kainos)</t>
  </si>
  <si>
    <t>Fiksuoto dydžio</t>
  </si>
  <si>
    <t xml:space="preserve">  nusidėvėjimas (tiesioginiu metodu),     dėl naudingo tarnavimo laiko: </t>
  </si>
  <si>
    <t xml:space="preserve">  turto pardavimas (be PVM)</t>
  </si>
  <si>
    <t>Advances paid</t>
  </si>
  <si>
    <t>TAXES PAYABLE</t>
  </si>
  <si>
    <t>Construction</t>
  </si>
  <si>
    <t xml:space="preserve">   Raw materials and components</t>
  </si>
  <si>
    <t xml:space="preserve">   Other variable costs</t>
  </si>
  <si>
    <t>Other income (net of VAT)</t>
  </si>
  <si>
    <t xml:space="preserve">   VAT</t>
  </si>
  <si>
    <t>Other loss (net of VAT)</t>
  </si>
  <si>
    <t>Retained earnings (per period)</t>
  </si>
  <si>
    <t>Retained earnings (at the beginning of period, accumulated)</t>
  </si>
  <si>
    <t>Retained earnings (at the end of period, accumulated)</t>
  </si>
  <si>
    <t xml:space="preserve">         CASH FLOW STATEMENT</t>
  </si>
  <si>
    <t>Cash received from customers</t>
  </si>
  <si>
    <t>Cash paid to suppliers</t>
  </si>
  <si>
    <t>Cash paid to employees</t>
  </si>
  <si>
    <t>General expenses</t>
  </si>
  <si>
    <t>Taxes</t>
  </si>
  <si>
    <t>Other cash inflows</t>
  </si>
  <si>
    <t>Other cash outflows</t>
  </si>
  <si>
    <t>Cash flow from operating activities</t>
  </si>
  <si>
    <t>Proceeds from sale of fixed assets</t>
  </si>
  <si>
    <t>Cash flow from investing activities</t>
  </si>
  <si>
    <t>Equity inflow</t>
  </si>
  <si>
    <t>Proceeds from borrowing</t>
  </si>
  <si>
    <t>Dividends paid</t>
  </si>
  <si>
    <t xml:space="preserve">  administracijos, pardavimų ir marketingo darbuotojų atlyginimai</t>
  </si>
  <si>
    <t xml:space="preserve">  Mokesčiai, susiję su darbo užmokesčiu </t>
  </si>
  <si>
    <t>Operating costs</t>
  </si>
  <si>
    <t>VEIKLOS SĄNAUDOS</t>
  </si>
  <si>
    <t>SENS_Costs</t>
  </si>
  <si>
    <t>Info: Cash at the end of period (project portfolio)</t>
  </si>
  <si>
    <t xml:space="preserve">         LOANS</t>
  </si>
  <si>
    <t>Žemės mokesčiai ir kiti mokesčiai mažinantys pelno mokestį</t>
  </si>
  <si>
    <t xml:space="preserve"> = Viso: išlaidų Pelno (nuostolio) ataskaitoje</t>
  </si>
  <si>
    <t xml:space="preserve">  žaliavos ir komponentai</t>
  </si>
  <si>
    <t xml:space="preserve">  kitos kintamos išlaidos</t>
  </si>
  <si>
    <t xml:space="preserve">  darbo užmokestis</t>
  </si>
  <si>
    <t>Outstanding debt at the end of the current period</t>
  </si>
  <si>
    <t xml:space="preserve">    of which interest</t>
  </si>
  <si>
    <t xml:space="preserve">    period in which the loan was disbursed</t>
  </si>
  <si>
    <t xml:space="preserve">    interest accrued</t>
  </si>
  <si>
    <t xml:space="preserve"> = Total: Loans received</t>
  </si>
  <si>
    <t xml:space="preserve"> = Total: Loans repaid</t>
  </si>
  <si>
    <t xml:space="preserve"> = Total: Interest accrued</t>
  </si>
  <si>
    <t xml:space="preserve"> = Total: Interest paid</t>
  </si>
  <si>
    <t xml:space="preserve"> = Total: Outstanding debt</t>
  </si>
  <si>
    <t xml:space="preserve">    outstanding working capital loans</t>
  </si>
  <si>
    <t xml:space="preserve">    outstanding investment loans</t>
  </si>
  <si>
    <t>Working capital loan</t>
  </si>
  <si>
    <t>Investment loan</t>
  </si>
  <si>
    <t>Investment loan from federal government</t>
  </si>
  <si>
    <t>Investment loan from regional government</t>
  </si>
  <si>
    <t>Debt service coverage</t>
  </si>
  <si>
    <t>Prior period loans</t>
  </si>
  <si>
    <t>New loans</t>
  </si>
  <si>
    <t xml:space="preserve">    interest accrued on new loans</t>
  </si>
  <si>
    <t xml:space="preserve">         SUMMARY OF INVESTMENTS</t>
  </si>
  <si>
    <t xml:space="preserve">    buildings and structures</t>
  </si>
  <si>
    <t xml:space="preserve">    intangible assets</t>
  </si>
  <si>
    <t xml:space="preserve">    equipment and other assets</t>
  </si>
  <si>
    <t>Total fixed assets</t>
  </si>
  <si>
    <t xml:space="preserve"> = TOTAL ASSETS</t>
  </si>
  <si>
    <t xml:space="preserve">    to suppliers of raw materials and components</t>
  </si>
  <si>
    <t xml:space="preserve">    to suppliers of fixed assets</t>
  </si>
  <si>
    <t>Taxes payable</t>
  </si>
  <si>
    <t>Short-term loans</t>
  </si>
  <si>
    <t>Other short-term liabilities</t>
  </si>
  <si>
    <t>Leasing payments schedule (including VAT)</t>
  </si>
  <si>
    <t>Leasing payments offset to cost (including VAT)</t>
  </si>
  <si>
    <t>leasing payments offset (net of VAT)</t>
  </si>
  <si>
    <t xml:space="preserve">   leasing payments for schedule calculation</t>
  </si>
  <si>
    <t>Ankstesniojo laikotarpio paskolos</t>
  </si>
  <si>
    <t>Naujos paskolos</t>
  </si>
  <si>
    <t xml:space="preserve">  sukauptos palūkanos už naujas paskolas</t>
  </si>
  <si>
    <t>Investicijos į žemę</t>
  </si>
  <si>
    <t>Investicijos į nematerialųjį turtą</t>
  </si>
  <si>
    <t>Investicijos į finansinį turtą</t>
  </si>
  <si>
    <t>Investicijos į pastatus ir statinius</t>
  </si>
  <si>
    <t>Investicijos į įrangą ir kitą turtą</t>
  </si>
  <si>
    <t>Investicijos į būsimųjų laikotarpių išlaidas</t>
  </si>
  <si>
    <t>Finansavimo įplaukos</t>
  </si>
  <si>
    <t>Finansavimo grąžinimas</t>
  </si>
  <si>
    <t>Dividendai</t>
  </si>
  <si>
    <t>Išperkamosios nuomos mokėjimai</t>
  </si>
  <si>
    <t>Minimalūs grynieji pinigai laikotarpio pradžioje</t>
  </si>
  <si>
    <t>Grynosios pardavimų pajamos</t>
  </si>
  <si>
    <t>įskaitant:</t>
  </si>
  <si>
    <t>Owners' equity</t>
  </si>
  <si>
    <t>Retained earnings</t>
  </si>
  <si>
    <t>Other equity</t>
  </si>
  <si>
    <t>Total equity</t>
  </si>
  <si>
    <t>Cost of raw materials and components</t>
  </si>
  <si>
    <t>Production personnel wages and salaries</t>
  </si>
  <si>
    <t>Support personnel wages and salaries</t>
  </si>
  <si>
    <t>Sales and marketing personnel wages and salaries</t>
  </si>
  <si>
    <t>with purchase option (lessor carries the asset)</t>
  </si>
  <si>
    <t>with purchase option (lessee carries the asset)</t>
  </si>
  <si>
    <t>operating (lessor carries the asset)</t>
  </si>
  <si>
    <t>operating (lessee carries the asset)</t>
  </si>
  <si>
    <t xml:space="preserve">         WORKING CAPITAL</t>
  </si>
  <si>
    <t>INVENTORIES</t>
  </si>
  <si>
    <t xml:space="preserve">    average days in inventory</t>
  </si>
  <si>
    <t xml:space="preserve">    production cycle</t>
  </si>
  <si>
    <t xml:space="preserve">    shipping periodicity</t>
  </si>
  <si>
    <t xml:space="preserve">    minimum required inventory, as of</t>
  </si>
  <si>
    <t>PAYMENTS FROM CUSTOMERS</t>
  </si>
  <si>
    <t>Sales:</t>
  </si>
  <si>
    <t xml:space="preserve">    cash sales</t>
  </si>
  <si>
    <t xml:space="preserve">    advances received</t>
  </si>
  <si>
    <t xml:space="preserve">    sales on credit</t>
  </si>
  <si>
    <t xml:space="preserve">    based on turnover ratio</t>
  </si>
  <si>
    <t xml:space="preserve">    based on detailed payment schedule</t>
  </si>
  <si>
    <t>PAYMENTS TO SUPPLIERS</t>
  </si>
  <si>
    <t>Payments for raw materials and components:</t>
  </si>
  <si>
    <t xml:space="preserve">    cash purchases</t>
  </si>
  <si>
    <t xml:space="preserve">    purchases on credit</t>
  </si>
  <si>
    <t>Accounts payable</t>
  </si>
  <si>
    <t>Gain (loss) from sale of fixed assets</t>
  </si>
  <si>
    <t>Gain (loss) from construction activities</t>
  </si>
  <si>
    <t>Gain (loss) from exchange rate fluctuations</t>
  </si>
  <si>
    <t>Other income</t>
  </si>
  <si>
    <t>Other loss</t>
  </si>
  <si>
    <t>Type of loan</t>
  </si>
  <si>
    <t xml:space="preserve">    Оплата труда</t>
  </si>
  <si>
    <t xml:space="preserve">    Wages and salaries</t>
  </si>
  <si>
    <t xml:space="preserve">   Darbo užmokesčio sąnaudos</t>
  </si>
  <si>
    <t xml:space="preserve">    оплата производственного персонала</t>
  </si>
  <si>
    <t xml:space="preserve">   wages and salaries of production and support personnel</t>
  </si>
  <si>
    <t xml:space="preserve">    оплата административного и коммерческого персонала</t>
  </si>
  <si>
    <t xml:space="preserve">    wages and salaries of administrative, sales and marketing personnel</t>
  </si>
  <si>
    <t xml:space="preserve">  -pardavimo ir marketingo darbuotojų</t>
  </si>
  <si>
    <t>Depreciation</t>
  </si>
  <si>
    <t>Land tax and other taxes deductible for income tax purposes</t>
  </si>
  <si>
    <t xml:space="preserve"> = Total: cost on income statement</t>
  </si>
  <si>
    <t xml:space="preserve">    raw materials and components</t>
  </si>
  <si>
    <t xml:space="preserve">    other variable costs</t>
  </si>
  <si>
    <t xml:space="preserve">    wages and salaries</t>
  </si>
  <si>
    <t xml:space="preserve">    taxes deductible for income tax purposes</t>
  </si>
  <si>
    <t xml:space="preserve">    production costs</t>
  </si>
  <si>
    <t xml:space="preserve">    leasing expenses</t>
  </si>
  <si>
    <t xml:space="preserve">    administrative expenses</t>
  </si>
  <si>
    <t xml:space="preserve">    sales and marketing expenses</t>
  </si>
  <si>
    <t xml:space="preserve"> = Total: current expenses</t>
  </si>
  <si>
    <t xml:space="preserve">    Raw materials and components</t>
  </si>
  <si>
    <t xml:space="preserve">         EQUITY</t>
  </si>
  <si>
    <t>Owners' contribution</t>
  </si>
  <si>
    <t>Owner 1</t>
  </si>
  <si>
    <t>Owner 2</t>
  </si>
  <si>
    <t>Owner 3</t>
  </si>
  <si>
    <t>Owner 4</t>
  </si>
  <si>
    <t>Owner 5</t>
  </si>
  <si>
    <t>Financing from current business operation</t>
  </si>
  <si>
    <t xml:space="preserve">    the above, in terms of primary currency</t>
  </si>
  <si>
    <t xml:space="preserve">         CONSOLIDATED SUMMARY OF INVESTMENTS</t>
  </si>
  <si>
    <t>Su pardavimų ir marketingo darbuotojų darbo užmokesčiu susiję mokesčiai</t>
  </si>
  <si>
    <t>Administracijos darbuotojų darbo užmokestis</t>
  </si>
  <si>
    <t>Su administracijos darbuotojų darbo užmokesčiu susiję mokesčiai</t>
  </si>
  <si>
    <t>iš kurių PVM</t>
  </si>
  <si>
    <t>Nusidėvėjimas</t>
  </si>
  <si>
    <t>Paskolų grąžinimas</t>
  </si>
  <si>
    <t>Nuomos mokėjimai</t>
  </si>
  <si>
    <t>Sumokėti dividendai</t>
  </si>
  <si>
    <t>Pinigų srautai iš finansinės veiklos</t>
  </si>
  <si>
    <t>Grynųjų pinigų pokytis</t>
  </si>
  <si>
    <t>Grynieji pinigai laikotarpio pradžioje</t>
  </si>
  <si>
    <t>Grynieji pinigai laikotarpio pabaigoje</t>
  </si>
  <si>
    <t>Diagrama: Pinigų srautai</t>
  </si>
  <si>
    <t>Diagrama: grynieji pinigai</t>
  </si>
  <si>
    <t>Grynieji pinigai</t>
  </si>
  <si>
    <t>Sumokėtas PVM</t>
  </si>
  <si>
    <t>Kitas trumpalaikis turtas</t>
  </si>
  <si>
    <t xml:space="preserve">  žemė</t>
  </si>
  <si>
    <t xml:space="preserve">  pastatai ir statiniai</t>
  </si>
  <si>
    <t xml:space="preserve">  nematerialusis turtas</t>
  </si>
  <si>
    <t xml:space="preserve">  įranga ir kitas turtas</t>
  </si>
  <si>
    <t>Viso ilgalaikio turto</t>
  </si>
  <si>
    <t xml:space="preserve">  mokesčiai mažinantys pelno mokestį</t>
  </si>
  <si>
    <t xml:space="preserve">  išperkamosios nuomos sąnaudos</t>
  </si>
  <si>
    <t xml:space="preserve">  nusidėvejimas</t>
  </si>
  <si>
    <t xml:space="preserve">  adminitracinės sąnaudos</t>
  </si>
  <si>
    <t xml:space="preserve"> = Viso: einamosios išlaidos</t>
  </si>
  <si>
    <t xml:space="preserve">   be PVM</t>
  </si>
  <si>
    <t xml:space="preserve">   PVM</t>
  </si>
  <si>
    <t>Centrinės valdžios investicinė paskola</t>
  </si>
  <si>
    <t>Regioninės savivaldos investicinė paskola</t>
  </si>
  <si>
    <t>Paskolų padengimo rodiklis</t>
  </si>
  <si>
    <t xml:space="preserve">         PRICE OF RAW MATERIALS &amp; SUPPLIES (per unit, including VAT)</t>
  </si>
  <si>
    <t xml:space="preserve"> = Viso: Sukauptos palūkanos</t>
  </si>
  <si>
    <t xml:space="preserve"> = Viso: Sumokėtos palūkanos</t>
  </si>
  <si>
    <t xml:space="preserve"> = Viso: Paskolos likutis</t>
  </si>
  <si>
    <t xml:space="preserve">    paskolų apyvartiniam kapitalui likutis</t>
  </si>
  <si>
    <t xml:space="preserve">    investicinių paskolų likutis</t>
  </si>
  <si>
    <t>Paskola apyvartiniam kapitalui</t>
  </si>
  <si>
    <t>Investicinė paskola</t>
  </si>
  <si>
    <t>Lease payments</t>
  </si>
  <si>
    <t>Repayment of debt</t>
  </si>
  <si>
    <t>Minimum cash at the beginning of period</t>
  </si>
  <si>
    <t xml:space="preserve">         INCOME STATEMENT</t>
  </si>
  <si>
    <t>Net sales</t>
  </si>
  <si>
    <t>including:</t>
  </si>
  <si>
    <t>Financing from construction co-investors</t>
  </si>
  <si>
    <t>Info: Cash at the end of period (current project)</t>
  </si>
  <si>
    <t>EBITDA margin</t>
  </si>
  <si>
    <t>EBIT margin</t>
  </si>
  <si>
    <t>Net margin</t>
  </si>
  <si>
    <t>Effective income tax rate</t>
  </si>
  <si>
    <t>Current ratio</t>
  </si>
  <si>
    <t>Solvency ratio</t>
  </si>
  <si>
    <t>Gearing ratio</t>
  </si>
  <si>
    <t>Long-term debt to total liabilities</t>
  </si>
  <si>
    <t xml:space="preserve">  įsigytos žaliavos ir atsargos (be PVM)</t>
  </si>
  <si>
    <t xml:space="preserve">  atsargos remiantis apyvartumo rodikliu</t>
  </si>
  <si>
    <t xml:space="preserve">  atsargos remiantis apmokėjimo už atsargas grafiku</t>
  </si>
  <si>
    <t xml:space="preserve">  apmokėtos žaliavos ir atsargos (be PVM) </t>
  </si>
  <si>
    <t xml:space="preserve">  kaštai įtraukti į realizuotą produkciją</t>
  </si>
  <si>
    <t xml:space="preserve">  kaštai įtraukti į pagamintą produkciją</t>
  </si>
  <si>
    <t>График: Остаток задолженности по кредитам</t>
  </si>
  <si>
    <t>Chart: Outstanding debt</t>
  </si>
  <si>
    <t>График: Поступления от продаж</t>
  </si>
  <si>
    <t>Chart: Cash received from customers</t>
  </si>
  <si>
    <t>График: Выручка</t>
  </si>
  <si>
    <t>Chart: Net Sales</t>
  </si>
  <si>
    <t>График: Чистая прибыль</t>
  </si>
  <si>
    <t>Chart: Net Profit</t>
  </si>
  <si>
    <t>График: EBITDA</t>
  </si>
  <si>
    <t>Chart: EBITDA</t>
  </si>
  <si>
    <t>График: Суммарная выручка проектов</t>
  </si>
  <si>
    <t>Chart: Total Net Sales</t>
  </si>
  <si>
    <t>Себестоимость</t>
  </si>
  <si>
    <t>Cost of goods sold</t>
  </si>
  <si>
    <t>Прибыль (убыток) от операционной деятельности</t>
  </si>
  <si>
    <t>Оплата административного и коммерческого персонала</t>
  </si>
  <si>
    <t>Справочно:</t>
  </si>
  <si>
    <t xml:space="preserve">    Сырье и материалы</t>
  </si>
  <si>
    <t xml:space="preserve">    Прочие переменные расходы</t>
  </si>
  <si>
    <t xml:space="preserve">    Оплата производственного персонала</t>
  </si>
  <si>
    <t xml:space="preserve">    Лизинговые платежи</t>
  </si>
  <si>
    <t xml:space="preserve">    Прочие производственные расходы</t>
  </si>
  <si>
    <t xml:space="preserve">    Амортизация</t>
  </si>
  <si>
    <t>Прибыль до налога, процентов и амортизации (EBITDA)</t>
  </si>
  <si>
    <t>Прибыль до процентов и налога (EBIT)</t>
  </si>
  <si>
    <t>Налоги, кроме налога на прибыль</t>
  </si>
  <si>
    <t>Taxes, excl. income tax</t>
  </si>
  <si>
    <t xml:space="preserve">         RETURN ON LENDER(S)</t>
  </si>
  <si>
    <t>Chart: Net Present Value of Cash Flows (debt)</t>
  </si>
  <si>
    <t xml:space="preserve">         BUSINESS VALUATION</t>
  </si>
  <si>
    <t xml:space="preserve">    discount ratio in the middle of period</t>
  </si>
  <si>
    <t>Long-term growth rate</t>
  </si>
  <si>
    <t xml:space="preserve">    the above, recalculated per project step</t>
  </si>
  <si>
    <t>Cash flow for equity</t>
  </si>
  <si>
    <t>Net income</t>
  </si>
  <si>
    <t>Investment</t>
  </si>
  <si>
    <t>Change in long-term debt</t>
  </si>
  <si>
    <t>Discounted cash flow</t>
  </si>
  <si>
    <t>Terminal value</t>
  </si>
  <si>
    <t>Оплата расходов будущих периодов</t>
  </si>
  <si>
    <t xml:space="preserve">  Амортизация</t>
  </si>
  <si>
    <t xml:space="preserve">  Depreciation</t>
  </si>
  <si>
    <t xml:space="preserve">  Nusidėvėjimas</t>
  </si>
  <si>
    <t xml:space="preserve">    finansinio turto pelningumas</t>
  </si>
  <si>
    <t>Diagrama: Pinigų srautų grynoji dabartinė vertė (skolinto kapitalo)</t>
  </si>
  <si>
    <t xml:space="preserve">  diskonto norma laikotarpio viduriui</t>
  </si>
  <si>
    <t>Ilgalaikio augimo norma</t>
  </si>
  <si>
    <t xml:space="preserve">  ilgalaikio augimo norma perskaičiuota projekto etapui</t>
  </si>
  <si>
    <t>Pinigų srautai akcinio kapitalo savininkams</t>
  </si>
  <si>
    <t>Grynasis pelnas</t>
  </si>
  <si>
    <t>Ilgalaikių paskolų pokytis</t>
  </si>
  <si>
    <t>Diskontuoti grynųjų pinigų srautai</t>
  </si>
  <si>
    <t>Galutinė projeko vertė</t>
  </si>
  <si>
    <t>Grynasis veiklos pelnas, sumažintas pakoreguotais mokesčiais</t>
  </si>
  <si>
    <t>Diskontuota galutinė projekto vertė</t>
  </si>
  <si>
    <t>Viso vertė</t>
  </si>
  <si>
    <t>Pagalbinių darbuotojų darbo užmokestis</t>
  </si>
  <si>
    <t>Su pagalbinių darbuotojų darbo užmokesčiu susiję mokesčiai</t>
  </si>
  <si>
    <t>Pardavimų ir marketingo darbuotojų darbo užmokestis</t>
  </si>
  <si>
    <t>Зачет лизинговых платежей в себестоимости (с НДС)</t>
  </si>
  <si>
    <t>зачет лизинговых платежей (без НДС)</t>
  </si>
  <si>
    <t>Savininko 3</t>
  </si>
  <si>
    <t>Savininko 4</t>
  </si>
  <si>
    <t>Savininko 5</t>
  </si>
  <si>
    <t>Finansavimas iš dabartinės ūkinės veiklos</t>
  </si>
  <si>
    <t>regional / local</t>
  </si>
  <si>
    <t>Tax revenues to various governments</t>
  </si>
  <si>
    <t>Value Added Tax (VAT)</t>
  </si>
  <si>
    <t>Individual income tax</t>
  </si>
  <si>
    <t>EBIT norma</t>
  </si>
  <si>
    <t>Grynojo pelno marža</t>
  </si>
  <si>
    <t>Efektyvus pelno mokesčio tarifas</t>
  </si>
  <si>
    <t>Bendrasis likvidumo rodiklis</t>
  </si>
  <si>
    <t>Grynasis apyvartinis kapitalas</t>
  </si>
  <si>
    <t>Mokumo rodiklis</t>
  </si>
  <si>
    <t xml:space="preserve">    Finansavimas iš dabartinės ūkinės veiklos finansinės atsakitomybės valiuta</t>
  </si>
  <si>
    <t>Finansavimas iš investuotojų į statybas</t>
  </si>
  <si>
    <t>Info: grynieji pinigai laikotrapio pabaigai (dabartinis projektas)</t>
  </si>
  <si>
    <t>Balanso patikrinimas</t>
  </si>
  <si>
    <t>Dėmesio! Balansas nesubalansuotas!</t>
  </si>
  <si>
    <t>Diagrama: Projekto turtas</t>
  </si>
  <si>
    <t>Diagrama: Projekto įsipareigojimai ir nuosavas kapitalas</t>
  </si>
  <si>
    <t>Turto grąža</t>
  </si>
  <si>
    <t>Kapitalo grąža</t>
  </si>
  <si>
    <t>Investment requirements</t>
  </si>
  <si>
    <t>Investment in land</t>
  </si>
  <si>
    <t>Paskolos valiuta</t>
  </si>
  <si>
    <t>Palūkanų norma (metinė)</t>
  </si>
  <si>
    <t>Palūkanų mokėjimų atidėjimo laikotarpis</t>
  </si>
  <si>
    <t>Paskolos ėmimas</t>
  </si>
  <si>
    <t>Paskolos grąžinimas</t>
  </si>
  <si>
    <t>Sukauptos palūkanos</t>
  </si>
  <si>
    <t>Sumokėtos palūkanos</t>
  </si>
  <si>
    <t>Paskolos likutis laikotarpio pabaigoje</t>
  </si>
  <si>
    <t xml:space="preserve">    iš kurių palūkanos</t>
  </si>
  <si>
    <t xml:space="preserve">    laikotarpis, per kurį buvo panaudota paskola</t>
  </si>
  <si>
    <t xml:space="preserve">    sukauptos palūkanos</t>
  </si>
  <si>
    <t xml:space="preserve"> = Viso: Gautos paskolos</t>
  </si>
  <si>
    <t xml:space="preserve"> = Viso: Grąžintos paskolos</t>
  </si>
  <si>
    <t>Administrative personnel wages and salaries</t>
  </si>
  <si>
    <t>of which VAT</t>
  </si>
  <si>
    <t>Pinigų srautai iš ilgalaikio turto pardavimo</t>
  </si>
  <si>
    <t>Administracijos darbuotojų skaičius</t>
  </si>
  <si>
    <t>Pardavimų ir marketino darbuotojų skaičius</t>
  </si>
  <si>
    <t>Viso</t>
  </si>
  <si>
    <t>Mėnesio darbo užmokestis</t>
  </si>
  <si>
    <t>Žmonių skaičius</t>
  </si>
  <si>
    <t>Pinigų srautai iš investicinės veiklos</t>
  </si>
  <si>
    <t>Nuosavo kapitalo įplaukos</t>
  </si>
  <si>
    <t>Описание проекта</t>
  </si>
  <si>
    <t>Незавершенные инвестиции</t>
  </si>
  <si>
    <t>Кредиты</t>
  </si>
  <si>
    <t>Целевое финансирование</t>
  </si>
  <si>
    <t>Отчет</t>
  </si>
  <si>
    <t>Версия программы</t>
  </si>
  <si>
    <t>Показывать диалог "О программе"?</t>
  </si>
  <si>
    <t>Метка ESTATE (всегда должна быть равна 0)</t>
  </si>
  <si>
    <t>Дата сборки</t>
  </si>
  <si>
    <t>Это демоверсия?</t>
  </si>
  <si>
    <t>Это версия СУММ?</t>
  </si>
  <si>
    <t>Это версия Строительство?</t>
  </si>
  <si>
    <t>Это пробная версия?</t>
  </si>
  <si>
    <t>Сборка дистрибутива выполнена?</t>
  </si>
  <si>
    <t>О программе</t>
  </si>
  <si>
    <t>Проект</t>
  </si>
  <si>
    <t>Пр.</t>
  </si>
  <si>
    <t>Портфель</t>
  </si>
  <si>
    <t>Current Language</t>
  </si>
  <si>
    <t>Russian</t>
  </si>
  <si>
    <t>English</t>
  </si>
  <si>
    <t>About</t>
  </si>
  <si>
    <t>Project</t>
  </si>
  <si>
    <t>Pr.</t>
  </si>
  <si>
    <t>Portfolio</t>
  </si>
  <si>
    <t>Report</t>
  </si>
  <si>
    <t>Строительство?</t>
  </si>
  <si>
    <t>Сумм?</t>
  </si>
  <si>
    <t>Ilagalikių paskolų ir visų įsipareigojimų santykis</t>
  </si>
  <si>
    <t>EBIT arba EBITDA ir palūkanų santykis</t>
  </si>
  <si>
    <t>Diagrama: Pelningumas</t>
  </si>
  <si>
    <t>Diagrama: Bendrojo pelno norma</t>
  </si>
  <si>
    <t>Diagrama: EBIT norma</t>
  </si>
  <si>
    <t>Metai</t>
  </si>
  <si>
    <t>(realioji - be infliacijos)</t>
  </si>
  <si>
    <t>(nominalioji - su infliacija)</t>
  </si>
  <si>
    <t>Įtrauktos ankstesniojo laikotarpio investicijos</t>
  </si>
  <si>
    <t xml:space="preserve">    sign of the discounted cash at the end of period</t>
  </si>
  <si>
    <t>Internal Rate of Return (IRR)</t>
  </si>
  <si>
    <t>Profitability Index (PI)</t>
  </si>
  <si>
    <t xml:space="preserve">    inflows</t>
  </si>
  <si>
    <t xml:space="preserve">    discounted inflows</t>
  </si>
  <si>
    <t>Modified Internal Rate of Return (MIRR)</t>
  </si>
  <si>
    <t>Reinvestment rate</t>
  </si>
  <si>
    <t>Discount rate for investments</t>
  </si>
  <si>
    <t>Chart: Net Present Value of Cash Flows (total investment)</t>
  </si>
  <si>
    <t xml:space="preserve">         RETURN ON EQUITY</t>
  </si>
  <si>
    <t>Chart: Net Present Value of Cash Flows (equity)</t>
  </si>
  <si>
    <t>Курс валюты</t>
  </si>
  <si>
    <t>для иностранной валюты</t>
  </si>
  <si>
    <t>Множитель прироста цен для иностранной валюты</t>
  </si>
  <si>
    <t>Ставка рефинансирования ЦБ</t>
  </si>
  <si>
    <t>Ставка процентов по кредитам, в пределах которой</t>
  </si>
  <si>
    <t>уменьшается налогооблагаемая прибыль:</t>
  </si>
  <si>
    <t>основная валюта</t>
  </si>
  <si>
    <t>иностранная валюта</t>
  </si>
  <si>
    <t>int_avg</t>
  </si>
  <si>
    <t>%</t>
  </si>
  <si>
    <t xml:space="preserve">  (отключен)</t>
  </si>
  <si>
    <t xml:space="preserve">  (включен)</t>
  </si>
  <si>
    <t>Здания и сооружения</t>
  </si>
  <si>
    <t>Земельные участки</t>
  </si>
  <si>
    <t>Нематериальные активы</t>
  </si>
  <si>
    <t>Оборудование и другие активы</t>
  </si>
  <si>
    <t>Расходы будущих периодов</t>
  </si>
  <si>
    <t>Наименование</t>
  </si>
  <si>
    <t>Валюта</t>
  </si>
  <si>
    <t>ИТОГО</t>
  </si>
  <si>
    <t>1_01</t>
  </si>
  <si>
    <t>Pradinių investicijų vertė</t>
  </si>
  <si>
    <t>&lt;Kintamų paramentrų sąrašo pabaiga&gt;</t>
  </si>
  <si>
    <t>Visų investicijų grynoji dabartinė vertė</t>
  </si>
  <si>
    <t>Akcinio kapitalo grynoji dabartinė vertė</t>
  </si>
  <si>
    <t>Skolinto kapitalo grynoji dabartinė vertė</t>
  </si>
  <si>
    <t>Viso grynasis pelnas</t>
  </si>
  <si>
    <t xml:space="preserve">   - земельные участки</t>
  </si>
  <si>
    <t xml:space="preserve">   - нематериальные активы</t>
  </si>
  <si>
    <t xml:space="preserve">   - оборудование и другие активы</t>
  </si>
  <si>
    <t xml:space="preserve">    тип лизинга</t>
  </si>
  <si>
    <t>Прогнозные цены (с учетом инфляции)</t>
  </si>
  <si>
    <t>Forecast prices (with inflation adjustment)</t>
  </si>
  <si>
    <t xml:space="preserve">    сумма платежей без НДС</t>
  </si>
  <si>
    <t xml:space="preserve">    ранее осуществленные инвестиции (без НДС)</t>
  </si>
  <si>
    <t xml:space="preserve">    общая стоимость актива (без НДС)</t>
  </si>
  <si>
    <t xml:space="preserve">    поставить на баланс с</t>
  </si>
  <si>
    <t xml:space="preserve">    полная сумма вложений в актив (без НДС)</t>
  </si>
  <si>
    <t xml:space="preserve">    полная балансовая стоимость</t>
  </si>
  <si>
    <t xml:space="preserve">    незавершенные инвестиции</t>
  </si>
  <si>
    <t xml:space="preserve">    кредиторская задолженность</t>
  </si>
  <si>
    <t xml:space="preserve">    амортизация (ускоренная),    для срока использования:</t>
  </si>
  <si>
    <t xml:space="preserve">    накопленная амортизация</t>
  </si>
  <si>
    <t xml:space="preserve">    остаточная стоимость</t>
  </si>
  <si>
    <t xml:space="preserve">    выплаченный НДС</t>
  </si>
  <si>
    <t xml:space="preserve">    НДС к ранее осуществленным инвестициям</t>
  </si>
  <si>
    <t xml:space="preserve">  išlaidos</t>
  </si>
  <si>
    <t xml:space="preserve">  diskontuotos išlaidos</t>
  </si>
  <si>
    <t>Modifikuota vidinė grąžos norma</t>
  </si>
  <si>
    <t>Reinvestavimo norma</t>
  </si>
  <si>
    <t>Investicijų diskonto norma</t>
  </si>
  <si>
    <t>Diagrama: Pinigų srautų grynoji dabartinė vertė (visų investicijų)</t>
  </si>
  <si>
    <t>Diagrama: Pinigų srautų grynoji dabartinė vertė (akcinio kapitalo)</t>
  </si>
  <si>
    <t>Собственный капитал</t>
  </si>
  <si>
    <t>Кредиторская задолженность перед поставщиками</t>
  </si>
  <si>
    <t>Кредиторская задолженность перед бюджетом</t>
  </si>
  <si>
    <t>Прочие кредиторы</t>
  </si>
  <si>
    <t>Дебиторская задолженность покупателей</t>
  </si>
  <si>
    <t>Прочие дебиторы</t>
  </si>
  <si>
    <t>Итого активы</t>
  </si>
  <si>
    <t>Итого пассивы</t>
  </si>
  <si>
    <t>Метод расчетов</t>
  </si>
  <si>
    <t>Денежные средства</t>
  </si>
  <si>
    <t>Год начала проекта</t>
  </si>
  <si>
    <t>Месяц начала проекта</t>
  </si>
  <si>
    <t>Номера периодов</t>
  </si>
  <si>
    <t>Наименования периодов без учета дат</t>
  </si>
  <si>
    <t>Дата начала периода</t>
  </si>
  <si>
    <t>Наименования периодов с учетом дат</t>
  </si>
  <si>
    <t>мес.</t>
  </si>
  <si>
    <t>кв.</t>
  </si>
  <si>
    <t>пг.</t>
  </si>
  <si>
    <t>лет</t>
  </si>
  <si>
    <t>месяц</t>
  </si>
  <si>
    <t>квартал</t>
  </si>
  <si>
    <t>полугодие</t>
  </si>
  <si>
    <t>Chart: Projects income</t>
  </si>
  <si>
    <t>Income tax on consolidated basis</t>
  </si>
  <si>
    <t>Income tax rate</t>
  </si>
  <si>
    <t xml:space="preserve">         CONSOLIDATED INCOME STATEMENT</t>
  </si>
  <si>
    <t xml:space="preserve">         CONSOLIDATED CASH FLOW STATEMENT</t>
  </si>
  <si>
    <t>Chart: Consolidated equity and liabilities</t>
  </si>
  <si>
    <t xml:space="preserve">         CONSOLIDATED FINANCIAL RATIOS</t>
  </si>
  <si>
    <t>Chart: Net present value of consolidated cash flows (total investment)</t>
  </si>
  <si>
    <t>Chart: Net present value of consolidated cash Flows (equity)</t>
  </si>
  <si>
    <t>Chart: Net present value of consolidated cash flows (debt)</t>
  </si>
  <si>
    <t xml:space="preserve">         CONSOLIDATED BASIC PROJECTS PARAMETERS</t>
  </si>
  <si>
    <t xml:space="preserve">   лизинговые платежи для  расчета графика платежей</t>
  </si>
  <si>
    <t>Laikotarpių pavadinimai (santykinė laiko skalė)</t>
  </si>
  <si>
    <t>Laikotarpio pradžios data</t>
  </si>
  <si>
    <t>Laikotarpių pavadinimai (absoliuti laiko skalė)</t>
  </si>
  <si>
    <t>Perskaičiuoti mokesčius</t>
  </si>
  <si>
    <t>Neperskaičiuoti mokesčių</t>
  </si>
  <si>
    <t>Diagrama: Projektų pajamos ir išlaidos</t>
  </si>
  <si>
    <t>Diagrama: Projektų pelnas</t>
  </si>
  <si>
    <t>Konsolioduotas pelno mokestis</t>
  </si>
  <si>
    <t>Pelno mokesčio norma</t>
  </si>
  <si>
    <t>Diagrama: Konsoliduotas turtas</t>
  </si>
  <si>
    <t>Diagrama: Konsoliduotas akcinis kapitalas ir įsipareigojimai</t>
  </si>
  <si>
    <t>Pardavimai (be PVM)</t>
  </si>
  <si>
    <t>Gamybos savikaina (be PVM)</t>
  </si>
  <si>
    <t>Цена реализации</t>
  </si>
  <si>
    <t xml:space="preserve">    - на зарплату коммерческого персонала</t>
  </si>
  <si>
    <t xml:space="preserve">         СТРОИТЕЛЬСТВО: ХАРАКТЕРИСТИКИ ОБЪЕКТА</t>
  </si>
  <si>
    <t>начало работ</t>
  </si>
  <si>
    <t>конец работ</t>
  </si>
  <si>
    <t xml:space="preserve">    вознаграждение лизингодателю</t>
  </si>
  <si>
    <t>6.1</t>
  </si>
  <si>
    <t xml:space="preserve">    НДС к платежам</t>
  </si>
  <si>
    <t xml:space="preserve">    авансы, уплаченные лизингодателю</t>
  </si>
  <si>
    <t xml:space="preserve">    арендованные основные средства (ост. стоимость)</t>
  </si>
  <si>
    <t xml:space="preserve">    налогооблагаемое имущество</t>
  </si>
  <si>
    <t>Jautrumo analizės rodikliai</t>
  </si>
  <si>
    <t>Investicijos į ilgalaikį turtą</t>
  </si>
  <si>
    <t>Investicijos į akcinį kapitalą ir dotacijos</t>
  </si>
  <si>
    <t xml:space="preserve">         CONSOLIDATED BALANCE SHEET</t>
  </si>
  <si>
    <t>Chart: Consolidated assets</t>
  </si>
  <si>
    <t xml:space="preserve">    расчетная величина лизинговых платежей (без НДС)</t>
  </si>
  <si>
    <t>Реальная величина лизинговых платежей (с НДС)</t>
  </si>
  <si>
    <t>Gautos paskolos</t>
  </si>
  <si>
    <t>Investicijų efektyvumas</t>
  </si>
  <si>
    <t>Akcinio kapitalo grąža</t>
  </si>
  <si>
    <t>Skolinto kapitalo grąža</t>
  </si>
  <si>
    <t>Kompanijos projektų portfelis</t>
  </si>
  <si>
    <t>Kompanijos pavadinimas:</t>
  </si>
  <si>
    <t>Kompanija be pavadinimo</t>
  </si>
  <si>
    <t>Projektų sąrašas</t>
  </si>
  <si>
    <t>Įskaičiuoti?</t>
  </si>
  <si>
    <t>Šaltinis</t>
  </si>
  <si>
    <t>Paskutinį kartą atnaujinta pagal išorės duomenis:</t>
  </si>
  <si>
    <t>Projektų portfelio biudžeto parametrai</t>
  </si>
  <si>
    <t>Pirmojo laikotarpio pradžios data</t>
  </si>
  <si>
    <t>Trukmė</t>
  </si>
  <si>
    <t>Planavimo žingsnis (mėnesis, ketvirtis, metai)</t>
  </si>
  <si>
    <t>Projektų vykdymo terminai</t>
  </si>
  <si>
    <t>nuo laikotarpio</t>
  </si>
  <si>
    <t>iki laikotrapio</t>
  </si>
  <si>
    <t>Biudžeto metų pradžia</t>
  </si>
  <si>
    <t>Biudžeto pradžios mėnuo</t>
  </si>
  <si>
    <t>Laikotarpių skaičius</t>
  </si>
  <si>
    <t>без выкупа (учет на балансе лизингодателя)</t>
  </si>
  <si>
    <t>без выкупа (учет на балансе лизингополучателя)</t>
  </si>
  <si>
    <t>Постоянные цены (без учета инфляции)</t>
  </si>
  <si>
    <t>Авансовый платеж (с НДС)</t>
  </si>
  <si>
    <t>Общая величина инвестиций</t>
  </si>
  <si>
    <t>Total CAPEX</t>
  </si>
  <si>
    <t>Затраты на строительство объекта</t>
  </si>
  <si>
    <t>Construction costs</t>
  </si>
  <si>
    <t xml:space="preserve">                нарастающим итогом</t>
  </si>
  <si>
    <t xml:space="preserve">                   cumulative</t>
  </si>
  <si>
    <t xml:space="preserve">    оплачено сырья и материалов (без НДС)</t>
  </si>
  <si>
    <t xml:space="preserve">    Social insurance contribution</t>
  </si>
  <si>
    <t>Accrued social insurance contribution</t>
  </si>
  <si>
    <t>Wages and salaries including social insurance</t>
  </si>
  <si>
    <t>Production personnel social insurance</t>
  </si>
  <si>
    <t>Support personnel social insurance</t>
  </si>
  <si>
    <t>Sales and marketing personnel social insurance</t>
  </si>
  <si>
    <t>Administrative personnel social insurance</t>
  </si>
  <si>
    <t>Social insurance contribution</t>
  </si>
  <si>
    <t>Fixed costs allocation base</t>
  </si>
  <si>
    <t xml:space="preserve">    fixed costs allocation ratio</t>
  </si>
  <si>
    <t>Marginal income</t>
  </si>
  <si>
    <t>Price ratio</t>
  </si>
  <si>
    <t xml:space="preserve">    fixed costs per unit</t>
  </si>
  <si>
    <t xml:space="preserve">    variable costs per unit</t>
  </si>
  <si>
    <t>Итого текущих обязательств</t>
  </si>
  <si>
    <t>Оборотный капитал компании</t>
  </si>
  <si>
    <t>Прирост, учтенный в операционных денежных потоках</t>
  </si>
  <si>
    <t>Инвестиции в чистый оборотный капитал</t>
  </si>
  <si>
    <t>доля</t>
  </si>
  <si>
    <t>срок, дн.</t>
  </si>
  <si>
    <t>-</t>
  </si>
  <si>
    <t>Создавать резерв</t>
  </si>
  <si>
    <t>int_end</t>
  </si>
  <si>
    <t>Наименование продукта</t>
  </si>
  <si>
    <t>Номинальный объем</t>
  </si>
  <si>
    <t>ед.</t>
  </si>
  <si>
    <t>Средний коэффициент загрузки производства</t>
  </si>
  <si>
    <t xml:space="preserve">    цена без НДС и акцизов</t>
  </si>
  <si>
    <t xml:space="preserve">    акцизы</t>
  </si>
  <si>
    <t xml:space="preserve">    налог с продаж</t>
  </si>
  <si>
    <t xml:space="preserve">    НДС</t>
  </si>
  <si>
    <t>Адвалорные</t>
  </si>
  <si>
    <t>Твердые</t>
  </si>
  <si>
    <t xml:space="preserve">    к оплате от покупателей (без НДС)</t>
  </si>
  <si>
    <t xml:space="preserve">    в т.ч. акцизов, налогов и пошлин</t>
  </si>
  <si>
    <t xml:space="preserve">    НДС на поставленную продукцию</t>
  </si>
  <si>
    <t xml:space="preserve">    график оплаты (без НДС)</t>
  </si>
  <si>
    <t xml:space="preserve">    полученный НДС</t>
  </si>
  <si>
    <t xml:space="preserve">    дебиторская задолженность</t>
  </si>
  <si>
    <t>Общая численность персонала</t>
  </si>
  <si>
    <t>Мес. оклад</t>
  </si>
  <si>
    <t>чел.</t>
  </si>
  <si>
    <t>qnt;int_avg</t>
  </si>
  <si>
    <t>summprj;int_sum</t>
  </si>
  <si>
    <t>summprj;int_end</t>
  </si>
  <si>
    <t xml:space="preserve"> = Итого лизинговые платежи, начисленные, с НДС</t>
  </si>
  <si>
    <t>ЗАПАСЫ</t>
  </si>
  <si>
    <t xml:space="preserve">    минимальные остатки на складе, на</t>
  </si>
  <si>
    <t xml:space="preserve">    среднее время хранения</t>
  </si>
  <si>
    <t>Незавершенное производство</t>
  </si>
  <si>
    <t xml:space="preserve">    длительность производственного цикла</t>
  </si>
  <si>
    <t xml:space="preserve">    периодичность отгрузки</t>
  </si>
  <si>
    <t>РАСЧЕТЫ С ПОКУПАТЕЛЯМИ</t>
  </si>
  <si>
    <t>Поступления денег от продаж:</t>
  </si>
  <si>
    <t xml:space="preserve">    немедленная оплата</t>
  </si>
  <si>
    <t xml:space="preserve">    продажи с предоплатой</t>
  </si>
  <si>
    <t xml:space="preserve">    продажи в кредит</t>
  </si>
  <si>
    <t>Сумма счетов к получению</t>
  </si>
  <si>
    <t xml:space="preserve">    на основе циклов оборачиваемости</t>
  </si>
  <si>
    <t xml:space="preserve">    в соответствии с графиком оплаты продукции</t>
  </si>
  <si>
    <t>Сумма полученных авансов</t>
  </si>
  <si>
    <t>РАСЧЕТЫ С ПОСТАВЩИКАМИ</t>
  </si>
  <si>
    <t>Оплата материалов и комплектующих:</t>
  </si>
  <si>
    <t xml:space="preserve">    авансовая оплата</t>
  </si>
  <si>
    <t xml:space="preserve">    оплата в кредит</t>
  </si>
  <si>
    <t>Сумма счетов к оплате</t>
  </si>
  <si>
    <t xml:space="preserve">    в соответствии с графиком оплаты материалов</t>
  </si>
  <si>
    <t>СПЕЦИАЛЬНЫЕ РЕЖИМЫ НАЛОГООБЛОЖЕНИЯ</t>
  </si>
  <si>
    <t xml:space="preserve">    облагаемая база</t>
  </si>
  <si>
    <t xml:space="preserve">    величина платежа</t>
  </si>
  <si>
    <t>Начисленный налог на вмененный доход</t>
  </si>
  <si>
    <t>УПРОЩЕННАЯ СИСТЕМА НАЛОГООБЛОЖЕНИЯ</t>
  </si>
  <si>
    <t>Объект налогообложения</t>
  </si>
  <si>
    <t>Доходы</t>
  </si>
  <si>
    <t>Сумма уплаченных авансов</t>
  </si>
  <si>
    <t>Авансы выданные</t>
  </si>
  <si>
    <t>1_27</t>
  </si>
  <si>
    <t>Не создавать резерв</t>
  </si>
  <si>
    <t>Система налогообложения</t>
  </si>
  <si>
    <t>Налог на прибыль (общий налоговый режим)</t>
  </si>
  <si>
    <t>Единый налог на вмененный доход (специальный налоговый режим)</t>
  </si>
  <si>
    <t>Множитель прироста цен</t>
  </si>
  <si>
    <t>Inflation multiplier</t>
  </si>
  <si>
    <t>Infliacijos koeficientas</t>
  </si>
  <si>
    <t>Изменение чистого оборотного капитала</t>
  </si>
  <si>
    <t>1_25</t>
  </si>
  <si>
    <t>Авансы полученные</t>
  </si>
  <si>
    <t>Кредиторская задолженность перед персоналом</t>
  </si>
  <si>
    <t>1_26</t>
  </si>
  <si>
    <t>Денежные потоки от финансовой деятельности</t>
  </si>
  <si>
    <t>Суммарный денежный поток за период</t>
  </si>
  <si>
    <t>Денежные средства на конец периода</t>
  </si>
  <si>
    <t>Поступления собственного капитала</t>
  </si>
  <si>
    <t>Дебиторская задолженность</t>
  </si>
  <si>
    <t>Авансы уплаченные</t>
  </si>
  <si>
    <t>Готовая продукция</t>
  </si>
  <si>
    <t>Материалы и комплектующие</t>
  </si>
  <si>
    <t>НДС на приобретенные товары</t>
  </si>
  <si>
    <t>Прочие оборотные активы</t>
  </si>
  <si>
    <t>Суммарные оборотные активы</t>
  </si>
  <si>
    <t xml:space="preserve">    ставка (на тыс. кв. м )</t>
  </si>
  <si>
    <t xml:space="preserve">    площадь к налогообложению</t>
  </si>
  <si>
    <t>Другие налоги, относимые на текущие затраты</t>
  </si>
  <si>
    <t>Другие налоги с продаж</t>
  </si>
  <si>
    <t xml:space="preserve">    налогооблагаемая база</t>
  </si>
  <si>
    <t>Налог на имущество</t>
  </si>
  <si>
    <t xml:space="preserve">    средняя стоимость имущества за период</t>
  </si>
  <si>
    <t xml:space="preserve">    стоимость имущества, освобождаемого от налога</t>
  </si>
  <si>
    <t>Другие налоги, относимые на финансовые результаты</t>
  </si>
  <si>
    <t>Начисленный налог на прибыль</t>
  </si>
  <si>
    <t xml:space="preserve">    прибыль до налогообложения</t>
  </si>
  <si>
    <t xml:space="preserve">    проценты по кредиту, выплачиваемые из прибыли</t>
  </si>
  <si>
    <t xml:space="preserve">    льготы по налогу на прибыль</t>
  </si>
  <si>
    <t xml:space="preserve">    накопленная прибыль/убытки текущего года</t>
  </si>
  <si>
    <t xml:space="preserve">    списано убытков предыдущих лет</t>
  </si>
  <si>
    <t xml:space="preserve">    прибыль, на которую начисляется налог</t>
  </si>
  <si>
    <t>Суммарные налоговые выплаты</t>
  </si>
  <si>
    <t>дней</t>
  </si>
  <si>
    <t>возвращается из бюджета</t>
  </si>
  <si>
    <t xml:space="preserve">    закуплено сырья и материалов на сумму (без НДС)</t>
  </si>
  <si>
    <t>Годовая процентная ставка</t>
  </si>
  <si>
    <t>Отсрочка выплаты процентов</t>
  </si>
  <si>
    <t>Поступление денег от кредита</t>
  </si>
  <si>
    <t>Погашение основного долга</t>
  </si>
  <si>
    <t>Выплаченные проценты</t>
  </si>
  <si>
    <t>Задолженность на конец текущего периода</t>
  </si>
  <si>
    <t xml:space="preserve">    проценты, выплачиваемые из прибыли</t>
  </si>
  <si>
    <t xml:space="preserve"> = Итого: Поступления от кредитов</t>
  </si>
  <si>
    <t xml:space="preserve"> = Итого: Погашение кредитов</t>
  </si>
  <si>
    <t xml:space="preserve"> = Итого: Выплата процентов</t>
  </si>
  <si>
    <t>Месячный оклад</t>
  </si>
  <si>
    <t>Количество</t>
  </si>
  <si>
    <t xml:space="preserve">    - на зарплату основного произв. персонала</t>
  </si>
  <si>
    <t>Русский</t>
  </si>
  <si>
    <t>Включена</t>
  </si>
  <si>
    <t>Выключена</t>
  </si>
  <si>
    <t>Да</t>
  </si>
  <si>
    <t>Нет</t>
  </si>
  <si>
    <t>int_start</t>
  </si>
  <si>
    <t>Внеоборотные активы</t>
  </si>
  <si>
    <t>Запасы сырья и материалов</t>
  </si>
  <si>
    <t>Запасы готовой продукции</t>
  </si>
  <si>
    <t>Viso pinigų srautai centrinei valdžiai</t>
  </si>
  <si>
    <t>Viso pinigų srautai regioninei savivaldai</t>
  </si>
  <si>
    <t>Diskonto norma</t>
  </si>
  <si>
    <t>Работа в две смены (по 8 часов) с пятидневной рабочей неделей</t>
  </si>
  <si>
    <t>Работа в три смены (по 8 часов) с пятидневной рабочей неделей</t>
  </si>
  <si>
    <t>№</t>
  </si>
  <si>
    <t>Долото</t>
  </si>
  <si>
    <t>Кол-во в месяц</t>
  </si>
  <si>
    <t>190-613</t>
  </si>
  <si>
    <t>215,9-416</t>
  </si>
  <si>
    <t>215,9-516</t>
  </si>
  <si>
    <t>215,9-613</t>
  </si>
  <si>
    <t>215,9-713</t>
  </si>
  <si>
    <t>220,7-416</t>
  </si>
  <si>
    <t>220,7-516</t>
  </si>
  <si>
    <t>220,7-613</t>
  </si>
  <si>
    <t>220,7-713</t>
  </si>
  <si>
    <t>295,3-419</t>
  </si>
  <si>
    <t>295,3-519</t>
  </si>
  <si>
    <t>295,3-619</t>
  </si>
  <si>
    <t>295,3-716</t>
  </si>
  <si>
    <t>393,7-619</t>
  </si>
  <si>
    <t>Расходы на сбыт, %</t>
  </si>
  <si>
    <t>Административные расходы, %</t>
  </si>
  <si>
    <t>Допущения</t>
  </si>
  <si>
    <t>Параметр</t>
  </si>
  <si>
    <t>Припой (г)</t>
  </si>
  <si>
    <t>Шнур ТВ сплава (м)</t>
  </si>
  <si>
    <t>Г5412 (10х8)</t>
  </si>
  <si>
    <t>Г2652 (12х12)</t>
  </si>
  <si>
    <t>Г2637 (10х10)</t>
  </si>
  <si>
    <t>19х13</t>
  </si>
  <si>
    <t>19х19</t>
  </si>
  <si>
    <t>16х8</t>
  </si>
  <si>
    <t>16х13</t>
  </si>
  <si>
    <t>16х16</t>
  </si>
  <si>
    <t>13,5x13,2</t>
  </si>
  <si>
    <t>13,5х8</t>
  </si>
  <si>
    <t>Материал для наплавки</t>
  </si>
  <si>
    <t>ГМ насадка</t>
  </si>
  <si>
    <t>ВК зубок (шт)</t>
  </si>
  <si>
    <t>PDC зубок ØхL (шт)</t>
  </si>
  <si>
    <t>Круг L (мм)</t>
  </si>
  <si>
    <t>Кол-во</t>
  </si>
  <si>
    <t>3. Цех ионного азотирования</t>
  </si>
  <si>
    <t>2. Цех термообработки</t>
  </si>
  <si>
    <t>1. Цех механической обработки</t>
  </si>
  <si>
    <t>в т.ч.:</t>
  </si>
  <si>
    <t>Оборудование</t>
  </si>
  <si>
    <t>Строительство производственного помещения</t>
  </si>
  <si>
    <t xml:space="preserve">Статьи затрат </t>
  </si>
  <si>
    <t>Специалист по пескоструйной обработке</t>
  </si>
  <si>
    <t>Подсобный рабочий для пайки долот</t>
  </si>
  <si>
    <t>Сварщик для пайки долот</t>
  </si>
  <si>
    <t>Токарь на токарно-фрезерные станки с ЧПУ</t>
  </si>
  <si>
    <t>Инженер ОТК</t>
  </si>
  <si>
    <t>Мастер</t>
  </si>
  <si>
    <t>3-я смена</t>
  </si>
  <si>
    <t>2-я смена</t>
  </si>
  <si>
    <t>2-я смена с 15 до 24 часов</t>
  </si>
  <si>
    <t>1-я смена</t>
  </si>
  <si>
    <t xml:space="preserve">1-я смена с 6 до 15 часов </t>
  </si>
  <si>
    <t>Специалист покрасочного цеха</t>
  </si>
  <si>
    <t>Электрик</t>
  </si>
  <si>
    <t>Слесарь-механик</t>
  </si>
  <si>
    <t>Грузчики</t>
  </si>
  <si>
    <t>Кладовщик</t>
  </si>
  <si>
    <t>Начальник  цеха</t>
  </si>
  <si>
    <t>Конструктор</t>
  </si>
  <si>
    <t>Технолог</t>
  </si>
  <si>
    <t>Начальник  конструкторско-технологического отдела</t>
  </si>
  <si>
    <t>Юрист</t>
  </si>
  <si>
    <t>Менеджер по продажам</t>
  </si>
  <si>
    <t>Начальник отдела по продажам</t>
  </si>
  <si>
    <t>Менеджер по закупкам</t>
  </si>
  <si>
    <t>Начальник отдела по закупкам</t>
  </si>
  <si>
    <t>Экономист</t>
  </si>
  <si>
    <t>Главный экономист</t>
  </si>
  <si>
    <t>Бухгалтер</t>
  </si>
  <si>
    <t>Главный бухгалтер</t>
  </si>
  <si>
    <t>Заместитель генерального директора по общим вопросам (отдел закупок и отдел продаж)</t>
  </si>
  <si>
    <t>Главный инженер</t>
  </si>
  <si>
    <t>Генеральный директор</t>
  </si>
  <si>
    <t>АДМИНИСТРАЦИЯ</t>
  </si>
  <si>
    <t>Сумма,
руб.</t>
  </si>
  <si>
    <t>Зарплата, руб.</t>
  </si>
  <si>
    <t>Количество штатных единиц</t>
  </si>
  <si>
    <t>Наименование должности</t>
  </si>
  <si>
    <t xml:space="preserve">диаметром 190,5 (6-ти лопастные) </t>
  </si>
  <si>
    <t xml:space="preserve">диаметром 215,9 (4-х лопастные) </t>
  </si>
  <si>
    <t xml:space="preserve">диаметром 215,9 (5-ти лопастные) </t>
  </si>
  <si>
    <t xml:space="preserve">диаметром 215,9 (6-ти лопастные) </t>
  </si>
  <si>
    <t xml:space="preserve">диаметром 215,9 (7-и лопастные) </t>
  </si>
  <si>
    <t xml:space="preserve">диаметром 220,7 (4-х лопастные) </t>
  </si>
  <si>
    <t xml:space="preserve">диаметром 220,7 (5-ти лопастные) </t>
  </si>
  <si>
    <t xml:space="preserve">диаметром 220,7(6-ти лопастные) </t>
  </si>
  <si>
    <t xml:space="preserve">диаметром 220,7 (7-и лопастные) </t>
  </si>
  <si>
    <t xml:space="preserve">диаметром 295,3 (4-х лопастные) </t>
  </si>
  <si>
    <t xml:space="preserve">диаметром 295,3 (5-ти лопастные) </t>
  </si>
  <si>
    <t xml:space="preserve">диаметром 295,3 (6-ти лопастные) </t>
  </si>
  <si>
    <t xml:space="preserve">диаметром 295,3 (7-и лопастные) </t>
  </si>
  <si>
    <t xml:space="preserve">диаметром 393,7(6-ти лопастные) </t>
  </si>
  <si>
    <t>1 кв. 2016</t>
  </si>
  <si>
    <t>2 кв. 2016</t>
  </si>
  <si>
    <t>3 кв. 2016</t>
  </si>
  <si>
    <t>4 кв. 2016</t>
  </si>
  <si>
    <t>1 кв. 2017</t>
  </si>
  <si>
    <t>2 кв. 2017</t>
  </si>
  <si>
    <t>3 кв. 2017</t>
  </si>
  <si>
    <t>4 кв. 2017</t>
  </si>
  <si>
    <t>1 кв. 2018</t>
  </si>
  <si>
    <t>2 кв. 2018</t>
  </si>
  <si>
    <t>3 кв. 2018</t>
  </si>
  <si>
    <t>4 кв. 2018</t>
  </si>
  <si>
    <t>1 кв. 2019</t>
  </si>
  <si>
    <t>2 кв. 2019</t>
  </si>
  <si>
    <t>3 кв. 2019</t>
  </si>
  <si>
    <t>4 кв. 2019</t>
  </si>
  <si>
    <t>1 кв. 2020</t>
  </si>
  <si>
    <t>2 кв. 2020</t>
  </si>
  <si>
    <t>3 кв. 2020</t>
  </si>
  <si>
    <t>4 кв. 2020</t>
  </si>
  <si>
    <t>К-во месяцев</t>
  </si>
  <si>
    <t>Загрузка мощностей</t>
  </si>
  <si>
    <t>Долота</t>
  </si>
  <si>
    <t>Сырье</t>
  </si>
  <si>
    <t>Круг Ø (мм)</t>
  </si>
  <si>
    <t>Затраты на сырье</t>
  </si>
  <si>
    <t>Курс евро/рубль</t>
  </si>
  <si>
    <t>Курс доллар/рубль</t>
  </si>
  <si>
    <t>Доставка и таможенная очистка зубков, %</t>
  </si>
  <si>
    <t>Класс</t>
  </si>
  <si>
    <t>К-во лопастей</t>
  </si>
  <si>
    <t>Общее количество</t>
  </si>
  <si>
    <t>к-во 
лопастей</t>
  </si>
  <si>
    <t>PDC зубок</t>
  </si>
  <si>
    <t>ВК зубок</t>
  </si>
  <si>
    <t>Шнур ТВ сплава</t>
  </si>
  <si>
    <t>ИТОГО с НДС</t>
  </si>
  <si>
    <t>ИТОГО без НДС</t>
  </si>
  <si>
    <t>Материальные затраты</t>
  </si>
  <si>
    <t>Заработная плата персонала</t>
  </si>
  <si>
    <t>Единый социальный взнос</t>
  </si>
  <si>
    <t>Транспортные расходы</t>
  </si>
  <si>
    <t>Административно-хозяйственные расходы</t>
  </si>
  <si>
    <t>Рентабельность в %</t>
  </si>
  <si>
    <t>Прибыль предприятия</t>
  </si>
  <si>
    <t>Цена без НДС</t>
  </si>
  <si>
    <t xml:space="preserve">Себестоимость </t>
  </si>
  <si>
    <t>Затраты на сбыт/Реклама</t>
  </si>
  <si>
    <t>Общепроизводственные затраты</t>
  </si>
  <si>
    <t xml:space="preserve">Затраты на коммунальные платежи, % </t>
  </si>
  <si>
    <t>Транспортные расходы, %</t>
  </si>
  <si>
    <t xml:space="preserve">Общепроизводственные затраты, % </t>
  </si>
  <si>
    <t>Коммунальные расходы</t>
  </si>
  <si>
    <t>Получение разрешительной документации</t>
  </si>
  <si>
    <t>Закупка необходимого запаса сырья</t>
  </si>
  <si>
    <t>Непредвиденные расходы (3%)</t>
  </si>
  <si>
    <t>Административный</t>
  </si>
  <si>
    <t>Производственный</t>
  </si>
  <si>
    <t>Инвестиционный план</t>
  </si>
  <si>
    <t>Объемы производтсва</t>
  </si>
  <si>
    <t>Параметры расходов</t>
  </si>
  <si>
    <t>Расход в натуральном выражении</t>
  </si>
  <si>
    <t>Стоимость сырья</t>
  </si>
  <si>
    <t>Стоимость сырья, долл. Без доставки и растаможки</t>
  </si>
  <si>
    <t>Объемы производства, шт.</t>
  </si>
  <si>
    <t>Коммуникации, инфраструктура, благоустройство территории</t>
  </si>
  <si>
    <t>Непредвиденные расходы</t>
  </si>
  <si>
    <t>К-во в год</t>
  </si>
  <si>
    <t>в</t>
  </si>
  <si>
    <t>Задача</t>
  </si>
  <si>
    <t>Начало</t>
  </si>
  <si>
    <t>Старт продаж</t>
  </si>
  <si>
    <t>Оборудование (аванс)</t>
  </si>
  <si>
    <t>Оборудование (доплата)</t>
  </si>
  <si>
    <t>Финансирование</t>
  </si>
  <si>
    <t>Радиус (мм)</t>
  </si>
  <si>
    <t>Масса, т</t>
  </si>
  <si>
    <t>Объем, куб.м</t>
  </si>
  <si>
    <t>Металл</t>
  </si>
  <si>
    <t>Объемная масса металла, кг/м3</t>
  </si>
  <si>
    <t>Масса, кг</t>
  </si>
  <si>
    <t>Стоимость металла, т</t>
  </si>
  <si>
    <t>Расходы на металл</t>
  </si>
  <si>
    <t>1 кв. 2021</t>
  </si>
  <si>
    <t>2 кв. 2021</t>
  </si>
  <si>
    <t>3 кв. 2021</t>
  </si>
  <si>
    <t>4 кв. 2021</t>
  </si>
  <si>
    <t>Цена реализации, евро</t>
  </si>
  <si>
    <t>Объем (π r2 h), куб.мм</t>
  </si>
  <si>
    <t xml:space="preserve">Покупка земли </t>
  </si>
  <si>
    <t>с ндс</t>
  </si>
  <si>
    <t>Курс евро/польский злотый</t>
  </si>
  <si>
    <t>Всего, евро без НДС</t>
  </si>
  <si>
    <t>Всего, евро с НДС</t>
  </si>
  <si>
    <t xml:space="preserve">4. Цех гуммирования и хромирования </t>
  </si>
  <si>
    <t xml:space="preserve">5. Цех сборки </t>
  </si>
  <si>
    <t xml:space="preserve">4. Оборудование для пескоструйной обработки, покраски, шлифовки и пайки. Технологическая оснастка и инструмент </t>
  </si>
  <si>
    <t>Аренда, евро/кв.м. в месяц</t>
  </si>
  <si>
    <t>Общая площадь здания, кв.м.</t>
  </si>
  <si>
    <t>Выручка от реализации, евро</t>
  </si>
  <si>
    <t>ИТОГО, евро</t>
  </si>
  <si>
    <t>Габарит</t>
  </si>
  <si>
    <t>Сумма</t>
  </si>
  <si>
    <t>ВЗД</t>
  </si>
  <si>
    <t>Объемы производства долот, штук</t>
  </si>
  <si>
    <t>ДОЛОТА</t>
  </si>
  <si>
    <t>Объемы производства ВЗД, штук</t>
  </si>
  <si>
    <t>ИТОГО долота, евро</t>
  </si>
  <si>
    <t>ИТОГО ВЗД, евро</t>
  </si>
  <si>
    <t>ИТОГО ВЗД и долота, евро</t>
  </si>
  <si>
    <t>Курс доллар/польский злотый</t>
  </si>
  <si>
    <t>Зарплата, евро</t>
  </si>
  <si>
    <t>Заместитель генерального директора по развитию</t>
  </si>
  <si>
    <t>Начальник производства</t>
  </si>
  <si>
    <t>Заместитель начальника производства</t>
  </si>
  <si>
    <t>Токарь</t>
  </si>
  <si>
    <t>Специалист цеха пескоструйной обработки</t>
  </si>
  <si>
    <t xml:space="preserve">Специалист цеха термообработки </t>
  </si>
  <si>
    <t>Специалист цеха ионного азотирования</t>
  </si>
  <si>
    <t>Специалист цеха гуммирования и хромирования</t>
  </si>
  <si>
    <t>Подсобный рабочий цеха гуммирования и хромирования</t>
  </si>
  <si>
    <t>Специалист цеха сборки</t>
  </si>
  <si>
    <t>Подсобный рабочий цеха сборки</t>
  </si>
  <si>
    <t>Сумма,
евро</t>
  </si>
  <si>
    <t>НДС (экспорт) %</t>
  </si>
  <si>
    <t>Габарит 54</t>
  </si>
  <si>
    <t>Габарит 76</t>
  </si>
  <si>
    <t>Габарит 95</t>
  </si>
  <si>
    <t>Габарит 106</t>
  </si>
  <si>
    <t>Габарит 120</t>
  </si>
  <si>
    <t>Габарит 165</t>
  </si>
  <si>
    <t>Габарит 172</t>
  </si>
  <si>
    <t>Габарит 195</t>
  </si>
  <si>
    <t>Габарит 215</t>
  </si>
  <si>
    <t>Габарит 240</t>
  </si>
  <si>
    <t>Длина (мм)</t>
  </si>
  <si>
    <t>Масса (кг)</t>
  </si>
  <si>
    <t>Труба       Нар.хВнут. Ø (мм)</t>
  </si>
  <si>
    <t>95х47</t>
  </si>
  <si>
    <t>114х54</t>
  </si>
  <si>
    <t>60х40</t>
  </si>
  <si>
    <t>102х74</t>
  </si>
  <si>
    <t>121х65</t>
  </si>
  <si>
    <t>159х99</t>
  </si>
  <si>
    <t>180х108</t>
  </si>
  <si>
    <t>60х36</t>
  </si>
  <si>
    <t>89х57</t>
  </si>
  <si>
    <t>108х58</t>
  </si>
  <si>
    <t>127х95</t>
  </si>
  <si>
    <t>159х89</t>
  </si>
  <si>
    <t>180х90</t>
  </si>
  <si>
    <t>219х147</t>
  </si>
  <si>
    <t>Расход резины (кг)</t>
  </si>
  <si>
    <t>121х85</t>
  </si>
  <si>
    <t>146х90</t>
  </si>
  <si>
    <t>180х140</t>
  </si>
  <si>
    <t>203х163</t>
  </si>
  <si>
    <t>219х163</t>
  </si>
  <si>
    <t>219х129</t>
  </si>
  <si>
    <t>180х146</t>
  </si>
  <si>
    <t>219х119</t>
  </si>
  <si>
    <t>245х205</t>
  </si>
  <si>
    <t>Подипник упорный 63х34 (мм)</t>
  </si>
  <si>
    <t>Подипник упорный 78х48 (мм)</t>
  </si>
  <si>
    <t>Подипник упорный 100х55 (мм)</t>
  </si>
  <si>
    <t>215х129</t>
  </si>
  <si>
    <t>245х195</t>
  </si>
  <si>
    <t>Цена руб/шт</t>
  </si>
  <si>
    <t>Цена за секцию</t>
  </si>
  <si>
    <t>245х173</t>
  </si>
  <si>
    <t>Подипник упорный 148х92 (мм)</t>
  </si>
  <si>
    <t>245х165</t>
  </si>
  <si>
    <t>273х173</t>
  </si>
  <si>
    <t>Зубок твердосплавный</t>
  </si>
  <si>
    <t>Г5411(8х6)</t>
  </si>
  <si>
    <t>Г5412(10х8)</t>
  </si>
  <si>
    <t>Подипник упорный 205х130 (мм)</t>
  </si>
  <si>
    <t>Г5413(12х10)</t>
  </si>
  <si>
    <t>Металл, кг</t>
  </si>
  <si>
    <t>Расходы на резину</t>
  </si>
  <si>
    <t>Подипник упорный</t>
  </si>
  <si>
    <t>Зубок твердосплавный, к-во</t>
  </si>
  <si>
    <t>Резина</t>
  </si>
  <si>
    <t>Аренда</t>
  </si>
  <si>
    <t>Запасы</t>
  </si>
  <si>
    <t>а</t>
  </si>
  <si>
    <t>пп</t>
  </si>
  <si>
    <t>Покупка земли (2 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</si>
</sst>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 _₽_-;\-* #,##0.00\ _₽_-;_-* &quot;-&quot;??\ _₽_-;_-@_-"/>
    <numFmt numFmtId="164" formatCode="0.0%"/>
    <numFmt numFmtId="165" formatCode="0.0000"/>
    <numFmt numFmtId="166" formatCode="#,##0.0"/>
    <numFmt numFmtId="167" formatCode="#,##0&quot;р.&quot;"/>
    <numFmt numFmtId="168" formatCode="#,##0.00&quot;р.&quot;"/>
    <numFmt numFmtId="169" formatCode="[$€-1809]#,##0"/>
    <numFmt numFmtId="170" formatCode="[$$-409]#,##0"/>
    <numFmt numFmtId="171" formatCode="0.000"/>
    <numFmt numFmtId="172" formatCode="0.0"/>
    <numFmt numFmtId="173" formatCode="[$$-85D]#,##0"/>
    <numFmt numFmtId="174" formatCode="#,##0.00\ [$PLN]"/>
    <numFmt numFmtId="175" formatCode="[$€-2]\ #,##0.00"/>
    <numFmt numFmtId="176" formatCode="[$€-2]\ #,##0"/>
    <numFmt numFmtId="177" formatCode="[$€-2]\ #,##0.0"/>
  </numFmts>
  <fonts count="84" x14ac:knownFonts="1">
    <font>
      <sz val="8"/>
      <color theme="1"/>
      <name val="Arial"/>
      <family val="2"/>
      <charset val="204"/>
    </font>
    <font>
      <sz val="11"/>
      <color theme="1"/>
      <name val="Calibri"/>
      <family val="2"/>
      <charset val="204"/>
      <scheme val="minor"/>
    </font>
    <font>
      <sz val="11"/>
      <color theme="1"/>
      <name val="Calibri"/>
      <family val="2"/>
      <charset val="204"/>
      <scheme val="minor"/>
    </font>
    <font>
      <sz val="8"/>
      <color indexed="8"/>
      <name val="Arial"/>
      <family val="2"/>
      <charset val="204"/>
    </font>
    <font>
      <sz val="8"/>
      <color indexed="8"/>
      <name val="Arial"/>
      <family val="2"/>
      <charset val="204"/>
    </font>
    <font>
      <sz val="8"/>
      <color indexed="23"/>
      <name val="Arial"/>
      <family val="2"/>
      <charset val="204"/>
    </font>
    <font>
      <sz val="12"/>
      <color indexed="8"/>
      <name val="Arial"/>
      <family val="2"/>
      <charset val="204"/>
    </font>
    <font>
      <b/>
      <sz val="12"/>
      <color indexed="56"/>
      <name val="Arial"/>
      <family val="2"/>
      <charset val="204"/>
    </font>
    <font>
      <b/>
      <sz val="8"/>
      <color indexed="8"/>
      <name val="Arial"/>
      <family val="2"/>
      <charset val="204"/>
    </font>
    <font>
      <i/>
      <sz val="8"/>
      <color indexed="8"/>
      <name val="Arial"/>
      <family val="2"/>
      <charset val="204"/>
    </font>
    <font>
      <b/>
      <i/>
      <sz val="8"/>
      <color indexed="60"/>
      <name val="Arial"/>
      <family val="2"/>
      <charset val="204"/>
    </font>
    <font>
      <sz val="8"/>
      <color indexed="60"/>
      <name val="Arial"/>
      <family val="2"/>
      <charset val="204"/>
    </font>
    <font>
      <b/>
      <i/>
      <sz val="8"/>
      <color indexed="8"/>
      <name val="Arial"/>
      <family val="2"/>
      <charset val="204"/>
    </font>
    <font>
      <sz val="8"/>
      <name val="Arial"/>
      <family val="2"/>
      <charset val="204"/>
    </font>
    <font>
      <sz val="8"/>
      <name val="Arial Cyr"/>
      <charset val="204"/>
    </font>
    <font>
      <i/>
      <sz val="8"/>
      <color indexed="10"/>
      <name val="Arial"/>
      <family val="2"/>
      <charset val="204"/>
    </font>
    <font>
      <i/>
      <sz val="12"/>
      <color indexed="8"/>
      <name val="Arial"/>
      <family val="2"/>
      <charset val="204"/>
    </font>
    <font>
      <b/>
      <sz val="8"/>
      <name val="Arial Cyr"/>
      <charset val="204"/>
    </font>
    <font>
      <i/>
      <sz val="8"/>
      <name val="Arial Cyr"/>
      <charset val="204"/>
    </font>
    <font>
      <sz val="8"/>
      <color indexed="8"/>
      <name val="Arial"/>
      <family val="2"/>
      <charset val="204"/>
    </font>
    <font>
      <sz val="8"/>
      <color indexed="10"/>
      <name val="Arial"/>
      <family val="2"/>
      <charset val="204"/>
    </font>
    <font>
      <i/>
      <sz val="8"/>
      <color indexed="10"/>
      <name val="Arial Cyr"/>
      <charset val="204"/>
    </font>
    <font>
      <sz val="9"/>
      <color indexed="81"/>
      <name val="Tahoma"/>
      <family val="2"/>
      <charset val="204"/>
    </font>
    <font>
      <sz val="8"/>
      <name val="Arial Cyr"/>
    </font>
    <font>
      <b/>
      <sz val="9"/>
      <color indexed="81"/>
      <name val="Tahoma"/>
      <family val="2"/>
      <charset val="204"/>
    </font>
    <font>
      <b/>
      <sz val="8"/>
      <color indexed="8"/>
      <name val="Arial"/>
      <family val="2"/>
      <charset val="204"/>
    </font>
    <font>
      <i/>
      <sz val="8"/>
      <color indexed="8"/>
      <name val="Arial"/>
      <family val="2"/>
      <charset val="204"/>
    </font>
    <font>
      <sz val="8"/>
      <color indexed="8"/>
      <name val="Arial"/>
      <family val="2"/>
      <charset val="204"/>
    </font>
    <font>
      <sz val="8"/>
      <name val="Arial Cyr"/>
      <family val="2"/>
      <charset val="204"/>
    </font>
    <font>
      <sz val="8"/>
      <color indexed="9"/>
      <name val="Arial Cyr"/>
      <charset val="204"/>
    </font>
    <font>
      <i/>
      <sz val="10"/>
      <color indexed="23"/>
      <name val="Arial"/>
      <family val="2"/>
      <charset val="204"/>
    </font>
    <font>
      <i/>
      <sz val="8"/>
      <color indexed="8"/>
      <name val="Arial"/>
      <family val="2"/>
      <charset val="204"/>
    </font>
    <font>
      <b/>
      <i/>
      <sz val="8"/>
      <color indexed="8"/>
      <name val="Arial"/>
      <family val="2"/>
      <charset val="204"/>
    </font>
    <font>
      <b/>
      <sz val="8"/>
      <color indexed="8"/>
      <name val="Arial"/>
      <family val="2"/>
      <charset val="204"/>
    </font>
    <font>
      <sz val="8"/>
      <color indexed="9"/>
      <name val="Arial"/>
      <family val="2"/>
      <charset val="204"/>
    </font>
    <font>
      <b/>
      <sz val="8"/>
      <color indexed="9"/>
      <name val="Arial"/>
      <family val="2"/>
      <charset val="204"/>
    </font>
    <font>
      <b/>
      <sz val="8"/>
      <color indexed="8"/>
      <name val="Arial"/>
      <family val="2"/>
      <charset val="204"/>
    </font>
    <font>
      <i/>
      <sz val="8"/>
      <color indexed="8"/>
      <name val="Arial"/>
      <family val="2"/>
      <charset val="204"/>
    </font>
    <font>
      <sz val="10"/>
      <name val="Arial Cyr"/>
    </font>
    <font>
      <b/>
      <sz val="9"/>
      <color indexed="81"/>
      <name val="Arial Cyr"/>
    </font>
    <font>
      <sz val="9"/>
      <color indexed="81"/>
      <name val="Arial Cyr"/>
    </font>
    <font>
      <b/>
      <sz val="8"/>
      <color indexed="8"/>
      <name val="Arial"/>
      <family val="2"/>
      <charset val="204"/>
    </font>
    <font>
      <b/>
      <sz val="9"/>
      <color indexed="81"/>
      <name val="Arial"/>
      <family val="2"/>
    </font>
    <font>
      <sz val="9"/>
      <color indexed="81"/>
      <name val="Arial"/>
      <family val="2"/>
    </font>
    <font>
      <b/>
      <sz val="8"/>
      <color indexed="8"/>
      <name val="Arial"/>
      <family val="2"/>
      <charset val="204"/>
    </font>
    <font>
      <sz val="8"/>
      <color indexed="10"/>
      <name val="Arial Cyr"/>
      <charset val="204"/>
    </font>
    <font>
      <sz val="8"/>
      <color rgb="FF000000"/>
      <name val="Arial"/>
      <family val="2"/>
      <charset val="204"/>
    </font>
    <font>
      <sz val="8"/>
      <color rgb="FF000000"/>
      <name val="Arial Cyr"/>
    </font>
    <font>
      <sz val="7"/>
      <color rgb="FF000000"/>
      <name val="Arial Cyr"/>
    </font>
    <font>
      <i/>
      <sz val="9"/>
      <color rgb="FF800000"/>
      <name val="Calibri"/>
      <family val="2"/>
      <charset val="204"/>
    </font>
    <font>
      <b/>
      <sz val="11"/>
      <color theme="1"/>
      <name val="Calibri"/>
      <family val="2"/>
      <charset val="204"/>
      <scheme val="minor"/>
    </font>
    <font>
      <sz val="10"/>
      <color theme="1"/>
      <name val="Tahoma"/>
      <family val="2"/>
      <charset val="204"/>
    </font>
    <font>
      <sz val="11"/>
      <color theme="1"/>
      <name val="Calibri"/>
      <family val="2"/>
      <scheme val="minor"/>
    </font>
    <font>
      <b/>
      <sz val="10"/>
      <color theme="0"/>
      <name val="Tahoma"/>
      <family val="2"/>
      <charset val="204"/>
    </font>
    <font>
      <sz val="10"/>
      <name val="Arial"/>
      <family val="2"/>
      <charset val="204"/>
    </font>
    <font>
      <sz val="10"/>
      <name val="Tahoma"/>
      <family val="2"/>
      <charset val="204"/>
    </font>
    <font>
      <b/>
      <sz val="10"/>
      <name val="Tahoma"/>
      <family val="2"/>
      <charset val="204"/>
    </font>
    <font>
      <b/>
      <sz val="10"/>
      <color indexed="9"/>
      <name val="Arial"/>
      <family val="2"/>
      <charset val="204"/>
    </font>
    <font>
      <sz val="10"/>
      <color theme="1"/>
      <name val="Palatino Linotype"/>
      <family val="1"/>
      <charset val="204"/>
    </font>
    <font>
      <b/>
      <sz val="10"/>
      <color theme="0"/>
      <name val="Palatino Linotype"/>
      <family val="1"/>
      <charset val="204"/>
    </font>
    <font>
      <b/>
      <sz val="10"/>
      <color indexed="9"/>
      <name val="Palatino Linotype"/>
      <family val="1"/>
      <charset val="204"/>
    </font>
    <font>
      <b/>
      <sz val="10"/>
      <color theme="1"/>
      <name val="Palatino Linotype"/>
      <family val="1"/>
      <charset val="204"/>
    </font>
    <font>
      <sz val="10"/>
      <color rgb="FF000000"/>
      <name val="Palatino Linotype"/>
      <family val="1"/>
      <charset val="204"/>
    </font>
    <font>
      <i/>
      <sz val="10"/>
      <color indexed="8"/>
      <name val="Tahoma"/>
      <family val="2"/>
      <charset val="204"/>
    </font>
    <font>
      <b/>
      <sz val="10"/>
      <color rgb="FF000000"/>
      <name val="Palatino Linotype"/>
      <family val="1"/>
      <charset val="204"/>
    </font>
    <font>
      <sz val="10"/>
      <color theme="0"/>
      <name val="Palatino Linotype"/>
      <family val="1"/>
      <charset val="204"/>
    </font>
    <font>
      <sz val="8"/>
      <color theme="1"/>
      <name val="Palatino Linotype"/>
      <family val="1"/>
      <charset val="204"/>
    </font>
    <font>
      <b/>
      <sz val="10"/>
      <color theme="1"/>
      <name val="Tahoma"/>
      <family val="2"/>
      <charset val="204"/>
    </font>
    <font>
      <b/>
      <sz val="10"/>
      <color theme="1"/>
      <name val="Arial"/>
      <family val="2"/>
      <charset val="204"/>
    </font>
    <font>
      <b/>
      <sz val="11"/>
      <color rgb="FF363636"/>
      <name val="Calibri"/>
      <family val="2"/>
      <charset val="204"/>
      <scheme val="minor"/>
    </font>
    <font>
      <sz val="11"/>
      <color rgb="FF363636"/>
      <name val="Calibri"/>
      <family val="2"/>
      <charset val="204"/>
      <scheme val="minor"/>
    </font>
    <font>
      <b/>
      <sz val="8"/>
      <color theme="1"/>
      <name val="Arial"/>
      <family val="2"/>
      <charset val="204"/>
    </font>
    <font>
      <i/>
      <sz val="8"/>
      <color indexed="8"/>
      <name val="Palatino Linotype"/>
      <family val="1"/>
      <charset val="204"/>
    </font>
    <font>
      <sz val="8"/>
      <name val="Palatino Linotype"/>
      <family val="1"/>
      <charset val="204"/>
    </font>
    <font>
      <b/>
      <sz val="8"/>
      <color indexed="8"/>
      <name val="Palatino Linotype"/>
      <family val="1"/>
      <charset val="204"/>
    </font>
    <font>
      <b/>
      <i/>
      <sz val="8"/>
      <color indexed="8"/>
      <name val="Palatino Linotype"/>
      <family val="1"/>
      <charset val="204"/>
    </font>
    <font>
      <b/>
      <sz val="8"/>
      <name val="Palatino Linotype"/>
      <family val="1"/>
      <charset val="204"/>
    </font>
    <font>
      <sz val="8"/>
      <color indexed="8"/>
      <name val="Palatino Linotype"/>
      <family val="1"/>
      <charset val="204"/>
    </font>
    <font>
      <i/>
      <sz val="8"/>
      <name val="Palatino Linotype"/>
      <family val="1"/>
      <charset val="204"/>
    </font>
    <font>
      <b/>
      <sz val="11"/>
      <color theme="1"/>
      <name val="Palatino Linotype"/>
      <family val="1"/>
      <charset val="204"/>
    </font>
    <font>
      <sz val="11"/>
      <color theme="1"/>
      <name val="Palatino Linotype"/>
      <family val="1"/>
      <charset val="204"/>
    </font>
    <font>
      <i/>
      <sz val="11"/>
      <color theme="1"/>
      <name val="Palatino Linotype"/>
      <family val="1"/>
      <charset val="204"/>
    </font>
    <font>
      <b/>
      <sz val="11"/>
      <color theme="0"/>
      <name val="Palatino Linotype"/>
      <family val="1"/>
      <charset val="204"/>
    </font>
    <font>
      <i/>
      <sz val="10"/>
      <color theme="1"/>
      <name val="Palatino Linotype"/>
      <family val="1"/>
      <charset val="204"/>
    </font>
  </fonts>
  <fills count="2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26"/>
        <bgColor indexed="64"/>
      </patternFill>
    </fill>
    <fill>
      <patternFill patternType="solid">
        <fgColor indexed="47"/>
        <bgColor indexed="64"/>
      </patternFill>
    </fill>
    <fill>
      <patternFill patternType="solid">
        <fgColor indexed="45"/>
        <bgColor indexed="64"/>
      </patternFill>
    </fill>
    <fill>
      <patternFill patternType="solid">
        <fgColor indexed="42"/>
        <bgColor indexed="64"/>
      </patternFill>
    </fill>
    <fill>
      <patternFill patternType="solid">
        <fgColor indexed="41"/>
        <bgColor indexed="64"/>
      </patternFill>
    </fill>
    <fill>
      <patternFill patternType="solid">
        <fgColor indexed="52"/>
        <bgColor indexed="64"/>
      </patternFill>
    </fill>
    <fill>
      <patternFill patternType="solid">
        <fgColor theme="8"/>
        <bgColor indexed="64"/>
      </patternFill>
    </fill>
    <fill>
      <patternFill patternType="solid">
        <fgColor theme="0"/>
        <bgColor indexed="64"/>
      </patternFill>
    </fill>
    <fill>
      <patternFill patternType="solid">
        <fgColor rgb="FFFFFF00"/>
        <bgColor indexed="64"/>
      </patternFill>
    </fill>
    <fill>
      <patternFill patternType="solid">
        <fgColor theme="4"/>
        <bgColor indexed="64"/>
      </patternFill>
    </fill>
    <fill>
      <patternFill patternType="solid">
        <fgColor theme="9" tint="-0.499984740745262"/>
        <bgColor indexed="64"/>
      </patternFill>
    </fill>
    <fill>
      <patternFill patternType="solid">
        <fgColor rgb="FFFFFFFF"/>
        <bgColor indexed="64"/>
      </patternFill>
    </fill>
    <fill>
      <patternFill patternType="solid">
        <fgColor rgb="FFF3F3F3"/>
        <bgColor indexed="64"/>
      </patternFill>
    </fill>
    <fill>
      <patternFill patternType="solid">
        <fgColor theme="3"/>
        <bgColor indexed="64"/>
      </patternFill>
    </fill>
    <fill>
      <patternFill patternType="solid">
        <fgColor theme="9"/>
        <bgColor indexed="64"/>
      </patternFill>
    </fill>
  </fills>
  <borders count="60">
    <border>
      <left/>
      <right/>
      <top/>
      <bottom/>
      <diagonal/>
    </border>
    <border>
      <left/>
      <right/>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auto="1"/>
      </right>
      <top style="medium">
        <color indexed="64"/>
      </top>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medium">
        <color auto="1"/>
      </right>
      <top/>
      <bottom style="thick">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style="medium">
        <color auto="1"/>
      </right>
      <top/>
      <bottom style="thin">
        <color auto="1"/>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medium">
        <color auto="1"/>
      </right>
      <top style="thin">
        <color auto="1"/>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style="medium">
        <color auto="1"/>
      </left>
      <right style="medium">
        <color auto="1"/>
      </right>
      <top style="medium">
        <color indexed="64"/>
      </top>
      <bottom/>
      <diagonal/>
    </border>
    <border>
      <left style="medium">
        <color auto="1"/>
      </left>
      <right style="medium">
        <color auto="1"/>
      </right>
      <top/>
      <bottom/>
      <diagonal/>
    </border>
    <border>
      <left/>
      <right/>
      <top/>
      <bottom style="medium">
        <color rgb="FFCCCCCC"/>
      </bottom>
      <diagonal/>
    </border>
    <border>
      <left/>
      <right/>
      <top style="medium">
        <color rgb="FFCCCCCC"/>
      </top>
      <bottom style="medium">
        <color rgb="FFCCCCCC"/>
      </bottom>
      <diagonal/>
    </border>
    <border>
      <left style="thin">
        <color indexed="64"/>
      </left>
      <right/>
      <top style="thin">
        <color indexed="64"/>
      </top>
      <bottom style="thin">
        <color indexed="64"/>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diagonal/>
    </border>
    <border>
      <left style="medium">
        <color auto="1"/>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indexed="64"/>
      </top>
      <bottom style="thin">
        <color auto="1"/>
      </bottom>
      <diagonal/>
    </border>
    <border>
      <left/>
      <right/>
      <top style="thin">
        <color indexed="64"/>
      </top>
      <bottom style="thin">
        <color auto="1"/>
      </bottom>
      <diagonal/>
    </border>
    <border>
      <left/>
      <right style="medium">
        <color auto="1"/>
      </right>
      <top style="thin">
        <color indexed="64"/>
      </top>
      <bottom style="thin">
        <color auto="1"/>
      </bottom>
      <diagonal/>
    </border>
  </borders>
  <cellStyleXfs count="12">
    <xf numFmtId="0" fontId="0" fillId="0" borderId="0"/>
    <xf numFmtId="0" fontId="3" fillId="0" borderId="0"/>
    <xf numFmtId="9" fontId="4" fillId="0" borderId="0" applyFont="0" applyFill="0" applyBorder="0" applyAlignment="0" applyProtection="0"/>
    <xf numFmtId="0" fontId="52" fillId="0" borderId="0"/>
    <xf numFmtId="0" fontId="54" fillId="0" borderId="0"/>
    <xf numFmtId="0" fontId="2" fillId="0" borderId="0"/>
    <xf numFmtId="0" fontId="54" fillId="0" borderId="0"/>
    <xf numFmtId="9" fontId="2" fillId="0" borderId="0" applyFont="0" applyFill="0" applyBorder="0" applyAlignment="0" applyProtection="0"/>
    <xf numFmtId="9" fontId="54" fillId="0" borderId="0" applyFont="0" applyFill="0" applyBorder="0" applyAlignment="0" applyProtection="0"/>
    <xf numFmtId="43" fontId="2" fillId="0" borderId="0" applyFont="0" applyFill="0" applyBorder="0" applyAlignment="0" applyProtection="0"/>
    <xf numFmtId="9" fontId="3" fillId="0" borderId="0" applyFont="0" applyFill="0" applyBorder="0" applyAlignment="0" applyProtection="0"/>
    <xf numFmtId="0" fontId="1" fillId="0" borderId="0"/>
  </cellStyleXfs>
  <cellXfs count="744">
    <xf numFmtId="0" fontId="0" fillId="0" borderId="0" xfId="0"/>
    <xf numFmtId="0" fontId="5" fillId="0" borderId="0" xfId="0" applyFont="1"/>
    <xf numFmtId="0" fontId="6" fillId="0" borderId="0" xfId="0" applyFont="1"/>
    <xf numFmtId="0" fontId="7" fillId="0" borderId="0" xfId="0" applyFont="1"/>
    <xf numFmtId="0" fontId="0" fillId="0" borderId="0" xfId="0" applyAlignment="1">
      <alignment vertical="center"/>
    </xf>
    <xf numFmtId="0" fontId="0" fillId="0" borderId="0" xfId="0" applyAlignment="1">
      <alignment horizontal="center"/>
    </xf>
    <xf numFmtId="14" fontId="0" fillId="0" borderId="0" xfId="0" applyNumberFormat="1" applyAlignment="1">
      <alignment horizontal="center"/>
    </xf>
    <xf numFmtId="0" fontId="0" fillId="2" borderId="0" xfId="0" applyFill="1"/>
    <xf numFmtId="0" fontId="0" fillId="2" borderId="1" xfId="0" applyFill="1" applyBorder="1"/>
    <xf numFmtId="0" fontId="0" fillId="2" borderId="0" xfId="0" applyFont="1" applyFill="1"/>
    <xf numFmtId="0" fontId="8" fillId="2" borderId="1" xfId="0" applyFont="1" applyFill="1" applyBorder="1" applyAlignment="1">
      <alignment horizontal="left"/>
    </xf>
    <xf numFmtId="0" fontId="9" fillId="0" borderId="0" xfId="0" applyFont="1"/>
    <xf numFmtId="0" fontId="10" fillId="0" borderId="0" xfId="0" applyFont="1"/>
    <xf numFmtId="0" fontId="0" fillId="3" borderId="0" xfId="0" applyFill="1"/>
    <xf numFmtId="0" fontId="0" fillId="2" borderId="0" xfId="0" applyFill="1" applyAlignment="1">
      <alignment vertical="center"/>
    </xf>
    <xf numFmtId="0" fontId="11" fillId="0" borderId="0" xfId="0" applyFont="1"/>
    <xf numFmtId="0" fontId="14" fillId="0" borderId="0" xfId="0" applyFont="1" applyAlignment="1">
      <alignment vertical="center"/>
    </xf>
    <xf numFmtId="0" fontId="14" fillId="0" borderId="0" xfId="0" applyFont="1" applyAlignment="1">
      <alignment horizontal="center" vertical="center"/>
    </xf>
    <xf numFmtId="14" fontId="14" fillId="0" borderId="0" xfId="0" applyNumberFormat="1" applyFont="1" applyAlignment="1">
      <alignment horizontal="center" vertical="center"/>
    </xf>
    <xf numFmtId="0" fontId="0" fillId="0" borderId="0" xfId="0" applyBorder="1"/>
    <xf numFmtId="0" fontId="9" fillId="0" borderId="1" xfId="0" applyFont="1" applyBorder="1"/>
    <xf numFmtId="0" fontId="0" fillId="0" borderId="0" xfId="0" applyFill="1" applyBorder="1" applyAlignment="1">
      <alignment vertical="center"/>
    </xf>
    <xf numFmtId="0" fontId="9" fillId="0" borderId="0" xfId="0" applyFont="1" applyBorder="1"/>
    <xf numFmtId="0" fontId="3" fillId="0" borderId="0" xfId="0" applyFont="1"/>
    <xf numFmtId="0" fontId="3" fillId="0" borderId="0" xfId="0" applyFont="1" applyBorder="1"/>
    <xf numFmtId="3" fontId="0" fillId="0" borderId="0" xfId="0" applyNumberFormat="1" applyFill="1" applyAlignment="1">
      <alignment horizontal="center"/>
    </xf>
    <xf numFmtId="0" fontId="0" fillId="0" borderId="0" xfId="0" applyBorder="1" applyAlignment="1">
      <alignment horizontal="center"/>
    </xf>
    <xf numFmtId="0" fontId="0" fillId="0" borderId="1" xfId="0" applyBorder="1"/>
    <xf numFmtId="0" fontId="14" fillId="0" borderId="1" xfId="0" applyFont="1" applyBorder="1" applyAlignment="1">
      <alignment vertical="center"/>
    </xf>
    <xf numFmtId="0" fontId="0" fillId="0" borderId="1" xfId="0" applyBorder="1" applyAlignment="1">
      <alignment horizontal="center"/>
    </xf>
    <xf numFmtId="164" fontId="14" fillId="0" borderId="0" xfId="2" applyNumberFormat="1" applyFont="1" applyFill="1" applyAlignment="1">
      <alignment vertical="center"/>
    </xf>
    <xf numFmtId="2" fontId="0" fillId="0" borderId="0" xfId="0" applyNumberFormat="1"/>
    <xf numFmtId="2" fontId="14" fillId="0" borderId="0" xfId="2" applyNumberFormat="1" applyFont="1" applyFill="1" applyAlignment="1">
      <alignment vertical="center"/>
    </xf>
    <xf numFmtId="165" fontId="14" fillId="0" borderId="0" xfId="2" applyNumberFormat="1" applyFont="1" applyFill="1" applyAlignment="1">
      <alignment vertical="center"/>
    </xf>
    <xf numFmtId="164" fontId="0" fillId="0" borderId="0" xfId="0" applyNumberFormat="1" applyBorder="1"/>
    <xf numFmtId="0" fontId="8" fillId="0" borderId="0" xfId="0" applyFont="1"/>
    <xf numFmtId="0" fontId="9" fillId="0" borderId="0" xfId="0" applyFont="1" applyAlignment="1">
      <alignment horizontal="center"/>
    </xf>
    <xf numFmtId="0" fontId="16" fillId="0" borderId="0" xfId="0" applyFont="1"/>
    <xf numFmtId="0" fontId="9" fillId="0" borderId="0" xfId="0" applyFont="1" applyFill="1" applyBorder="1" applyAlignment="1">
      <alignment vertical="center"/>
    </xf>
    <xf numFmtId="166" fontId="9" fillId="0" borderId="0" xfId="0" applyNumberFormat="1" applyFont="1"/>
    <xf numFmtId="0" fontId="3" fillId="0" borderId="0" xfId="0" applyFont="1" applyAlignment="1">
      <alignment horizontal="center"/>
    </xf>
    <xf numFmtId="0" fontId="9" fillId="0" borderId="0" xfId="0" applyFont="1" applyFill="1"/>
    <xf numFmtId="166" fontId="3" fillId="0" borderId="0" xfId="0" applyNumberFormat="1" applyFont="1" applyFill="1"/>
    <xf numFmtId="3" fontId="0" fillId="0" borderId="0" xfId="0" applyNumberFormat="1"/>
    <xf numFmtId="164" fontId="0" fillId="0" borderId="0" xfId="0" applyNumberFormat="1" applyFill="1" applyAlignment="1">
      <alignment horizontal="center"/>
    </xf>
    <xf numFmtId="0" fontId="0" fillId="0" borderId="0" xfId="0" applyFill="1" applyBorder="1"/>
    <xf numFmtId="0" fontId="14" fillId="0" borderId="0" xfId="0" applyFont="1" applyBorder="1" applyAlignment="1">
      <alignment vertical="center"/>
    </xf>
    <xf numFmtId="9" fontId="0" fillId="0" borderId="0" xfId="0" applyNumberFormat="1" applyBorder="1"/>
    <xf numFmtId="0" fontId="0" fillId="0" borderId="0" xfId="0" applyFill="1"/>
    <xf numFmtId="49" fontId="3" fillId="0" borderId="0" xfId="0" applyNumberFormat="1" applyFont="1"/>
    <xf numFmtId="0" fontId="14" fillId="0" borderId="0" xfId="0" applyFont="1" applyFill="1" applyAlignment="1">
      <alignment horizontal="center" vertical="center"/>
    </xf>
    <xf numFmtId="0" fontId="12" fillId="0" borderId="0" xfId="0" applyFont="1"/>
    <xf numFmtId="0" fontId="3" fillId="0" borderId="0" xfId="0" applyFont="1" applyFill="1"/>
    <xf numFmtId="3" fontId="14" fillId="0" borderId="0" xfId="0" applyNumberFormat="1" applyFont="1" applyAlignment="1">
      <alignment vertical="center"/>
    </xf>
    <xf numFmtId="3" fontId="9" fillId="0" borderId="0" xfId="0" applyNumberFormat="1" applyFont="1"/>
    <xf numFmtId="3" fontId="17" fillId="0" borderId="0" xfId="0" applyNumberFormat="1" applyFont="1" applyAlignment="1">
      <alignment horizontal="center" vertical="center"/>
    </xf>
    <xf numFmtId="3" fontId="17" fillId="0" borderId="0" xfId="0" applyNumberFormat="1" applyFont="1" applyAlignment="1">
      <alignment vertical="center"/>
    </xf>
    <xf numFmtId="3" fontId="12" fillId="0" borderId="0" xfId="0" applyNumberFormat="1" applyFont="1"/>
    <xf numFmtId="3" fontId="8" fillId="0" borderId="0" xfId="0" applyNumberFormat="1" applyFont="1"/>
    <xf numFmtId="0" fontId="17" fillId="0" borderId="0" xfId="0" applyFont="1" applyAlignment="1">
      <alignment vertical="center"/>
    </xf>
    <xf numFmtId="0" fontId="14" fillId="0" borderId="2" xfId="0" applyFont="1" applyBorder="1" applyAlignment="1">
      <alignment vertical="center"/>
    </xf>
    <xf numFmtId="9" fontId="14" fillId="0" borderId="0" xfId="2" applyFont="1" applyAlignment="1">
      <alignment horizontal="center" vertical="center"/>
    </xf>
    <xf numFmtId="0" fontId="8" fillId="0" borderId="0" xfId="0" applyFont="1" applyBorder="1"/>
    <xf numFmtId="0" fontId="0" fillId="0" borderId="2" xfId="0" applyBorder="1"/>
    <xf numFmtId="0" fontId="9" fillId="0" borderId="2" xfId="0" applyFont="1" applyBorder="1"/>
    <xf numFmtId="3" fontId="0" fillId="0" borderId="0" xfId="0" applyNumberFormat="1" applyBorder="1"/>
    <xf numFmtId="3" fontId="9" fillId="0" borderId="0" xfId="0" applyNumberFormat="1" applyFont="1" applyBorder="1"/>
    <xf numFmtId="0" fontId="0" fillId="0" borderId="2" xfId="0" applyBorder="1" applyAlignment="1">
      <alignment horizontal="center"/>
    </xf>
    <xf numFmtId="9" fontId="0" fillId="0" borderId="2" xfId="0" applyNumberFormat="1" applyBorder="1"/>
    <xf numFmtId="0" fontId="15" fillId="0" borderId="0" xfId="0" applyFont="1" applyBorder="1"/>
    <xf numFmtId="3" fontId="9" fillId="0" borderId="0" xfId="0" applyNumberFormat="1" applyFont="1" applyFill="1" applyBorder="1" applyAlignment="1">
      <alignment horizontal="center"/>
    </xf>
    <xf numFmtId="0" fontId="0" fillId="0" borderId="0" xfId="0" applyAlignment="1">
      <alignment horizontal="left"/>
    </xf>
    <xf numFmtId="166" fontId="14" fillId="0" borderId="0" xfId="0" applyNumberFormat="1" applyFont="1" applyFill="1" applyBorder="1" applyAlignment="1">
      <alignment horizontal="center" vertical="center"/>
    </xf>
    <xf numFmtId="0" fontId="0" fillId="0" borderId="0" xfId="0" applyFill="1" applyAlignment="1">
      <alignment horizontal="center"/>
    </xf>
    <xf numFmtId="0" fontId="14" fillId="0" borderId="0" xfId="0" applyFont="1" applyFill="1" applyBorder="1" applyAlignment="1">
      <alignment vertical="center"/>
    </xf>
    <xf numFmtId="9" fontId="0" fillId="0" borderId="0" xfId="0" applyNumberFormat="1" applyFill="1"/>
    <xf numFmtId="0" fontId="0" fillId="0" borderId="2" xfId="0" applyFill="1" applyBorder="1"/>
    <xf numFmtId="0" fontId="9" fillId="0" borderId="0" xfId="0" applyFont="1" applyFill="1" applyBorder="1"/>
    <xf numFmtId="166" fontId="12" fillId="0" borderId="0" xfId="0" applyNumberFormat="1" applyFont="1"/>
    <xf numFmtId="9" fontId="14" fillId="0" borderId="0" xfId="2" applyFont="1" applyFill="1" applyBorder="1" applyAlignment="1">
      <alignment horizontal="center" vertical="center"/>
    </xf>
    <xf numFmtId="4" fontId="14" fillId="0" borderId="0" xfId="2" applyNumberFormat="1" applyFont="1" applyFill="1" applyAlignment="1">
      <alignment horizontal="center" vertical="center"/>
    </xf>
    <xf numFmtId="9" fontId="14" fillId="0" borderId="0" xfId="2" applyFont="1" applyFill="1" applyAlignment="1">
      <alignment horizontal="center" vertical="center"/>
    </xf>
    <xf numFmtId="4" fontId="14" fillId="0" borderId="0" xfId="0" applyNumberFormat="1" applyFont="1" applyFill="1" applyAlignment="1">
      <alignment vertical="center"/>
    </xf>
    <xf numFmtId="3" fontId="14" fillId="0" borderId="0" xfId="0" applyNumberFormat="1" applyFont="1" applyFill="1" applyBorder="1" applyAlignment="1">
      <alignment vertical="center"/>
    </xf>
    <xf numFmtId="3" fontId="14" fillId="0" borderId="0" xfId="0" applyNumberFormat="1" applyFont="1" applyFill="1" applyAlignment="1">
      <alignment vertical="center"/>
    </xf>
    <xf numFmtId="0" fontId="9" fillId="0" borderId="0" xfId="0" applyFont="1" applyAlignment="1">
      <alignment horizontal="left"/>
    </xf>
    <xf numFmtId="3" fontId="14" fillId="0" borderId="0" xfId="0" applyNumberFormat="1" applyFont="1" applyFill="1" applyAlignment="1">
      <alignment horizontal="center" vertical="center"/>
    </xf>
    <xf numFmtId="0" fontId="3" fillId="0" borderId="0" xfId="0" applyFont="1" applyFill="1" applyAlignment="1">
      <alignment horizontal="center"/>
    </xf>
    <xf numFmtId="3" fontId="17" fillId="0" borderId="0" xfId="0" applyNumberFormat="1" applyFont="1" applyBorder="1" applyAlignment="1">
      <alignment vertical="center"/>
    </xf>
    <xf numFmtId="0" fontId="18" fillId="0" borderId="0" xfId="0" applyFont="1" applyAlignment="1">
      <alignment vertical="center"/>
    </xf>
    <xf numFmtId="3" fontId="18" fillId="0" borderId="0" xfId="0" applyNumberFormat="1" applyFont="1" applyAlignment="1">
      <alignment vertical="center"/>
    </xf>
    <xf numFmtId="166" fontId="9" fillId="0" borderId="0" xfId="0" applyNumberFormat="1" applyFont="1" applyFill="1"/>
    <xf numFmtId="3" fontId="3" fillId="0" borderId="0" xfId="0" applyNumberFormat="1" applyFont="1" applyFill="1" applyAlignment="1">
      <alignment horizontal="center"/>
    </xf>
    <xf numFmtId="3" fontId="9" fillId="0" borderId="0" xfId="0" applyNumberFormat="1" applyFont="1" applyFill="1"/>
    <xf numFmtId="3" fontId="12" fillId="0" borderId="0" xfId="0" applyNumberFormat="1" applyFont="1" applyFill="1"/>
    <xf numFmtId="0" fontId="9" fillId="0" borderId="0" xfId="0" applyFont="1" applyBorder="1" applyAlignment="1">
      <alignment horizontal="left"/>
    </xf>
    <xf numFmtId="3" fontId="12" fillId="0" borderId="0" xfId="0" applyNumberFormat="1" applyFont="1" applyBorder="1"/>
    <xf numFmtId="1" fontId="0" fillId="0" borderId="0" xfId="0" applyNumberFormat="1" applyBorder="1"/>
    <xf numFmtId="3" fontId="8" fillId="0" borderId="0" xfId="0" applyNumberFormat="1" applyFont="1" applyBorder="1"/>
    <xf numFmtId="0" fontId="0" fillId="0" borderId="0" xfId="0" applyFill="1" applyBorder="1" applyAlignment="1">
      <alignment horizontal="center"/>
    </xf>
    <xf numFmtId="0" fontId="14" fillId="0" borderId="0" xfId="0" applyFont="1" applyFill="1" applyAlignment="1">
      <alignment vertical="center"/>
    </xf>
    <xf numFmtId="3" fontId="0" fillId="0" borderId="0" xfId="0" applyNumberFormat="1" applyFill="1" applyBorder="1"/>
    <xf numFmtId="1" fontId="0" fillId="0" borderId="0" xfId="0" applyNumberFormat="1" applyFill="1" applyBorder="1"/>
    <xf numFmtId="3" fontId="9" fillId="0" borderId="0" xfId="0" applyNumberFormat="1" applyFont="1" applyFill="1" applyBorder="1"/>
    <xf numFmtId="3" fontId="12" fillId="0" borderId="0" xfId="0" applyNumberFormat="1" applyFont="1" applyFill="1" applyBorder="1"/>
    <xf numFmtId="3" fontId="0" fillId="0" borderId="0" xfId="0" applyNumberFormat="1" applyFill="1"/>
    <xf numFmtId="0" fontId="18" fillId="0" borderId="0" xfId="0" applyFont="1" applyAlignment="1">
      <alignment horizontal="left" vertical="center"/>
    </xf>
    <xf numFmtId="9" fontId="0" fillId="0" borderId="0" xfId="0" applyNumberFormat="1"/>
    <xf numFmtId="3" fontId="3" fillId="0" borderId="0" xfId="0" applyNumberFormat="1" applyFont="1"/>
    <xf numFmtId="0" fontId="9" fillId="0" borderId="0" xfId="0" applyFont="1" applyFill="1" applyBorder="1" applyAlignment="1">
      <alignment horizontal="center" vertical="center"/>
    </xf>
    <xf numFmtId="3" fontId="14" fillId="0" borderId="0" xfId="0" applyNumberFormat="1" applyFont="1" applyBorder="1" applyAlignment="1">
      <alignment vertical="center"/>
    </xf>
    <xf numFmtId="0" fontId="3" fillId="0" borderId="2" xfId="0" applyFont="1" applyBorder="1"/>
    <xf numFmtId="14" fontId="0" fillId="4" borderId="3" xfId="0" applyNumberFormat="1" applyFill="1" applyBorder="1" applyAlignment="1">
      <alignment vertical="center"/>
    </xf>
    <xf numFmtId="0" fontId="3" fillId="0" borderId="2" xfId="0" applyFont="1" applyBorder="1" applyAlignment="1">
      <alignment horizontal="center"/>
    </xf>
    <xf numFmtId="0" fontId="3" fillId="0" borderId="0" xfId="0" applyFont="1" applyBorder="1" applyAlignment="1">
      <alignment horizontal="center"/>
    </xf>
    <xf numFmtId="0" fontId="19" fillId="0" borderId="0" xfId="0" applyFont="1"/>
    <xf numFmtId="0" fontId="18" fillId="0" borderId="0" xfId="0" applyFont="1" applyAlignment="1">
      <alignment horizontal="center" vertical="center"/>
    </xf>
    <xf numFmtId="3" fontId="18" fillId="0" borderId="0" xfId="0" applyNumberFormat="1" applyFont="1" applyBorder="1" applyAlignment="1">
      <alignment vertical="center"/>
    </xf>
    <xf numFmtId="0" fontId="14" fillId="0" borderId="4" xfId="0" applyFont="1" applyBorder="1" applyAlignment="1">
      <alignment horizontal="left" vertical="center" wrapText="1"/>
    </xf>
    <xf numFmtId="3" fontId="8" fillId="0" borderId="0" xfId="0" applyNumberFormat="1" applyFont="1" applyFill="1" applyAlignment="1">
      <alignment horizontal="center"/>
    </xf>
    <xf numFmtId="3" fontId="0" fillId="0" borderId="2" xfId="0" applyNumberFormat="1" applyBorder="1"/>
    <xf numFmtId="3" fontId="9" fillId="0" borderId="2" xfId="0" applyNumberFormat="1" applyFont="1" applyBorder="1"/>
    <xf numFmtId="3" fontId="14" fillId="0" borderId="2" xfId="0" applyNumberFormat="1" applyFont="1" applyBorder="1" applyAlignment="1">
      <alignment vertical="center"/>
    </xf>
    <xf numFmtId="0" fontId="12" fillId="0" borderId="0" xfId="0" applyFont="1" applyBorder="1" applyAlignment="1">
      <alignment horizontal="left"/>
    </xf>
    <xf numFmtId="0" fontId="8" fillId="0" borderId="0" xfId="0" applyFont="1" applyFill="1" applyBorder="1"/>
    <xf numFmtId="0" fontId="12" fillId="0" borderId="0" xfId="0" applyFont="1" applyFill="1" applyBorder="1" applyAlignment="1">
      <alignment horizontal="left"/>
    </xf>
    <xf numFmtId="9" fontId="0" fillId="0" borderId="0" xfId="0" applyNumberFormat="1" applyFill="1" applyBorder="1"/>
    <xf numFmtId="0" fontId="3" fillId="0" borderId="0" xfId="0" applyFont="1" applyFill="1" applyBorder="1"/>
    <xf numFmtId="0" fontId="8" fillId="0" borderId="1" xfId="0" applyFont="1" applyBorder="1"/>
    <xf numFmtId="0" fontId="8" fillId="0" borderId="0" xfId="0" applyFont="1" applyFill="1"/>
    <xf numFmtId="3" fontId="0" fillId="0" borderId="0" xfId="0" applyNumberFormat="1" applyAlignment="1">
      <alignment horizontal="center"/>
    </xf>
    <xf numFmtId="16" fontId="3" fillId="0" borderId="0" xfId="0" applyNumberFormat="1" applyFont="1"/>
    <xf numFmtId="0" fontId="3" fillId="0" borderId="1" xfId="0" applyFont="1" applyBorder="1"/>
    <xf numFmtId="0" fontId="20" fillId="0" borderId="0" xfId="0" applyFont="1"/>
    <xf numFmtId="9" fontId="0" fillId="0" borderId="0" xfId="0" applyNumberFormat="1" applyFill="1" applyAlignment="1">
      <alignment horizontal="center"/>
    </xf>
    <xf numFmtId="2" fontId="0" fillId="0" borderId="0" xfId="0" applyNumberFormat="1" applyAlignment="1">
      <alignment horizontal="center"/>
    </xf>
    <xf numFmtId="164" fontId="14" fillId="0" borderId="0" xfId="2" applyNumberFormat="1" applyFont="1" applyFill="1" applyAlignment="1">
      <alignment horizontal="center" vertical="center"/>
    </xf>
    <xf numFmtId="3" fontId="0" fillId="0" borderId="0" xfId="0" applyNumberFormat="1" applyBorder="1" applyAlignment="1">
      <alignment horizontal="center"/>
    </xf>
    <xf numFmtId="3" fontId="14" fillId="0" borderId="0" xfId="0" applyNumberFormat="1" applyFont="1" applyFill="1" applyBorder="1" applyAlignment="1">
      <alignment horizontal="center" vertical="center"/>
    </xf>
    <xf numFmtId="0" fontId="8" fillId="0" borderId="2" xfId="0" applyFont="1" applyBorder="1"/>
    <xf numFmtId="4" fontId="14" fillId="0" borderId="0" xfId="0" applyNumberFormat="1" applyFont="1" applyFill="1" applyBorder="1" applyAlignment="1">
      <alignment vertical="center"/>
    </xf>
    <xf numFmtId="3" fontId="0" fillId="0" borderId="1" xfId="0" applyNumberFormat="1" applyFill="1" applyBorder="1"/>
    <xf numFmtId="0" fontId="19" fillId="0" borderId="0" xfId="0" applyFont="1" applyAlignment="1">
      <alignment vertical="center"/>
    </xf>
    <xf numFmtId="3" fontId="14" fillId="0" borderId="0" xfId="0" applyNumberFormat="1" applyFont="1" applyAlignment="1">
      <alignment horizontal="center" vertical="center"/>
    </xf>
    <xf numFmtId="3" fontId="12" fillId="0" borderId="1" xfId="0" applyNumberFormat="1" applyFont="1" applyBorder="1"/>
    <xf numFmtId="0" fontId="21" fillId="0" borderId="2" xfId="0" applyFont="1" applyBorder="1" applyAlignment="1">
      <alignment horizontal="left" vertical="center"/>
    </xf>
    <xf numFmtId="3" fontId="18" fillId="0" borderId="2" xfId="0" applyNumberFormat="1" applyFont="1" applyBorder="1" applyAlignment="1">
      <alignment vertical="center"/>
    </xf>
    <xf numFmtId="0" fontId="14" fillId="0" borderId="0" xfId="0" applyFont="1" applyFill="1" applyBorder="1" applyAlignment="1">
      <alignment horizontal="center" vertical="center"/>
    </xf>
    <xf numFmtId="0" fontId="21" fillId="0" borderId="0" xfId="0" applyFont="1" applyBorder="1" applyAlignment="1">
      <alignment horizontal="left" vertical="center"/>
    </xf>
    <xf numFmtId="2" fontId="17" fillId="0" borderId="0" xfId="0" applyNumberFormat="1" applyFont="1" applyAlignment="1">
      <alignment horizontal="center" vertical="center"/>
    </xf>
    <xf numFmtId="3" fontId="8" fillId="0" borderId="0" xfId="0" applyNumberFormat="1" applyFont="1" applyAlignment="1">
      <alignment horizontal="center"/>
    </xf>
    <xf numFmtId="164" fontId="17" fillId="0" borderId="0" xfId="2" applyNumberFormat="1" applyFont="1" applyAlignment="1">
      <alignment horizontal="center" vertical="center"/>
    </xf>
    <xf numFmtId="9" fontId="14" fillId="0" borderId="0" xfId="0" applyNumberFormat="1" applyFont="1" applyAlignment="1">
      <alignment vertical="center"/>
    </xf>
    <xf numFmtId="9" fontId="0" fillId="0" borderId="0" xfId="0" applyNumberFormat="1" applyAlignment="1">
      <alignment horizontal="center"/>
    </xf>
    <xf numFmtId="0" fontId="8" fillId="0" borderId="0" xfId="0" applyFont="1" applyAlignment="1">
      <alignment wrapText="1"/>
    </xf>
    <xf numFmtId="164" fontId="0" fillId="0" borderId="0" xfId="0" applyNumberFormat="1" applyAlignment="1">
      <alignment horizontal="center"/>
    </xf>
    <xf numFmtId="2" fontId="0" fillId="0" borderId="0" xfId="0" applyNumberFormat="1" applyBorder="1" applyAlignment="1">
      <alignment horizontal="center"/>
    </xf>
    <xf numFmtId="164" fontId="14" fillId="0" borderId="0" xfId="2" applyNumberFormat="1" applyFont="1" applyAlignment="1">
      <alignment horizontal="center" vertical="center"/>
    </xf>
    <xf numFmtId="164" fontId="0" fillId="0" borderId="0" xfId="0" applyNumberFormat="1" applyFill="1" applyBorder="1" applyAlignment="1">
      <alignment horizontal="center"/>
    </xf>
    <xf numFmtId="3" fontId="8" fillId="0" borderId="0" xfId="0" applyNumberFormat="1" applyFont="1" applyFill="1"/>
    <xf numFmtId="0" fontId="12" fillId="0" borderId="2" xfId="0" applyFont="1" applyBorder="1"/>
    <xf numFmtId="3" fontId="3" fillId="0" borderId="0" xfId="0" applyNumberFormat="1" applyFont="1" applyBorder="1"/>
    <xf numFmtId="164" fontId="0" fillId="0" borderId="0" xfId="0" applyNumberFormat="1"/>
    <xf numFmtId="2" fontId="14" fillId="0" borderId="0" xfId="0" applyNumberFormat="1" applyFont="1" applyAlignment="1">
      <alignment horizontal="center" vertical="center"/>
    </xf>
    <xf numFmtId="0" fontId="0" fillId="5" borderId="0" xfId="0" applyFill="1"/>
    <xf numFmtId="0" fontId="0" fillId="4" borderId="3" xfId="0" applyFill="1" applyBorder="1" applyAlignment="1">
      <alignment vertical="center"/>
    </xf>
    <xf numFmtId="0" fontId="9" fillId="4" borderId="3" xfId="0" applyFont="1" applyFill="1" applyBorder="1" applyAlignment="1">
      <alignment vertical="center"/>
    </xf>
    <xf numFmtId="0" fontId="25" fillId="2" borderId="0" xfId="0" applyFont="1" applyFill="1" applyAlignment="1">
      <alignment vertical="center"/>
    </xf>
    <xf numFmtId="0" fontId="25" fillId="0" borderId="0" xfId="0" applyFont="1" applyFill="1" applyBorder="1"/>
    <xf numFmtId="0" fontId="26" fillId="0" borderId="0" xfId="0" applyFont="1" applyFill="1"/>
    <xf numFmtId="0" fontId="26" fillId="0" borderId="0" xfId="0" applyFont="1" applyFill="1" applyBorder="1"/>
    <xf numFmtId="0" fontId="26" fillId="0" borderId="0" xfId="0" applyFont="1" applyFill="1" applyAlignment="1">
      <alignment horizontal="center"/>
    </xf>
    <xf numFmtId="0" fontId="0" fillId="0" borderId="1" xfId="0" applyFill="1" applyBorder="1"/>
    <xf numFmtId="0" fontId="0" fillId="0" borderId="0" xfId="0" applyBorder="1" applyAlignment="1">
      <alignment vertical="center"/>
    </xf>
    <xf numFmtId="14" fontId="0" fillId="6" borderId="0" xfId="0" applyNumberFormat="1" applyFill="1" applyAlignment="1">
      <alignment horizontal="center"/>
    </xf>
    <xf numFmtId="0" fontId="0" fillId="6" borderId="5" xfId="0" applyFill="1" applyBorder="1"/>
    <xf numFmtId="0" fontId="0" fillId="6" borderId="0" xfId="0" applyFill="1" applyAlignment="1">
      <alignment horizontal="left"/>
    </xf>
    <xf numFmtId="0" fontId="0" fillId="4" borderId="3" xfId="0" applyFill="1" applyBorder="1" applyAlignment="1">
      <alignment horizontal="center" vertical="center"/>
    </xf>
    <xf numFmtId="0" fontId="25" fillId="0" borderId="0" xfId="0" applyFont="1"/>
    <xf numFmtId="0" fontId="0" fillId="0" borderId="0" xfId="0" applyFont="1"/>
    <xf numFmtId="0" fontId="26" fillId="0" borderId="0" xfId="0" applyFont="1"/>
    <xf numFmtId="0" fontId="0" fillId="2" borderId="0" xfId="0" applyFont="1" applyFill="1" applyBorder="1" applyAlignment="1">
      <alignment horizontal="center" vertical="center"/>
    </xf>
    <xf numFmtId="0" fontId="25" fillId="6" borderId="0" xfId="0" applyFont="1" applyFill="1"/>
    <xf numFmtId="0" fontId="0" fillId="6" borderId="0" xfId="0" applyFill="1"/>
    <xf numFmtId="14" fontId="0" fillId="6" borderId="0" xfId="0" applyNumberFormat="1" applyFont="1" applyFill="1" applyAlignment="1">
      <alignment horizontal="center"/>
    </xf>
    <xf numFmtId="0" fontId="0" fillId="6" borderId="0" xfId="0" applyFont="1" applyFill="1" applyAlignment="1">
      <alignment horizontal="center"/>
    </xf>
    <xf numFmtId="0" fontId="0" fillId="6" borderId="0" xfId="0" applyFill="1" applyAlignment="1">
      <alignment horizontal="center"/>
    </xf>
    <xf numFmtId="0" fontId="0" fillId="6" borderId="0" xfId="0" applyFill="1" applyBorder="1" applyAlignment="1">
      <alignment horizontal="center"/>
    </xf>
    <xf numFmtId="0" fontId="26" fillId="6" borderId="0" xfId="0" applyFont="1" applyFill="1"/>
    <xf numFmtId="0" fontId="0" fillId="6" borderId="1" xfId="0" applyFill="1" applyBorder="1"/>
    <xf numFmtId="0" fontId="0" fillId="2" borderId="5" xfId="0" applyFill="1" applyBorder="1" applyAlignment="1">
      <alignment vertical="center"/>
    </xf>
    <xf numFmtId="0" fontId="0" fillId="6" borderId="5" xfId="0" applyFill="1" applyBorder="1" applyAlignment="1">
      <alignment horizontal="center"/>
    </xf>
    <xf numFmtId="0" fontId="0" fillId="6" borderId="5" xfId="0" applyFont="1" applyFill="1" applyBorder="1" applyAlignment="1">
      <alignment horizontal="center"/>
    </xf>
    <xf numFmtId="0" fontId="0" fillId="6" borderId="6" xfId="0" applyFill="1" applyBorder="1"/>
    <xf numFmtId="0" fontId="9" fillId="4" borderId="3" xfId="0" applyFont="1" applyFill="1" applyBorder="1" applyAlignment="1">
      <alignment horizontal="center" vertical="center"/>
    </xf>
    <xf numFmtId="3" fontId="9" fillId="0" borderId="0" xfId="0" applyNumberFormat="1" applyFont="1" applyAlignment="1">
      <alignment horizontal="center"/>
    </xf>
    <xf numFmtId="0" fontId="9" fillId="0" borderId="0" xfId="0" applyFont="1" applyFill="1" applyAlignment="1">
      <alignment horizontal="center"/>
    </xf>
    <xf numFmtId="0" fontId="9" fillId="0" borderId="0" xfId="0" applyFont="1" applyFill="1" applyAlignment="1">
      <alignment horizontal="left"/>
    </xf>
    <xf numFmtId="0" fontId="9" fillId="0" borderId="0" xfId="0" applyFont="1" applyBorder="1" applyAlignment="1">
      <alignment horizontal="center"/>
    </xf>
    <xf numFmtId="0" fontId="26" fillId="4" borderId="3" xfId="0" applyFont="1" applyFill="1" applyBorder="1" applyAlignment="1">
      <alignment vertical="center"/>
    </xf>
    <xf numFmtId="0" fontId="12" fillId="0" borderId="0" xfId="0" applyFont="1" applyFill="1" applyBorder="1"/>
    <xf numFmtId="0" fontId="26" fillId="0" borderId="0" xfId="0" applyFont="1" applyAlignment="1">
      <alignment vertical="center"/>
    </xf>
    <xf numFmtId="3" fontId="26" fillId="0" borderId="0" xfId="0" applyNumberFormat="1" applyFont="1"/>
    <xf numFmtId="0" fontId="26" fillId="0" borderId="2" xfId="0" applyFont="1" applyBorder="1"/>
    <xf numFmtId="0" fontId="14" fillId="0" borderId="0" xfId="0" applyFont="1"/>
    <xf numFmtId="0" fontId="26" fillId="0" borderId="0" xfId="0" applyFont="1" applyBorder="1"/>
    <xf numFmtId="3" fontId="25" fillId="0" borderId="0" xfId="0" applyNumberFormat="1" applyFont="1"/>
    <xf numFmtId="0" fontId="27" fillId="0" borderId="0" xfId="0" applyFont="1"/>
    <xf numFmtId="0" fontId="26" fillId="0" borderId="0" xfId="0" applyFont="1" applyAlignment="1">
      <alignment horizontal="center"/>
    </xf>
    <xf numFmtId="3" fontId="3" fillId="0" borderId="0" xfId="0" applyNumberFormat="1" applyFont="1" applyFill="1"/>
    <xf numFmtId="164" fontId="0" fillId="0" borderId="0" xfId="0" applyNumberFormat="1" applyFill="1"/>
    <xf numFmtId="164" fontId="9" fillId="0" borderId="0" xfId="0" applyNumberFormat="1" applyFont="1" applyAlignment="1">
      <alignment horizontal="left"/>
    </xf>
    <xf numFmtId="2" fontId="14" fillId="0" borderId="1" xfId="0" applyNumberFormat="1" applyFont="1" applyBorder="1" applyAlignment="1">
      <alignment horizontal="center" vertical="center"/>
    </xf>
    <xf numFmtId="2" fontId="9" fillId="0" borderId="0" xfId="0" applyNumberFormat="1" applyFont="1" applyFill="1"/>
    <xf numFmtId="0" fontId="14" fillId="0" borderId="2" xfId="0" applyFont="1" applyBorder="1" applyAlignment="1">
      <alignment horizontal="center" vertical="center"/>
    </xf>
    <xf numFmtId="0" fontId="18" fillId="0" borderId="0" xfId="0" applyFont="1" applyFill="1" applyAlignment="1">
      <alignment horizontal="left" vertical="center"/>
    </xf>
    <xf numFmtId="0" fontId="28" fillId="0" borderId="0" xfId="0" applyFont="1"/>
    <xf numFmtId="0" fontId="28" fillId="0" borderId="0" xfId="0" applyFont="1" applyFill="1"/>
    <xf numFmtId="0" fontId="14" fillId="0" borderId="0" xfId="0" applyFont="1" applyAlignment="1">
      <alignment horizontal="left" wrapText="1"/>
    </xf>
    <xf numFmtId="0" fontId="14" fillId="0" borderId="0" xfId="0" applyFont="1" applyFill="1" applyBorder="1" applyAlignment="1">
      <alignment horizontal="left" wrapText="1"/>
    </xf>
    <xf numFmtId="0" fontId="18" fillId="0" borderId="0" xfId="0" applyFont="1"/>
    <xf numFmtId="0" fontId="3" fillId="0" borderId="0" xfId="0" applyFont="1" applyFill="1" applyAlignment="1">
      <alignment horizontal="left"/>
    </xf>
    <xf numFmtId="164" fontId="17" fillId="0" borderId="0" xfId="2" applyNumberFormat="1" applyFont="1" applyFill="1" applyAlignment="1">
      <alignment horizontal="center" vertical="center"/>
    </xf>
    <xf numFmtId="0" fontId="30" fillId="0" borderId="0" xfId="0" applyFont="1"/>
    <xf numFmtId="0" fontId="3" fillId="0" borderId="0" xfId="0" applyFont="1" applyAlignment="1">
      <alignment horizontal="left"/>
    </xf>
    <xf numFmtId="0" fontId="0" fillId="7" borderId="0" xfId="0" applyFill="1"/>
    <xf numFmtId="0" fontId="31" fillId="0" borderId="0" xfId="0" applyFont="1"/>
    <xf numFmtId="0" fontId="0" fillId="0" borderId="0" xfId="0" applyAlignment="1">
      <alignment horizontal="right"/>
    </xf>
    <xf numFmtId="0" fontId="0" fillId="7" borderId="0" xfId="0" applyFill="1" applyAlignment="1">
      <alignment horizontal="center"/>
    </xf>
    <xf numFmtId="9" fontId="31" fillId="0" borderId="0" xfId="0" applyNumberFormat="1" applyFont="1" applyAlignment="1">
      <alignment horizontal="center"/>
    </xf>
    <xf numFmtId="0" fontId="32" fillId="0" borderId="0" xfId="0" applyFont="1" applyBorder="1" applyAlignment="1">
      <alignment horizontal="right"/>
    </xf>
    <xf numFmtId="0" fontId="0" fillId="7" borderId="0" xfId="0" applyFill="1" applyBorder="1"/>
    <xf numFmtId="0" fontId="32" fillId="7" borderId="0" xfId="0" applyFont="1" applyFill="1" applyBorder="1" applyAlignment="1">
      <alignment horizontal="right"/>
    </xf>
    <xf numFmtId="0" fontId="0" fillId="7" borderId="0" xfId="0" applyFill="1" applyAlignment="1">
      <alignment horizontal="right"/>
    </xf>
    <xf numFmtId="0" fontId="32" fillId="0" borderId="0" xfId="0" applyFont="1" applyBorder="1" applyAlignment="1">
      <alignment horizontal="left"/>
    </xf>
    <xf numFmtId="0" fontId="0" fillId="0" borderId="0" xfId="0" applyFill="1" applyAlignment="1">
      <alignment horizontal="right"/>
    </xf>
    <xf numFmtId="0" fontId="33" fillId="0" borderId="0" xfId="0" applyFont="1" applyBorder="1" applyAlignment="1">
      <alignment horizontal="left"/>
    </xf>
    <xf numFmtId="3" fontId="31" fillId="0" borderId="0" xfId="0" applyNumberFormat="1" applyFont="1"/>
    <xf numFmtId="0" fontId="33" fillId="0" borderId="1" xfId="0" applyFont="1" applyBorder="1"/>
    <xf numFmtId="0" fontId="33" fillId="0" borderId="1" xfId="0" applyFont="1" applyBorder="1" applyAlignment="1">
      <alignment horizontal="center"/>
    </xf>
    <xf numFmtId="9" fontId="31" fillId="0" borderId="1" xfId="0" applyNumberFormat="1" applyFont="1" applyBorder="1" applyAlignment="1">
      <alignment horizontal="center"/>
    </xf>
    <xf numFmtId="3" fontId="31" fillId="0" borderId="1" xfId="0" applyNumberFormat="1" applyFont="1" applyBorder="1"/>
    <xf numFmtId="3" fontId="29" fillId="0" borderId="0" xfId="0" applyNumberFormat="1" applyFont="1" applyAlignment="1">
      <alignment vertical="center"/>
    </xf>
    <xf numFmtId="0" fontId="34" fillId="0" borderId="0" xfId="0" applyFont="1"/>
    <xf numFmtId="3" fontId="35" fillId="0" borderId="0" xfId="0" applyNumberFormat="1" applyFont="1"/>
    <xf numFmtId="3" fontId="34" fillId="0" borderId="0" xfId="0" applyNumberFormat="1" applyFont="1"/>
    <xf numFmtId="3" fontId="19" fillId="0" borderId="0" xfId="0" applyNumberFormat="1" applyFont="1"/>
    <xf numFmtId="3" fontId="19" fillId="0" borderId="0" xfId="0" applyNumberFormat="1" applyFont="1" applyFill="1"/>
    <xf numFmtId="3" fontId="27" fillId="0" borderId="0" xfId="0" applyNumberFormat="1" applyFont="1"/>
    <xf numFmtId="3" fontId="27" fillId="0" borderId="0" xfId="0" applyNumberFormat="1" applyFont="1" applyFill="1"/>
    <xf numFmtId="9" fontId="0" fillId="0" borderId="0" xfId="0" applyNumberFormat="1" applyFill="1" applyAlignment="1">
      <alignment horizontal="right"/>
    </xf>
    <xf numFmtId="2" fontId="0" fillId="0" borderId="0" xfId="0" applyNumberFormat="1" applyAlignment="1">
      <alignment horizontal="right"/>
    </xf>
    <xf numFmtId="0" fontId="12" fillId="8" borderId="0" xfId="0" applyFont="1" applyFill="1" applyProtection="1">
      <protection locked="0"/>
    </xf>
    <xf numFmtId="0" fontId="0" fillId="8" borderId="0" xfId="0" applyFill="1" applyProtection="1">
      <protection locked="0"/>
    </xf>
    <xf numFmtId="0" fontId="0" fillId="8" borderId="0" xfId="0" applyFill="1" applyAlignment="1" applyProtection="1">
      <alignment horizontal="center"/>
      <protection locked="0"/>
    </xf>
    <xf numFmtId="3" fontId="0" fillId="8" borderId="0" xfId="0" applyNumberFormat="1" applyFill="1" applyAlignment="1" applyProtection="1">
      <alignment horizontal="center"/>
      <protection locked="0"/>
    </xf>
    <xf numFmtId="164" fontId="0" fillId="8" borderId="0" xfId="0" applyNumberFormat="1" applyFill="1" applyProtection="1">
      <protection locked="0"/>
    </xf>
    <xf numFmtId="165" fontId="0" fillId="8" borderId="0" xfId="0" applyNumberFormat="1" applyFill="1" applyProtection="1">
      <protection locked="0"/>
    </xf>
    <xf numFmtId="0" fontId="14" fillId="8" borderId="0" xfId="0" applyFont="1" applyFill="1" applyAlignment="1" applyProtection="1">
      <alignment horizontal="center" vertical="center"/>
      <protection locked="0"/>
    </xf>
    <xf numFmtId="164" fontId="14" fillId="8" borderId="0" xfId="0" applyNumberFormat="1" applyFont="1" applyFill="1" applyAlignment="1" applyProtection="1">
      <alignment horizontal="center" vertical="center"/>
      <protection locked="0"/>
    </xf>
    <xf numFmtId="0" fontId="0" fillId="8" borderId="0" xfId="0" applyFill="1" applyBorder="1" applyAlignment="1" applyProtection="1">
      <alignment horizontal="center"/>
      <protection locked="0"/>
    </xf>
    <xf numFmtId="3" fontId="14" fillId="8" borderId="0" xfId="0" applyNumberFormat="1" applyFont="1" applyFill="1" applyAlignment="1" applyProtection="1">
      <alignment horizontal="center" vertical="center"/>
      <protection locked="0"/>
    </xf>
    <xf numFmtId="0" fontId="9" fillId="8" borderId="0" xfId="0" applyFont="1" applyFill="1" applyBorder="1" applyProtection="1">
      <protection locked="0"/>
    </xf>
    <xf numFmtId="3" fontId="0" fillId="8" borderId="0" xfId="0" applyNumberFormat="1" applyFill="1" applyBorder="1" applyProtection="1">
      <protection locked="0"/>
    </xf>
    <xf numFmtId="3" fontId="0" fillId="8" borderId="0" xfId="0" applyNumberFormat="1" applyFill="1" applyBorder="1" applyAlignment="1" applyProtection="1">
      <alignment horizontal="center"/>
      <protection locked="0"/>
    </xf>
    <xf numFmtId="2" fontId="0" fillId="8" borderId="0" xfId="0" applyNumberFormat="1" applyFill="1" applyBorder="1" applyAlignment="1" applyProtection="1">
      <alignment horizontal="center"/>
      <protection locked="0"/>
    </xf>
    <xf numFmtId="2" fontId="0" fillId="8" borderId="0" xfId="0" applyNumberFormat="1" applyFill="1" applyBorder="1" applyProtection="1">
      <protection locked="0"/>
    </xf>
    <xf numFmtId="9" fontId="0" fillId="8" borderId="0" xfId="0" applyNumberFormat="1" applyFill="1" applyBorder="1" applyAlignment="1" applyProtection="1">
      <alignment horizontal="center"/>
      <protection locked="0"/>
    </xf>
    <xf numFmtId="164" fontId="14" fillId="8" borderId="0" xfId="2" applyNumberFormat="1" applyFont="1" applyFill="1" applyAlignment="1" applyProtection="1">
      <alignment vertical="center"/>
      <protection locked="0"/>
    </xf>
    <xf numFmtId="3" fontId="14" fillId="8" borderId="0" xfId="0" applyNumberFormat="1" applyFont="1" applyFill="1" applyAlignment="1" applyProtection="1">
      <alignment vertical="center"/>
      <protection locked="0"/>
    </xf>
    <xf numFmtId="3" fontId="14" fillId="8" borderId="0" xfId="0" applyNumberFormat="1" applyFont="1" applyFill="1" applyBorder="1" applyAlignment="1" applyProtection="1">
      <alignment horizontal="center" vertical="center"/>
      <protection locked="0"/>
    </xf>
    <xf numFmtId="3" fontId="0" fillId="8" borderId="0" xfId="0" applyNumberFormat="1" applyFill="1" applyProtection="1">
      <protection locked="0"/>
    </xf>
    <xf numFmtId="9" fontId="0" fillId="8" borderId="0" xfId="0" applyNumberFormat="1" applyFill="1" applyAlignment="1" applyProtection="1">
      <alignment horizontal="center"/>
      <protection locked="0"/>
    </xf>
    <xf numFmtId="0" fontId="9" fillId="8" borderId="0" xfId="0" applyFont="1" applyFill="1" applyProtection="1">
      <protection locked="0"/>
    </xf>
    <xf numFmtId="3" fontId="3" fillId="8" borderId="0" xfId="0" applyNumberFormat="1" applyFont="1" applyFill="1" applyAlignment="1" applyProtection="1">
      <alignment horizontal="center"/>
      <protection locked="0"/>
    </xf>
    <xf numFmtId="3" fontId="3" fillId="8" borderId="0" xfId="0" applyNumberFormat="1" applyFont="1" applyFill="1" applyProtection="1">
      <protection locked="0"/>
    </xf>
    <xf numFmtId="164" fontId="0" fillId="8" borderId="0" xfId="0" applyNumberFormat="1" applyFill="1" applyBorder="1" applyAlignment="1" applyProtection="1">
      <alignment horizontal="center"/>
      <protection locked="0"/>
    </xf>
    <xf numFmtId="3" fontId="8" fillId="8" borderId="0" xfId="0" applyNumberFormat="1" applyFont="1" applyFill="1" applyAlignment="1" applyProtection="1">
      <alignment horizontal="center"/>
      <protection locked="0"/>
    </xf>
    <xf numFmtId="164" fontId="0" fillId="8" borderId="0" xfId="0" applyNumberFormat="1" applyFill="1" applyAlignment="1" applyProtection="1">
      <alignment horizontal="center"/>
      <protection locked="0"/>
    </xf>
    <xf numFmtId="166" fontId="14" fillId="8" borderId="0" xfId="0" applyNumberFormat="1" applyFont="1" applyFill="1" applyBorder="1" applyAlignment="1" applyProtection="1">
      <alignment horizontal="center" vertical="center"/>
      <protection locked="0"/>
    </xf>
    <xf numFmtId="9" fontId="0" fillId="8" borderId="0" xfId="0" applyNumberFormat="1" applyFill="1" applyProtection="1">
      <protection locked="0"/>
    </xf>
    <xf numFmtId="3" fontId="14" fillId="8" borderId="0" xfId="0" applyNumberFormat="1" applyFont="1" applyFill="1" applyBorder="1" applyAlignment="1" applyProtection="1">
      <alignment vertical="center"/>
      <protection locked="0"/>
    </xf>
    <xf numFmtId="9" fontId="18" fillId="8" borderId="0" xfId="2" applyFont="1" applyFill="1" applyBorder="1" applyAlignment="1" applyProtection="1">
      <alignment horizontal="center" vertical="center"/>
      <protection locked="0"/>
    </xf>
    <xf numFmtId="9" fontId="14" fillId="8" borderId="0" xfId="2" applyFont="1" applyFill="1" applyAlignment="1" applyProtection="1">
      <alignment horizontal="center" vertical="center"/>
      <protection locked="0"/>
    </xf>
    <xf numFmtId="4" fontId="18" fillId="8" borderId="0" xfId="2" applyNumberFormat="1" applyFont="1" applyFill="1" applyBorder="1" applyAlignment="1" applyProtection="1">
      <alignment horizontal="center" vertical="center"/>
      <protection locked="0"/>
    </xf>
    <xf numFmtId="4" fontId="14" fillId="8" borderId="0" xfId="0" applyNumberFormat="1" applyFont="1" applyFill="1" applyBorder="1" applyAlignment="1" applyProtection="1">
      <alignment vertical="center"/>
      <protection locked="0"/>
    </xf>
    <xf numFmtId="166" fontId="0" fillId="8" borderId="0" xfId="0" applyNumberFormat="1" applyFill="1" applyAlignment="1" applyProtection="1">
      <alignment horizontal="center"/>
      <protection locked="0"/>
    </xf>
    <xf numFmtId="9" fontId="14" fillId="8" borderId="0" xfId="0" applyNumberFormat="1" applyFont="1" applyFill="1" applyAlignment="1" applyProtection="1">
      <alignment horizontal="center" vertical="center"/>
      <protection locked="0"/>
    </xf>
    <xf numFmtId="4" fontId="8" fillId="8" borderId="0" xfId="0" applyNumberFormat="1" applyFont="1" applyFill="1" applyAlignment="1" applyProtection="1">
      <alignment horizontal="center"/>
      <protection locked="0"/>
    </xf>
    <xf numFmtId="4" fontId="14" fillId="8" borderId="0" xfId="0" applyNumberFormat="1" applyFont="1" applyFill="1" applyBorder="1" applyAlignment="1" applyProtection="1">
      <alignment horizontal="center" vertical="center"/>
      <protection locked="0"/>
    </xf>
    <xf numFmtId="0" fontId="14" fillId="8" borderId="0" xfId="0" applyFont="1" applyFill="1" applyBorder="1" applyAlignment="1" applyProtection="1">
      <alignment horizontal="center" vertical="center"/>
      <protection locked="0"/>
    </xf>
    <xf numFmtId="0" fontId="14" fillId="8" borderId="1" xfId="0" applyFont="1" applyFill="1" applyBorder="1" applyAlignment="1" applyProtection="1">
      <alignment horizontal="center" vertical="center"/>
      <protection locked="0"/>
    </xf>
    <xf numFmtId="164" fontId="14" fillId="8" borderId="0" xfId="2" applyNumberFormat="1" applyFont="1" applyFill="1" applyAlignment="1" applyProtection="1">
      <alignment horizontal="center" vertical="center"/>
      <protection locked="0"/>
    </xf>
    <xf numFmtId="0" fontId="9" fillId="0" borderId="0" xfId="0" applyFont="1" applyAlignment="1">
      <alignment horizontal="left" indent="1"/>
    </xf>
    <xf numFmtId="0" fontId="0" fillId="0" borderId="0" xfId="0" applyFont="1" applyAlignment="1">
      <alignment horizontal="center"/>
    </xf>
    <xf numFmtId="0" fontId="36" fillId="0" borderId="0" xfId="0" applyFont="1"/>
    <xf numFmtId="0" fontId="37" fillId="0" borderId="0" xfId="0" applyFont="1"/>
    <xf numFmtId="49" fontId="0" fillId="0" borderId="0" xfId="0" applyNumberFormat="1" applyAlignment="1">
      <alignment horizontal="center"/>
    </xf>
    <xf numFmtId="3" fontId="0" fillId="0" borderId="0" xfId="0" applyNumberFormat="1" applyFont="1"/>
    <xf numFmtId="0" fontId="3" fillId="0" borderId="0" xfId="0" applyFont="1" applyAlignment="1">
      <alignment wrapText="1"/>
    </xf>
    <xf numFmtId="3" fontId="0" fillId="0" borderId="0" xfId="0" applyNumberFormat="1" applyFill="1" applyAlignment="1" applyProtection="1">
      <alignment horizontal="center"/>
      <protection locked="0"/>
    </xf>
    <xf numFmtId="0" fontId="14" fillId="0" borderId="0" xfId="0" applyFont="1" applyFill="1"/>
    <xf numFmtId="0" fontId="9" fillId="0" borderId="0" xfId="0" applyFont="1" applyFill="1" applyBorder="1" applyAlignment="1">
      <alignment horizontal="center"/>
    </xf>
    <xf numFmtId="0" fontId="3" fillId="0" borderId="0" xfId="1" applyFont="1"/>
    <xf numFmtId="0" fontId="19" fillId="0" borderId="0" xfId="0" applyFont="1" applyFill="1"/>
    <xf numFmtId="0" fontId="34" fillId="0" borderId="2" xfId="0" applyFont="1" applyBorder="1"/>
    <xf numFmtId="0" fontId="34" fillId="0" borderId="0" xfId="0" applyFont="1" applyBorder="1"/>
    <xf numFmtId="0" fontId="18" fillId="0" borderId="0" xfId="0" applyFont="1" applyBorder="1" applyAlignment="1">
      <alignment horizontal="left" vertical="center"/>
    </xf>
    <xf numFmtId="0" fontId="14" fillId="0" borderId="0" xfId="0" applyFont="1" applyBorder="1" applyAlignment="1">
      <alignment horizontal="center" vertical="center"/>
    </xf>
    <xf numFmtId="0" fontId="41" fillId="0" borderId="0" xfId="0" applyFont="1" applyAlignment="1">
      <alignment horizontal="center"/>
    </xf>
    <xf numFmtId="4" fontId="3" fillId="0" borderId="0" xfId="0" applyNumberFormat="1" applyFont="1" applyAlignment="1">
      <alignment horizontal="center"/>
    </xf>
    <xf numFmtId="9" fontId="14" fillId="0" borderId="0" xfId="2" applyNumberFormat="1" applyFont="1" applyAlignment="1">
      <alignment horizontal="center" vertical="center"/>
    </xf>
    <xf numFmtId="3" fontId="17" fillId="0" borderId="0" xfId="0" applyNumberFormat="1" applyFont="1" applyFill="1" applyAlignment="1">
      <alignment horizontal="center" vertical="center"/>
    </xf>
    <xf numFmtId="0" fontId="25" fillId="2" borderId="0" xfId="0" applyFont="1" applyFill="1" applyAlignment="1">
      <alignment horizontal="center" vertical="center"/>
    </xf>
    <xf numFmtId="0" fontId="0" fillId="0" borderId="0" xfId="0" applyFill="1" applyAlignment="1">
      <alignment wrapText="1"/>
    </xf>
    <xf numFmtId="2" fontId="0" fillId="0" borderId="0" xfId="0" applyNumberFormat="1" applyBorder="1"/>
    <xf numFmtId="0" fontId="12" fillId="0" borderId="0" xfId="0" applyFont="1" applyAlignment="1">
      <alignment horizontal="left"/>
    </xf>
    <xf numFmtId="4" fontId="0" fillId="0" borderId="0" xfId="0" applyNumberFormat="1"/>
    <xf numFmtId="4" fontId="0" fillId="0" borderId="0" xfId="0" applyNumberFormat="1" applyAlignment="1">
      <alignment horizontal="right"/>
    </xf>
    <xf numFmtId="3" fontId="0" fillId="0" borderId="0" xfId="0" applyNumberFormat="1" applyAlignment="1">
      <alignment horizontal="right"/>
    </xf>
    <xf numFmtId="9" fontId="0" fillId="0" borderId="0" xfId="0" applyNumberFormat="1" applyAlignment="1">
      <alignment horizontal="right"/>
    </xf>
    <xf numFmtId="3" fontId="0" fillId="9" borderId="0" xfId="0" applyNumberFormat="1" applyFill="1" applyProtection="1">
      <protection locked="0"/>
    </xf>
    <xf numFmtId="0" fontId="44" fillId="0" borderId="1" xfId="0" applyFont="1" applyBorder="1"/>
    <xf numFmtId="164" fontId="14" fillId="0" borderId="0" xfId="0" applyNumberFormat="1" applyFont="1" applyFill="1" applyAlignment="1" applyProtection="1">
      <alignment horizontal="center" vertical="center"/>
    </xf>
    <xf numFmtId="0" fontId="0" fillId="10" borderId="0" xfId="0" applyFill="1"/>
    <xf numFmtId="0" fontId="0" fillId="10" borderId="0" xfId="0" applyFill="1" applyAlignment="1">
      <alignment horizontal="center"/>
    </xf>
    <xf numFmtId="0" fontId="14" fillId="10" borderId="0" xfId="0" applyFont="1" applyFill="1" applyAlignment="1">
      <alignment vertical="center"/>
    </xf>
    <xf numFmtId="2" fontId="14" fillId="10" borderId="0" xfId="0" applyNumberFormat="1" applyFont="1" applyFill="1" applyAlignment="1">
      <alignment horizontal="center" vertical="center"/>
    </xf>
    <xf numFmtId="3" fontId="45" fillId="8" borderId="0" xfId="0" applyNumberFormat="1" applyFont="1" applyFill="1" applyBorder="1" applyAlignment="1" applyProtection="1">
      <alignment vertical="center"/>
      <protection locked="0"/>
    </xf>
    <xf numFmtId="3" fontId="45" fillId="0" borderId="0" xfId="0" applyNumberFormat="1" applyFont="1" applyFill="1" applyBorder="1" applyAlignment="1">
      <alignment vertical="center"/>
    </xf>
    <xf numFmtId="3" fontId="20" fillId="0" borderId="0" xfId="0" applyNumberFormat="1" applyFont="1" applyFill="1"/>
    <xf numFmtId="0" fontId="51" fillId="0" borderId="0" xfId="0" applyFont="1"/>
    <xf numFmtId="0" fontId="0" fillId="12" borderId="0" xfId="0" applyFill="1" applyBorder="1"/>
    <xf numFmtId="0" fontId="58" fillId="0" borderId="0" xfId="0" applyFont="1"/>
    <xf numFmtId="169" fontId="58" fillId="0" borderId="0" xfId="0" applyNumberFormat="1" applyFont="1"/>
    <xf numFmtId="169" fontId="59" fillId="11" borderId="7" xfId="0" applyNumberFormat="1" applyFont="1" applyFill="1" applyBorder="1"/>
    <xf numFmtId="0" fontId="60" fillId="11" borderId="32" xfId="0" applyFont="1" applyFill="1" applyBorder="1" applyAlignment="1" applyProtection="1">
      <alignment horizontal="center" vertical="center"/>
      <protection hidden="1"/>
    </xf>
    <xf numFmtId="169" fontId="58" fillId="0" borderId="21" xfId="0" applyNumberFormat="1" applyFont="1" applyBorder="1"/>
    <xf numFmtId="0" fontId="58" fillId="0" borderId="20" xfId="0" applyFont="1" applyBorder="1"/>
    <xf numFmtId="0" fontId="58" fillId="0" borderId="20" xfId="0" applyFont="1" applyBorder="1" applyAlignment="1">
      <alignment horizontal="left"/>
    </xf>
    <xf numFmtId="3" fontId="58" fillId="0" borderId="0" xfId="0" applyNumberFormat="1" applyFont="1"/>
    <xf numFmtId="169" fontId="61" fillId="0" borderId="21" xfId="0" applyNumberFormat="1" applyFont="1" applyBorder="1" applyAlignment="1">
      <alignment wrapText="1"/>
    </xf>
    <xf numFmtId="0" fontId="58" fillId="0" borderId="20" xfId="0" applyFont="1" applyBorder="1" applyAlignment="1">
      <alignment horizontal="center" wrapText="1"/>
    </xf>
    <xf numFmtId="0" fontId="61" fillId="0" borderId="20" xfId="0" applyFont="1" applyBorder="1" applyAlignment="1">
      <alignment wrapText="1"/>
    </xf>
    <xf numFmtId="169" fontId="60" fillId="11" borderId="18" xfId="0" applyNumberFormat="1" applyFont="1" applyFill="1" applyBorder="1" applyAlignment="1" applyProtection="1">
      <alignment horizontal="center" vertical="center"/>
      <protection hidden="1"/>
    </xf>
    <xf numFmtId="0" fontId="60" fillId="11" borderId="17" xfId="0" applyFont="1" applyFill="1" applyBorder="1" applyAlignment="1" applyProtection="1">
      <alignment horizontal="center" vertical="center"/>
      <protection hidden="1"/>
    </xf>
    <xf numFmtId="0" fontId="58" fillId="0" borderId="0" xfId="0" applyFont="1" applyAlignment="1">
      <alignment wrapText="1"/>
    </xf>
    <xf numFmtId="167" fontId="59" fillId="11" borderId="24" xfId="0" applyNumberFormat="1" applyFont="1" applyFill="1" applyBorder="1" applyAlignment="1">
      <alignment horizontal="center"/>
    </xf>
    <xf numFmtId="0" fontId="59" fillId="11" borderId="24" xfId="0" applyFont="1" applyFill="1" applyBorder="1" applyAlignment="1">
      <alignment horizontal="center"/>
    </xf>
    <xf numFmtId="0" fontId="59" fillId="11" borderId="23" xfId="0" applyFont="1" applyFill="1" applyBorder="1" applyAlignment="1">
      <alignment horizontal="center" wrapText="1"/>
    </xf>
    <xf numFmtId="167" fontId="62" fillId="0" borderId="22" xfId="0" applyNumberFormat="1" applyFont="1" applyBorder="1" applyAlignment="1">
      <alignment vertical="center"/>
    </xf>
    <xf numFmtId="167" fontId="58" fillId="0" borderId="21" xfId="0" applyNumberFormat="1" applyFont="1" applyBorder="1"/>
    <xf numFmtId="0" fontId="62" fillId="0" borderId="21" xfId="0" applyFont="1" applyFill="1" applyBorder="1" applyAlignment="1">
      <alignment horizontal="center" vertical="center"/>
    </xf>
    <xf numFmtId="0" fontId="62" fillId="0" borderId="20" xfId="0" applyFont="1" applyFill="1" applyBorder="1" applyAlignment="1">
      <alignment wrapText="1"/>
    </xf>
    <xf numFmtId="0" fontId="62" fillId="0" borderId="20" xfId="0" applyFont="1" applyBorder="1" applyAlignment="1">
      <alignment wrapText="1"/>
    </xf>
    <xf numFmtId="0" fontId="62" fillId="0" borderId="21" xfId="0" applyFont="1" applyBorder="1" applyAlignment="1">
      <alignment horizontal="center" vertical="center"/>
    </xf>
    <xf numFmtId="0" fontId="58" fillId="0" borderId="21" xfId="0" applyFont="1" applyBorder="1"/>
    <xf numFmtId="0" fontId="61" fillId="0" borderId="20" xfId="0" applyFont="1" applyBorder="1" applyAlignment="1">
      <alignment horizontal="center" vertical="top" wrapText="1"/>
    </xf>
    <xf numFmtId="167" fontId="62" fillId="0" borderId="21" xfId="0" applyNumberFormat="1" applyFont="1" applyBorder="1" applyAlignment="1">
      <alignment vertical="center"/>
    </xf>
    <xf numFmtId="0" fontId="62" fillId="0" borderId="20" xfId="0" applyFont="1" applyBorder="1" applyAlignment="1">
      <alignment vertical="center" wrapText="1"/>
    </xf>
    <xf numFmtId="167" fontId="58" fillId="0" borderId="21" xfId="0" applyNumberFormat="1" applyFont="1" applyBorder="1" applyAlignment="1">
      <alignment horizontal="center" vertical="top" wrapText="1"/>
    </xf>
    <xf numFmtId="0" fontId="58" fillId="0" borderId="21" xfId="0" applyFont="1" applyBorder="1" applyAlignment="1">
      <alignment horizontal="center" vertical="top" wrapText="1"/>
    </xf>
    <xf numFmtId="3" fontId="59" fillId="11" borderId="19" xfId="0" applyNumberFormat="1" applyFont="1" applyFill="1" applyBorder="1" applyAlignment="1">
      <alignment horizontal="center" vertical="center" wrapText="1"/>
    </xf>
    <xf numFmtId="3" fontId="59" fillId="11" borderId="18" xfId="0" applyNumberFormat="1" applyFont="1" applyFill="1" applyBorder="1" applyAlignment="1">
      <alignment horizontal="center" vertical="center" wrapText="1"/>
    </xf>
    <xf numFmtId="0" fontId="59" fillId="11" borderId="18" xfId="0" applyFont="1" applyFill="1" applyBorder="1" applyAlignment="1">
      <alignment horizontal="center" vertical="center" wrapText="1"/>
    </xf>
    <xf numFmtId="0" fontId="59" fillId="11" borderId="17" xfId="0" applyFont="1" applyFill="1" applyBorder="1" applyAlignment="1">
      <alignment horizontal="center" vertical="center" wrapText="1"/>
    </xf>
    <xf numFmtId="0" fontId="51" fillId="0" borderId="21" xfId="0" applyFont="1" applyBorder="1"/>
    <xf numFmtId="9" fontId="51" fillId="0" borderId="21" xfId="2" applyFont="1" applyBorder="1"/>
    <xf numFmtId="0" fontId="53" fillId="11" borderId="17" xfId="0" applyFont="1" applyFill="1" applyBorder="1"/>
    <xf numFmtId="0" fontId="53" fillId="11" borderId="18" xfId="0" applyFont="1" applyFill="1" applyBorder="1" applyAlignment="1">
      <alignment horizontal="center" vertical="center"/>
    </xf>
    <xf numFmtId="0" fontId="53" fillId="11" borderId="19" xfId="0" applyFont="1" applyFill="1" applyBorder="1" applyAlignment="1">
      <alignment horizontal="center" vertical="center"/>
    </xf>
    <xf numFmtId="0" fontId="51" fillId="0" borderId="22" xfId="0" applyFont="1" applyBorder="1"/>
    <xf numFmtId="0" fontId="63" fillId="8" borderId="20" xfId="0" applyFont="1" applyFill="1" applyBorder="1" applyProtection="1">
      <protection locked="0"/>
    </xf>
    <xf numFmtId="0" fontId="53" fillId="11" borderId="20" xfId="0" applyFont="1" applyFill="1" applyBorder="1"/>
    <xf numFmtId="0" fontId="53" fillId="11" borderId="23" xfId="0" applyFont="1" applyFill="1" applyBorder="1" applyAlignment="1">
      <alignment horizontal="center"/>
    </xf>
    <xf numFmtId="0" fontId="51" fillId="11" borderId="21" xfId="0" applyFont="1" applyFill="1" applyBorder="1"/>
    <xf numFmtId="0" fontId="51" fillId="11" borderId="22" xfId="0" applyFont="1" applyFill="1" applyBorder="1"/>
    <xf numFmtId="0" fontId="58" fillId="0" borderId="20" xfId="0" applyFont="1" applyFill="1" applyBorder="1"/>
    <xf numFmtId="0" fontId="64" fillId="0" borderId="21" xfId="0" applyFont="1" applyFill="1" applyBorder="1"/>
    <xf numFmtId="0" fontId="58" fillId="0" borderId="21" xfId="0" applyFont="1" applyFill="1" applyBorder="1" applyAlignment="1">
      <alignment horizontal="right"/>
    </xf>
    <xf numFmtId="0" fontId="58" fillId="0" borderId="22" xfId="0" applyFont="1" applyFill="1" applyBorder="1"/>
    <xf numFmtId="0" fontId="58" fillId="0" borderId="23" xfId="0" applyFont="1" applyFill="1" applyBorder="1"/>
    <xf numFmtId="0" fontId="64" fillId="0" borderId="24" xfId="0" applyFont="1" applyFill="1" applyBorder="1"/>
    <xf numFmtId="0" fontId="58" fillId="0" borderId="25" xfId="0" applyFont="1" applyFill="1" applyBorder="1"/>
    <xf numFmtId="0" fontId="58" fillId="0" borderId="21" xfId="0" applyFont="1" applyFill="1" applyBorder="1"/>
    <xf numFmtId="0" fontId="58" fillId="0" borderId="24" xfId="0" applyFont="1" applyFill="1" applyBorder="1"/>
    <xf numFmtId="0" fontId="58" fillId="0" borderId="24" xfId="0" applyFont="1" applyBorder="1"/>
    <xf numFmtId="0" fontId="58" fillId="0" borderId="21" xfId="0" applyFont="1" applyFill="1" applyBorder="1" applyAlignment="1">
      <alignment horizontal="right" vertical="center"/>
    </xf>
    <xf numFmtId="0" fontId="58" fillId="0" borderId="21" xfId="0" applyFont="1" applyFill="1" applyBorder="1" applyAlignment="1">
      <alignment vertical="center"/>
    </xf>
    <xf numFmtId="0" fontId="59" fillId="11" borderId="21" xfId="0" applyFont="1" applyFill="1" applyBorder="1" applyAlignment="1">
      <alignment horizontal="center" wrapText="1"/>
    </xf>
    <xf numFmtId="0" fontId="59" fillId="11" borderId="22" xfId="0" applyFont="1" applyFill="1" applyBorder="1" applyAlignment="1">
      <alignment horizontal="center" wrapText="1"/>
    </xf>
    <xf numFmtId="0" fontId="0" fillId="0" borderId="0" xfId="0" applyAlignment="1">
      <alignment wrapText="1"/>
    </xf>
    <xf numFmtId="0" fontId="59" fillId="11" borderId="21" xfId="0" applyFont="1" applyFill="1" applyBorder="1" applyAlignment="1">
      <alignment horizontal="center" vertical="center" wrapText="1"/>
    </xf>
    <xf numFmtId="0" fontId="65" fillId="11" borderId="21" xfId="0" applyFont="1" applyFill="1" applyBorder="1" applyAlignment="1">
      <alignment horizontal="center" vertical="center" wrapText="1"/>
    </xf>
    <xf numFmtId="0" fontId="59" fillId="11" borderId="21" xfId="0" applyFont="1" applyFill="1" applyBorder="1" applyAlignment="1">
      <alignment wrapText="1"/>
    </xf>
    <xf numFmtId="170" fontId="58" fillId="0" borderId="0" xfId="0" applyNumberFormat="1" applyFont="1"/>
    <xf numFmtId="170" fontId="58" fillId="0" borderId="22" xfId="0" applyNumberFormat="1" applyFont="1" applyBorder="1"/>
    <xf numFmtId="170" fontId="58" fillId="0" borderId="25" xfId="0" applyNumberFormat="1" applyFont="1" applyBorder="1"/>
    <xf numFmtId="170" fontId="58" fillId="0" borderId="21" xfId="0" applyNumberFormat="1" applyFont="1" applyBorder="1" applyAlignment="1">
      <alignment horizontal="center"/>
    </xf>
    <xf numFmtId="170" fontId="58" fillId="0" borderId="21" xfId="0" applyNumberFormat="1" applyFont="1" applyBorder="1"/>
    <xf numFmtId="0" fontId="58" fillId="0" borderId="21" xfId="0" applyFont="1" applyBorder="1" applyAlignment="1">
      <alignment horizontal="center"/>
    </xf>
    <xf numFmtId="0" fontId="58" fillId="0" borderId="21" xfId="0" applyFont="1" applyBorder="1" applyAlignment="1">
      <alignment horizontal="center" vertical="center"/>
    </xf>
    <xf numFmtId="0" fontId="58" fillId="0" borderId="21" xfId="0" applyFont="1" applyBorder="1" applyAlignment="1">
      <alignment vertical="center" wrapText="1"/>
    </xf>
    <xf numFmtId="0" fontId="58" fillId="0" borderId="21" xfId="0" applyFont="1" applyBorder="1" applyAlignment="1">
      <alignment vertical="center"/>
    </xf>
    <xf numFmtId="0" fontId="58" fillId="0" borderId="21" xfId="0" applyFont="1" applyBorder="1" applyAlignment="1">
      <alignment horizontal="center" vertical="center" wrapText="1"/>
    </xf>
    <xf numFmtId="0" fontId="58" fillId="0" borderId="0" xfId="0" applyFont="1" applyBorder="1"/>
    <xf numFmtId="168" fontId="58" fillId="0" borderId="0" xfId="0" applyNumberFormat="1" applyFont="1" applyBorder="1"/>
    <xf numFmtId="0" fontId="59" fillId="11" borderId="21" xfId="0" applyFont="1" applyFill="1" applyBorder="1"/>
    <xf numFmtId="0" fontId="61" fillId="14" borderId="21" xfId="0" applyFont="1" applyFill="1" applyBorder="1"/>
    <xf numFmtId="0" fontId="58" fillId="0" borderId="21" xfId="0" applyFont="1" applyBorder="1" applyAlignment="1">
      <alignment wrapText="1"/>
    </xf>
    <xf numFmtId="0" fontId="59" fillId="11" borderId="21" xfId="0" applyFont="1" applyFill="1" applyBorder="1" applyAlignment="1">
      <alignment horizontal="center" vertical="center"/>
    </xf>
    <xf numFmtId="167" fontId="0" fillId="0" borderId="0" xfId="0" applyNumberFormat="1"/>
    <xf numFmtId="0" fontId="57" fillId="11" borderId="17" xfId="0" applyFont="1" applyFill="1" applyBorder="1" applyAlignment="1" applyProtection="1">
      <alignment horizontal="center" vertical="center"/>
      <protection hidden="1"/>
    </xf>
    <xf numFmtId="0" fontId="57" fillId="11" borderId="19" xfId="0" applyFont="1" applyFill="1" applyBorder="1" applyAlignment="1" applyProtection="1">
      <alignment horizontal="center" vertical="center"/>
      <protection hidden="1"/>
    </xf>
    <xf numFmtId="0" fontId="55" fillId="0" borderId="20" xfId="0" applyFont="1" applyBorder="1" applyAlignment="1" applyProtection="1">
      <alignment horizontal="left" wrapText="1"/>
      <protection hidden="1"/>
    </xf>
    <xf numFmtId="0" fontId="55" fillId="3" borderId="22" xfId="8" applyNumberFormat="1" applyFont="1" applyFill="1" applyBorder="1" applyAlignment="1">
      <alignment horizontal="center" vertical="center" wrapText="1"/>
    </xf>
    <xf numFmtId="0" fontId="56" fillId="0" borderId="20" xfId="0" applyFont="1" applyBorder="1" applyAlignment="1" applyProtection="1">
      <alignment horizontal="left" wrapText="1"/>
      <protection hidden="1"/>
    </xf>
    <xf numFmtId="168" fontId="55" fillId="0" borderId="22" xfId="10" applyNumberFormat="1" applyFont="1" applyBorder="1" applyAlignment="1" applyProtection="1">
      <alignment horizontal="center" wrapText="1"/>
      <protection hidden="1"/>
    </xf>
    <xf numFmtId="9" fontId="55" fillId="0" borderId="22" xfId="2" applyFont="1" applyBorder="1" applyAlignment="1" applyProtection="1">
      <alignment horizontal="center" wrapText="1"/>
      <protection hidden="1"/>
    </xf>
    <xf numFmtId="10" fontId="55" fillId="0" borderId="22" xfId="10" applyNumberFormat="1" applyFont="1" applyBorder="1" applyAlignment="1" applyProtection="1">
      <alignment horizontal="center" wrapText="1"/>
      <protection hidden="1"/>
    </xf>
    <xf numFmtId="164" fontId="55" fillId="0" borderId="22" xfId="2" applyNumberFormat="1" applyFont="1" applyBorder="1" applyAlignment="1" applyProtection="1">
      <alignment horizontal="center" wrapText="1"/>
      <protection hidden="1"/>
    </xf>
    <xf numFmtId="0" fontId="56" fillId="0" borderId="29" xfId="0" applyFont="1" applyBorder="1" applyAlignment="1" applyProtection="1">
      <alignment horizontal="left" wrapText="1"/>
      <protection hidden="1"/>
    </xf>
    <xf numFmtId="10" fontId="55" fillId="0" borderId="31" xfId="10" applyNumberFormat="1" applyFont="1" applyBorder="1" applyAlignment="1" applyProtection="1">
      <alignment horizontal="center" wrapText="1"/>
      <protection hidden="1"/>
    </xf>
    <xf numFmtId="9" fontId="58" fillId="0" borderId="21" xfId="2" applyFont="1" applyBorder="1"/>
    <xf numFmtId="9" fontId="0" fillId="0" borderId="0" xfId="2" applyNumberFormat="1" applyFont="1"/>
    <xf numFmtId="169" fontId="61" fillId="0" borderId="21" xfId="0" applyNumberFormat="1" applyFont="1" applyBorder="1"/>
    <xf numFmtId="0" fontId="66" fillId="0" borderId="0" xfId="0" applyFont="1"/>
    <xf numFmtId="0" fontId="51" fillId="0" borderId="0" xfId="0" applyFont="1" applyAlignment="1"/>
    <xf numFmtId="0" fontId="53" fillId="11" borderId="17" xfId="0" applyFont="1" applyFill="1" applyBorder="1" applyAlignment="1"/>
    <xf numFmtId="0" fontId="51" fillId="0" borderId="20" xfId="0" applyFont="1" applyBorder="1" applyAlignment="1"/>
    <xf numFmtId="0" fontId="63" fillId="8" borderId="20" xfId="0" applyFont="1" applyFill="1" applyBorder="1" applyAlignment="1" applyProtection="1">
      <protection locked="0"/>
    </xf>
    <xf numFmtId="0" fontId="53" fillId="11" borderId="20" xfId="0" applyFont="1" applyFill="1" applyBorder="1" applyAlignment="1"/>
    <xf numFmtId="0" fontId="58" fillId="0" borderId="20" xfId="0" applyFont="1" applyBorder="1" applyAlignment="1">
      <alignment wrapText="1"/>
    </xf>
    <xf numFmtId="0" fontId="69" fillId="16" borderId="44" xfId="0" applyFont="1" applyFill="1" applyBorder="1" applyAlignment="1">
      <alignment vertical="center" wrapText="1"/>
    </xf>
    <xf numFmtId="0" fontId="70" fillId="17" borderId="45" xfId="0" applyFont="1" applyFill="1" applyBorder="1" applyAlignment="1">
      <alignment vertical="center" wrapText="1"/>
    </xf>
    <xf numFmtId="0" fontId="70" fillId="16" borderId="44" xfId="0" applyFont="1" applyFill="1" applyBorder="1" applyAlignment="1">
      <alignment vertical="center" wrapText="1"/>
    </xf>
    <xf numFmtId="0" fontId="70" fillId="16" borderId="0" xfId="0" applyFont="1" applyFill="1" applyBorder="1" applyAlignment="1">
      <alignment vertical="center" wrapText="1"/>
    </xf>
    <xf numFmtId="0" fontId="70" fillId="17" borderId="0" xfId="0" applyFont="1" applyFill="1" applyBorder="1" applyAlignment="1">
      <alignment vertical="center" wrapText="1"/>
    </xf>
    <xf numFmtId="0" fontId="58" fillId="0" borderId="21" xfId="0" applyFont="1" applyFill="1" applyBorder="1" applyAlignment="1">
      <alignment horizontal="right" vertical="center"/>
    </xf>
    <xf numFmtId="165" fontId="58" fillId="0" borderId="21" xfId="0" applyNumberFormat="1" applyFont="1" applyFill="1" applyBorder="1" applyAlignment="1">
      <alignment horizontal="right" vertical="center"/>
    </xf>
    <xf numFmtId="165" fontId="58" fillId="0" borderId="21" xfId="0" applyNumberFormat="1" applyFont="1" applyFill="1" applyBorder="1" applyAlignment="1">
      <alignment vertical="center"/>
    </xf>
    <xf numFmtId="171" fontId="58" fillId="0" borderId="21" xfId="0" applyNumberFormat="1" applyFont="1" applyFill="1" applyBorder="1" applyAlignment="1">
      <alignment horizontal="right" vertical="center"/>
    </xf>
    <xf numFmtId="172" fontId="58" fillId="0" borderId="21" xfId="0" applyNumberFormat="1" applyFont="1" applyFill="1" applyBorder="1" applyAlignment="1">
      <alignment horizontal="right" vertical="center"/>
    </xf>
    <xf numFmtId="1" fontId="58" fillId="0" borderId="21" xfId="0" applyNumberFormat="1" applyFont="1" applyFill="1" applyBorder="1" applyAlignment="1">
      <alignment horizontal="right" vertical="center"/>
    </xf>
    <xf numFmtId="3" fontId="58" fillId="0" borderId="21" xfId="0" applyNumberFormat="1" applyFont="1" applyFill="1" applyBorder="1" applyAlignment="1">
      <alignment horizontal="right" vertical="center"/>
    </xf>
    <xf numFmtId="173" fontId="0" fillId="0" borderId="0" xfId="0" applyNumberFormat="1"/>
    <xf numFmtId="174" fontId="55" fillId="0" borderId="22" xfId="10" applyNumberFormat="1" applyFont="1" applyBorder="1" applyAlignment="1" applyProtection="1">
      <alignment horizontal="center" wrapText="1"/>
      <protection hidden="1"/>
    </xf>
    <xf numFmtId="0" fontId="70" fillId="17" borderId="44" xfId="0" applyFont="1" applyFill="1" applyBorder="1" applyAlignment="1">
      <alignment vertical="center" wrapText="1"/>
    </xf>
    <xf numFmtId="169" fontId="61" fillId="12" borderId="21" xfId="0" applyNumberFormat="1" applyFont="1" applyFill="1" applyBorder="1" applyAlignment="1">
      <alignment wrapText="1"/>
    </xf>
    <xf numFmtId="2" fontId="55" fillId="0" borderId="31" xfId="10" applyNumberFormat="1" applyFont="1" applyBorder="1" applyAlignment="1" applyProtection="1">
      <alignment horizontal="center" wrapText="1"/>
      <protection hidden="1"/>
    </xf>
    <xf numFmtId="175" fontId="55" fillId="0" borderId="31" xfId="10" applyNumberFormat="1" applyFont="1" applyBorder="1" applyAlignment="1" applyProtection="1">
      <alignment horizontal="center" wrapText="1"/>
      <protection hidden="1"/>
    </xf>
    <xf numFmtId="176" fontId="51" fillId="0" borderId="21" xfId="0" applyNumberFormat="1" applyFont="1" applyBorder="1"/>
    <xf numFmtId="176" fontId="51" fillId="0" borderId="22" xfId="0" applyNumberFormat="1" applyFont="1" applyBorder="1"/>
    <xf numFmtId="176" fontId="53" fillId="11" borderId="24" xfId="0" applyNumberFormat="1" applyFont="1" applyFill="1" applyBorder="1" applyAlignment="1">
      <alignment horizontal="right"/>
    </xf>
    <xf numFmtId="0" fontId="67" fillId="19" borderId="20" xfId="0" applyFont="1" applyFill="1" applyBorder="1" applyAlignment="1"/>
    <xf numFmtId="9" fontId="67" fillId="19" borderId="21" xfId="2" applyFont="1" applyFill="1" applyBorder="1"/>
    <xf numFmtId="0" fontId="67" fillId="19" borderId="22" xfId="0" applyFont="1" applyFill="1" applyBorder="1"/>
    <xf numFmtId="0" fontId="71" fillId="0" borderId="0" xfId="0" applyFont="1"/>
    <xf numFmtId="0" fontId="63" fillId="8" borderId="20" xfId="0" applyFont="1" applyFill="1" applyBorder="1" applyAlignment="1" applyProtection="1">
      <alignment horizontal="center"/>
      <protection locked="0"/>
    </xf>
    <xf numFmtId="0" fontId="53" fillId="11" borderId="20" xfId="0" applyFont="1" applyFill="1" applyBorder="1" applyAlignment="1">
      <alignment horizontal="center"/>
    </xf>
    <xf numFmtId="0" fontId="53" fillId="18" borderId="23" xfId="0" applyFont="1" applyFill="1" applyBorder="1" applyAlignment="1">
      <alignment horizontal="center"/>
    </xf>
    <xf numFmtId="176" fontId="53" fillId="18" borderId="24" xfId="0" applyNumberFormat="1" applyFont="1" applyFill="1" applyBorder="1" applyAlignment="1">
      <alignment horizontal="right"/>
    </xf>
    <xf numFmtId="0" fontId="0" fillId="18" borderId="0" xfId="0" applyFill="1"/>
    <xf numFmtId="175" fontId="58" fillId="0" borderId="24" xfId="0" applyNumberFormat="1" applyFont="1" applyBorder="1"/>
    <xf numFmtId="176" fontId="58" fillId="0" borderId="21" xfId="0" applyNumberFormat="1" applyFont="1" applyBorder="1"/>
    <xf numFmtId="176" fontId="58" fillId="0" borderId="22" xfId="0" applyNumberFormat="1" applyFont="1" applyBorder="1"/>
    <xf numFmtId="176" fontId="58" fillId="0" borderId="24" xfId="0" applyNumberFormat="1" applyFont="1" applyBorder="1"/>
    <xf numFmtId="177" fontId="58" fillId="0" borderId="21" xfId="0" applyNumberFormat="1" applyFont="1" applyFill="1" applyBorder="1" applyAlignment="1">
      <alignment horizontal="right" vertical="center"/>
    </xf>
    <xf numFmtId="0" fontId="62" fillId="0" borderId="29" xfId="0" applyFont="1" applyFill="1" applyBorder="1" applyAlignment="1">
      <alignment wrapText="1"/>
    </xf>
    <xf numFmtId="0" fontId="62" fillId="0" borderId="30" xfId="0" applyFont="1" applyFill="1" applyBorder="1" applyAlignment="1">
      <alignment horizontal="center" vertical="center"/>
    </xf>
    <xf numFmtId="167" fontId="62" fillId="0" borderId="30" xfId="0" applyNumberFormat="1" applyFont="1" applyBorder="1" applyAlignment="1">
      <alignment vertical="center"/>
    </xf>
    <xf numFmtId="0" fontId="64" fillId="0" borderId="29" xfId="0" applyFont="1" applyFill="1" applyBorder="1" applyAlignment="1">
      <alignment horizontal="center" wrapText="1"/>
    </xf>
    <xf numFmtId="0" fontId="58" fillId="0" borderId="20" xfId="0" applyFont="1" applyBorder="1" applyAlignment="1">
      <alignment horizontal="left" vertical="top" wrapText="1"/>
    </xf>
    <xf numFmtId="0" fontId="64" fillId="0" borderId="20" xfId="0" applyFont="1" applyFill="1" applyBorder="1" applyAlignment="1">
      <alignment horizontal="center" wrapText="1"/>
    </xf>
    <xf numFmtId="0" fontId="64" fillId="0" borderId="20" xfId="0" applyFont="1" applyBorder="1" applyAlignment="1">
      <alignment horizontal="center" wrapText="1"/>
    </xf>
    <xf numFmtId="176" fontId="58" fillId="0" borderId="21" xfId="0" applyNumberFormat="1" applyFont="1" applyBorder="1" applyAlignment="1">
      <alignment horizontal="center" vertical="top" wrapText="1"/>
    </xf>
    <xf numFmtId="176" fontId="58" fillId="0" borderId="46" xfId="0" applyNumberFormat="1" applyFont="1" applyBorder="1" applyAlignment="1">
      <alignment horizontal="center" vertical="top" wrapText="1"/>
    </xf>
    <xf numFmtId="176" fontId="62" fillId="0" borderId="22" xfId="0" applyNumberFormat="1" applyFont="1" applyBorder="1" applyAlignment="1">
      <alignment vertical="center"/>
    </xf>
    <xf numFmtId="176" fontId="62" fillId="0" borderId="21" xfId="0" applyNumberFormat="1" applyFont="1" applyBorder="1" applyAlignment="1">
      <alignment vertical="center"/>
    </xf>
    <xf numFmtId="176" fontId="62" fillId="0" borderId="46" xfId="0" applyNumberFormat="1" applyFont="1" applyBorder="1" applyAlignment="1">
      <alignment vertical="center"/>
    </xf>
    <xf numFmtId="176" fontId="58" fillId="0" borderId="46" xfId="0" applyNumberFormat="1" applyFont="1" applyBorder="1"/>
    <xf numFmtId="176" fontId="62" fillId="0" borderId="49" xfId="0" applyNumberFormat="1" applyFont="1" applyBorder="1" applyAlignment="1">
      <alignment vertical="center"/>
    </xf>
    <xf numFmtId="176" fontId="59" fillId="11" borderId="24" xfId="0" applyNumberFormat="1" applyFont="1" applyFill="1" applyBorder="1" applyAlignment="1">
      <alignment horizontal="center"/>
    </xf>
    <xf numFmtId="176" fontId="58" fillId="0" borderId="0" xfId="0" applyNumberFormat="1" applyFont="1"/>
    <xf numFmtId="176" fontId="61" fillId="14" borderId="21" xfId="0" applyNumberFormat="1" applyFont="1" applyFill="1" applyBorder="1"/>
    <xf numFmtId="0" fontId="1" fillId="0" borderId="0" xfId="11" applyAlignment="1">
      <alignment vertical="center"/>
    </xf>
    <xf numFmtId="0" fontId="1" fillId="0" borderId="47" xfId="11" applyFont="1" applyBorder="1" applyAlignment="1">
      <alignment horizontal="center" vertical="center"/>
    </xf>
    <xf numFmtId="0" fontId="1" fillId="0" borderId="48" xfId="11" applyFont="1" applyBorder="1" applyAlignment="1">
      <alignment horizontal="center" vertical="center"/>
    </xf>
    <xf numFmtId="0" fontId="1" fillId="0" borderId="50" xfId="11" applyFont="1" applyFill="1" applyBorder="1" applyAlignment="1">
      <alignment vertical="center"/>
    </xf>
    <xf numFmtId="0" fontId="50" fillId="0" borderId="0" xfId="11" applyFont="1" applyFill="1" applyBorder="1" applyAlignment="1">
      <alignment vertical="center"/>
    </xf>
    <xf numFmtId="0" fontId="1" fillId="0" borderId="26" xfId="11" applyFont="1" applyBorder="1" applyAlignment="1">
      <alignment horizontal="center" vertical="center"/>
    </xf>
    <xf numFmtId="0" fontId="1" fillId="0" borderId="28" xfId="11" applyFont="1" applyBorder="1" applyAlignment="1">
      <alignment horizontal="center" vertical="center"/>
    </xf>
    <xf numFmtId="0" fontId="1" fillId="0" borderId="20" xfId="11" applyBorder="1" applyAlignment="1">
      <alignment vertical="center"/>
    </xf>
    <xf numFmtId="0" fontId="1" fillId="0" borderId="21" xfId="11" applyBorder="1" applyAlignment="1">
      <alignment vertical="center"/>
    </xf>
    <xf numFmtId="0" fontId="1" fillId="0" borderId="22" xfId="11" applyBorder="1" applyAlignment="1">
      <alignment vertical="center"/>
    </xf>
    <xf numFmtId="0" fontId="1" fillId="0" borderId="0" xfId="11" applyFont="1" applyFill="1" applyBorder="1" applyAlignment="1">
      <alignment vertical="center"/>
    </xf>
    <xf numFmtId="0" fontId="1" fillId="0" borderId="0" xfId="11" applyFill="1" applyBorder="1" applyAlignment="1">
      <alignment vertical="center"/>
    </xf>
    <xf numFmtId="0" fontId="1" fillId="0" borderId="20" xfId="11" applyFont="1" applyBorder="1" applyAlignment="1">
      <alignment horizontal="center" vertical="center"/>
    </xf>
    <xf numFmtId="0" fontId="1" fillId="0" borderId="22" xfId="11" applyFont="1" applyBorder="1" applyAlignment="1">
      <alignment horizontal="center" vertical="center"/>
    </xf>
    <xf numFmtId="0" fontId="1" fillId="0" borderId="20" xfId="11" applyFont="1" applyBorder="1" applyAlignment="1">
      <alignment vertical="center"/>
    </xf>
    <xf numFmtId="0" fontId="1" fillId="0" borderId="21" xfId="11" applyFont="1" applyBorder="1" applyAlignment="1">
      <alignment vertical="center"/>
    </xf>
    <xf numFmtId="0" fontId="1" fillId="0" borderId="22" xfId="11" applyFont="1" applyBorder="1" applyAlignment="1">
      <alignment vertical="center"/>
    </xf>
    <xf numFmtId="0" fontId="1" fillId="0" borderId="20" xfId="11" applyFill="1" applyBorder="1" applyAlignment="1">
      <alignment vertical="center"/>
    </xf>
    <xf numFmtId="0" fontId="1" fillId="0" borderId="21" xfId="11" applyFont="1" applyFill="1" applyBorder="1" applyAlignment="1">
      <alignment vertical="center"/>
    </xf>
    <xf numFmtId="0" fontId="1" fillId="0" borderId="21" xfId="11" applyFill="1" applyBorder="1" applyAlignment="1">
      <alignment vertical="center"/>
    </xf>
    <xf numFmtId="0" fontId="1" fillId="0" borderId="0" xfId="11" applyFont="1" applyBorder="1" applyAlignment="1">
      <alignment vertical="center"/>
    </xf>
    <xf numFmtId="0" fontId="1" fillId="0" borderId="20" xfId="11" applyFont="1" applyFill="1" applyBorder="1" applyAlignment="1">
      <alignment vertical="center"/>
    </xf>
    <xf numFmtId="0" fontId="1" fillId="0" borderId="29" xfId="11" applyFill="1" applyBorder="1" applyAlignment="1">
      <alignment vertical="center"/>
    </xf>
    <xf numFmtId="0" fontId="1" fillId="0" borderId="30" xfId="11" applyFont="1" applyFill="1" applyBorder="1" applyAlignment="1">
      <alignment vertical="center"/>
    </xf>
    <xf numFmtId="0" fontId="1" fillId="0" borderId="31" xfId="11" applyFont="1" applyBorder="1" applyAlignment="1">
      <alignment vertical="center"/>
    </xf>
    <xf numFmtId="0" fontId="1" fillId="0" borderId="23" xfId="11" applyFill="1" applyBorder="1" applyAlignment="1">
      <alignment vertical="center"/>
    </xf>
    <xf numFmtId="0" fontId="1" fillId="0" borderId="24" xfId="11" applyFill="1" applyBorder="1" applyAlignment="1">
      <alignment vertical="center"/>
    </xf>
    <xf numFmtId="0" fontId="1" fillId="0" borderId="25" xfId="11" applyFont="1" applyBorder="1" applyAlignment="1">
      <alignment vertical="center"/>
    </xf>
    <xf numFmtId="0" fontId="1" fillId="0" borderId="29" xfId="11" applyFont="1" applyFill="1" applyBorder="1" applyAlignment="1">
      <alignment vertical="center"/>
    </xf>
    <xf numFmtId="0" fontId="1" fillId="0" borderId="30" xfId="11" applyFill="1" applyBorder="1" applyAlignment="1">
      <alignment vertical="center"/>
    </xf>
    <xf numFmtId="0" fontId="1" fillId="0" borderId="20" xfId="11" applyFill="1" applyBorder="1" applyAlignment="1">
      <alignment horizontal="right" vertical="center"/>
    </xf>
    <xf numFmtId="0" fontId="1" fillId="0" borderId="29" xfId="11" applyFont="1" applyBorder="1" applyAlignment="1">
      <alignment horizontal="center" vertical="center"/>
    </xf>
    <xf numFmtId="0" fontId="1" fillId="0" borderId="31" xfId="11" applyFont="1" applyBorder="1" applyAlignment="1">
      <alignment horizontal="center" vertical="center"/>
    </xf>
    <xf numFmtId="0" fontId="1" fillId="0" borderId="29" xfId="11" applyFill="1" applyBorder="1" applyAlignment="1">
      <alignment horizontal="right" vertical="center"/>
    </xf>
    <xf numFmtId="0" fontId="1" fillId="0" borderId="24" xfId="11" applyFont="1" applyFill="1" applyBorder="1" applyAlignment="1">
      <alignment vertical="center"/>
    </xf>
    <xf numFmtId="0" fontId="1" fillId="0" borderId="23" xfId="11" applyFont="1" applyFill="1" applyBorder="1" applyAlignment="1">
      <alignment vertical="center"/>
    </xf>
    <xf numFmtId="0" fontId="1" fillId="0" borderId="24" xfId="11" applyFont="1" applyBorder="1" applyAlignment="1">
      <alignment vertical="center"/>
    </xf>
    <xf numFmtId="0" fontId="1" fillId="0" borderId="22" xfId="11" applyFont="1" applyFill="1" applyBorder="1" applyAlignment="1">
      <alignment vertical="center"/>
    </xf>
    <xf numFmtId="0" fontId="1" fillId="0" borderId="0" xfId="11" applyBorder="1" applyAlignment="1">
      <alignment vertical="center"/>
    </xf>
    <xf numFmtId="2" fontId="58" fillId="0" borderId="0" xfId="0" applyNumberFormat="1" applyFont="1" applyBorder="1"/>
    <xf numFmtId="0" fontId="53" fillId="19" borderId="57" xfId="0" applyFont="1" applyFill="1" applyBorder="1" applyAlignment="1"/>
    <xf numFmtId="0" fontId="53" fillId="19" borderId="58" xfId="0" applyFont="1" applyFill="1" applyBorder="1" applyAlignment="1"/>
    <xf numFmtId="0" fontId="53" fillId="19" borderId="59" xfId="0" applyFont="1" applyFill="1" applyBorder="1" applyAlignment="1"/>
    <xf numFmtId="0" fontId="66" fillId="4" borderId="3" xfId="0" applyFont="1" applyFill="1" applyBorder="1" applyAlignment="1">
      <alignment vertical="center"/>
    </xf>
    <xf numFmtId="0" fontId="66" fillId="4" borderId="3" xfId="0" applyFont="1" applyFill="1" applyBorder="1" applyAlignment="1">
      <alignment horizontal="center" vertical="center"/>
    </xf>
    <xf numFmtId="0" fontId="72" fillId="4" borderId="3" xfId="0" applyFont="1" applyFill="1" applyBorder="1" applyAlignment="1">
      <alignment horizontal="center" vertical="center"/>
    </xf>
    <xf numFmtId="0" fontId="66" fillId="0" borderId="0" xfId="0" applyFont="1" applyFill="1" applyBorder="1"/>
    <xf numFmtId="0" fontId="66" fillId="0" borderId="0" xfId="0" applyFont="1" applyFill="1" applyBorder="1" applyAlignment="1">
      <alignment horizontal="center"/>
    </xf>
    <xf numFmtId="0" fontId="73" fillId="0" borderId="0" xfId="0" applyFont="1" applyFill="1" applyBorder="1" applyAlignment="1">
      <alignment vertical="center"/>
    </xf>
    <xf numFmtId="9" fontId="66" fillId="0" borderId="0" xfId="0" applyNumberFormat="1" applyFont="1" applyFill="1" applyBorder="1"/>
    <xf numFmtId="0" fontId="72" fillId="0" borderId="0" xfId="0" applyFont="1" applyFill="1" applyBorder="1"/>
    <xf numFmtId="0" fontId="74" fillId="0" borderId="0" xfId="0" applyFont="1" applyFill="1" applyBorder="1"/>
    <xf numFmtId="0" fontId="66" fillId="0" borderId="0" xfId="0" applyFont="1" applyFill="1" applyAlignment="1" applyProtection="1">
      <alignment horizontal="center"/>
      <protection locked="0"/>
    </xf>
    <xf numFmtId="0" fontId="75" fillId="0" borderId="0" xfId="0" applyFont="1" applyFill="1" applyBorder="1" applyAlignment="1">
      <alignment horizontal="left"/>
    </xf>
    <xf numFmtId="0" fontId="66" fillId="0" borderId="0" xfId="0" applyFont="1" applyFill="1" applyAlignment="1">
      <alignment horizontal="center"/>
    </xf>
    <xf numFmtId="0" fontId="72" fillId="0" borderId="0" xfId="0" applyFont="1" applyFill="1" applyBorder="1" applyAlignment="1">
      <alignment horizontal="left"/>
    </xf>
    <xf numFmtId="0" fontId="73" fillId="0" borderId="0" xfId="0" applyFont="1" applyFill="1" applyAlignment="1" applyProtection="1">
      <alignment horizontal="center" vertical="center"/>
      <protection locked="0"/>
    </xf>
    <xf numFmtId="3" fontId="66" fillId="0" borderId="0" xfId="0" applyNumberFormat="1" applyFont="1" applyFill="1" applyBorder="1"/>
    <xf numFmtId="3" fontId="72" fillId="0" borderId="0" xfId="0" applyNumberFormat="1" applyFont="1" applyFill="1" applyBorder="1"/>
    <xf numFmtId="0" fontId="66" fillId="0" borderId="2" xfId="0" applyFont="1" applyFill="1" applyBorder="1"/>
    <xf numFmtId="0" fontId="66" fillId="0" borderId="2" xfId="0" applyFont="1" applyFill="1" applyBorder="1" applyAlignment="1">
      <alignment horizontal="center"/>
    </xf>
    <xf numFmtId="0" fontId="73" fillId="0" borderId="2" xfId="0" applyFont="1" applyFill="1" applyBorder="1" applyAlignment="1">
      <alignment vertical="center"/>
    </xf>
    <xf numFmtId="9" fontId="66" fillId="0" borderId="2" xfId="0" applyNumberFormat="1" applyFont="1" applyFill="1" applyBorder="1"/>
    <xf numFmtId="0" fontId="72" fillId="0" borderId="2" xfId="0" applyFont="1" applyFill="1" applyBorder="1"/>
    <xf numFmtId="164" fontId="73" fillId="0" borderId="0" xfId="0" applyNumberFormat="1" applyFont="1" applyFill="1" applyAlignment="1" applyProtection="1">
      <alignment horizontal="center" vertical="center"/>
      <protection locked="0"/>
    </xf>
    <xf numFmtId="0" fontId="66" fillId="0" borderId="0" xfId="0" applyFont="1" applyFill="1" applyBorder="1" applyAlignment="1" applyProtection="1">
      <alignment horizontal="center"/>
      <protection locked="0"/>
    </xf>
    <xf numFmtId="3" fontId="73" fillId="0" borderId="0" xfId="0" applyNumberFormat="1" applyFont="1" applyFill="1" applyAlignment="1">
      <alignment vertical="center"/>
    </xf>
    <xf numFmtId="3" fontId="76" fillId="0" borderId="0" xfId="0" applyNumberFormat="1" applyFont="1" applyFill="1" applyAlignment="1">
      <alignment vertical="center"/>
    </xf>
    <xf numFmtId="3" fontId="75" fillId="0" borderId="0" xfId="0" applyNumberFormat="1" applyFont="1" applyFill="1" applyBorder="1"/>
    <xf numFmtId="0" fontId="73" fillId="0" borderId="0" xfId="0" applyFont="1" applyFill="1" applyAlignment="1">
      <alignment vertical="center"/>
    </xf>
    <xf numFmtId="0" fontId="77" fillId="0" borderId="0" xfId="0" applyFont="1" applyFill="1" applyBorder="1"/>
    <xf numFmtId="3" fontId="74" fillId="0" borderId="0" xfId="0" applyNumberFormat="1" applyFont="1" applyFill="1" applyBorder="1"/>
    <xf numFmtId="164" fontId="73" fillId="0" borderId="0" xfId="0" applyNumberFormat="1" applyFont="1" applyFill="1" applyAlignment="1" applyProtection="1">
      <alignment horizontal="center" vertical="center"/>
    </xf>
    <xf numFmtId="1" fontId="66" fillId="0" borderId="0" xfId="0" applyNumberFormat="1" applyFont="1" applyFill="1" applyBorder="1"/>
    <xf numFmtId="0" fontId="76" fillId="0" borderId="0" xfId="0" applyFont="1" applyFill="1" applyAlignment="1">
      <alignment vertical="center"/>
    </xf>
    <xf numFmtId="3" fontId="73" fillId="0" borderId="0" xfId="0" applyNumberFormat="1" applyFont="1" applyFill="1" applyAlignment="1" applyProtection="1">
      <alignment horizontal="center" vertical="center"/>
      <protection locked="0"/>
    </xf>
    <xf numFmtId="0" fontId="72" fillId="0" borderId="0" xfId="0" applyFont="1" applyFill="1" applyBorder="1" applyProtection="1">
      <protection locked="0"/>
    </xf>
    <xf numFmtId="0" fontId="73" fillId="0" borderId="0" xfId="0" applyFont="1" applyFill="1" applyAlignment="1">
      <alignment horizontal="center" vertical="center"/>
    </xf>
    <xf numFmtId="0" fontId="66" fillId="0" borderId="0" xfId="0" applyFont="1" applyFill="1"/>
    <xf numFmtId="3" fontId="66" fillId="0" borderId="0" xfId="0" applyNumberFormat="1" applyFont="1" applyFill="1" applyBorder="1" applyProtection="1">
      <protection locked="0"/>
    </xf>
    <xf numFmtId="164" fontId="66" fillId="0" borderId="0" xfId="0" applyNumberFormat="1" applyFont="1" applyFill="1" applyBorder="1"/>
    <xf numFmtId="3" fontId="66" fillId="0" borderId="0" xfId="0" applyNumberFormat="1" applyFont="1" applyFill="1" applyBorder="1" applyAlignment="1" applyProtection="1">
      <alignment horizontal="center"/>
      <protection locked="0"/>
    </xf>
    <xf numFmtId="2" fontId="66" fillId="0" borderId="0" xfId="0" applyNumberFormat="1" applyFont="1" applyFill="1" applyBorder="1" applyAlignment="1" applyProtection="1">
      <alignment horizontal="center"/>
      <protection locked="0"/>
    </xf>
    <xf numFmtId="2" fontId="66" fillId="0" borderId="0" xfId="0" applyNumberFormat="1" applyFont="1" applyFill="1" applyBorder="1" applyProtection="1">
      <protection locked="0"/>
    </xf>
    <xf numFmtId="0" fontId="72" fillId="0" borderId="0" xfId="0" applyFont="1" applyFill="1"/>
    <xf numFmtId="0" fontId="74" fillId="0" borderId="0" xfId="0" applyFont="1" applyFill="1"/>
    <xf numFmtId="3" fontId="66" fillId="0" borderId="0" xfId="0" applyNumberFormat="1" applyFont="1" applyFill="1"/>
    <xf numFmtId="3" fontId="72" fillId="0" borderId="0" xfId="0" applyNumberFormat="1" applyFont="1" applyFill="1"/>
    <xf numFmtId="0" fontId="72" fillId="0" borderId="0" xfId="0" applyFont="1" applyFill="1" applyAlignment="1">
      <alignment horizontal="left" indent="1"/>
    </xf>
    <xf numFmtId="3" fontId="74" fillId="0" borderId="0" xfId="0" applyNumberFormat="1" applyFont="1" applyFill="1"/>
    <xf numFmtId="3" fontId="75" fillId="0" borderId="0" xfId="0" applyNumberFormat="1" applyFont="1" applyFill="1"/>
    <xf numFmtId="0" fontId="74" fillId="0" borderId="1" xfId="0" applyFont="1" applyFill="1" applyBorder="1"/>
    <xf numFmtId="0" fontId="66" fillId="0" borderId="1" xfId="0" applyFont="1" applyFill="1" applyBorder="1"/>
    <xf numFmtId="0" fontId="73" fillId="0" borderId="1" xfId="0" applyFont="1" applyFill="1" applyBorder="1" applyAlignment="1">
      <alignment vertical="center"/>
    </xf>
    <xf numFmtId="3" fontId="75" fillId="0" borderId="1" xfId="0" applyNumberFormat="1" applyFont="1" applyFill="1" applyBorder="1"/>
    <xf numFmtId="0" fontId="66" fillId="0" borderId="0" xfId="0" applyFont="1" applyFill="1" applyAlignment="1">
      <alignment horizontal="left"/>
    </xf>
    <xf numFmtId="3" fontId="73" fillId="0" borderId="0" xfId="0" applyNumberFormat="1" applyFont="1" applyFill="1" applyBorder="1" applyAlignment="1" applyProtection="1">
      <alignment vertical="center"/>
      <protection locked="0"/>
    </xf>
    <xf numFmtId="166" fontId="73" fillId="0" borderId="0" xfId="0" applyNumberFormat="1" applyFont="1" applyFill="1" applyBorder="1" applyAlignment="1">
      <alignment horizontal="center" vertical="center"/>
    </xf>
    <xf numFmtId="9" fontId="66" fillId="0" borderId="0" xfId="0" applyNumberFormat="1" applyFont="1" applyFill="1"/>
    <xf numFmtId="0" fontId="72" fillId="0" borderId="0" xfId="0" applyFont="1" applyFill="1" applyAlignment="1">
      <alignment horizontal="center"/>
    </xf>
    <xf numFmtId="9" fontId="73" fillId="0" borderId="0" xfId="2" applyFont="1" applyFill="1" applyBorder="1" applyAlignment="1">
      <alignment horizontal="center" vertical="center"/>
    </xf>
    <xf numFmtId="4" fontId="73" fillId="0" borderId="0" xfId="0" applyNumberFormat="1" applyFont="1" applyFill="1" applyBorder="1" applyAlignment="1" applyProtection="1">
      <alignment vertical="center"/>
      <protection locked="0"/>
    </xf>
    <xf numFmtId="164" fontId="73" fillId="0" borderId="0" xfId="2" applyNumberFormat="1" applyFont="1" applyFill="1" applyAlignment="1" applyProtection="1">
      <alignment vertical="center"/>
      <protection locked="0"/>
    </xf>
    <xf numFmtId="164" fontId="73" fillId="0" borderId="0" xfId="2" applyNumberFormat="1" applyFont="1" applyFill="1" applyAlignment="1">
      <alignment vertical="center"/>
    </xf>
    <xf numFmtId="4" fontId="73" fillId="0" borderId="0" xfId="0" applyNumberFormat="1" applyFont="1" applyFill="1" applyAlignment="1">
      <alignment vertical="center"/>
    </xf>
    <xf numFmtId="9" fontId="78" fillId="0" borderId="0" xfId="2" applyFont="1" applyFill="1" applyBorder="1" applyAlignment="1" applyProtection="1">
      <alignment horizontal="center" vertical="center"/>
      <protection locked="0"/>
    </xf>
    <xf numFmtId="4" fontId="78" fillId="0" borderId="0" xfId="2" applyNumberFormat="1" applyFont="1" applyFill="1" applyBorder="1" applyAlignment="1" applyProtection="1">
      <alignment horizontal="center" vertical="center"/>
      <protection locked="0"/>
    </xf>
    <xf numFmtId="9" fontId="73" fillId="0" borderId="0" xfId="2" applyFont="1" applyFill="1" applyAlignment="1" applyProtection="1">
      <alignment horizontal="center" vertical="center"/>
      <protection locked="0"/>
    </xf>
    <xf numFmtId="4" fontId="73" fillId="0" borderId="0" xfId="2" applyNumberFormat="1" applyFont="1" applyFill="1" applyAlignment="1">
      <alignment horizontal="center" vertical="center"/>
    </xf>
    <xf numFmtId="9" fontId="73" fillId="0" borderId="0" xfId="2" applyFont="1" applyFill="1" applyAlignment="1">
      <alignment horizontal="center" vertical="center"/>
    </xf>
    <xf numFmtId="3" fontId="73" fillId="0" borderId="0" xfId="0" applyNumberFormat="1" applyFont="1" applyFill="1" applyBorder="1" applyAlignment="1">
      <alignment vertical="center"/>
    </xf>
    <xf numFmtId="3" fontId="66" fillId="0" borderId="0" xfId="0" applyNumberFormat="1" applyFont="1" applyFill="1" applyProtection="1">
      <protection locked="0"/>
    </xf>
    <xf numFmtId="3" fontId="73" fillId="0" borderId="2" xfId="0" applyNumberFormat="1" applyFont="1" applyFill="1" applyBorder="1" applyAlignment="1">
      <alignment vertical="center"/>
    </xf>
    <xf numFmtId="0" fontId="77" fillId="0" borderId="0" xfId="0" applyFont="1" applyFill="1"/>
    <xf numFmtId="0" fontId="72" fillId="0" borderId="0" xfId="0" applyFont="1" applyBorder="1"/>
    <xf numFmtId="0" fontId="66" fillId="0" borderId="0" xfId="0" applyFont="1" applyBorder="1"/>
    <xf numFmtId="9" fontId="66" fillId="0" borderId="0" xfId="0" applyNumberFormat="1" applyFont="1" applyFill="1" applyAlignment="1" applyProtection="1">
      <alignment horizontal="center"/>
      <protection locked="0"/>
    </xf>
    <xf numFmtId="9" fontId="66" fillId="0" borderId="0" xfId="0" applyNumberFormat="1" applyFont="1" applyFill="1" applyAlignment="1">
      <alignment horizontal="center"/>
    </xf>
    <xf numFmtId="3" fontId="77" fillId="0" borderId="0" xfId="0" applyNumberFormat="1" applyFont="1" applyFill="1"/>
    <xf numFmtId="0" fontId="75" fillId="0" borderId="0" xfId="0" applyFont="1" applyFill="1"/>
    <xf numFmtId="0" fontId="72" fillId="0" borderId="0" xfId="0" applyFont="1"/>
    <xf numFmtId="0" fontId="72" fillId="0" borderId="0" xfId="0" applyFont="1" applyFill="1" applyBorder="1" applyAlignment="1">
      <alignment vertical="center"/>
    </xf>
    <xf numFmtId="164" fontId="73" fillId="0" borderId="0" xfId="2" applyNumberFormat="1" applyFont="1" applyFill="1" applyAlignment="1">
      <alignment horizontal="center" vertical="center"/>
    </xf>
    <xf numFmtId="0" fontId="73" fillId="0" borderId="4" xfId="0" applyFont="1" applyFill="1" applyBorder="1" applyAlignment="1">
      <alignment horizontal="left" vertical="center" wrapText="1"/>
    </xf>
    <xf numFmtId="164" fontId="73" fillId="0" borderId="0" xfId="2" applyNumberFormat="1" applyFont="1" applyFill="1" applyAlignment="1" applyProtection="1">
      <alignment horizontal="center" vertical="center"/>
      <protection locked="0"/>
    </xf>
    <xf numFmtId="3" fontId="73" fillId="0" borderId="0" xfId="0" applyNumberFormat="1" applyFont="1" applyFill="1" applyAlignment="1">
      <alignment horizontal="center" vertical="center"/>
    </xf>
    <xf numFmtId="164" fontId="66" fillId="0" borderId="0" xfId="0" applyNumberFormat="1" applyFont="1" applyFill="1" applyAlignment="1">
      <alignment horizontal="center"/>
    </xf>
    <xf numFmtId="164" fontId="66" fillId="0" borderId="0" xfId="0" applyNumberFormat="1" applyFont="1" applyFill="1"/>
    <xf numFmtId="2" fontId="73" fillId="0" borderId="0" xfId="0" applyNumberFormat="1" applyFont="1" applyFill="1" applyAlignment="1">
      <alignment horizontal="center" vertical="center"/>
    </xf>
    <xf numFmtId="3" fontId="66" fillId="0" borderId="0" xfId="0" applyNumberFormat="1" applyFont="1" applyFill="1" applyAlignment="1">
      <alignment horizontal="center"/>
    </xf>
    <xf numFmtId="2" fontId="73" fillId="0" borderId="1" xfId="0" applyNumberFormat="1" applyFont="1" applyFill="1" applyBorder="1" applyAlignment="1">
      <alignment horizontal="center" vertical="center"/>
    </xf>
    <xf numFmtId="0" fontId="75" fillId="0" borderId="0" xfId="0" applyFont="1" applyFill="1" applyAlignment="1">
      <alignment horizontal="left"/>
    </xf>
    <xf numFmtId="4" fontId="66" fillId="0" borderId="0" xfId="0" applyNumberFormat="1" applyFont="1" applyFill="1"/>
    <xf numFmtId="4" fontId="66" fillId="0" borderId="0" xfId="0" applyNumberFormat="1" applyFont="1" applyFill="1" applyAlignment="1">
      <alignment horizontal="right"/>
    </xf>
    <xf numFmtId="3" fontId="66" fillId="0" borderId="0" xfId="0" applyNumberFormat="1" applyFont="1" applyFill="1" applyAlignment="1">
      <alignment horizontal="right"/>
    </xf>
    <xf numFmtId="9" fontId="66" fillId="0" borderId="0" xfId="0" applyNumberFormat="1" applyFont="1" applyFill="1" applyAlignment="1">
      <alignment horizontal="right"/>
    </xf>
    <xf numFmtId="0" fontId="72" fillId="4" borderId="3" xfId="0" applyFont="1" applyFill="1" applyBorder="1" applyAlignment="1">
      <alignment vertical="center"/>
    </xf>
    <xf numFmtId="2" fontId="66" fillId="0" borderId="0" xfId="0" applyNumberFormat="1" applyFont="1" applyFill="1" applyAlignment="1">
      <alignment horizontal="center"/>
    </xf>
    <xf numFmtId="0" fontId="74" fillId="0" borderId="2" xfId="0" applyFont="1" applyFill="1" applyBorder="1"/>
    <xf numFmtId="0" fontId="75" fillId="0" borderId="2" xfId="0" applyFont="1" applyFill="1" applyBorder="1"/>
    <xf numFmtId="0" fontId="77" fillId="0" borderId="0" xfId="0" applyFont="1" applyFill="1" applyBorder="1" applyAlignment="1">
      <alignment horizontal="center"/>
    </xf>
    <xf numFmtId="3" fontId="77" fillId="0" borderId="0" xfId="0" applyNumberFormat="1" applyFont="1" applyFill="1" applyBorder="1"/>
    <xf numFmtId="3" fontId="74" fillId="0" borderId="0" xfId="0" applyNumberFormat="1" applyFont="1" applyFill="1" applyAlignment="1">
      <alignment horizontal="center"/>
    </xf>
    <xf numFmtId="2" fontId="76" fillId="0" borderId="0" xfId="0" applyNumberFormat="1" applyFont="1" applyFill="1" applyAlignment="1">
      <alignment horizontal="center" vertical="center"/>
    </xf>
    <xf numFmtId="164" fontId="76" fillId="0" borderId="0" xfId="2" applyNumberFormat="1" applyFont="1" applyFill="1" applyAlignment="1">
      <alignment horizontal="center" vertical="center"/>
    </xf>
    <xf numFmtId="0" fontId="78" fillId="0" borderId="0" xfId="0" applyFont="1" applyFill="1" applyAlignment="1">
      <alignment horizontal="left" vertical="center"/>
    </xf>
    <xf numFmtId="2" fontId="66" fillId="0" borderId="0" xfId="0" applyNumberFormat="1" applyFont="1" applyFill="1" applyBorder="1"/>
    <xf numFmtId="4" fontId="77" fillId="0" borderId="0" xfId="0" applyNumberFormat="1" applyFont="1" applyFill="1" applyAlignment="1">
      <alignment horizontal="center"/>
    </xf>
    <xf numFmtId="9" fontId="73" fillId="0" borderId="0" xfId="2" applyNumberFormat="1" applyFont="1" applyFill="1" applyAlignment="1">
      <alignment horizontal="center" vertical="center"/>
    </xf>
    <xf numFmtId="9" fontId="73" fillId="0" borderId="0" xfId="0" applyNumberFormat="1" applyFont="1" applyFill="1" applyAlignment="1">
      <alignment vertical="center"/>
    </xf>
    <xf numFmtId="0" fontId="80" fillId="0" borderId="0" xfId="0" applyFont="1"/>
    <xf numFmtId="0" fontId="80" fillId="0" borderId="14" xfId="3" applyFont="1" applyBorder="1" applyAlignment="1">
      <alignment horizontal="center"/>
    </xf>
    <xf numFmtId="0" fontId="79" fillId="0" borderId="15" xfId="3" applyFont="1" applyBorder="1" applyAlignment="1">
      <alignment horizontal="center"/>
    </xf>
    <xf numFmtId="0" fontId="80" fillId="0" borderId="16" xfId="3" applyFont="1" applyBorder="1" applyAlignment="1">
      <alignment horizontal="center"/>
    </xf>
    <xf numFmtId="176" fontId="80" fillId="0" borderId="22" xfId="0" applyNumberFormat="1" applyFont="1" applyBorder="1" applyAlignment="1">
      <alignment horizontal="center"/>
    </xf>
    <xf numFmtId="0" fontId="80" fillId="0" borderId="17" xfId="3" applyFont="1" applyBorder="1" applyAlignment="1">
      <alignment horizontal="center"/>
    </xf>
    <xf numFmtId="0" fontId="79" fillId="0" borderId="18" xfId="3" applyFont="1" applyBorder="1" applyAlignment="1">
      <alignment horizontal="center"/>
    </xf>
    <xf numFmtId="0" fontId="80" fillId="0" borderId="19" xfId="3" applyFont="1" applyBorder="1" applyAlignment="1">
      <alignment horizontal="center"/>
    </xf>
    <xf numFmtId="0" fontId="80" fillId="0" borderId="20" xfId="3" applyFont="1" applyBorder="1" applyAlignment="1">
      <alignment horizontal="center"/>
    </xf>
    <xf numFmtId="0" fontId="79" fillId="0" borderId="21" xfId="3" applyFont="1" applyBorder="1" applyAlignment="1">
      <alignment horizontal="center"/>
    </xf>
    <xf numFmtId="0" fontId="80" fillId="0" borderId="22" xfId="3" applyFont="1" applyBorder="1" applyAlignment="1">
      <alignment horizontal="center"/>
    </xf>
    <xf numFmtId="0" fontId="80" fillId="0" borderId="23" xfId="3" applyFont="1" applyBorder="1" applyAlignment="1">
      <alignment horizontal="center"/>
    </xf>
    <xf numFmtId="0" fontId="79" fillId="0" borderId="24" xfId="3" applyFont="1" applyBorder="1" applyAlignment="1">
      <alignment horizontal="center"/>
    </xf>
    <xf numFmtId="0" fontId="80" fillId="0" borderId="25" xfId="3" applyFont="1" applyBorder="1" applyAlignment="1">
      <alignment horizontal="center"/>
    </xf>
    <xf numFmtId="0" fontId="80" fillId="0" borderId="26" xfId="3" applyFont="1" applyBorder="1" applyAlignment="1">
      <alignment horizontal="center"/>
    </xf>
    <xf numFmtId="0" fontId="79" fillId="0" borderId="27" xfId="3" applyFont="1" applyBorder="1" applyAlignment="1">
      <alignment horizontal="center"/>
    </xf>
    <xf numFmtId="0" fontId="80" fillId="0" borderId="28" xfId="3" applyFont="1" applyBorder="1" applyAlignment="1">
      <alignment horizontal="center"/>
    </xf>
    <xf numFmtId="0" fontId="80" fillId="0" borderId="29" xfId="3" applyFont="1" applyBorder="1" applyAlignment="1">
      <alignment horizontal="center"/>
    </xf>
    <xf numFmtId="0" fontId="79" fillId="0" borderId="30" xfId="3" applyFont="1" applyBorder="1" applyAlignment="1">
      <alignment horizontal="center"/>
    </xf>
    <xf numFmtId="0" fontId="80" fillId="0" borderId="31" xfId="3" applyFont="1" applyBorder="1" applyAlignment="1">
      <alignment horizontal="center"/>
    </xf>
    <xf numFmtId="0" fontId="80" fillId="0" borderId="32" xfId="3" applyFont="1" applyBorder="1" applyAlignment="1">
      <alignment horizontal="center"/>
    </xf>
    <xf numFmtId="0" fontId="79" fillId="0" borderId="33" xfId="3" applyFont="1" applyBorder="1" applyAlignment="1">
      <alignment horizontal="center"/>
    </xf>
    <xf numFmtId="0" fontId="80" fillId="0" borderId="34" xfId="3" applyFont="1" applyBorder="1" applyAlignment="1">
      <alignment horizontal="center"/>
    </xf>
    <xf numFmtId="0" fontId="82" fillId="11" borderId="7" xfId="0" applyFont="1" applyFill="1" applyBorder="1" applyAlignment="1">
      <alignment horizontal="center"/>
    </xf>
    <xf numFmtId="0" fontId="80" fillId="0" borderId="36" xfId="0" applyFont="1" applyBorder="1" applyAlignment="1">
      <alignment horizontal="center"/>
    </xf>
    <xf numFmtId="0" fontId="80" fillId="0" borderId="0" xfId="0" applyFont="1" applyAlignment="1">
      <alignment horizontal="center"/>
    </xf>
    <xf numFmtId="0" fontId="79" fillId="0" borderId="36" xfId="0" applyFont="1" applyBorder="1" applyAlignment="1">
      <alignment horizontal="center"/>
    </xf>
    <xf numFmtId="10" fontId="80" fillId="0" borderId="0" xfId="2" applyNumberFormat="1" applyFont="1"/>
    <xf numFmtId="176" fontId="51" fillId="0" borderId="0" xfId="0" applyNumberFormat="1" applyFont="1"/>
    <xf numFmtId="9" fontId="51" fillId="0" borderId="0" xfId="2" applyFont="1"/>
    <xf numFmtId="0" fontId="83" fillId="0" borderId="20" xfId="0" applyFont="1" applyBorder="1" applyAlignment="1">
      <alignment horizontal="right" wrapText="1"/>
    </xf>
    <xf numFmtId="4" fontId="14" fillId="8" borderId="0" xfId="0" applyNumberFormat="1" applyFont="1" applyFill="1" applyAlignment="1" applyProtection="1">
      <alignment horizontal="center" vertical="center"/>
      <protection locked="0"/>
    </xf>
    <xf numFmtId="0" fontId="66" fillId="4" borderId="3" xfId="0" applyFont="1" applyFill="1" applyBorder="1" applyAlignment="1">
      <alignment vertical="center" wrapText="1"/>
    </xf>
    <xf numFmtId="0" fontId="25" fillId="2" borderId="0" xfId="0" applyFont="1" applyFill="1" applyAlignment="1">
      <alignment horizontal="center" vertical="center"/>
    </xf>
    <xf numFmtId="22" fontId="26" fillId="0" borderId="0" xfId="0" quotePrefix="1" applyNumberFormat="1" applyFont="1" applyFill="1" applyAlignment="1">
      <alignment horizontal="left"/>
    </xf>
    <xf numFmtId="0" fontId="0" fillId="0" borderId="0" xfId="0" applyAlignment="1"/>
    <xf numFmtId="0" fontId="61" fillId="0" borderId="7" xfId="0" applyFont="1" applyBorder="1" applyAlignment="1">
      <alignment horizontal="center"/>
    </xf>
    <xf numFmtId="0" fontId="82" fillId="11" borderId="10" xfId="3" applyFont="1" applyFill="1" applyBorder="1" applyAlignment="1">
      <alignment horizontal="center" vertical="center" wrapText="1"/>
    </xf>
    <xf numFmtId="0" fontId="82" fillId="11" borderId="16" xfId="3" applyFont="1" applyFill="1" applyBorder="1" applyAlignment="1">
      <alignment horizontal="center" vertical="center" wrapText="1"/>
    </xf>
    <xf numFmtId="0" fontId="79" fillId="0" borderId="0" xfId="0" applyFont="1" applyAlignment="1">
      <alignment horizontal="center"/>
    </xf>
    <xf numFmtId="0" fontId="82" fillId="11" borderId="35" xfId="0" applyFont="1" applyFill="1" applyBorder="1" applyAlignment="1">
      <alignment horizontal="center"/>
    </xf>
    <xf numFmtId="0" fontId="82" fillId="11" borderId="7" xfId="0" applyFont="1" applyFill="1" applyBorder="1" applyAlignment="1">
      <alignment horizontal="center"/>
    </xf>
    <xf numFmtId="0" fontId="81" fillId="0" borderId="7" xfId="0" applyFont="1" applyBorder="1" applyAlignment="1">
      <alignment horizontal="center" wrapText="1"/>
    </xf>
    <xf numFmtId="0" fontId="82" fillId="11" borderId="8" xfId="3" applyFont="1" applyFill="1" applyBorder="1" applyAlignment="1">
      <alignment horizontal="center" vertical="center"/>
    </xf>
    <xf numFmtId="0" fontId="82" fillId="11" borderId="11" xfId="3" applyFont="1" applyFill="1" applyBorder="1" applyAlignment="1">
      <alignment horizontal="center" vertical="center"/>
    </xf>
    <xf numFmtId="0" fontId="82" fillId="11" borderId="9" xfId="3" applyFont="1" applyFill="1" applyBorder="1" applyAlignment="1">
      <alignment horizontal="center" vertical="center"/>
    </xf>
    <xf numFmtId="0" fontId="82" fillId="11" borderId="12" xfId="3" applyFont="1" applyFill="1" applyBorder="1" applyAlignment="1">
      <alignment horizontal="center" vertical="center"/>
    </xf>
    <xf numFmtId="0" fontId="82" fillId="11" borderId="13" xfId="3" applyFont="1" applyFill="1" applyBorder="1" applyAlignment="1">
      <alignment horizontal="center" vertical="center" wrapText="1"/>
    </xf>
    <xf numFmtId="0" fontId="82" fillId="11" borderId="42" xfId="3" applyFont="1" applyFill="1" applyBorder="1" applyAlignment="1">
      <alignment horizontal="center" vertical="center" wrapText="1"/>
    </xf>
    <xf numFmtId="0" fontId="82" fillId="11" borderId="43" xfId="3" applyFont="1" applyFill="1" applyBorder="1" applyAlignment="1">
      <alignment horizontal="center" vertical="center" wrapText="1"/>
    </xf>
    <xf numFmtId="0" fontId="68" fillId="0" borderId="0" xfId="0" applyFont="1" applyAlignment="1">
      <alignment horizontal="center"/>
    </xf>
    <xf numFmtId="0" fontId="61" fillId="13" borderId="37" xfId="0" applyFont="1" applyFill="1" applyBorder="1" applyAlignment="1">
      <alignment horizontal="center"/>
    </xf>
    <xf numFmtId="0" fontId="61" fillId="13" borderId="38" xfId="0" applyFont="1" applyFill="1" applyBorder="1" applyAlignment="1">
      <alignment horizontal="center"/>
    </xf>
    <xf numFmtId="0" fontId="61" fillId="13" borderId="39" xfId="0" applyFont="1" applyFill="1" applyBorder="1" applyAlignment="1">
      <alignment horizontal="center"/>
    </xf>
    <xf numFmtId="0" fontId="59" fillId="11" borderId="8" xfId="0" applyFont="1" applyFill="1" applyBorder="1" applyAlignment="1">
      <alignment horizontal="center" vertical="center" wrapText="1"/>
    </xf>
    <xf numFmtId="0" fontId="59" fillId="11" borderId="26" xfId="0" applyFont="1" applyFill="1" applyBorder="1" applyAlignment="1">
      <alignment horizontal="center" vertical="center" wrapText="1"/>
    </xf>
    <xf numFmtId="0" fontId="59" fillId="11" borderId="18" xfId="0" applyFont="1" applyFill="1" applyBorder="1" applyAlignment="1">
      <alignment horizontal="center" vertical="center" wrapText="1"/>
    </xf>
    <xf numFmtId="0" fontId="59" fillId="11" borderId="21" xfId="0" applyFont="1" applyFill="1" applyBorder="1" applyAlignment="1">
      <alignment horizontal="center" vertical="center" wrapText="1"/>
    </xf>
    <xf numFmtId="0" fontId="59" fillId="11" borderId="17" xfId="0" applyFont="1" applyFill="1" applyBorder="1" applyAlignment="1">
      <alignment vertical="center" wrapText="1"/>
    </xf>
    <xf numFmtId="0" fontId="59" fillId="11" borderId="20" xfId="0" applyFont="1" applyFill="1" applyBorder="1" applyAlignment="1">
      <alignment vertical="center" wrapText="1"/>
    </xf>
    <xf numFmtId="0" fontId="59" fillId="11" borderId="17" xfId="0" applyFont="1" applyFill="1" applyBorder="1" applyAlignment="1">
      <alignment horizontal="center" vertical="center" wrapText="1"/>
    </xf>
    <xf numFmtId="0" fontId="59" fillId="11" borderId="20" xfId="0" applyFont="1" applyFill="1" applyBorder="1" applyAlignment="1">
      <alignment horizontal="center" vertical="center" wrapText="1"/>
    </xf>
    <xf numFmtId="0" fontId="58" fillId="0" borderId="21" xfId="0" applyFont="1" applyFill="1" applyBorder="1" applyAlignment="1">
      <alignment horizontal="right" vertical="center"/>
    </xf>
    <xf numFmtId="0" fontId="58" fillId="0" borderId="40" xfId="0" applyFont="1" applyBorder="1" applyAlignment="1">
      <alignment horizontal="center" vertical="center" wrapText="1"/>
    </xf>
    <xf numFmtId="0" fontId="58" fillId="0" borderId="41" xfId="0" applyFont="1" applyBorder="1" applyAlignment="1">
      <alignment horizontal="center" vertical="center" wrapText="1"/>
    </xf>
    <xf numFmtId="0" fontId="65" fillId="11" borderId="18" xfId="0" applyFont="1" applyFill="1" applyBorder="1" applyAlignment="1">
      <alignment horizontal="center" vertical="center" wrapText="1"/>
    </xf>
    <xf numFmtId="0" fontId="59" fillId="15" borderId="19" xfId="0" applyFont="1" applyFill="1" applyBorder="1" applyAlignment="1">
      <alignment horizontal="center" vertical="center" wrapText="1"/>
    </xf>
    <xf numFmtId="0" fontId="59" fillId="15" borderId="22" xfId="0" applyFont="1" applyFill="1" applyBorder="1" applyAlignment="1">
      <alignment horizontal="center" vertical="center" wrapText="1"/>
    </xf>
    <xf numFmtId="0" fontId="59" fillId="11" borderId="18" xfId="0" applyFont="1" applyFill="1" applyBorder="1" applyAlignment="1">
      <alignment horizontal="center" wrapText="1"/>
    </xf>
    <xf numFmtId="0" fontId="59" fillId="11" borderId="19" xfId="0" applyFont="1" applyFill="1" applyBorder="1" applyAlignment="1">
      <alignment horizontal="center" wrapText="1"/>
    </xf>
    <xf numFmtId="0" fontId="59" fillId="11" borderId="18" xfId="0" applyFont="1" applyFill="1" applyBorder="1" applyAlignment="1">
      <alignment vertical="center" wrapText="1"/>
    </xf>
    <xf numFmtId="0" fontId="59" fillId="11" borderId="21" xfId="0" applyFont="1" applyFill="1" applyBorder="1" applyAlignment="1">
      <alignment vertical="center" wrapText="1"/>
    </xf>
    <xf numFmtId="0" fontId="50" fillId="0" borderId="17" xfId="11" applyFont="1" applyBorder="1" applyAlignment="1">
      <alignment horizontal="center" vertical="center"/>
    </xf>
    <xf numFmtId="0" fontId="50" fillId="0" borderId="18" xfId="11" applyFont="1" applyBorder="1" applyAlignment="1">
      <alignment horizontal="center" vertical="center"/>
    </xf>
    <xf numFmtId="0" fontId="50" fillId="0" borderId="19" xfId="11" applyFont="1" applyBorder="1" applyAlignment="1">
      <alignment horizontal="center" vertical="center"/>
    </xf>
    <xf numFmtId="0" fontId="1" fillId="0" borderId="17" xfId="11" applyBorder="1" applyAlignment="1">
      <alignment horizontal="center" vertical="center" wrapText="1"/>
    </xf>
    <xf numFmtId="0" fontId="1" fillId="0" borderId="20" xfId="11" applyBorder="1" applyAlignment="1">
      <alignment horizontal="center" vertical="center" wrapText="1"/>
    </xf>
    <xf numFmtId="0" fontId="1" fillId="0" borderId="18" xfId="11" applyBorder="1" applyAlignment="1">
      <alignment horizontal="center" vertical="center"/>
    </xf>
    <xf numFmtId="0" fontId="1" fillId="0" borderId="21" xfId="11" applyBorder="1" applyAlignment="1">
      <alignment horizontal="center" vertical="center"/>
    </xf>
    <xf numFmtId="0" fontId="1" fillId="0" borderId="19" xfId="11" applyFont="1" applyBorder="1" applyAlignment="1">
      <alignment horizontal="center" vertical="center"/>
    </xf>
    <xf numFmtId="0" fontId="1" fillId="0" borderId="22" xfId="11" applyFont="1" applyBorder="1" applyAlignment="1">
      <alignment horizontal="center" vertical="center"/>
    </xf>
    <xf numFmtId="0" fontId="1" fillId="0" borderId="54" xfId="11" applyFont="1" applyBorder="1" applyAlignment="1">
      <alignment horizontal="center" vertical="center"/>
    </xf>
    <xf numFmtId="0" fontId="1" fillId="0" borderId="55" xfId="11" applyFont="1" applyBorder="1" applyAlignment="1">
      <alignment horizontal="center" vertical="center"/>
    </xf>
    <xf numFmtId="0" fontId="1" fillId="0" borderId="56" xfId="11" applyFont="1" applyBorder="1" applyAlignment="1">
      <alignment horizontal="center" vertical="center"/>
    </xf>
    <xf numFmtId="0" fontId="1" fillId="0" borderId="17" xfId="11" applyBorder="1" applyAlignment="1">
      <alignment horizontal="center" vertical="center"/>
    </xf>
    <xf numFmtId="0" fontId="1" fillId="0" borderId="19" xfId="11" applyBorder="1" applyAlignment="1">
      <alignment horizontal="center" vertical="center"/>
    </xf>
    <xf numFmtId="0" fontId="1" fillId="0" borderId="26" xfId="11" applyBorder="1" applyAlignment="1">
      <alignment horizontal="center" vertical="center"/>
    </xf>
    <xf numFmtId="0" fontId="1" fillId="0" borderId="27" xfId="11" applyBorder="1" applyAlignment="1">
      <alignment horizontal="center" vertical="center"/>
    </xf>
    <xf numFmtId="0" fontId="1" fillId="0" borderId="28" xfId="11" applyBorder="1" applyAlignment="1">
      <alignment horizontal="center" vertical="center"/>
    </xf>
    <xf numFmtId="0" fontId="1" fillId="0" borderId="10" xfId="11" applyFont="1" applyBorder="1" applyAlignment="1">
      <alignment horizontal="center" vertical="center"/>
    </xf>
    <xf numFmtId="0" fontId="1" fillId="0" borderId="28" xfId="11" applyFont="1" applyBorder="1" applyAlignment="1">
      <alignment horizontal="center" vertical="center"/>
    </xf>
    <xf numFmtId="0" fontId="1" fillId="0" borderId="51" xfId="11" applyBorder="1" applyAlignment="1">
      <alignment horizontal="center" vertical="center"/>
    </xf>
    <xf numFmtId="0" fontId="1" fillId="0" borderId="52" xfId="11" applyBorder="1" applyAlignment="1">
      <alignment horizontal="center" vertical="center"/>
    </xf>
    <xf numFmtId="0" fontId="1" fillId="0" borderId="53" xfId="11" applyBorder="1" applyAlignment="1">
      <alignment horizontal="center" vertical="center"/>
    </xf>
    <xf numFmtId="0" fontId="1" fillId="0" borderId="23" xfId="11" applyFont="1" applyBorder="1" applyAlignment="1">
      <alignment horizontal="center" vertical="center"/>
    </xf>
    <xf numFmtId="0" fontId="1" fillId="0" borderId="24" xfId="11" applyFont="1" applyBorder="1" applyAlignment="1">
      <alignment horizontal="center" vertical="center"/>
    </xf>
    <xf numFmtId="0" fontId="1" fillId="0" borderId="25" xfId="11" applyFont="1" applyBorder="1" applyAlignment="1">
      <alignment horizontal="center" vertical="center"/>
    </xf>
    <xf numFmtId="0" fontId="1" fillId="0" borderId="29" xfId="11" applyFont="1" applyBorder="1" applyAlignment="1">
      <alignment horizontal="center" vertical="center"/>
    </xf>
    <xf numFmtId="0" fontId="1" fillId="0" borderId="30" xfId="11" applyFont="1" applyBorder="1" applyAlignment="1">
      <alignment horizontal="center" vertical="center"/>
    </xf>
    <xf numFmtId="0" fontId="1" fillId="0" borderId="31" xfId="11" applyFont="1" applyBorder="1" applyAlignment="1">
      <alignment horizontal="center" vertical="center"/>
    </xf>
    <xf numFmtId="0" fontId="1" fillId="0" borderId="20" xfId="11" applyFont="1" applyFill="1" applyBorder="1" applyAlignment="1">
      <alignment horizontal="center" vertical="center"/>
    </xf>
    <xf numFmtId="0" fontId="1" fillId="0" borderId="22" xfId="11" applyBorder="1" applyAlignment="1">
      <alignment horizontal="center" vertical="center" wrapText="1"/>
    </xf>
    <xf numFmtId="0" fontId="1" fillId="0" borderId="20" xfId="11" applyFill="1" applyBorder="1" applyAlignment="1">
      <alignment horizontal="center" vertical="center"/>
    </xf>
    <xf numFmtId="0" fontId="1" fillId="0" borderId="21" xfId="11" applyFill="1" applyBorder="1" applyAlignment="1">
      <alignment horizontal="center" vertical="center"/>
    </xf>
    <xf numFmtId="0" fontId="1" fillId="0" borderId="23" xfId="11" applyFill="1" applyBorder="1" applyAlignment="1">
      <alignment horizontal="center" vertical="center"/>
    </xf>
    <xf numFmtId="0" fontId="1" fillId="0" borderId="24" xfId="11" applyFill="1" applyBorder="1" applyAlignment="1">
      <alignment horizontal="center" vertical="center"/>
    </xf>
    <xf numFmtId="0" fontId="61" fillId="0" borderId="7" xfId="0" applyFont="1" applyBorder="1" applyAlignment="1">
      <alignment horizontal="center" vertical="center"/>
    </xf>
    <xf numFmtId="0" fontId="61" fillId="0" borderId="7" xfId="0" applyFont="1" applyBorder="1" applyAlignment="1">
      <alignment horizontal="center" vertical="center" wrapText="1"/>
    </xf>
    <xf numFmtId="0" fontId="61" fillId="19" borderId="1" xfId="0" applyFont="1" applyFill="1" applyBorder="1" applyAlignment="1">
      <alignment horizontal="center"/>
    </xf>
  </cellXfs>
  <cellStyles count="12">
    <cellStyle name="Обычный" xfId="0" builtinId="0"/>
    <cellStyle name="Обычный 2" xfId="4" xr:uid="{00000000-0005-0000-0000-000001000000}"/>
    <cellStyle name="Обычный 3" xfId="5" xr:uid="{00000000-0005-0000-0000-000002000000}"/>
    <cellStyle name="Обычный 4" xfId="6" xr:uid="{00000000-0005-0000-0000-000003000000}"/>
    <cellStyle name="Обычный 5" xfId="3" xr:uid="{00000000-0005-0000-0000-000004000000}"/>
    <cellStyle name="Обычный 6" xfId="11" xr:uid="{00000000-0005-0000-0000-000005000000}"/>
    <cellStyle name="Обычный_Лист1" xfId="1" xr:uid="{00000000-0005-0000-0000-000006000000}"/>
    <cellStyle name="Процентный" xfId="2" builtinId="5"/>
    <cellStyle name="Процентный 2" xfId="7" xr:uid="{00000000-0005-0000-0000-000008000000}"/>
    <cellStyle name="Процентный 3" xfId="8" xr:uid="{00000000-0005-0000-0000-000009000000}"/>
    <cellStyle name="Процентный 4" xfId="10" xr:uid="{00000000-0005-0000-0000-00000A000000}"/>
    <cellStyle name="Финансовый 2" xfId="9" xr:uid="{00000000-0005-0000-0000-00000B000000}"/>
  </cellStyles>
  <dxfs count="39">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1" tint="0.499984740745262"/>
      </font>
      <fill>
        <patternFill patternType="none">
          <bgColor indexed="65"/>
        </patternFill>
      </fill>
    </dxf>
    <dxf>
      <fill>
        <patternFill patternType="none">
          <bgColor indexed="65"/>
        </patternFill>
      </fill>
    </dxf>
    <dxf>
      <font>
        <condense val="0"/>
        <extend val="0"/>
        <color indexed="10"/>
      </font>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ont>
        <condense val="0"/>
        <extend val="0"/>
        <color indexed="10"/>
      </font>
    </dxf>
    <dxf>
      <fill>
        <patternFill>
          <bgColor indexed="53"/>
        </patternFill>
      </fill>
    </dxf>
    <dxf>
      <font>
        <condense val="0"/>
        <extend val="0"/>
        <color indexed="10"/>
      </font>
    </dxf>
    <dxf>
      <fill>
        <patternFill>
          <bgColor indexed="53"/>
        </patternFill>
      </fill>
    </dxf>
    <dxf>
      <font>
        <condense val="0"/>
        <extend val="0"/>
        <color indexed="10"/>
      </font>
    </dxf>
    <dxf>
      <fill>
        <patternFill>
          <bgColor indexed="53"/>
        </patternFill>
      </fill>
    </dxf>
    <dxf>
      <font>
        <condense val="0"/>
        <extend val="0"/>
        <color indexed="10"/>
      </font>
    </dxf>
    <dxf>
      <fill>
        <patternFill>
          <bgColor indexed="53"/>
        </patternFill>
      </fill>
    </dxf>
    <dxf>
      <font>
        <condense val="0"/>
        <extend val="0"/>
        <color indexed="10"/>
      </font>
    </dxf>
    <dxf>
      <fill>
        <patternFill>
          <bgColor indexed="53"/>
        </patternFill>
      </fill>
    </dxf>
    <dxf>
      <font>
        <condense val="0"/>
        <extend val="0"/>
        <color indexed="10"/>
      </font>
    </dxf>
    <dxf>
      <fill>
        <patternFill>
          <bgColor indexed="53"/>
        </patternFill>
      </fill>
    </dxf>
    <dxf>
      <font>
        <condense val="0"/>
        <extend val="0"/>
        <color indexed="10"/>
      </font>
    </dxf>
    <dxf>
      <fill>
        <patternFill>
          <bgColor indexed="53"/>
        </patternFill>
      </fill>
    </dxf>
    <dxf>
      <font>
        <condense val="0"/>
        <extend val="0"/>
        <color indexed="10"/>
      </font>
    </dxf>
    <dxf>
      <fill>
        <patternFill>
          <bgColor indexed="53"/>
        </patternFill>
      </fill>
    </dxf>
    <dxf>
      <font>
        <condense val="0"/>
        <extend val="0"/>
        <color indexed="10"/>
      </font>
    </dxf>
    <dxf>
      <fill>
        <patternFill>
          <bgColor indexed="53"/>
        </patternFill>
      </fill>
    </dxf>
    <dxf>
      <font>
        <condense val="0"/>
        <extend val="0"/>
        <color indexed="10"/>
      </font>
    </dxf>
    <dxf>
      <font>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99FFCC"/>
      <rgbColor rgb="000000FF"/>
      <rgbColor rgb="00FFFF99"/>
      <rgbColor rgb="00FFCCFF"/>
      <rgbColor rgb="00D7AE85"/>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CCCCFF"/>
      <rgbColor rgb="00800080"/>
      <rgbColor rgb="00800000"/>
      <rgbColor rgb="00008080"/>
      <rgbColor rgb="000000FF"/>
      <rgbColor rgb="00B9F2FF"/>
      <rgbColor rgb="00CED9FE"/>
      <rgbColor rgb="00CED9FE"/>
      <rgbColor rgb="00C6D79F"/>
      <rgbColor rgb="0099CCFF"/>
      <rgbColor rgb="00D8D8D8"/>
      <rgbColor rgb="00CC99FF"/>
      <rgbColor rgb="00EAEAEA"/>
      <rgbColor rgb="00AA7138"/>
      <rgbColor rgb="0033CCCC"/>
      <rgbColor rgb="00E6FF9F"/>
      <rgbColor rgb="00FFCC99"/>
      <rgbColor rgb="00FF9900"/>
      <rgbColor rgb="00FF6600"/>
      <rgbColor rgb="00666699"/>
      <rgbColor rgb="00969696"/>
      <rgbColor rgb="00003366"/>
      <rgbColor rgb="00A0E0C0"/>
      <rgbColor rgb="00003300"/>
      <rgbColor rgb="00333300"/>
      <rgbColor rgb="00993300"/>
      <rgbColor rgb="00DD97BA"/>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lineChart>
        <c:grouping val="standard"/>
        <c:varyColors val="0"/>
        <c:ser>
          <c:idx val="0"/>
          <c:order val="0"/>
          <c:tx>
            <c:strRef>
              <c:f>Проект!$A$1199</c:f>
              <c:strCache>
                <c:ptCount val="1"/>
                <c:pt idx="0">
                  <c:v>Выручка (нетто)</c:v>
                </c:pt>
              </c:strCache>
            </c:strRef>
          </c:tx>
          <c:cat>
            <c:strRef>
              <c:f>Проект!$F$1197:$AC$1197</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Проект!$F$1199:$AC$1199</c:f>
              <c:numCache>
                <c:formatCode>#,##0</c:formatCode>
                <c:ptCount val="24"/>
                <c:pt idx="0">
                  <c:v>0</c:v>
                </c:pt>
                <c:pt idx="1">
                  <c:v>0</c:v>
                </c:pt>
                <c:pt idx="2">
                  <c:v>0</c:v>
                </c:pt>
                <c:pt idx="3">
                  <c:v>0</c:v>
                </c:pt>
                <c:pt idx="4">
                  <c:v>0</c:v>
                </c:pt>
                <c:pt idx="5">
                  <c:v>714.56092469127964</c:v>
                </c:pt>
                <c:pt idx="6">
                  <c:v>2731.2132863136535</c:v>
                </c:pt>
                <c:pt idx="7">
                  <c:v>4381.7008046824012</c:v>
                </c:pt>
                <c:pt idx="8">
                  <c:v>6249.0205978072227</c:v>
                </c:pt>
                <c:pt idx="9">
                  <c:v>7525.4219523772372</c:v>
                </c:pt>
                <c:pt idx="10">
                  <c:v>7525.4219523772372</c:v>
                </c:pt>
                <c:pt idx="11">
                  <c:v>7525.4219523772372</c:v>
                </c:pt>
                <c:pt idx="12">
                  <c:v>7525.4219523772372</c:v>
                </c:pt>
                <c:pt idx="13">
                  <c:v>7525.4219523772372</c:v>
                </c:pt>
                <c:pt idx="14">
                  <c:v>7525.4219523772372</c:v>
                </c:pt>
                <c:pt idx="15">
                  <c:v>7525.4219523772372</c:v>
                </c:pt>
                <c:pt idx="16">
                  <c:v>7525.4219523772372</c:v>
                </c:pt>
                <c:pt idx="17">
                  <c:v>7525.4219523772372</c:v>
                </c:pt>
                <c:pt idx="18">
                  <c:v>7525.4219523772372</c:v>
                </c:pt>
                <c:pt idx="19">
                  <c:v>7525.4219523772372</c:v>
                </c:pt>
                <c:pt idx="20">
                  <c:v>7525.4219523772372</c:v>
                </c:pt>
                <c:pt idx="21">
                  <c:v>7525.4219523772372</c:v>
                </c:pt>
                <c:pt idx="22">
                  <c:v>7525.4219523772372</c:v>
                </c:pt>
                <c:pt idx="23">
                  <c:v>7525.4219523772372</c:v>
                </c:pt>
              </c:numCache>
            </c:numRef>
          </c:val>
          <c:smooth val="0"/>
          <c:extLst>
            <c:ext xmlns:c16="http://schemas.microsoft.com/office/drawing/2014/chart" uri="{C3380CC4-5D6E-409C-BE32-E72D297353CC}">
              <c16:uniqueId val="{00000000-8543-44A9-AFCB-BB73C24E601E}"/>
            </c:ext>
          </c:extLst>
        </c:ser>
        <c:dLbls>
          <c:showLegendKey val="0"/>
          <c:showVal val="0"/>
          <c:showCatName val="0"/>
          <c:showSerName val="0"/>
          <c:showPercent val="0"/>
          <c:showBubbleSize val="0"/>
        </c:dLbls>
        <c:marker val="1"/>
        <c:smooth val="0"/>
        <c:axId val="97856128"/>
        <c:axId val="97862016"/>
      </c:lineChart>
      <c:catAx>
        <c:axId val="97856128"/>
        <c:scaling>
          <c:orientation val="minMax"/>
        </c:scaling>
        <c:delete val="0"/>
        <c:axPos val="b"/>
        <c:numFmt formatCode="General" sourceLinked="1"/>
        <c:majorTickMark val="out"/>
        <c:minorTickMark val="none"/>
        <c:tickLblPos val="nextTo"/>
        <c:txPr>
          <a:bodyPr rot="0" vert="horz"/>
          <a:lstStyle/>
          <a:p>
            <a:pPr>
              <a:defRPr sz="800"/>
            </a:pPr>
            <a:endParaRPr lang="ru-RU"/>
          </a:p>
        </c:txPr>
        <c:crossAx val="97862016"/>
        <c:crosses val="autoZero"/>
        <c:auto val="1"/>
        <c:lblAlgn val="ctr"/>
        <c:lblOffset val="100"/>
        <c:tickLblSkip val="1"/>
        <c:tickMarkSkip val="1"/>
        <c:noMultiLvlLbl val="0"/>
      </c:catAx>
      <c:valAx>
        <c:axId val="97862016"/>
        <c:scaling>
          <c:orientation val="minMax"/>
        </c:scaling>
        <c:delete val="0"/>
        <c:axPos val="l"/>
        <c:majorGridlines/>
        <c:numFmt formatCode="#,##0" sourceLinked="1"/>
        <c:majorTickMark val="out"/>
        <c:minorTickMark val="none"/>
        <c:tickLblPos val="nextTo"/>
        <c:txPr>
          <a:bodyPr rot="0" vert="horz"/>
          <a:lstStyle/>
          <a:p>
            <a:pPr>
              <a:defRPr/>
            </a:pPr>
            <a:endParaRPr lang="ru-RU"/>
          </a:p>
        </c:txPr>
        <c:crossAx val="97856128"/>
        <c:crosses val="autoZero"/>
        <c:crossBetween val="between"/>
      </c:valAx>
    </c:plotArea>
    <c:plotVisOnly val="1"/>
    <c:dispBlanksAs val="gap"/>
    <c:showDLblsOverMax val="0"/>
  </c:chart>
  <c:printSettings>
    <c:headerFooter alignWithMargins="0"/>
    <c:pageMargins b="1" l="0.7500000000000091" r="0.750000000000009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barChart>
        <c:barDir val="col"/>
        <c:grouping val="stacked"/>
        <c:varyColors val="0"/>
        <c:ser>
          <c:idx val="0"/>
          <c:order val="0"/>
          <c:tx>
            <c:strRef>
              <c:f>Проект!$A$1321</c:f>
              <c:strCache>
                <c:ptCount val="1"/>
                <c:pt idx="0">
                  <c:v>Поступления от продаж</c:v>
                </c:pt>
              </c:strCache>
            </c:strRef>
          </c:tx>
          <c:invertIfNegative val="0"/>
          <c:cat>
            <c:strRef>
              <c:f>Проект!$F$1319:$AC$1319</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Проект!$F$1321:$AC$1321</c:f>
              <c:numCache>
                <c:formatCode>#,##0</c:formatCode>
                <c:ptCount val="24"/>
                <c:pt idx="0">
                  <c:v>0</c:v>
                </c:pt>
                <c:pt idx="1">
                  <c:v>0</c:v>
                </c:pt>
                <c:pt idx="2">
                  <c:v>0</c:v>
                </c:pt>
                <c:pt idx="3">
                  <c:v>0</c:v>
                </c:pt>
                <c:pt idx="4">
                  <c:v>0</c:v>
                </c:pt>
                <c:pt idx="5">
                  <c:v>714.56092469127964</c:v>
                </c:pt>
                <c:pt idx="6">
                  <c:v>2731.2132863136535</c:v>
                </c:pt>
                <c:pt idx="7">
                  <c:v>4381.7008046824012</c:v>
                </c:pt>
                <c:pt idx="8">
                  <c:v>6249.0205978072227</c:v>
                </c:pt>
                <c:pt idx="9">
                  <c:v>7525.4219523772372</c:v>
                </c:pt>
                <c:pt idx="10">
                  <c:v>7525.4219523772372</c:v>
                </c:pt>
                <c:pt idx="11">
                  <c:v>7525.4219523772372</c:v>
                </c:pt>
                <c:pt idx="12">
                  <c:v>7525.4219523772372</c:v>
                </c:pt>
                <c:pt idx="13">
                  <c:v>7525.4219523772372</c:v>
                </c:pt>
                <c:pt idx="14">
                  <c:v>7525.4219523772372</c:v>
                </c:pt>
                <c:pt idx="15">
                  <c:v>7525.4219523772372</c:v>
                </c:pt>
                <c:pt idx="16">
                  <c:v>7525.4219523772372</c:v>
                </c:pt>
                <c:pt idx="17">
                  <c:v>7525.4219523772372</c:v>
                </c:pt>
                <c:pt idx="18">
                  <c:v>7525.4219523772372</c:v>
                </c:pt>
                <c:pt idx="19">
                  <c:v>7525.4219523772372</c:v>
                </c:pt>
                <c:pt idx="20">
                  <c:v>7525.4219523772372</c:v>
                </c:pt>
                <c:pt idx="21">
                  <c:v>7525.4219523772372</c:v>
                </c:pt>
                <c:pt idx="22">
                  <c:v>7525.4219523772372</c:v>
                </c:pt>
                <c:pt idx="23">
                  <c:v>7525.4219523772372</c:v>
                </c:pt>
              </c:numCache>
            </c:numRef>
          </c:val>
          <c:extLst>
            <c:ext xmlns:c16="http://schemas.microsoft.com/office/drawing/2014/chart" uri="{C3380CC4-5D6E-409C-BE32-E72D297353CC}">
              <c16:uniqueId val="{00000000-99A5-4425-8AE2-12CFF2118EDE}"/>
            </c:ext>
          </c:extLst>
        </c:ser>
        <c:ser>
          <c:idx val="1"/>
          <c:order val="1"/>
          <c:tx>
            <c:strRef>
              <c:f>Проект!$A$1346</c:f>
              <c:strCache>
                <c:ptCount val="1"/>
                <c:pt idx="0">
                  <c:v>Средства от инвесторов строительства</c:v>
                </c:pt>
              </c:strCache>
            </c:strRef>
          </c:tx>
          <c:invertIfNegative val="0"/>
          <c:cat>
            <c:strRef>
              <c:f>Проект!$F$1319:$AC$1319</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Проект!$F$1346:$AC$1346</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99A5-4425-8AE2-12CFF2118EDE}"/>
            </c:ext>
          </c:extLst>
        </c:ser>
        <c:dLbls>
          <c:showLegendKey val="0"/>
          <c:showVal val="0"/>
          <c:showCatName val="0"/>
          <c:showSerName val="0"/>
          <c:showPercent val="0"/>
          <c:showBubbleSize val="0"/>
        </c:dLbls>
        <c:gapWidth val="55"/>
        <c:overlap val="100"/>
        <c:axId val="109958656"/>
        <c:axId val="109960192"/>
      </c:barChart>
      <c:catAx>
        <c:axId val="109958656"/>
        <c:scaling>
          <c:orientation val="minMax"/>
        </c:scaling>
        <c:delete val="0"/>
        <c:axPos val="b"/>
        <c:numFmt formatCode="General" sourceLinked="1"/>
        <c:majorTickMark val="none"/>
        <c:minorTickMark val="none"/>
        <c:tickLblPos val="nextTo"/>
        <c:spPr>
          <a:ln>
            <a:solidFill>
              <a:sysClr val="windowText" lastClr="000000"/>
            </a:solidFill>
          </a:ln>
        </c:spPr>
        <c:txPr>
          <a:bodyPr rot="0" vert="horz"/>
          <a:lstStyle/>
          <a:p>
            <a:pPr>
              <a:defRPr sz="800" b="0" i="0" u="none" strike="noStrike" baseline="0">
                <a:solidFill>
                  <a:srgbClr val="000000"/>
                </a:solidFill>
                <a:latin typeface="Arial"/>
                <a:ea typeface="Arial"/>
                <a:cs typeface="Arial"/>
              </a:defRPr>
            </a:pPr>
            <a:endParaRPr lang="ru-RU"/>
          </a:p>
        </c:txPr>
        <c:crossAx val="109960192"/>
        <c:crosses val="autoZero"/>
        <c:auto val="1"/>
        <c:lblAlgn val="ctr"/>
        <c:lblOffset val="100"/>
        <c:tickLblSkip val="1"/>
        <c:tickMarkSkip val="1"/>
        <c:noMultiLvlLbl val="0"/>
      </c:catAx>
      <c:valAx>
        <c:axId val="109960192"/>
        <c:scaling>
          <c:orientation val="minMax"/>
        </c:scaling>
        <c:delete val="0"/>
        <c:axPos val="l"/>
        <c:majorGridlines>
          <c:spPr>
            <a:ln>
              <a:solidFill>
                <a:schemeClr val="tx1">
                  <a:lumMod val="50000"/>
                  <a:lumOff val="50000"/>
                </a:schemeClr>
              </a:solidFill>
              <a:prstDash val="sysDash"/>
            </a:ln>
          </c:spPr>
        </c:majorGridlines>
        <c:numFmt formatCode="#,##0" sourceLinked="1"/>
        <c:majorTickMark val="none"/>
        <c:minorTickMark val="none"/>
        <c:tickLblPos val="nextTo"/>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ru-RU"/>
          </a:p>
        </c:txPr>
        <c:crossAx val="109958656"/>
        <c:crosses val="autoZero"/>
        <c:crossBetween val="between"/>
      </c:valAx>
      <c:spPr>
        <a:solidFill>
          <a:sysClr val="window" lastClr="FFFFFF">
            <a:lumMod val="85000"/>
            <a:alpha val="70000"/>
          </a:sysClr>
        </a:solidFill>
      </c:spPr>
    </c:plotArea>
    <c:legend>
      <c:legendPos val="r"/>
      <c:overlay val="0"/>
      <c:txPr>
        <a:bodyPr/>
        <a:lstStyle/>
        <a:p>
          <a:pPr>
            <a:defRPr sz="735" b="0" i="0" u="none" strike="noStrike" baseline="0">
              <a:solidFill>
                <a:srgbClr val="000000"/>
              </a:solidFill>
              <a:latin typeface="Arial"/>
              <a:ea typeface="Arial"/>
              <a:cs typeface="Arial"/>
            </a:defRPr>
          </a:pPr>
          <a:endParaRPr lang="ru-RU"/>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1" l="0.75000000000000933" r="0.75000000000000933"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barChart>
        <c:barDir val="col"/>
        <c:grouping val="stacked"/>
        <c:varyColors val="0"/>
        <c:ser>
          <c:idx val="0"/>
          <c:order val="0"/>
          <c:tx>
            <c:strRef>
              <c:f>Проект!$A$1479</c:f>
              <c:strCache>
                <c:ptCount val="1"/>
                <c:pt idx="0">
                  <c:v>Суммарные внеоборотные активы</c:v>
                </c:pt>
              </c:strCache>
            </c:strRef>
          </c:tx>
          <c:invertIfNegative val="0"/>
          <c:cat>
            <c:strRef>
              <c:f>Проект!$F$1459:$AC$1459</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Проект!$F$1479:$AC$1479</c:f>
              <c:numCache>
                <c:formatCode>#,##0</c:formatCode>
                <c:ptCount val="24"/>
                <c:pt idx="0">
                  <c:v>0</c:v>
                </c:pt>
                <c:pt idx="1">
                  <c:v>0</c:v>
                </c:pt>
                <c:pt idx="2">
                  <c:v>4667.7931335951498</c:v>
                </c:pt>
                <c:pt idx="3">
                  <c:v>5903.2077677414909</c:v>
                </c:pt>
                <c:pt idx="4">
                  <c:v>13263.916649761954</c:v>
                </c:pt>
                <c:pt idx="5">
                  <c:v>12954.56413705319</c:v>
                </c:pt>
                <c:pt idx="6">
                  <c:v>12645.211624344427</c:v>
                </c:pt>
                <c:pt idx="7">
                  <c:v>12335.859111635664</c:v>
                </c:pt>
                <c:pt idx="8">
                  <c:v>12026.506598926899</c:v>
                </c:pt>
                <c:pt idx="9">
                  <c:v>11717.154086218135</c:v>
                </c:pt>
                <c:pt idx="10">
                  <c:v>11407.80157350937</c:v>
                </c:pt>
                <c:pt idx="11">
                  <c:v>11098.449060800607</c:v>
                </c:pt>
                <c:pt idx="12">
                  <c:v>10789.096548091842</c:v>
                </c:pt>
                <c:pt idx="13">
                  <c:v>10479.744035383081</c:v>
                </c:pt>
                <c:pt idx="14">
                  <c:v>10170.391522674316</c:v>
                </c:pt>
                <c:pt idx="15">
                  <c:v>9861.0390099655524</c:v>
                </c:pt>
                <c:pt idx="16">
                  <c:v>9551.6864972567873</c:v>
                </c:pt>
                <c:pt idx="17">
                  <c:v>9242.3339845480241</c:v>
                </c:pt>
                <c:pt idx="18">
                  <c:v>8932.9814718392608</c:v>
                </c:pt>
                <c:pt idx="19">
                  <c:v>8623.6289591304976</c:v>
                </c:pt>
                <c:pt idx="20">
                  <c:v>8314.2764464217325</c:v>
                </c:pt>
                <c:pt idx="21">
                  <c:v>8004.9239337129684</c:v>
                </c:pt>
                <c:pt idx="22">
                  <c:v>7695.5714210042042</c:v>
                </c:pt>
                <c:pt idx="23">
                  <c:v>7386.2189082954401</c:v>
                </c:pt>
              </c:numCache>
            </c:numRef>
          </c:val>
          <c:extLst>
            <c:ext xmlns:c16="http://schemas.microsoft.com/office/drawing/2014/chart" uri="{C3380CC4-5D6E-409C-BE32-E72D297353CC}">
              <c16:uniqueId val="{00000000-344F-401B-84C9-F1C595AE297B}"/>
            </c:ext>
          </c:extLst>
        </c:ser>
        <c:ser>
          <c:idx val="1"/>
          <c:order val="1"/>
          <c:tx>
            <c:strRef>
              <c:f>Проект!$A$1470</c:f>
              <c:strCache>
                <c:ptCount val="1"/>
                <c:pt idx="0">
                  <c:v>Суммарные оборотные активы</c:v>
                </c:pt>
              </c:strCache>
            </c:strRef>
          </c:tx>
          <c:invertIfNegative val="0"/>
          <c:cat>
            <c:strRef>
              <c:f>Проект!$F$1459:$AC$1459</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Проект!$F$1470:$AC$1470</c:f>
              <c:numCache>
                <c:formatCode>#,##0</c:formatCode>
                <c:ptCount val="24"/>
                <c:pt idx="0">
                  <c:v>0</c:v>
                </c:pt>
                <c:pt idx="1">
                  <c:v>0</c:v>
                </c:pt>
                <c:pt idx="2">
                  <c:v>1027.5924207268845</c:v>
                </c:pt>
                <c:pt idx="3">
                  <c:v>1311.7377865805431</c:v>
                </c:pt>
                <c:pt idx="4">
                  <c:v>2767.2840466577863</c:v>
                </c:pt>
                <c:pt idx="5">
                  <c:v>3514.4851198929337</c:v>
                </c:pt>
                <c:pt idx="6">
                  <c:v>3860.6463563914631</c:v>
                </c:pt>
                <c:pt idx="7">
                  <c:v>4685.8749320814986</c:v>
                </c:pt>
                <c:pt idx="8">
                  <c:v>5955.1923204553905</c:v>
                </c:pt>
                <c:pt idx="9">
                  <c:v>7451.6224644236181</c:v>
                </c:pt>
                <c:pt idx="10">
                  <c:v>8906.3971538094756</c:v>
                </c:pt>
                <c:pt idx="11">
                  <c:v>10361.171843195334</c:v>
                </c:pt>
                <c:pt idx="12">
                  <c:v>11815.946532581194</c:v>
                </c:pt>
                <c:pt idx="13">
                  <c:v>13270.721221967051</c:v>
                </c:pt>
                <c:pt idx="14">
                  <c:v>14725.495911352911</c:v>
                </c:pt>
                <c:pt idx="15">
                  <c:v>16180.270600738768</c:v>
                </c:pt>
                <c:pt idx="16">
                  <c:v>17635.045290124628</c:v>
                </c:pt>
                <c:pt idx="17">
                  <c:v>19089.819979510485</c:v>
                </c:pt>
                <c:pt idx="18">
                  <c:v>20544.594668896345</c:v>
                </c:pt>
                <c:pt idx="19">
                  <c:v>21999.369358282205</c:v>
                </c:pt>
                <c:pt idx="20">
                  <c:v>23454.144047668065</c:v>
                </c:pt>
                <c:pt idx="21">
                  <c:v>24908.918737053926</c:v>
                </c:pt>
                <c:pt idx="22">
                  <c:v>26363.693426439786</c:v>
                </c:pt>
                <c:pt idx="23">
                  <c:v>27818.468115825646</c:v>
                </c:pt>
              </c:numCache>
            </c:numRef>
          </c:val>
          <c:extLst>
            <c:ext xmlns:c16="http://schemas.microsoft.com/office/drawing/2014/chart" uri="{C3380CC4-5D6E-409C-BE32-E72D297353CC}">
              <c16:uniqueId val="{00000001-344F-401B-84C9-F1C595AE297B}"/>
            </c:ext>
          </c:extLst>
        </c:ser>
        <c:dLbls>
          <c:showLegendKey val="0"/>
          <c:showVal val="0"/>
          <c:showCatName val="0"/>
          <c:showSerName val="0"/>
          <c:showPercent val="0"/>
          <c:showBubbleSize val="0"/>
        </c:dLbls>
        <c:gapWidth val="55"/>
        <c:overlap val="100"/>
        <c:axId val="110054784"/>
        <c:axId val="110056576"/>
      </c:barChart>
      <c:catAx>
        <c:axId val="110054784"/>
        <c:scaling>
          <c:orientation val="minMax"/>
        </c:scaling>
        <c:delete val="0"/>
        <c:axPos val="b"/>
        <c:numFmt formatCode="General" sourceLinked="1"/>
        <c:majorTickMark val="none"/>
        <c:minorTickMark val="none"/>
        <c:tickLblPos val="nextTo"/>
        <c:spPr>
          <a:ln>
            <a:solidFill>
              <a:sysClr val="windowText" lastClr="000000"/>
            </a:solidFill>
          </a:ln>
        </c:spPr>
        <c:txPr>
          <a:bodyPr rot="0" vert="horz"/>
          <a:lstStyle/>
          <a:p>
            <a:pPr>
              <a:defRPr sz="800" b="0" i="0" u="none" strike="noStrike" baseline="0">
                <a:solidFill>
                  <a:srgbClr val="000000"/>
                </a:solidFill>
                <a:latin typeface="Arial"/>
                <a:ea typeface="Arial"/>
                <a:cs typeface="Arial"/>
              </a:defRPr>
            </a:pPr>
            <a:endParaRPr lang="ru-RU"/>
          </a:p>
        </c:txPr>
        <c:crossAx val="110056576"/>
        <c:crosses val="autoZero"/>
        <c:auto val="1"/>
        <c:lblAlgn val="ctr"/>
        <c:lblOffset val="100"/>
        <c:tickLblSkip val="1"/>
        <c:tickMarkSkip val="1"/>
        <c:noMultiLvlLbl val="0"/>
      </c:catAx>
      <c:valAx>
        <c:axId val="110056576"/>
        <c:scaling>
          <c:orientation val="minMax"/>
        </c:scaling>
        <c:delete val="0"/>
        <c:axPos val="l"/>
        <c:majorGridlines>
          <c:spPr>
            <a:ln>
              <a:solidFill>
                <a:schemeClr val="tx1">
                  <a:lumMod val="50000"/>
                  <a:lumOff val="50000"/>
                </a:schemeClr>
              </a:solidFill>
              <a:prstDash val="sysDash"/>
            </a:ln>
          </c:spPr>
        </c:majorGridlines>
        <c:numFmt formatCode="#,##0" sourceLinked="1"/>
        <c:majorTickMark val="none"/>
        <c:minorTickMark val="none"/>
        <c:tickLblPos val="nextTo"/>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ru-RU"/>
          </a:p>
        </c:txPr>
        <c:crossAx val="110054784"/>
        <c:crosses val="autoZero"/>
        <c:crossBetween val="between"/>
      </c:valAx>
      <c:spPr>
        <a:solidFill>
          <a:sysClr val="window" lastClr="FFFFFF">
            <a:lumMod val="85000"/>
            <a:alpha val="70000"/>
          </a:sysClr>
        </a:solidFill>
      </c:spPr>
    </c:plotArea>
    <c:legend>
      <c:legendPos val="r"/>
      <c:overlay val="0"/>
      <c:txPr>
        <a:bodyPr/>
        <a:lstStyle/>
        <a:p>
          <a:pPr>
            <a:defRPr sz="735" b="0" i="0" u="none" strike="noStrike" baseline="0">
              <a:solidFill>
                <a:srgbClr val="000000"/>
              </a:solidFill>
              <a:latin typeface="Arial"/>
              <a:ea typeface="Arial"/>
              <a:cs typeface="Arial"/>
            </a:defRPr>
          </a:pPr>
          <a:endParaRPr lang="ru-RU"/>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1" l="0.75000000000000955" r="0.750000000000009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plotArea>
      <c:layout/>
      <c:barChart>
        <c:barDir val="col"/>
        <c:grouping val="stacked"/>
        <c:varyColors val="0"/>
        <c:ser>
          <c:idx val="0"/>
          <c:order val="0"/>
          <c:tx>
            <c:strRef>
              <c:f>Проект!$A$1498</c:f>
              <c:strCache>
                <c:ptCount val="1"/>
                <c:pt idx="0">
                  <c:v>Суммарный собственный капитал</c:v>
                </c:pt>
              </c:strCache>
            </c:strRef>
          </c:tx>
          <c:invertIfNegative val="0"/>
          <c:cat>
            <c:strRef>
              <c:f>Проект!$F$1459:$AC$1459</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Проект!$F$1498:$AC$1498</c:f>
              <c:numCache>
                <c:formatCode>#,##0</c:formatCode>
                <c:ptCount val="24"/>
                <c:pt idx="0">
                  <c:v>0</c:v>
                </c:pt>
                <c:pt idx="1">
                  <c:v>0</c:v>
                </c:pt>
                <c:pt idx="2">
                  <c:v>5695.3855543220343</c:v>
                </c:pt>
                <c:pt idx="3">
                  <c:v>7214.9455543220338</c:v>
                </c:pt>
                <c:pt idx="4">
                  <c:v>13930.482238792622</c:v>
                </c:pt>
                <c:pt idx="5">
                  <c:v>16370.285927178682</c:v>
                </c:pt>
                <c:pt idx="6">
                  <c:v>16407.094650968447</c:v>
                </c:pt>
                <c:pt idx="7">
                  <c:v>16922.970713949719</c:v>
                </c:pt>
                <c:pt idx="8">
                  <c:v>17835.031285526988</c:v>
                </c:pt>
                <c:pt idx="9">
                  <c:v>18980.453462204081</c:v>
                </c:pt>
                <c:pt idx="10">
                  <c:v>20125.875638881178</c:v>
                </c:pt>
                <c:pt idx="11">
                  <c:v>21271.297815558275</c:v>
                </c:pt>
                <c:pt idx="12">
                  <c:v>22416.719992235368</c:v>
                </c:pt>
                <c:pt idx="13">
                  <c:v>23562.142168912462</c:v>
                </c:pt>
                <c:pt idx="14">
                  <c:v>24707.564345589559</c:v>
                </c:pt>
                <c:pt idx="15">
                  <c:v>25852.986522266656</c:v>
                </c:pt>
                <c:pt idx="16">
                  <c:v>26998.408698943749</c:v>
                </c:pt>
                <c:pt idx="17">
                  <c:v>28143.830875620843</c:v>
                </c:pt>
                <c:pt idx="18">
                  <c:v>29289.25305229794</c:v>
                </c:pt>
                <c:pt idx="19">
                  <c:v>30434.675228975037</c:v>
                </c:pt>
                <c:pt idx="20">
                  <c:v>31580.09740565213</c:v>
                </c:pt>
                <c:pt idx="21">
                  <c:v>32725.519582329223</c:v>
                </c:pt>
                <c:pt idx="22">
                  <c:v>33870.941759006324</c:v>
                </c:pt>
                <c:pt idx="23">
                  <c:v>35016.363935683417</c:v>
                </c:pt>
              </c:numCache>
            </c:numRef>
          </c:val>
          <c:extLst>
            <c:ext xmlns:c16="http://schemas.microsoft.com/office/drawing/2014/chart" uri="{C3380CC4-5D6E-409C-BE32-E72D297353CC}">
              <c16:uniqueId val="{00000000-645E-4AF7-BE4A-C10966DD6BE1}"/>
            </c:ext>
          </c:extLst>
        </c:ser>
        <c:ser>
          <c:idx val="1"/>
          <c:order val="1"/>
          <c:tx>
            <c:strRef>
              <c:f>Проект!$A$1493</c:f>
              <c:strCache>
                <c:ptCount val="1"/>
                <c:pt idx="0">
                  <c:v>Долгосрочные обязательства</c:v>
                </c:pt>
              </c:strCache>
            </c:strRef>
          </c:tx>
          <c:invertIfNegative val="0"/>
          <c:cat>
            <c:strRef>
              <c:f>Проект!$F$1459:$AC$1459</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Проект!$F$1493:$AC$1493</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645E-4AF7-BE4A-C10966DD6BE1}"/>
            </c:ext>
          </c:extLst>
        </c:ser>
        <c:ser>
          <c:idx val="2"/>
          <c:order val="2"/>
          <c:tx>
            <c:strRef>
              <c:f>Проект!$A$1491</c:f>
              <c:strCache>
                <c:ptCount val="1"/>
                <c:pt idx="0">
                  <c:v>Суммарные краткосрочные обязательства</c:v>
                </c:pt>
              </c:strCache>
            </c:strRef>
          </c:tx>
          <c:invertIfNegative val="0"/>
          <c:cat>
            <c:strRef>
              <c:f>Проект!$F$1459:$AC$1459</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Проект!$F$1491:$AC$1491</c:f>
              <c:numCache>
                <c:formatCode>#,##0</c:formatCode>
                <c:ptCount val="24"/>
                <c:pt idx="0">
                  <c:v>0</c:v>
                </c:pt>
                <c:pt idx="1">
                  <c:v>0</c:v>
                </c:pt>
                <c:pt idx="2">
                  <c:v>0</c:v>
                </c:pt>
                <c:pt idx="3">
                  <c:v>0</c:v>
                </c:pt>
                <c:pt idx="4">
                  <c:v>2100.7184576271193</c:v>
                </c:pt>
                <c:pt idx="5">
                  <c:v>98.76332976744186</c:v>
                </c:pt>
                <c:pt idx="6">
                  <c:v>98.76332976744186</c:v>
                </c:pt>
                <c:pt idx="7">
                  <c:v>98.76332976744186</c:v>
                </c:pt>
                <c:pt idx="8">
                  <c:v>146.66763385530092</c:v>
                </c:pt>
                <c:pt idx="9">
                  <c:v>188.32308843766876</c:v>
                </c:pt>
                <c:pt idx="10">
                  <c:v>188.32308843766739</c:v>
                </c:pt>
                <c:pt idx="11">
                  <c:v>188.32308843766739</c:v>
                </c:pt>
                <c:pt idx="12">
                  <c:v>188.32308843766739</c:v>
                </c:pt>
                <c:pt idx="13">
                  <c:v>188.32308843766739</c:v>
                </c:pt>
                <c:pt idx="14">
                  <c:v>188.32308843766739</c:v>
                </c:pt>
                <c:pt idx="15">
                  <c:v>188.32308843766739</c:v>
                </c:pt>
                <c:pt idx="16">
                  <c:v>188.32308843766739</c:v>
                </c:pt>
                <c:pt idx="17">
                  <c:v>188.32308843766739</c:v>
                </c:pt>
                <c:pt idx="18">
                  <c:v>188.32308843766739</c:v>
                </c:pt>
                <c:pt idx="19">
                  <c:v>188.32308843766739</c:v>
                </c:pt>
                <c:pt idx="20">
                  <c:v>188.32308843766739</c:v>
                </c:pt>
                <c:pt idx="21">
                  <c:v>188.32308843766739</c:v>
                </c:pt>
                <c:pt idx="22">
                  <c:v>188.32308843766739</c:v>
                </c:pt>
                <c:pt idx="23">
                  <c:v>188.32308843766739</c:v>
                </c:pt>
              </c:numCache>
            </c:numRef>
          </c:val>
          <c:extLst>
            <c:ext xmlns:c16="http://schemas.microsoft.com/office/drawing/2014/chart" uri="{C3380CC4-5D6E-409C-BE32-E72D297353CC}">
              <c16:uniqueId val="{00000002-645E-4AF7-BE4A-C10966DD6BE1}"/>
            </c:ext>
          </c:extLst>
        </c:ser>
        <c:dLbls>
          <c:showLegendKey val="0"/>
          <c:showVal val="0"/>
          <c:showCatName val="0"/>
          <c:showSerName val="0"/>
          <c:showPercent val="0"/>
          <c:showBubbleSize val="0"/>
        </c:dLbls>
        <c:gapWidth val="55"/>
        <c:overlap val="100"/>
        <c:axId val="110103168"/>
        <c:axId val="110104960"/>
      </c:barChart>
      <c:catAx>
        <c:axId val="110103168"/>
        <c:scaling>
          <c:orientation val="minMax"/>
        </c:scaling>
        <c:delete val="0"/>
        <c:axPos val="b"/>
        <c:numFmt formatCode="General" sourceLinked="1"/>
        <c:majorTickMark val="none"/>
        <c:minorTickMark val="none"/>
        <c:tickLblPos val="nextTo"/>
        <c:spPr>
          <a:ln>
            <a:solidFill>
              <a:srgbClr val="000000"/>
            </a:solidFill>
          </a:ln>
        </c:spPr>
        <c:txPr>
          <a:bodyPr rot="0" vert="horz"/>
          <a:lstStyle/>
          <a:p>
            <a:pPr>
              <a:defRPr sz="800" b="0" i="0" u="none" strike="noStrike" baseline="0">
                <a:solidFill>
                  <a:srgbClr val="000000"/>
                </a:solidFill>
                <a:latin typeface="Arial"/>
                <a:ea typeface="Arial"/>
                <a:cs typeface="Arial"/>
              </a:defRPr>
            </a:pPr>
            <a:endParaRPr lang="ru-RU"/>
          </a:p>
        </c:txPr>
        <c:crossAx val="110104960"/>
        <c:crosses val="autoZero"/>
        <c:auto val="1"/>
        <c:lblAlgn val="ctr"/>
        <c:lblOffset val="100"/>
        <c:tickLblSkip val="1"/>
        <c:tickMarkSkip val="1"/>
        <c:noMultiLvlLbl val="0"/>
      </c:catAx>
      <c:valAx>
        <c:axId val="110104960"/>
        <c:scaling>
          <c:orientation val="minMax"/>
        </c:scaling>
        <c:delete val="0"/>
        <c:axPos val="l"/>
        <c:majorGridlines>
          <c:spPr>
            <a:ln>
              <a:prstDash val="sysDash"/>
            </a:ln>
          </c:spPr>
        </c:majorGridlines>
        <c:numFmt formatCode="#,##0" sourceLinked="1"/>
        <c:majorTickMark val="none"/>
        <c:minorTickMark val="none"/>
        <c:tickLblPos val="nextTo"/>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ru-RU"/>
          </a:p>
        </c:txPr>
        <c:crossAx val="110103168"/>
        <c:crosses val="autoZero"/>
        <c:crossBetween val="between"/>
      </c:valAx>
      <c:spPr>
        <a:solidFill>
          <a:sysClr val="window" lastClr="FFFFFF">
            <a:lumMod val="85000"/>
            <a:alpha val="70000"/>
          </a:sysClr>
        </a:solidFill>
      </c:spPr>
    </c:plotArea>
    <c:legend>
      <c:legendPos val="r"/>
      <c:overlay val="0"/>
      <c:txPr>
        <a:bodyPr/>
        <a:lstStyle/>
        <a:p>
          <a:pPr>
            <a:defRPr sz="735" b="0" i="0" u="none" strike="noStrike" baseline="0">
              <a:solidFill>
                <a:srgbClr val="000000"/>
              </a:solidFill>
              <a:latin typeface="Arial"/>
              <a:ea typeface="Arial"/>
              <a:cs typeface="Arial"/>
            </a:defRPr>
          </a:pPr>
          <a:endParaRPr lang="ru-RU"/>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1" l="0.75000000000000977" r="0.75000000000000977"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3"/>
    </mc:Choice>
    <mc:Fallback>
      <c:style val="13"/>
    </mc:Fallback>
  </mc:AlternateContent>
  <c:chart>
    <c:title>
      <c:overlay val="0"/>
      <c:spPr>
        <a:noFill/>
        <a:ln w="25400">
          <a:noFill/>
        </a:ln>
      </c:spPr>
      <c:txPr>
        <a:bodyPr/>
        <a:lstStyle/>
        <a:p>
          <a:pPr>
            <a:defRPr sz="1000" b="0" i="0" u="none" strike="noStrike" baseline="0">
              <a:solidFill>
                <a:srgbClr val="000000"/>
              </a:solidFill>
              <a:latin typeface="Calibri"/>
              <a:ea typeface="Calibri"/>
              <a:cs typeface="Calibri"/>
            </a:defRPr>
          </a:pPr>
          <a:endParaRPr lang="ru-RU"/>
        </a:p>
      </c:txPr>
    </c:title>
    <c:autoTitleDeleted val="0"/>
    <c:plotArea>
      <c:layout/>
      <c:barChart>
        <c:barDir val="col"/>
        <c:grouping val="clustered"/>
        <c:varyColors val="0"/>
        <c:ser>
          <c:idx val="0"/>
          <c:order val="0"/>
          <c:tx>
            <c:strRef>
              <c:f>Проект!$A$1556</c:f>
              <c:strCache>
                <c:ptCount val="1"/>
                <c:pt idx="0">
                  <c:v>Рентабельность активов</c:v>
                </c:pt>
              </c:strCache>
            </c:strRef>
          </c:tx>
          <c:invertIfNegative val="0"/>
          <c:cat>
            <c:strRef>
              <c:f>Проект!$F$1554:$AC$1554</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Проект!$F$1556:$AC$1556</c:f>
              <c:numCache>
                <c:formatCode>0.0%</c:formatCode>
                <c:ptCount val="24"/>
                <c:pt idx="0">
                  <c:v>0</c:v>
                </c:pt>
                <c:pt idx="1">
                  <c:v>0</c:v>
                </c:pt>
                <c:pt idx="2">
                  <c:v>0</c:v>
                </c:pt>
                <c:pt idx="3">
                  <c:v>0</c:v>
                </c:pt>
                <c:pt idx="4">
                  <c:v>-0.10646152162064888</c:v>
                </c:pt>
                <c:pt idx="5">
                  <c:v>-0.13359208250427435</c:v>
                </c:pt>
                <c:pt idx="6">
                  <c:v>8.9301173221077966E-3</c:v>
                </c:pt>
                <c:pt idx="7">
                  <c:v>0.12309289915124753</c:v>
                </c:pt>
                <c:pt idx="8">
                  <c:v>0.2084505419885555</c:v>
                </c:pt>
                <c:pt idx="9">
                  <c:v>0.24665572371504377</c:v>
                </c:pt>
                <c:pt idx="10">
                  <c:v>0.23208426793843373</c:v>
                </c:pt>
                <c:pt idx="11">
                  <c:v>0.21935694399723132</c:v>
                </c:pt>
                <c:pt idx="12">
                  <c:v>0.20795296241462075</c:v>
                </c:pt>
                <c:pt idx="13">
                  <c:v>0.19767612829521039</c:v>
                </c:pt>
                <c:pt idx="14">
                  <c:v>0.1883672034273802</c:v>
                </c:pt>
                <c:pt idx="15">
                  <c:v>0.17989559585247208</c:v>
                </c:pt>
                <c:pt idx="16">
                  <c:v>0.17215319543480906</c:v>
                </c:pt>
                <c:pt idx="17">
                  <c:v>0.165049735588022</c:v>
                </c:pt>
                <c:pt idx="18">
                  <c:v>0.15850925781535261</c:v>
                </c:pt>
                <c:pt idx="19">
                  <c:v>0.15246738481339775</c:v>
                </c:pt>
                <c:pt idx="20">
                  <c:v>0.14686919432143766</c:v>
                </c:pt>
                <c:pt idx="21">
                  <c:v>0.14166754478058258</c:v>
                </c:pt>
                <c:pt idx="22">
                  <c:v>0.13682174462227417</c:v>
                </c:pt>
                <c:pt idx="23">
                  <c:v>0.13014428174206347</c:v>
                </c:pt>
              </c:numCache>
            </c:numRef>
          </c:val>
          <c:extLst>
            <c:ext xmlns:c16="http://schemas.microsoft.com/office/drawing/2014/chart" uri="{C3380CC4-5D6E-409C-BE32-E72D297353CC}">
              <c16:uniqueId val="{00000000-353A-42BC-9654-BE8CBC848660}"/>
            </c:ext>
          </c:extLst>
        </c:ser>
        <c:dLbls>
          <c:showLegendKey val="0"/>
          <c:showVal val="0"/>
          <c:showCatName val="0"/>
          <c:showSerName val="0"/>
          <c:showPercent val="0"/>
          <c:showBubbleSize val="0"/>
        </c:dLbls>
        <c:gapWidth val="150"/>
        <c:axId val="110115840"/>
        <c:axId val="110129920"/>
      </c:barChart>
      <c:catAx>
        <c:axId val="110115840"/>
        <c:scaling>
          <c:orientation val="minMax"/>
        </c:scaling>
        <c:delete val="0"/>
        <c:axPos val="b"/>
        <c:numFmt formatCode="General" sourceLinked="1"/>
        <c:majorTickMark val="out"/>
        <c:minorTickMark val="none"/>
        <c:tickLblPos val="nextTo"/>
        <c:spPr>
          <a:ln>
            <a:solidFill>
              <a:sysClr val="windowText" lastClr="000000"/>
            </a:solidFill>
          </a:ln>
        </c:spPr>
        <c:txPr>
          <a:bodyPr rot="0" vert="horz"/>
          <a:lstStyle/>
          <a:p>
            <a:pPr>
              <a:defRPr sz="800" b="0" i="0" u="none" strike="noStrike" baseline="0">
                <a:solidFill>
                  <a:srgbClr val="000000"/>
                </a:solidFill>
                <a:latin typeface="Arial"/>
                <a:ea typeface="Arial"/>
                <a:cs typeface="Arial"/>
              </a:defRPr>
            </a:pPr>
            <a:endParaRPr lang="ru-RU"/>
          </a:p>
        </c:txPr>
        <c:crossAx val="110129920"/>
        <c:crosses val="autoZero"/>
        <c:auto val="1"/>
        <c:lblAlgn val="ctr"/>
        <c:lblOffset val="100"/>
        <c:tickLblSkip val="1"/>
        <c:tickMarkSkip val="1"/>
        <c:noMultiLvlLbl val="0"/>
      </c:catAx>
      <c:valAx>
        <c:axId val="110129920"/>
        <c:scaling>
          <c:orientation val="minMax"/>
        </c:scaling>
        <c:delete val="0"/>
        <c:axPos val="l"/>
        <c:majorGridlines>
          <c:spPr>
            <a:ln>
              <a:solidFill>
                <a:schemeClr val="tx1">
                  <a:lumMod val="50000"/>
                  <a:lumOff val="50000"/>
                </a:schemeClr>
              </a:solidFill>
              <a:prstDash val="sysDash"/>
            </a:ln>
          </c:spPr>
        </c:majorGridlines>
        <c:numFmt formatCode="0.0%" sourceLinked="1"/>
        <c:majorTickMark val="out"/>
        <c:minorTickMark val="none"/>
        <c:tickLblPos val="nextTo"/>
        <c:spPr>
          <a:ln>
            <a:solidFill>
              <a:schemeClr val="tx1"/>
            </a:solidFill>
            <a:prstDash val="solid"/>
          </a:ln>
        </c:spPr>
        <c:txPr>
          <a:bodyPr rot="0" vert="horz"/>
          <a:lstStyle/>
          <a:p>
            <a:pPr>
              <a:defRPr sz="800" b="0" i="0" u="none" strike="noStrike" baseline="0">
                <a:solidFill>
                  <a:srgbClr val="000000"/>
                </a:solidFill>
                <a:latin typeface="Arial"/>
                <a:ea typeface="Arial"/>
                <a:cs typeface="Arial"/>
              </a:defRPr>
            </a:pPr>
            <a:endParaRPr lang="ru-RU"/>
          </a:p>
        </c:txPr>
        <c:crossAx val="110115840"/>
        <c:crosses val="autoZero"/>
        <c:crossBetween val="between"/>
      </c:valAx>
      <c:spPr>
        <a:solidFill>
          <a:sysClr val="window" lastClr="FFFFFF">
            <a:lumMod val="85000"/>
            <a:alpha val="70000"/>
          </a:sys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1" l="0.75000000000000933" r="0.75000000000000933"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6"/>
    </mc:Choice>
    <mc:Fallback>
      <c:style val="16"/>
    </mc:Fallback>
  </mc:AlternateContent>
  <c:chart>
    <c:title>
      <c:overlay val="0"/>
      <c:spPr>
        <a:noFill/>
        <a:ln w="25400">
          <a:noFill/>
        </a:ln>
      </c:spPr>
      <c:txPr>
        <a:bodyPr/>
        <a:lstStyle/>
        <a:p>
          <a:pPr>
            <a:defRPr sz="1000" b="0" i="0" u="none" strike="noStrike" baseline="0">
              <a:solidFill>
                <a:srgbClr val="000000"/>
              </a:solidFill>
              <a:latin typeface="Calibri"/>
              <a:ea typeface="Calibri"/>
              <a:cs typeface="Calibri"/>
            </a:defRPr>
          </a:pPr>
          <a:endParaRPr lang="ru-RU"/>
        </a:p>
      </c:txPr>
    </c:title>
    <c:autoTitleDeleted val="0"/>
    <c:plotArea>
      <c:layout/>
      <c:barChart>
        <c:barDir val="col"/>
        <c:grouping val="clustered"/>
        <c:varyColors val="0"/>
        <c:ser>
          <c:idx val="0"/>
          <c:order val="0"/>
          <c:tx>
            <c:strRef>
              <c:f>Проект!$A$1560</c:f>
              <c:strCache>
                <c:ptCount val="1"/>
                <c:pt idx="0">
                  <c:v>Прибыльность продаж</c:v>
                </c:pt>
              </c:strCache>
            </c:strRef>
          </c:tx>
          <c:invertIfNegative val="0"/>
          <c:cat>
            <c:strRef>
              <c:f>Проект!$F$1554:$AC$1554</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Проект!$F$1560:$AC$1560</c:f>
              <c:numCache>
                <c:formatCode>0.0%</c:formatCode>
                <c:ptCount val="24"/>
                <c:pt idx="0">
                  <c:v>0</c:v>
                </c:pt>
                <c:pt idx="1">
                  <c:v>0</c:v>
                </c:pt>
                <c:pt idx="2">
                  <c:v>0</c:v>
                </c:pt>
                <c:pt idx="3">
                  <c:v>0</c:v>
                </c:pt>
                <c:pt idx="4">
                  <c:v>0</c:v>
                </c:pt>
                <c:pt idx="5">
                  <c:v>-0.75951817457962389</c:v>
                </c:pt>
                <c:pt idx="6">
                  <c:v>1.3477059435166394E-2</c:v>
                </c:pt>
                <c:pt idx="7">
                  <c:v>0.11773420550074816</c:v>
                </c:pt>
                <c:pt idx="8">
                  <c:v>0.14595256285397906</c:v>
                </c:pt>
                <c:pt idx="9">
                  <c:v>0.15220703688452486</c:v>
                </c:pt>
                <c:pt idx="10">
                  <c:v>0.15220703688452486</c:v>
                </c:pt>
                <c:pt idx="11">
                  <c:v>0.15220703688452486</c:v>
                </c:pt>
                <c:pt idx="12">
                  <c:v>0.15220703688452486</c:v>
                </c:pt>
                <c:pt idx="13">
                  <c:v>0.15220703688452486</c:v>
                </c:pt>
                <c:pt idx="14">
                  <c:v>0.15220703688452486</c:v>
                </c:pt>
                <c:pt idx="15">
                  <c:v>0.15220703688452486</c:v>
                </c:pt>
                <c:pt idx="16">
                  <c:v>0.15220703688452486</c:v>
                </c:pt>
                <c:pt idx="17">
                  <c:v>0.15220703688452486</c:v>
                </c:pt>
                <c:pt idx="18">
                  <c:v>0.15220703688452486</c:v>
                </c:pt>
                <c:pt idx="19">
                  <c:v>0.15220703688452486</c:v>
                </c:pt>
                <c:pt idx="20">
                  <c:v>0.15220703688452486</c:v>
                </c:pt>
                <c:pt idx="21">
                  <c:v>0.15220703688452486</c:v>
                </c:pt>
                <c:pt idx="22">
                  <c:v>0.15220703688452486</c:v>
                </c:pt>
                <c:pt idx="23">
                  <c:v>0.15220703688452486</c:v>
                </c:pt>
              </c:numCache>
            </c:numRef>
          </c:val>
          <c:extLst>
            <c:ext xmlns:c16="http://schemas.microsoft.com/office/drawing/2014/chart" uri="{C3380CC4-5D6E-409C-BE32-E72D297353CC}">
              <c16:uniqueId val="{00000000-018D-4F54-87ED-46A902D45401}"/>
            </c:ext>
          </c:extLst>
        </c:ser>
        <c:dLbls>
          <c:showLegendKey val="0"/>
          <c:showVal val="0"/>
          <c:showCatName val="0"/>
          <c:showSerName val="0"/>
          <c:showPercent val="0"/>
          <c:showBubbleSize val="0"/>
        </c:dLbls>
        <c:gapWidth val="150"/>
        <c:axId val="110150016"/>
        <c:axId val="110151552"/>
      </c:barChart>
      <c:catAx>
        <c:axId val="110150016"/>
        <c:scaling>
          <c:orientation val="minMax"/>
        </c:scaling>
        <c:delete val="0"/>
        <c:axPos val="b"/>
        <c:numFmt formatCode="General" sourceLinked="1"/>
        <c:majorTickMark val="out"/>
        <c:minorTickMark val="none"/>
        <c:tickLblPos val="nextTo"/>
        <c:spPr>
          <a:ln>
            <a:solidFill>
              <a:sysClr val="windowText" lastClr="000000"/>
            </a:solidFill>
          </a:ln>
        </c:spPr>
        <c:txPr>
          <a:bodyPr rot="0" vert="horz"/>
          <a:lstStyle/>
          <a:p>
            <a:pPr>
              <a:defRPr sz="800" b="0" i="0" u="none" strike="noStrike" baseline="0">
                <a:solidFill>
                  <a:srgbClr val="000000"/>
                </a:solidFill>
                <a:latin typeface="Arial"/>
                <a:ea typeface="Arial"/>
                <a:cs typeface="Arial"/>
              </a:defRPr>
            </a:pPr>
            <a:endParaRPr lang="ru-RU"/>
          </a:p>
        </c:txPr>
        <c:crossAx val="110151552"/>
        <c:crosses val="autoZero"/>
        <c:auto val="1"/>
        <c:lblAlgn val="ctr"/>
        <c:lblOffset val="100"/>
        <c:tickLblSkip val="1"/>
        <c:tickMarkSkip val="1"/>
        <c:noMultiLvlLbl val="0"/>
      </c:catAx>
      <c:valAx>
        <c:axId val="110151552"/>
        <c:scaling>
          <c:orientation val="minMax"/>
        </c:scaling>
        <c:delete val="0"/>
        <c:axPos val="l"/>
        <c:majorGridlines>
          <c:spPr>
            <a:ln>
              <a:prstDash val="sysDash"/>
            </a:ln>
          </c:spPr>
        </c:majorGridlines>
        <c:numFmt formatCode="0.0%" sourceLinked="1"/>
        <c:majorTickMark val="out"/>
        <c:minorTickMark val="none"/>
        <c:tickLblPos val="nextTo"/>
        <c:spPr>
          <a:ln>
            <a:solidFill>
              <a:sysClr val="windowText" lastClr="000000"/>
            </a:solidFill>
          </a:ln>
        </c:spPr>
        <c:txPr>
          <a:bodyPr rot="0" vert="horz"/>
          <a:lstStyle/>
          <a:p>
            <a:pPr>
              <a:defRPr sz="800" b="0" i="0" u="none" strike="noStrike" baseline="0">
                <a:solidFill>
                  <a:srgbClr val="000000"/>
                </a:solidFill>
                <a:latin typeface="Arial"/>
                <a:ea typeface="Arial"/>
                <a:cs typeface="Arial"/>
              </a:defRPr>
            </a:pPr>
            <a:endParaRPr lang="ru-RU"/>
          </a:p>
        </c:txPr>
        <c:crossAx val="110150016"/>
        <c:crosses val="autoZero"/>
        <c:crossBetween val="between"/>
      </c:valAx>
      <c:spPr>
        <a:solidFill>
          <a:sysClr val="window" lastClr="FFFFFF">
            <a:lumMod val="85000"/>
            <a:alpha val="70000"/>
          </a:sys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1" l="0.75000000000000955" r="0.7500000000000095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5"/>
    </mc:Choice>
    <mc:Fallback>
      <c:style val="15"/>
    </mc:Fallback>
  </mc:AlternateContent>
  <c:chart>
    <c:title>
      <c:overlay val="0"/>
      <c:spPr>
        <a:noFill/>
        <a:ln w="25400">
          <a:noFill/>
        </a:ln>
      </c:spPr>
      <c:txPr>
        <a:bodyPr/>
        <a:lstStyle/>
        <a:p>
          <a:pPr>
            <a:defRPr sz="1000" b="0" i="0" u="none" strike="noStrike" baseline="0">
              <a:solidFill>
                <a:srgbClr val="000000"/>
              </a:solidFill>
              <a:latin typeface="Calibri"/>
              <a:ea typeface="Calibri"/>
              <a:cs typeface="Calibri"/>
            </a:defRPr>
          </a:pPr>
          <a:endParaRPr lang="ru-RU"/>
        </a:p>
      </c:txPr>
    </c:title>
    <c:autoTitleDeleted val="0"/>
    <c:plotArea>
      <c:layout/>
      <c:barChart>
        <c:barDir val="col"/>
        <c:grouping val="clustered"/>
        <c:varyColors val="0"/>
        <c:ser>
          <c:idx val="0"/>
          <c:order val="0"/>
          <c:tx>
            <c:strRef>
              <c:f>Проект!$A$1566</c:f>
              <c:strCache>
                <c:ptCount val="1"/>
                <c:pt idx="0">
                  <c:v>Рентабельность по EBITDA</c:v>
                </c:pt>
              </c:strCache>
            </c:strRef>
          </c:tx>
          <c:spPr>
            <a:solidFill>
              <a:srgbClr val="B8CCE4">
                <a:lumMod val="75000"/>
              </a:srgbClr>
            </a:solidFill>
            <a:ln>
              <a:solidFill>
                <a:schemeClr val="bg1"/>
              </a:solidFill>
            </a:ln>
          </c:spPr>
          <c:invertIfNegative val="0"/>
          <c:cat>
            <c:strRef>
              <c:f>Проект!$F$1554:$AC$1554</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Проект!$F$1566:$AC$1566</c:f>
              <c:numCache>
                <c:formatCode>0%</c:formatCode>
                <c:ptCount val="24"/>
                <c:pt idx="0">
                  <c:v>0</c:v>
                </c:pt>
                <c:pt idx="1">
                  <c:v>0</c:v>
                </c:pt>
                <c:pt idx="2">
                  <c:v>0</c:v>
                </c:pt>
                <c:pt idx="3">
                  <c:v>0</c:v>
                </c:pt>
                <c:pt idx="4">
                  <c:v>0</c:v>
                </c:pt>
                <c:pt idx="5">
                  <c:v>-0.18561414472251095</c:v>
                </c:pt>
                <c:pt idx="6">
                  <c:v>0.12847411309839638</c:v>
                </c:pt>
                <c:pt idx="7">
                  <c:v>0.2134676636496716</c:v>
                </c:pt>
                <c:pt idx="8">
                  <c:v>0.26286559576152846</c:v>
                </c:pt>
                <c:pt idx="9">
                  <c:v>0.28201007711575748</c:v>
                </c:pt>
                <c:pt idx="10">
                  <c:v>0.28201007711575748</c:v>
                </c:pt>
                <c:pt idx="11">
                  <c:v>0.28201007711575748</c:v>
                </c:pt>
                <c:pt idx="12">
                  <c:v>0.28201007711575748</c:v>
                </c:pt>
                <c:pt idx="13">
                  <c:v>0.28201007711575748</c:v>
                </c:pt>
                <c:pt idx="14">
                  <c:v>0.28201007711575748</c:v>
                </c:pt>
                <c:pt idx="15">
                  <c:v>0.28201007711575748</c:v>
                </c:pt>
                <c:pt idx="16">
                  <c:v>0.28201007711575748</c:v>
                </c:pt>
                <c:pt idx="17">
                  <c:v>0.28201007711575748</c:v>
                </c:pt>
                <c:pt idx="18">
                  <c:v>0.28201007711575748</c:v>
                </c:pt>
                <c:pt idx="19">
                  <c:v>0.28201007711575748</c:v>
                </c:pt>
                <c:pt idx="20">
                  <c:v>0.28201007711575748</c:v>
                </c:pt>
                <c:pt idx="21">
                  <c:v>0.28201007711575748</c:v>
                </c:pt>
                <c:pt idx="22">
                  <c:v>0.28201007711575748</c:v>
                </c:pt>
                <c:pt idx="23">
                  <c:v>0.28201007711575748</c:v>
                </c:pt>
              </c:numCache>
            </c:numRef>
          </c:val>
          <c:extLst>
            <c:ext xmlns:c16="http://schemas.microsoft.com/office/drawing/2014/chart" uri="{C3380CC4-5D6E-409C-BE32-E72D297353CC}">
              <c16:uniqueId val="{00000000-72DA-449E-9000-31A2BDCBC0DE}"/>
            </c:ext>
          </c:extLst>
        </c:ser>
        <c:dLbls>
          <c:showLegendKey val="0"/>
          <c:showVal val="0"/>
          <c:showCatName val="0"/>
          <c:showSerName val="0"/>
          <c:showPercent val="0"/>
          <c:showBubbleSize val="0"/>
        </c:dLbls>
        <c:gapWidth val="150"/>
        <c:axId val="111306240"/>
        <c:axId val="111307776"/>
      </c:barChart>
      <c:catAx>
        <c:axId val="111306240"/>
        <c:scaling>
          <c:orientation val="minMax"/>
        </c:scaling>
        <c:delete val="0"/>
        <c:axPos val="b"/>
        <c:numFmt formatCode="General" sourceLinked="1"/>
        <c:majorTickMark val="out"/>
        <c:minorTickMark val="none"/>
        <c:tickLblPos val="nextTo"/>
        <c:spPr>
          <a:ln>
            <a:solidFill>
              <a:sysClr val="windowText" lastClr="000000"/>
            </a:solidFill>
          </a:ln>
        </c:spPr>
        <c:txPr>
          <a:bodyPr rot="0" vert="horz"/>
          <a:lstStyle/>
          <a:p>
            <a:pPr>
              <a:defRPr sz="800" b="0" i="0" u="none" strike="noStrike" baseline="0">
                <a:solidFill>
                  <a:srgbClr val="000000"/>
                </a:solidFill>
                <a:latin typeface="Arial"/>
                <a:ea typeface="Arial"/>
                <a:cs typeface="Arial"/>
              </a:defRPr>
            </a:pPr>
            <a:endParaRPr lang="ru-RU"/>
          </a:p>
        </c:txPr>
        <c:crossAx val="111307776"/>
        <c:crosses val="autoZero"/>
        <c:auto val="1"/>
        <c:lblAlgn val="ctr"/>
        <c:lblOffset val="100"/>
        <c:tickLblSkip val="1"/>
        <c:tickMarkSkip val="1"/>
        <c:noMultiLvlLbl val="0"/>
      </c:catAx>
      <c:valAx>
        <c:axId val="111307776"/>
        <c:scaling>
          <c:orientation val="minMax"/>
        </c:scaling>
        <c:delete val="0"/>
        <c:axPos val="l"/>
        <c:majorGridlines>
          <c:spPr>
            <a:ln>
              <a:prstDash val="sysDash"/>
            </a:ln>
          </c:spPr>
        </c:majorGridlines>
        <c:numFmt formatCode="0%" sourceLinked="1"/>
        <c:majorTickMark val="out"/>
        <c:minorTickMark val="none"/>
        <c:tickLblPos val="nextTo"/>
        <c:spPr>
          <a:ln>
            <a:solidFill>
              <a:sysClr val="windowText" lastClr="000000"/>
            </a:solidFill>
          </a:ln>
        </c:spPr>
        <c:txPr>
          <a:bodyPr rot="0" vert="horz"/>
          <a:lstStyle/>
          <a:p>
            <a:pPr>
              <a:defRPr sz="800" b="0" i="0" u="none" strike="noStrike" baseline="0">
                <a:solidFill>
                  <a:srgbClr val="000000"/>
                </a:solidFill>
                <a:latin typeface="Arial"/>
                <a:ea typeface="Arial"/>
                <a:cs typeface="Arial"/>
              </a:defRPr>
            </a:pPr>
            <a:endParaRPr lang="ru-RU"/>
          </a:p>
        </c:txPr>
        <c:crossAx val="111306240"/>
        <c:crosses val="autoZero"/>
        <c:crossBetween val="between"/>
      </c:valAx>
      <c:spPr>
        <a:solidFill>
          <a:sysClr val="window" lastClr="FFFFFF">
            <a:lumMod val="85000"/>
            <a:alpha val="70000"/>
          </a:sys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1" l="0.75000000000000955" r="0.7500000000000095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3"/>
    </mc:Choice>
    <mc:Fallback>
      <c:style val="13"/>
    </mc:Fallback>
  </mc:AlternateContent>
  <c:chart>
    <c:title>
      <c:overlay val="0"/>
      <c:spPr>
        <a:noFill/>
        <a:ln w="25400">
          <a:noFill/>
        </a:ln>
      </c:spPr>
      <c:txPr>
        <a:bodyPr/>
        <a:lstStyle/>
        <a:p>
          <a:pPr>
            <a:defRPr sz="1000" b="0" i="0" u="none" strike="noStrike" baseline="0">
              <a:solidFill>
                <a:srgbClr val="000000"/>
              </a:solidFill>
              <a:latin typeface="Calibri"/>
              <a:ea typeface="Calibri"/>
              <a:cs typeface="Calibri"/>
            </a:defRPr>
          </a:pPr>
          <a:endParaRPr lang="ru-RU"/>
        </a:p>
      </c:txPr>
    </c:title>
    <c:autoTitleDeleted val="0"/>
    <c:plotArea>
      <c:layout/>
      <c:areaChart>
        <c:grouping val="standard"/>
        <c:varyColors val="0"/>
        <c:ser>
          <c:idx val="0"/>
          <c:order val="0"/>
          <c:tx>
            <c:strRef>
              <c:f>Проект!$A$1129</c:f>
              <c:strCache>
                <c:ptCount val="1"/>
                <c:pt idx="0">
                  <c:v> = Итого: Задолженность по кредитам</c:v>
                </c:pt>
              </c:strCache>
            </c:strRef>
          </c:tx>
          <c:spPr>
            <a:solidFill>
              <a:schemeClr val="accent1">
                <a:lumMod val="75000"/>
              </a:schemeClr>
            </a:solidFill>
            <a:ln>
              <a:solidFill>
                <a:schemeClr val="accent1">
                  <a:lumMod val="25000"/>
                </a:schemeClr>
              </a:solidFill>
            </a:ln>
            <a:effectLst/>
          </c:spPr>
          <c:cat>
            <c:strRef>
              <c:f>Проект!$F$1096:$AC$1096</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Проект!$F$1129:$AC$1129</c:f>
            </c:numRef>
          </c:val>
          <c:extLst>
            <c:ext xmlns:c16="http://schemas.microsoft.com/office/drawing/2014/chart" uri="{C3380CC4-5D6E-409C-BE32-E72D297353CC}">
              <c16:uniqueId val="{00000000-E474-44D4-B316-FABA6C616778}"/>
            </c:ext>
          </c:extLst>
        </c:ser>
        <c:dLbls>
          <c:showLegendKey val="0"/>
          <c:showVal val="0"/>
          <c:showCatName val="0"/>
          <c:showSerName val="0"/>
          <c:showPercent val="0"/>
          <c:showBubbleSize val="0"/>
        </c:dLbls>
        <c:axId val="111413504"/>
        <c:axId val="111415296"/>
      </c:areaChart>
      <c:catAx>
        <c:axId val="111413504"/>
        <c:scaling>
          <c:orientation val="minMax"/>
        </c:scaling>
        <c:delete val="0"/>
        <c:axPos val="b"/>
        <c:numFmt formatCode="General" sourceLinked="1"/>
        <c:majorTickMark val="none"/>
        <c:minorTickMark val="none"/>
        <c:tickLblPos val="nextTo"/>
        <c:spPr>
          <a:ln>
            <a:solidFill>
              <a:sysClr val="windowText" lastClr="000000"/>
            </a:solidFill>
          </a:ln>
        </c:spPr>
        <c:txPr>
          <a:bodyPr rot="0" vert="horz"/>
          <a:lstStyle/>
          <a:p>
            <a:pPr>
              <a:defRPr sz="800" b="0" i="0" u="none" strike="noStrike" baseline="0">
                <a:solidFill>
                  <a:srgbClr val="000000"/>
                </a:solidFill>
                <a:latin typeface="Arial"/>
                <a:ea typeface="Arial"/>
                <a:cs typeface="Arial"/>
              </a:defRPr>
            </a:pPr>
            <a:endParaRPr lang="ru-RU"/>
          </a:p>
        </c:txPr>
        <c:crossAx val="111415296"/>
        <c:crosses val="autoZero"/>
        <c:auto val="1"/>
        <c:lblAlgn val="ctr"/>
        <c:lblOffset val="100"/>
        <c:tickLblSkip val="1"/>
        <c:tickMarkSkip val="1"/>
        <c:noMultiLvlLbl val="0"/>
      </c:catAx>
      <c:valAx>
        <c:axId val="111415296"/>
        <c:scaling>
          <c:orientation val="minMax"/>
        </c:scaling>
        <c:delete val="0"/>
        <c:axPos val="l"/>
        <c:majorGridlines>
          <c:spPr>
            <a:ln>
              <a:solidFill>
                <a:schemeClr val="tx1">
                  <a:lumMod val="50000"/>
                  <a:lumOff val="50000"/>
                </a:schemeClr>
              </a:solidFill>
              <a:prstDash val="sysDash"/>
            </a:ln>
          </c:spPr>
        </c:majorGridlines>
        <c:numFmt formatCode="#,##0" sourceLinked="1"/>
        <c:majorTickMark val="none"/>
        <c:minorTickMark val="none"/>
        <c:tickLblPos val="nextTo"/>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ru-RU"/>
          </a:p>
        </c:txPr>
        <c:crossAx val="111413504"/>
        <c:crosses val="autoZero"/>
        <c:crossBetween val="midCat"/>
      </c:valAx>
      <c:spPr>
        <a:solidFill>
          <a:sysClr val="window" lastClr="FFFFFF">
            <a:lumMod val="85000"/>
            <a:alpha val="70000"/>
          </a:sysClr>
        </a:solidFill>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1" l="0.75000000000000999" r="0.75000000000000999"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800" b="0" i="0" u="none" strike="noStrike" baseline="0">
              <a:solidFill>
                <a:srgbClr val="000000"/>
              </a:solidFill>
              <a:latin typeface="Arial"/>
              <a:ea typeface="Arial"/>
              <a:cs typeface="Arial"/>
            </a:defRPr>
          </a:pPr>
          <a:endParaRPr lang="ru-RU"/>
        </a:p>
      </c:txPr>
    </c:title>
    <c:autoTitleDeleted val="0"/>
    <c:plotArea>
      <c:layout/>
      <c:lineChart>
        <c:grouping val="standard"/>
        <c:varyColors val="0"/>
        <c:ser>
          <c:idx val="0"/>
          <c:order val="0"/>
          <c:tx>
            <c:strRef>
              <c:f>Проект!$A$1285</c:f>
              <c:strCache>
                <c:ptCount val="1"/>
                <c:pt idx="0">
                  <c:v>Прибыль до налога, процентов и амортизации (EBITDA)</c:v>
                </c:pt>
              </c:strCache>
            </c:strRef>
          </c:tx>
          <c:spPr>
            <a:ln>
              <a:solidFill>
                <a:schemeClr val="accent4">
                  <a:lumMod val="75000"/>
                </a:schemeClr>
              </a:solidFill>
            </a:ln>
          </c:spPr>
          <c:marker>
            <c:spPr>
              <a:solidFill>
                <a:schemeClr val="accent4">
                  <a:lumMod val="60000"/>
                  <a:lumOff val="40000"/>
                </a:schemeClr>
              </a:solidFill>
              <a:ln>
                <a:solidFill>
                  <a:schemeClr val="accent4">
                    <a:lumMod val="75000"/>
                  </a:schemeClr>
                </a:solidFill>
              </a:ln>
            </c:spPr>
          </c:marker>
          <c:cat>
            <c:strRef>
              <c:f>Проект!$F$1275:$AC$1275</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Проект!$F$1285:$AC$1285</c:f>
              <c:numCache>
                <c:formatCode>#,##0</c:formatCode>
                <c:ptCount val="24"/>
                <c:pt idx="0">
                  <c:v>0</c:v>
                </c:pt>
                <c:pt idx="1">
                  <c:v>0</c:v>
                </c:pt>
                <c:pt idx="2">
                  <c:v>0</c:v>
                </c:pt>
                <c:pt idx="3">
                  <c:v>0</c:v>
                </c:pt>
                <c:pt idx="4">
                  <c:v>0</c:v>
                </c:pt>
                <c:pt idx="5">
                  <c:v>-233.36949643868491</c:v>
                </c:pt>
                <c:pt idx="6">
                  <c:v>346.16123649852915</c:v>
                </c:pt>
                <c:pt idx="7">
                  <c:v>825.22857569003531</c:v>
                </c:pt>
                <c:pt idx="8">
                  <c:v>1365.1259965496097</c:v>
                </c:pt>
                <c:pt idx="9">
                  <c:v>1723.4539653965358</c:v>
                </c:pt>
                <c:pt idx="10">
                  <c:v>1723.4539653965358</c:v>
                </c:pt>
                <c:pt idx="11">
                  <c:v>1723.4539653965358</c:v>
                </c:pt>
                <c:pt idx="12">
                  <c:v>1723.4539653965358</c:v>
                </c:pt>
                <c:pt idx="13">
                  <c:v>1723.4539653965358</c:v>
                </c:pt>
                <c:pt idx="14">
                  <c:v>1723.4539653965358</c:v>
                </c:pt>
                <c:pt idx="15">
                  <c:v>1723.4539653965358</c:v>
                </c:pt>
                <c:pt idx="16">
                  <c:v>1723.4539653965358</c:v>
                </c:pt>
                <c:pt idx="17">
                  <c:v>1723.4539653965358</c:v>
                </c:pt>
                <c:pt idx="18">
                  <c:v>1723.4539653965358</c:v>
                </c:pt>
                <c:pt idx="19">
                  <c:v>1723.4539653965358</c:v>
                </c:pt>
                <c:pt idx="20">
                  <c:v>1723.4539653965358</c:v>
                </c:pt>
                <c:pt idx="21">
                  <c:v>1723.4539653965358</c:v>
                </c:pt>
                <c:pt idx="22">
                  <c:v>1723.4539653965358</c:v>
                </c:pt>
                <c:pt idx="23">
                  <c:v>1723.4539653965358</c:v>
                </c:pt>
              </c:numCache>
            </c:numRef>
          </c:val>
          <c:smooth val="0"/>
          <c:extLst>
            <c:ext xmlns:c16="http://schemas.microsoft.com/office/drawing/2014/chart" uri="{C3380CC4-5D6E-409C-BE32-E72D297353CC}">
              <c16:uniqueId val="{00000000-D108-406F-8974-0850387E38CC}"/>
            </c:ext>
          </c:extLst>
        </c:ser>
        <c:dLbls>
          <c:showLegendKey val="0"/>
          <c:showVal val="0"/>
          <c:showCatName val="0"/>
          <c:showSerName val="0"/>
          <c:showPercent val="0"/>
          <c:showBubbleSize val="0"/>
        </c:dLbls>
        <c:marker val="1"/>
        <c:smooth val="0"/>
        <c:axId val="111422848"/>
        <c:axId val="111441408"/>
      </c:lineChart>
      <c:catAx>
        <c:axId val="111422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RU"/>
          </a:p>
        </c:txPr>
        <c:crossAx val="111441408"/>
        <c:crosses val="autoZero"/>
        <c:auto val="1"/>
        <c:lblAlgn val="ctr"/>
        <c:lblOffset val="100"/>
        <c:tickLblSkip val="1"/>
        <c:tickMarkSkip val="1"/>
        <c:noMultiLvlLbl val="0"/>
      </c:catAx>
      <c:valAx>
        <c:axId val="111441408"/>
        <c:scaling>
          <c:orientation val="minMax"/>
        </c:scaling>
        <c:delete val="0"/>
        <c:axPos val="l"/>
        <c:majorGridlines>
          <c:spPr>
            <a:ln w="3175">
              <a:solidFill>
                <a:schemeClr val="tx1">
                  <a:lumMod val="50000"/>
                  <a:lumOff val="50000"/>
                </a:scheme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RU"/>
          </a:p>
        </c:txPr>
        <c:crossAx val="111422848"/>
        <c:crosses val="autoZero"/>
        <c:crossBetween val="between"/>
      </c:valAx>
      <c:spPr>
        <a:solidFill>
          <a:sysClr val="window" lastClr="FFFFFF">
            <a:lumMod val="85000"/>
            <a:alpha val="70000"/>
          </a:sysClr>
        </a:solid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ru-RU"/>
    </a:p>
  </c:txPr>
  <c:printSettings>
    <c:headerFooter alignWithMargins="0"/>
    <c:pageMargins b="1" l="0.75000000000000955" r="0.7500000000000095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Портфель!$A$696</c:f>
              <c:strCache>
                <c:ptCount val="1"/>
                <c:pt idx="0">
                  <c:v>Дисконтированный поток нарастающим итогом</c:v>
                </c:pt>
              </c:strCache>
            </c:strRef>
          </c:tx>
          <c:spPr>
            <a:ln w="38100">
              <a:solidFill>
                <a:schemeClr val="accent6">
                  <a:lumMod val="50000"/>
                </a:schemeClr>
              </a:solidFill>
              <a:prstDash val="solid"/>
            </a:ln>
            <a:effectLst>
              <a:outerShdw blurRad="25400" dist="12700" dir="2700000" algn="tl" rotWithShape="0">
                <a:prstClr val="black">
                  <a:alpha val="40000"/>
                </a:prstClr>
              </a:outerShdw>
            </a:effectLst>
          </c:spPr>
          <c:marker>
            <c:symbol val="circle"/>
            <c:size val="7"/>
            <c:spPr>
              <a:solidFill>
                <a:schemeClr val="accent6">
                  <a:lumMod val="60000"/>
                  <a:lumOff val="40000"/>
                </a:schemeClr>
              </a:solidFill>
              <a:ln>
                <a:solidFill>
                  <a:schemeClr val="accent6">
                    <a:lumMod val="50000"/>
                  </a:schemeClr>
                </a:solidFill>
                <a:prstDash val="solid"/>
              </a:ln>
              <a:effectLst>
                <a:outerShdw blurRad="25400" dist="12700" dir="2700000" algn="tl" rotWithShape="0">
                  <a:prstClr val="black">
                    <a:alpha val="40000"/>
                  </a:prstClr>
                </a:outerShdw>
              </a:effectLst>
            </c:spPr>
          </c:marker>
          <c:cat>
            <c:strRef>
              <c:f>Портфель!$F$670:$Y$670</c:f>
              <c:strCache>
                <c:ptCount val="20"/>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strCache>
            </c:strRef>
          </c:cat>
          <c:val>
            <c:numRef>
              <c:f>Портфель!$F$696:$Y$696</c:f>
              <c:numCache>
                <c:formatCode>#,##0</c:formatCode>
                <c:ptCount val="20"/>
                <c:pt idx="0">
                  <c:v>0</c:v>
                </c:pt>
                <c:pt idx="1">
                  <c:v>0</c:v>
                </c:pt>
                <c:pt idx="2">
                  <c:v>-5334.2173016653569</c:v>
                </c:pt>
                <c:pt idx="3">
                  <c:v>-6711.5511306656408</c:v>
                </c:pt>
                <c:pt idx="4">
                  <c:v>-12873.734636963316</c:v>
                </c:pt>
                <c:pt idx="5">
                  <c:v>-13005.414388598116</c:v>
                </c:pt>
                <c:pt idx="6">
                  <c:v>-12992.578839977898</c:v>
                </c:pt>
                <c:pt idx="7">
                  <c:v>-12465.439439803074</c:v>
                </c:pt>
                <c:pt idx="8">
                  <c:v>-11723.66486089196</c:v>
                </c:pt>
                <c:pt idx="9">
                  <c:v>-10766.559919478928</c:v>
                </c:pt>
                <c:pt idx="10">
                  <c:v>-9718.1439967896695</c:v>
                </c:pt>
                <c:pt idx="11">
                  <c:v>-8703.5147066823338</c:v>
                </c:pt>
                <c:pt idx="12">
                  <c:v>-7721.5832288552447</c:v>
                </c:pt>
                <c:pt idx="13">
                  <c:v>-6771.2958317255088</c:v>
                </c:pt>
                <c:pt idx="14">
                  <c:v>-5851.6327416472122</c:v>
                </c:pt>
                <c:pt idx="15">
                  <c:v>-4961.6070485706032</c:v>
                </c:pt>
                <c:pt idx="16">
                  <c:v>-4100.2636469678937</c:v>
                </c:pt>
                <c:pt idx="17">
                  <c:v>-3266.678210889178</c:v>
                </c:pt>
                <c:pt idx="18">
                  <c:v>-2459.9562020485673</c:v>
                </c:pt>
                <c:pt idx="19">
                  <c:v>-1679.2319098761034</c:v>
                </c:pt>
              </c:numCache>
            </c:numRef>
          </c:val>
          <c:smooth val="0"/>
          <c:extLst>
            <c:ext xmlns:c16="http://schemas.microsoft.com/office/drawing/2014/chart" uri="{C3380CC4-5D6E-409C-BE32-E72D297353CC}">
              <c16:uniqueId val="{00000000-7B49-43A6-9BFE-03C0B30A654F}"/>
            </c:ext>
          </c:extLst>
        </c:ser>
        <c:dLbls>
          <c:showLegendKey val="0"/>
          <c:showVal val="0"/>
          <c:showCatName val="0"/>
          <c:showSerName val="0"/>
          <c:showPercent val="0"/>
          <c:showBubbleSize val="0"/>
        </c:dLbls>
        <c:marker val="1"/>
        <c:smooth val="0"/>
        <c:axId val="111649152"/>
        <c:axId val="111663360"/>
      </c:lineChart>
      <c:catAx>
        <c:axId val="111649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yr"/>
                <a:ea typeface="Arial Cyr"/>
                <a:cs typeface="Arial Cyr"/>
              </a:defRPr>
            </a:pPr>
            <a:endParaRPr lang="ru-RU"/>
          </a:p>
        </c:txPr>
        <c:crossAx val="111663360"/>
        <c:crosses val="autoZero"/>
        <c:auto val="1"/>
        <c:lblAlgn val="ctr"/>
        <c:lblOffset val="100"/>
        <c:tickLblSkip val="1"/>
        <c:tickMarkSkip val="1"/>
        <c:noMultiLvlLbl val="0"/>
      </c:catAx>
      <c:valAx>
        <c:axId val="111663360"/>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yr"/>
                <a:ea typeface="Arial Cyr"/>
                <a:cs typeface="Arial Cyr"/>
              </a:defRPr>
            </a:pPr>
            <a:endParaRPr lang="ru-RU"/>
          </a:p>
        </c:txPr>
        <c:crossAx val="111649152"/>
        <c:crosses val="autoZero"/>
        <c:crossBetween val="between"/>
      </c:valAx>
      <c:spPr>
        <a:solidFill>
          <a:sysClr val="window" lastClr="FFFFFF">
            <a:lumMod val="85000"/>
            <a:alpha val="70000"/>
          </a:sysClr>
        </a:solidFill>
        <a:ln w="12700">
          <a:solidFill>
            <a:srgbClr val="C0C0C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Портфель!$A$772</c:f>
              <c:strCache>
                <c:ptCount val="1"/>
                <c:pt idx="0">
                  <c:v>Дисконтированный поток нарастающим итогом</c:v>
                </c:pt>
              </c:strCache>
            </c:strRef>
          </c:tx>
          <c:spPr>
            <a:ln w="38100">
              <a:solidFill>
                <a:schemeClr val="accent1">
                  <a:lumMod val="50000"/>
                </a:schemeClr>
              </a:solidFill>
              <a:prstDash val="solid"/>
            </a:ln>
            <a:effectLst>
              <a:outerShdw blurRad="25400" dist="12700" dir="2700000" algn="tl" rotWithShape="0">
                <a:prstClr val="black">
                  <a:alpha val="40000"/>
                </a:prstClr>
              </a:outerShdw>
            </a:effectLst>
          </c:spPr>
          <c:marker>
            <c:symbol val="circle"/>
            <c:size val="7"/>
            <c:spPr>
              <a:solidFill>
                <a:schemeClr val="accent1">
                  <a:lumMod val="75000"/>
                </a:schemeClr>
              </a:solidFill>
              <a:ln>
                <a:solidFill>
                  <a:schemeClr val="accent1">
                    <a:lumMod val="50000"/>
                  </a:schemeClr>
                </a:solidFill>
                <a:prstDash val="solid"/>
              </a:ln>
              <a:effectLst>
                <a:outerShdw blurRad="25400" dist="12700" dir="2700000" algn="tl" rotWithShape="0">
                  <a:prstClr val="black">
                    <a:alpha val="40000"/>
                  </a:prstClr>
                </a:outerShdw>
              </a:effectLst>
            </c:spPr>
          </c:marker>
          <c:cat>
            <c:strRef>
              <c:f>Портфель!$F$746:$Y$746</c:f>
              <c:strCache>
                <c:ptCount val="20"/>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strCache>
            </c:strRef>
          </c:cat>
          <c:val>
            <c:numRef>
              <c:f>Портфель!$F$772:$Y$772</c:f>
              <c:numCache>
                <c:formatCode>#,##0</c:formatCode>
                <c:ptCount val="20"/>
                <c:pt idx="0">
                  <c:v>0</c:v>
                </c:pt>
                <c:pt idx="1">
                  <c:v>0</c:v>
                </c:pt>
                <c:pt idx="2">
                  <c:v>0</c:v>
                </c:pt>
                <c:pt idx="3">
                  <c:v>0</c:v>
                </c:pt>
                <c:pt idx="4">
                  <c:v>0</c:v>
                </c:pt>
                <c:pt idx="5">
                  <c:v>2400.2586171158605</c:v>
                </c:pt>
                <c:pt idx="6">
                  <c:v>2413.0941657360781</c:v>
                </c:pt>
                <c:pt idx="7">
                  <c:v>2940.2335659109003</c:v>
                </c:pt>
                <c:pt idx="8">
                  <c:v>3682.0081448220153</c:v>
                </c:pt>
                <c:pt idx="9">
                  <c:v>4639.1130862350483</c:v>
                </c:pt>
                <c:pt idx="10">
                  <c:v>5687.5290089243063</c:v>
                </c:pt>
                <c:pt idx="11">
                  <c:v>6702.1582990316419</c:v>
                </c:pt>
                <c:pt idx="12">
                  <c:v>7684.0897768587311</c:v>
                </c:pt>
                <c:pt idx="13">
                  <c:v>8634.3771739884669</c:v>
                </c:pt>
                <c:pt idx="14">
                  <c:v>9554.0402640667635</c:v>
                </c:pt>
                <c:pt idx="15">
                  <c:v>10444.065957143373</c:v>
                </c:pt>
                <c:pt idx="16">
                  <c:v>11305.409358746083</c:v>
                </c:pt>
                <c:pt idx="17">
                  <c:v>12138.994794824799</c:v>
                </c:pt>
                <c:pt idx="18">
                  <c:v>12945.716803665409</c:v>
                </c:pt>
                <c:pt idx="19">
                  <c:v>13726.441095837874</c:v>
                </c:pt>
              </c:numCache>
            </c:numRef>
          </c:val>
          <c:smooth val="0"/>
          <c:extLst>
            <c:ext xmlns:c16="http://schemas.microsoft.com/office/drawing/2014/chart" uri="{C3380CC4-5D6E-409C-BE32-E72D297353CC}">
              <c16:uniqueId val="{00000000-ACDF-406A-8F10-A1068F607808}"/>
            </c:ext>
          </c:extLst>
        </c:ser>
        <c:dLbls>
          <c:showLegendKey val="0"/>
          <c:showVal val="0"/>
          <c:showCatName val="0"/>
          <c:showSerName val="0"/>
          <c:showPercent val="0"/>
          <c:showBubbleSize val="0"/>
        </c:dLbls>
        <c:marker val="1"/>
        <c:smooth val="0"/>
        <c:axId val="126477824"/>
        <c:axId val="126479744"/>
      </c:lineChart>
      <c:catAx>
        <c:axId val="126477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yr"/>
                <a:ea typeface="Arial Cyr"/>
                <a:cs typeface="Arial Cyr"/>
              </a:defRPr>
            </a:pPr>
            <a:endParaRPr lang="ru-RU"/>
          </a:p>
        </c:txPr>
        <c:crossAx val="126479744"/>
        <c:crosses val="autoZero"/>
        <c:auto val="1"/>
        <c:lblAlgn val="ctr"/>
        <c:lblOffset val="100"/>
        <c:tickLblSkip val="1"/>
        <c:tickMarkSkip val="1"/>
        <c:noMultiLvlLbl val="0"/>
      </c:catAx>
      <c:valAx>
        <c:axId val="126479744"/>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yr"/>
                <a:ea typeface="Arial Cyr"/>
                <a:cs typeface="Arial Cyr"/>
              </a:defRPr>
            </a:pPr>
            <a:endParaRPr lang="ru-RU"/>
          </a:p>
        </c:txPr>
        <c:crossAx val="126477824"/>
        <c:crosses val="autoZero"/>
        <c:crossBetween val="between"/>
      </c:valAx>
      <c:spPr>
        <a:solidFill>
          <a:sysClr val="window" lastClr="FFFFFF">
            <a:lumMod val="85000"/>
            <a:alpha val="70000"/>
          </a:sysClr>
        </a:solidFill>
        <a:ln w="12700">
          <a:solidFill>
            <a:srgbClr val="C0C0C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Cyr"/>
          <a:ea typeface="Arial Cyr"/>
          <a:cs typeface="Arial Cyr"/>
        </a:defRPr>
      </a:pPr>
      <a:endParaRPr lang="ru-RU"/>
    </a:p>
  </c:txPr>
  <c:printSettings>
    <c:headerFooter alignWithMargins="0"/>
    <c:pageMargins b="1" l="0.7500000000000091" r="0.7500000000000091"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800" b="0" i="0" u="none" strike="noStrike" baseline="0">
              <a:solidFill>
                <a:srgbClr val="000000"/>
              </a:solidFill>
              <a:latin typeface="Arial"/>
              <a:ea typeface="Arial"/>
              <a:cs typeface="Arial"/>
            </a:defRPr>
          </a:pPr>
          <a:endParaRPr lang="ru-RU"/>
        </a:p>
      </c:txPr>
    </c:title>
    <c:autoTitleDeleted val="0"/>
    <c:plotArea>
      <c:layout/>
      <c:lineChart>
        <c:grouping val="standard"/>
        <c:varyColors val="0"/>
        <c:ser>
          <c:idx val="2"/>
          <c:order val="0"/>
          <c:tx>
            <c:strRef>
              <c:f>Проект!$A$1222</c:f>
              <c:strCache>
                <c:ptCount val="1"/>
                <c:pt idx="0">
                  <c:v>Чистая прибыль (убыток)</c:v>
                </c:pt>
              </c:strCache>
            </c:strRef>
          </c:tx>
          <c:spPr>
            <a:ln w="28575">
              <a:solidFill>
                <a:schemeClr val="bg2">
                  <a:lumMod val="50000"/>
                </a:schemeClr>
              </a:solidFill>
              <a:prstDash val="solid"/>
            </a:ln>
          </c:spPr>
          <c:marker>
            <c:symbol val="square"/>
            <c:size val="5"/>
            <c:spPr>
              <a:solidFill>
                <a:schemeClr val="bg2">
                  <a:lumMod val="50000"/>
                </a:schemeClr>
              </a:solidFill>
              <a:ln>
                <a:solidFill>
                  <a:schemeClr val="bg2">
                    <a:lumMod val="50000"/>
                  </a:schemeClr>
                </a:solidFill>
              </a:ln>
            </c:spPr>
          </c:marker>
          <c:cat>
            <c:strRef>
              <c:f>Проект!$F$1197:$AC$1197</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Проект!$F$1222:$AC$1222</c:f>
              <c:numCache>
                <c:formatCode>#,##0</c:formatCode>
                <c:ptCount val="24"/>
                <c:pt idx="0">
                  <c:v>0</c:v>
                </c:pt>
                <c:pt idx="1">
                  <c:v>0</c:v>
                </c:pt>
                <c:pt idx="2">
                  <c:v>0</c:v>
                </c:pt>
                <c:pt idx="3">
                  <c:v>0</c:v>
                </c:pt>
                <c:pt idx="4">
                  <c:v>-309.35251270876392</c:v>
                </c:pt>
                <c:pt idx="5">
                  <c:v>-542.72200914744883</c:v>
                </c:pt>
                <c:pt idx="6">
                  <c:v>36.808723789765239</c:v>
                </c:pt>
                <c:pt idx="7">
                  <c:v>515.87606298127139</c:v>
                </c:pt>
                <c:pt idx="8">
                  <c:v>912.06057157726855</c:v>
                </c:pt>
                <c:pt idx="9">
                  <c:v>1145.4221766770952</c:v>
                </c:pt>
                <c:pt idx="10">
                  <c:v>1145.4221766770952</c:v>
                </c:pt>
                <c:pt idx="11">
                  <c:v>1145.4221766770952</c:v>
                </c:pt>
                <c:pt idx="12">
                  <c:v>1145.4221766770952</c:v>
                </c:pt>
                <c:pt idx="13">
                  <c:v>1145.4221766770952</c:v>
                </c:pt>
                <c:pt idx="14">
                  <c:v>1145.4221766770952</c:v>
                </c:pt>
                <c:pt idx="15">
                  <c:v>1145.4221766770952</c:v>
                </c:pt>
                <c:pt idx="16">
                  <c:v>1145.4221766770952</c:v>
                </c:pt>
                <c:pt idx="17">
                  <c:v>1145.4221766770952</c:v>
                </c:pt>
                <c:pt idx="18">
                  <c:v>1145.4221766770952</c:v>
                </c:pt>
                <c:pt idx="19">
                  <c:v>1145.4221766770952</c:v>
                </c:pt>
                <c:pt idx="20">
                  <c:v>1145.4221766770952</c:v>
                </c:pt>
                <c:pt idx="21">
                  <c:v>1145.4221766770952</c:v>
                </c:pt>
                <c:pt idx="22">
                  <c:v>1145.4221766770952</c:v>
                </c:pt>
                <c:pt idx="23">
                  <c:v>1145.4221766770952</c:v>
                </c:pt>
              </c:numCache>
            </c:numRef>
          </c:val>
          <c:smooth val="0"/>
          <c:extLst>
            <c:ext xmlns:c16="http://schemas.microsoft.com/office/drawing/2014/chart" uri="{C3380CC4-5D6E-409C-BE32-E72D297353CC}">
              <c16:uniqueId val="{00000000-4ECD-4CC7-A1AF-4544AFDDD236}"/>
            </c:ext>
          </c:extLst>
        </c:ser>
        <c:dLbls>
          <c:showLegendKey val="0"/>
          <c:showVal val="0"/>
          <c:showCatName val="0"/>
          <c:showSerName val="0"/>
          <c:showPercent val="0"/>
          <c:showBubbleSize val="0"/>
        </c:dLbls>
        <c:marker val="1"/>
        <c:smooth val="0"/>
        <c:axId val="97868800"/>
        <c:axId val="108291200"/>
      </c:lineChart>
      <c:catAx>
        <c:axId val="978688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RU"/>
          </a:p>
        </c:txPr>
        <c:crossAx val="108291200"/>
        <c:crosses val="autoZero"/>
        <c:auto val="1"/>
        <c:lblAlgn val="ctr"/>
        <c:lblOffset val="100"/>
        <c:tickLblSkip val="1"/>
        <c:tickMarkSkip val="1"/>
        <c:noMultiLvlLbl val="0"/>
      </c:catAx>
      <c:valAx>
        <c:axId val="108291200"/>
        <c:scaling>
          <c:orientation val="minMax"/>
        </c:scaling>
        <c:delete val="0"/>
        <c:axPos val="l"/>
        <c:majorGridlines>
          <c:spPr>
            <a:ln w="3175">
              <a:solidFill>
                <a:schemeClr val="tx1">
                  <a:lumMod val="50000"/>
                  <a:lumOff val="50000"/>
                </a:scheme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RU"/>
          </a:p>
        </c:txPr>
        <c:crossAx val="97868800"/>
        <c:crosses val="autoZero"/>
        <c:crossBetween val="between"/>
      </c:valAx>
      <c:spPr>
        <a:solidFill>
          <a:sysClr val="window" lastClr="FFFFFF">
            <a:lumMod val="85000"/>
            <a:alpha val="70000"/>
          </a:sysClr>
        </a:solid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ru-RU"/>
    </a:p>
  </c:txPr>
  <c:printSettings>
    <c:headerFooter alignWithMargins="0"/>
    <c:pageMargins b="1" l="0.7500000000000091" r="0.7500000000000091"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Портфель!$A$846</c:f>
              <c:strCache>
                <c:ptCount val="1"/>
                <c:pt idx="0">
                  <c:v>Дисконтированный поток нарастающим итогом</c:v>
                </c:pt>
              </c:strCache>
            </c:strRef>
          </c:tx>
          <c:spPr>
            <a:ln w="38100">
              <a:solidFill>
                <a:schemeClr val="accent1">
                  <a:lumMod val="50000"/>
                </a:schemeClr>
              </a:solidFill>
              <a:prstDash val="solid"/>
            </a:ln>
            <a:effectLst>
              <a:outerShdw blurRad="25400" dist="12700" dir="2700000" algn="tl" rotWithShape="0">
                <a:prstClr val="black">
                  <a:alpha val="40000"/>
                </a:prstClr>
              </a:outerShdw>
            </a:effectLst>
          </c:spPr>
          <c:marker>
            <c:symbol val="circle"/>
            <c:size val="7"/>
            <c:spPr>
              <a:solidFill>
                <a:schemeClr val="accent1">
                  <a:lumMod val="75000"/>
                </a:schemeClr>
              </a:solidFill>
              <a:ln>
                <a:solidFill>
                  <a:schemeClr val="accent1">
                    <a:lumMod val="50000"/>
                  </a:schemeClr>
                </a:solidFill>
                <a:prstDash val="solid"/>
              </a:ln>
              <a:effectLst>
                <a:outerShdw blurRad="25400" dist="12700" dir="2700000" algn="tl" rotWithShape="0">
                  <a:prstClr val="black">
                    <a:alpha val="40000"/>
                  </a:prstClr>
                </a:outerShdw>
              </a:effectLst>
            </c:spPr>
          </c:marker>
          <c:cat>
            <c:strRef>
              <c:f>Портфель!$F$822:$Y$822</c:f>
              <c:strCache>
                <c:ptCount val="20"/>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strCache>
            </c:strRef>
          </c:cat>
          <c:val>
            <c:numRef>
              <c:f>Портфель!$F$846:$Y$846</c:f>
              <c:numCache>
                <c:formatCode>#,##0</c:formatCode>
                <c:ptCount val="20"/>
                <c:pt idx="0">
                  <c:v>0</c:v>
                </c:pt>
                <c:pt idx="1">
                  <c:v>0</c:v>
                </c:pt>
                <c:pt idx="2">
                  <c:v>0</c:v>
                </c:pt>
                <c:pt idx="3">
                  <c:v>0</c:v>
                </c:pt>
                <c:pt idx="4">
                  <c:v>0</c:v>
                </c:pt>
                <c:pt idx="5">
                  <c:v>2400.2586171158605</c:v>
                </c:pt>
                <c:pt idx="6">
                  <c:v>2413.0941657360781</c:v>
                </c:pt>
                <c:pt idx="7">
                  <c:v>2940.2335659109003</c:v>
                </c:pt>
                <c:pt idx="8">
                  <c:v>3682.0081448220153</c:v>
                </c:pt>
                <c:pt idx="9">
                  <c:v>4639.1130862350483</c:v>
                </c:pt>
                <c:pt idx="10">
                  <c:v>5687.5290089243063</c:v>
                </c:pt>
                <c:pt idx="11">
                  <c:v>6702.1582990316419</c:v>
                </c:pt>
                <c:pt idx="12">
                  <c:v>7684.0897768587311</c:v>
                </c:pt>
                <c:pt idx="13">
                  <c:v>8634.3771739884669</c:v>
                </c:pt>
                <c:pt idx="14">
                  <c:v>9554.0402640667635</c:v>
                </c:pt>
                <c:pt idx="15">
                  <c:v>10444.065957143373</c:v>
                </c:pt>
                <c:pt idx="16">
                  <c:v>11305.409358746083</c:v>
                </c:pt>
                <c:pt idx="17">
                  <c:v>12138.994794824799</c:v>
                </c:pt>
                <c:pt idx="18">
                  <c:v>12945.716803665409</c:v>
                </c:pt>
                <c:pt idx="19">
                  <c:v>13726.441095837874</c:v>
                </c:pt>
              </c:numCache>
            </c:numRef>
          </c:val>
          <c:smooth val="0"/>
          <c:extLst>
            <c:ext xmlns:c16="http://schemas.microsoft.com/office/drawing/2014/chart" uri="{C3380CC4-5D6E-409C-BE32-E72D297353CC}">
              <c16:uniqueId val="{00000000-D84D-461D-A414-50A3247949ED}"/>
            </c:ext>
          </c:extLst>
        </c:ser>
        <c:dLbls>
          <c:showLegendKey val="0"/>
          <c:showVal val="0"/>
          <c:showCatName val="0"/>
          <c:showSerName val="0"/>
          <c:showPercent val="0"/>
          <c:showBubbleSize val="0"/>
        </c:dLbls>
        <c:marker val="1"/>
        <c:smooth val="0"/>
        <c:axId val="111938560"/>
        <c:axId val="111981696"/>
      </c:lineChart>
      <c:catAx>
        <c:axId val="111938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yr"/>
                <a:ea typeface="Arial Cyr"/>
                <a:cs typeface="Arial Cyr"/>
              </a:defRPr>
            </a:pPr>
            <a:endParaRPr lang="ru-RU"/>
          </a:p>
        </c:txPr>
        <c:crossAx val="111981696"/>
        <c:crosses val="autoZero"/>
        <c:auto val="1"/>
        <c:lblAlgn val="ctr"/>
        <c:lblOffset val="100"/>
        <c:tickLblSkip val="1"/>
        <c:tickMarkSkip val="1"/>
        <c:noMultiLvlLbl val="0"/>
      </c:catAx>
      <c:valAx>
        <c:axId val="111981696"/>
        <c:scaling>
          <c:orientation val="minMax"/>
        </c:scaling>
        <c:delete val="0"/>
        <c:axPos val="l"/>
        <c:majorGridlines>
          <c:spPr>
            <a:ln w="3175">
              <a:solidFill>
                <a:schemeClr val="tx1">
                  <a:lumMod val="50000"/>
                  <a:lumOff val="50000"/>
                </a:scheme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yr"/>
                <a:ea typeface="Arial Cyr"/>
                <a:cs typeface="Arial Cyr"/>
              </a:defRPr>
            </a:pPr>
            <a:endParaRPr lang="ru-RU"/>
          </a:p>
        </c:txPr>
        <c:crossAx val="111938560"/>
        <c:crosses val="autoZero"/>
        <c:crossBetween val="between"/>
      </c:valAx>
      <c:spPr>
        <a:solidFill>
          <a:sysClr val="window" lastClr="FFFFFF">
            <a:lumMod val="85000"/>
            <a:alpha val="70000"/>
          </a:sysClr>
        </a:solidFill>
        <a:ln w="12700">
          <a:solidFill>
            <a:srgbClr val="C0C0C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Cyr"/>
          <a:ea typeface="Arial Cyr"/>
          <a:cs typeface="Arial Cyr"/>
        </a:defRPr>
      </a:pPr>
      <a:endParaRPr lang="ru-RU"/>
    </a:p>
  </c:txPr>
  <c:printSettings>
    <c:headerFooter alignWithMargins="0"/>
    <c:pageMargins b="1" l="0.7500000000000091" r="0.750000000000009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Портфель!$A$127</c:f>
              <c:strCache>
                <c:ptCount val="1"/>
                <c:pt idx="0">
                  <c:v>Выручка (нетто)</c:v>
                </c:pt>
              </c:strCache>
            </c:strRef>
          </c:tx>
          <c:spPr>
            <a:ln>
              <a:solidFill>
                <a:schemeClr val="accent1">
                  <a:lumMod val="50000"/>
                </a:schemeClr>
              </a:solidFill>
            </a:ln>
          </c:spPr>
          <c:marker>
            <c:spPr>
              <a:ln>
                <a:solidFill>
                  <a:schemeClr val="accent1">
                    <a:lumMod val="50000"/>
                  </a:schemeClr>
                </a:solidFill>
              </a:ln>
            </c:spPr>
          </c:marker>
          <c:cat>
            <c:strRef>
              <c:f>Портфель!$F$125:$Y$125</c:f>
              <c:strCache>
                <c:ptCount val="20"/>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strCache>
            </c:strRef>
          </c:cat>
          <c:val>
            <c:numRef>
              <c:f>Портфель!$F$127:$Y$127</c:f>
              <c:numCache>
                <c:formatCode>#,##0</c:formatCode>
                <c:ptCount val="20"/>
                <c:pt idx="0">
                  <c:v>0</c:v>
                </c:pt>
                <c:pt idx="1">
                  <c:v>0</c:v>
                </c:pt>
                <c:pt idx="2">
                  <c:v>0</c:v>
                </c:pt>
                <c:pt idx="3">
                  <c:v>0</c:v>
                </c:pt>
                <c:pt idx="4">
                  <c:v>0</c:v>
                </c:pt>
                <c:pt idx="5">
                  <c:v>714.56092469127964</c:v>
                </c:pt>
                <c:pt idx="6">
                  <c:v>2731.2132863136535</c:v>
                </c:pt>
                <c:pt idx="7">
                  <c:v>4381.7008046824012</c:v>
                </c:pt>
                <c:pt idx="8">
                  <c:v>6249.0205978072227</c:v>
                </c:pt>
                <c:pt idx="9">
                  <c:v>7525.4219523772372</c:v>
                </c:pt>
                <c:pt idx="10">
                  <c:v>7525.4219523772372</c:v>
                </c:pt>
                <c:pt idx="11">
                  <c:v>7525.4219523772372</c:v>
                </c:pt>
                <c:pt idx="12">
                  <c:v>7525.4219523772372</c:v>
                </c:pt>
                <c:pt idx="13">
                  <c:v>7525.4219523772372</c:v>
                </c:pt>
                <c:pt idx="14">
                  <c:v>7525.4219523772372</c:v>
                </c:pt>
                <c:pt idx="15">
                  <c:v>7525.4219523772372</c:v>
                </c:pt>
                <c:pt idx="16">
                  <c:v>7525.4219523772372</c:v>
                </c:pt>
                <c:pt idx="17">
                  <c:v>7525.4219523772372</c:v>
                </c:pt>
                <c:pt idx="18">
                  <c:v>7525.4219523772372</c:v>
                </c:pt>
                <c:pt idx="19">
                  <c:v>7525.4219523772372</c:v>
                </c:pt>
              </c:numCache>
            </c:numRef>
          </c:val>
          <c:smooth val="0"/>
          <c:extLst>
            <c:ext xmlns:c16="http://schemas.microsoft.com/office/drawing/2014/chart" uri="{C3380CC4-5D6E-409C-BE32-E72D297353CC}">
              <c16:uniqueId val="{00000000-E122-44DE-8B71-180444A4EE4E}"/>
            </c:ext>
          </c:extLst>
        </c:ser>
        <c:dLbls>
          <c:showLegendKey val="0"/>
          <c:showVal val="0"/>
          <c:showCatName val="0"/>
          <c:showSerName val="0"/>
          <c:showPercent val="0"/>
          <c:showBubbleSize val="0"/>
        </c:dLbls>
        <c:marker val="1"/>
        <c:smooth val="0"/>
        <c:axId val="126685568"/>
        <c:axId val="126687488"/>
      </c:lineChart>
      <c:catAx>
        <c:axId val="126685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RU"/>
          </a:p>
        </c:txPr>
        <c:crossAx val="126687488"/>
        <c:crosses val="autoZero"/>
        <c:auto val="1"/>
        <c:lblAlgn val="ctr"/>
        <c:lblOffset val="100"/>
        <c:tickLblSkip val="1"/>
        <c:tickMarkSkip val="1"/>
        <c:noMultiLvlLbl val="0"/>
      </c:catAx>
      <c:valAx>
        <c:axId val="126687488"/>
        <c:scaling>
          <c:orientation val="minMax"/>
        </c:scaling>
        <c:delete val="0"/>
        <c:axPos val="l"/>
        <c:majorGridlines>
          <c:spPr>
            <a:ln w="3175">
              <a:solidFill>
                <a:schemeClr val="tx1">
                  <a:lumMod val="50000"/>
                  <a:lumOff val="50000"/>
                </a:scheme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RU"/>
          </a:p>
        </c:txPr>
        <c:crossAx val="126685568"/>
        <c:crosses val="autoZero"/>
        <c:crossBetween val="between"/>
      </c:valAx>
      <c:spPr>
        <a:solidFill>
          <a:sysClr val="window" lastClr="FFFFFF">
            <a:lumMod val="85000"/>
            <a:alpha val="70000"/>
          </a:sysClr>
        </a:solid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Cyr"/>
          <a:ea typeface="Arial Cyr"/>
          <a:cs typeface="Arial Cyr"/>
        </a:defRPr>
      </a:pPr>
      <a:endParaRPr lang="ru-RU"/>
    </a:p>
  </c:txPr>
  <c:printSettings>
    <c:headerFooter alignWithMargins="0"/>
    <c:pageMargins b="1" l="0.75000000000000933" r="0.75000000000000933"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Портфель!$A$172</c:f>
              <c:strCache>
                <c:ptCount val="1"/>
                <c:pt idx="0">
                  <c:v>Чистая прибыль (убыток)</c:v>
                </c:pt>
              </c:strCache>
            </c:strRef>
          </c:tx>
          <c:spPr>
            <a:ln w="28575">
              <a:solidFill>
                <a:schemeClr val="bg2">
                  <a:lumMod val="50000"/>
                </a:schemeClr>
              </a:solidFill>
              <a:prstDash val="solid"/>
            </a:ln>
          </c:spPr>
          <c:marker>
            <c:symbol val="square"/>
            <c:size val="5"/>
            <c:spPr>
              <a:solidFill>
                <a:schemeClr val="bg2">
                  <a:lumMod val="50000"/>
                </a:schemeClr>
              </a:solidFill>
              <a:ln>
                <a:solidFill>
                  <a:schemeClr val="bg2">
                    <a:lumMod val="50000"/>
                  </a:schemeClr>
                </a:solidFill>
              </a:ln>
            </c:spPr>
          </c:marker>
          <c:cat>
            <c:strRef>
              <c:f>Портфель!$F$125:$Y$125</c:f>
              <c:strCache>
                <c:ptCount val="20"/>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strCache>
            </c:strRef>
          </c:cat>
          <c:val>
            <c:numRef>
              <c:f>Портфель!$F$172:$Y$172</c:f>
              <c:numCache>
                <c:formatCode>#,##0</c:formatCode>
                <c:ptCount val="20"/>
                <c:pt idx="0">
                  <c:v>0</c:v>
                </c:pt>
                <c:pt idx="1">
                  <c:v>0</c:v>
                </c:pt>
                <c:pt idx="2">
                  <c:v>0</c:v>
                </c:pt>
                <c:pt idx="3">
                  <c:v>0</c:v>
                </c:pt>
                <c:pt idx="4">
                  <c:v>-309.35251270876392</c:v>
                </c:pt>
                <c:pt idx="5">
                  <c:v>-542.72200914744883</c:v>
                </c:pt>
                <c:pt idx="6">
                  <c:v>36.808723789765239</c:v>
                </c:pt>
                <c:pt idx="7">
                  <c:v>515.87606298127139</c:v>
                </c:pt>
                <c:pt idx="8">
                  <c:v>912.06057157726855</c:v>
                </c:pt>
                <c:pt idx="9">
                  <c:v>1145.4221766770952</c:v>
                </c:pt>
                <c:pt idx="10">
                  <c:v>1145.4221766770952</c:v>
                </c:pt>
                <c:pt idx="11">
                  <c:v>1145.4221766770952</c:v>
                </c:pt>
                <c:pt idx="12">
                  <c:v>1145.4221766770952</c:v>
                </c:pt>
                <c:pt idx="13">
                  <c:v>1145.4221766770952</c:v>
                </c:pt>
                <c:pt idx="14">
                  <c:v>1145.4221766770952</c:v>
                </c:pt>
                <c:pt idx="15">
                  <c:v>1145.4221766770952</c:v>
                </c:pt>
                <c:pt idx="16">
                  <c:v>1145.4221766770952</c:v>
                </c:pt>
                <c:pt idx="17">
                  <c:v>1145.4221766770952</c:v>
                </c:pt>
                <c:pt idx="18">
                  <c:v>1145.4221766770952</c:v>
                </c:pt>
                <c:pt idx="19">
                  <c:v>1145.4221766770952</c:v>
                </c:pt>
              </c:numCache>
            </c:numRef>
          </c:val>
          <c:smooth val="0"/>
          <c:extLst>
            <c:ext xmlns:c16="http://schemas.microsoft.com/office/drawing/2014/chart" uri="{C3380CC4-5D6E-409C-BE32-E72D297353CC}">
              <c16:uniqueId val="{00000000-1B3D-42D6-9A94-2AE959B5D822}"/>
            </c:ext>
          </c:extLst>
        </c:ser>
        <c:dLbls>
          <c:showLegendKey val="0"/>
          <c:showVal val="0"/>
          <c:showCatName val="0"/>
          <c:showSerName val="0"/>
          <c:showPercent val="0"/>
          <c:showBubbleSize val="0"/>
        </c:dLbls>
        <c:marker val="1"/>
        <c:smooth val="0"/>
        <c:axId val="126715008"/>
        <c:axId val="126716928"/>
      </c:lineChart>
      <c:catAx>
        <c:axId val="126715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RU"/>
          </a:p>
        </c:txPr>
        <c:crossAx val="126716928"/>
        <c:crosses val="autoZero"/>
        <c:auto val="1"/>
        <c:lblAlgn val="ctr"/>
        <c:lblOffset val="100"/>
        <c:tickLblSkip val="1"/>
        <c:tickMarkSkip val="1"/>
        <c:noMultiLvlLbl val="0"/>
      </c:catAx>
      <c:valAx>
        <c:axId val="126716928"/>
        <c:scaling>
          <c:orientation val="minMax"/>
        </c:scaling>
        <c:delete val="0"/>
        <c:axPos val="l"/>
        <c:majorGridlines>
          <c:spPr>
            <a:ln w="3175">
              <a:solidFill>
                <a:schemeClr val="tx1">
                  <a:lumMod val="50000"/>
                  <a:lumOff val="50000"/>
                </a:scheme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RU"/>
          </a:p>
        </c:txPr>
        <c:crossAx val="126715008"/>
        <c:crosses val="autoZero"/>
        <c:crossBetween val="between"/>
      </c:valAx>
      <c:spPr>
        <a:solidFill>
          <a:sysClr val="window" lastClr="FFFFFF">
            <a:lumMod val="85000"/>
            <a:alpha val="70000"/>
          </a:sysClr>
        </a:solid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ru-RU"/>
    </a:p>
  </c:txPr>
  <c:printSettings>
    <c:headerFooter alignWithMargins="0"/>
    <c:pageMargins b="1" l="0.75000000000000933" r="0.75000000000000933"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Портфель!$A$176</c:f>
              <c:strCache>
                <c:ptCount val="1"/>
                <c:pt idx="0">
                  <c:v>Прибыль до налога, процентов и амортизации (EBITDA)</c:v>
                </c:pt>
              </c:strCache>
            </c:strRef>
          </c:tx>
          <c:spPr>
            <a:ln>
              <a:solidFill>
                <a:schemeClr val="accent4">
                  <a:lumMod val="75000"/>
                </a:schemeClr>
              </a:solidFill>
            </a:ln>
          </c:spPr>
          <c:marker>
            <c:spPr>
              <a:solidFill>
                <a:schemeClr val="accent4">
                  <a:lumMod val="60000"/>
                  <a:lumOff val="40000"/>
                </a:schemeClr>
              </a:solidFill>
              <a:ln>
                <a:solidFill>
                  <a:schemeClr val="accent4">
                    <a:lumMod val="75000"/>
                  </a:schemeClr>
                </a:solidFill>
              </a:ln>
            </c:spPr>
          </c:marker>
          <c:cat>
            <c:strRef>
              <c:f>Портфель!$F$125:$Y$125</c:f>
              <c:strCache>
                <c:ptCount val="20"/>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strCache>
            </c:strRef>
          </c:cat>
          <c:val>
            <c:numRef>
              <c:f>Портфель!$F$176:$Y$176</c:f>
              <c:numCache>
                <c:formatCode>#,##0</c:formatCode>
                <c:ptCount val="20"/>
                <c:pt idx="0">
                  <c:v>0</c:v>
                </c:pt>
                <c:pt idx="1">
                  <c:v>0</c:v>
                </c:pt>
                <c:pt idx="2">
                  <c:v>0</c:v>
                </c:pt>
                <c:pt idx="3">
                  <c:v>0</c:v>
                </c:pt>
                <c:pt idx="4">
                  <c:v>0</c:v>
                </c:pt>
                <c:pt idx="5">
                  <c:v>-233.36949643868491</c:v>
                </c:pt>
                <c:pt idx="6">
                  <c:v>346.16123649852915</c:v>
                </c:pt>
                <c:pt idx="7">
                  <c:v>825.22857569003531</c:v>
                </c:pt>
                <c:pt idx="8">
                  <c:v>1365.1259965496097</c:v>
                </c:pt>
                <c:pt idx="9">
                  <c:v>1723.4539653965358</c:v>
                </c:pt>
                <c:pt idx="10">
                  <c:v>1723.4539653965358</c:v>
                </c:pt>
                <c:pt idx="11">
                  <c:v>1723.4539653965358</c:v>
                </c:pt>
                <c:pt idx="12">
                  <c:v>1723.4539653965358</c:v>
                </c:pt>
                <c:pt idx="13">
                  <c:v>1723.4539653965358</c:v>
                </c:pt>
                <c:pt idx="14">
                  <c:v>1723.4539653965358</c:v>
                </c:pt>
                <c:pt idx="15">
                  <c:v>1723.4539653965358</c:v>
                </c:pt>
                <c:pt idx="16">
                  <c:v>1723.4539653965358</c:v>
                </c:pt>
                <c:pt idx="17">
                  <c:v>1723.4539653965358</c:v>
                </c:pt>
                <c:pt idx="18">
                  <c:v>1723.4539653965358</c:v>
                </c:pt>
                <c:pt idx="19">
                  <c:v>1723.4539653965358</c:v>
                </c:pt>
              </c:numCache>
            </c:numRef>
          </c:val>
          <c:smooth val="0"/>
          <c:extLst>
            <c:ext xmlns:c16="http://schemas.microsoft.com/office/drawing/2014/chart" uri="{C3380CC4-5D6E-409C-BE32-E72D297353CC}">
              <c16:uniqueId val="{00000000-F2E3-44F3-B27A-7B254FC4E1D1}"/>
            </c:ext>
          </c:extLst>
        </c:ser>
        <c:dLbls>
          <c:showLegendKey val="0"/>
          <c:showVal val="0"/>
          <c:showCatName val="0"/>
          <c:showSerName val="0"/>
          <c:showPercent val="0"/>
          <c:showBubbleSize val="0"/>
        </c:dLbls>
        <c:marker val="1"/>
        <c:smooth val="0"/>
        <c:axId val="126732928"/>
        <c:axId val="126732160"/>
      </c:lineChart>
      <c:catAx>
        <c:axId val="126732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RU"/>
          </a:p>
        </c:txPr>
        <c:crossAx val="126732160"/>
        <c:crosses val="autoZero"/>
        <c:auto val="1"/>
        <c:lblAlgn val="ctr"/>
        <c:lblOffset val="100"/>
        <c:tickLblSkip val="1"/>
        <c:tickMarkSkip val="1"/>
        <c:noMultiLvlLbl val="0"/>
      </c:catAx>
      <c:valAx>
        <c:axId val="126732160"/>
        <c:scaling>
          <c:orientation val="minMax"/>
        </c:scaling>
        <c:delete val="0"/>
        <c:axPos val="l"/>
        <c:majorGridlines>
          <c:spPr>
            <a:ln w="3175">
              <a:solidFill>
                <a:schemeClr val="tx1">
                  <a:lumMod val="50000"/>
                  <a:lumOff val="50000"/>
                </a:scheme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RU"/>
          </a:p>
        </c:txPr>
        <c:crossAx val="126732928"/>
        <c:crosses val="autoZero"/>
        <c:crossBetween val="between"/>
      </c:valAx>
      <c:spPr>
        <a:solidFill>
          <a:sysClr val="window" lastClr="FFFFFF">
            <a:lumMod val="85000"/>
            <a:alpha val="70000"/>
          </a:sysClr>
        </a:solid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ru-RU"/>
    </a:p>
  </c:txPr>
  <c:printSettings>
    <c:headerFooter alignWithMargins="0"/>
    <c:pageMargins b="1" l="0.75000000000000955" r="0.7500000000000095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Портфель!$A$289</c:f>
              <c:strCache>
                <c:ptCount val="1"/>
                <c:pt idx="0">
                  <c:v>Денежные потоки от операционной деятельности</c:v>
                </c:pt>
              </c:strCache>
            </c:strRef>
          </c:tx>
          <c:spPr>
            <a:solidFill>
              <a:schemeClr val="bg2">
                <a:lumMod val="75000"/>
              </a:schemeClr>
            </a:solidFill>
            <a:ln w="12700">
              <a:solidFill>
                <a:schemeClr val="bg1"/>
              </a:solidFill>
              <a:prstDash val="solid"/>
            </a:ln>
            <a:effectLst>
              <a:outerShdw blurRad="25400" dist="12700" dir="2700000" algn="tl" rotWithShape="0">
                <a:prstClr val="black">
                  <a:alpha val="40000"/>
                </a:prstClr>
              </a:outerShdw>
            </a:effectLst>
          </c:spPr>
          <c:invertIfNegative val="0"/>
          <c:cat>
            <c:strRef>
              <c:f>Портфель!$F$268:$Y$268</c:f>
              <c:strCache>
                <c:ptCount val="20"/>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strCache>
            </c:strRef>
          </c:cat>
          <c:val>
            <c:numRef>
              <c:f>Портфель!$F$289:$Y$289</c:f>
              <c:numCache>
                <c:formatCode>#,##0</c:formatCode>
                <c:ptCount val="20"/>
                <c:pt idx="0">
                  <c:v>0</c:v>
                </c:pt>
                <c:pt idx="1">
                  <c:v>0</c:v>
                </c:pt>
                <c:pt idx="2">
                  <c:v>0</c:v>
                </c:pt>
                <c:pt idx="3">
                  <c:v>0</c:v>
                </c:pt>
                <c:pt idx="4">
                  <c:v>0</c:v>
                </c:pt>
                <c:pt idx="5">
                  <c:v>2728.6487015162002</c:v>
                </c:pt>
                <c:pt idx="6">
                  <c:v>15.623261900942907</c:v>
                </c:pt>
                <c:pt idx="7">
                  <c:v>662.99303790614749</c:v>
                </c:pt>
                <c:pt idx="8">
                  <c:v>916.10593866502677</c:v>
                </c:pt>
                <c:pt idx="9">
                  <c:v>1243.6178106695488</c:v>
                </c:pt>
                <c:pt idx="10">
                  <c:v>1454.7746893858593</c:v>
                </c:pt>
                <c:pt idx="11">
                  <c:v>1454.7746893858593</c:v>
                </c:pt>
                <c:pt idx="12">
                  <c:v>1454.7746893858593</c:v>
                </c:pt>
                <c:pt idx="13">
                  <c:v>1454.7746893858593</c:v>
                </c:pt>
                <c:pt idx="14">
                  <c:v>1454.7746893858593</c:v>
                </c:pt>
                <c:pt idx="15">
                  <c:v>1454.7746893858593</c:v>
                </c:pt>
                <c:pt idx="16">
                  <c:v>1454.7746893858593</c:v>
                </c:pt>
                <c:pt idx="17">
                  <c:v>1454.7746893858593</c:v>
                </c:pt>
                <c:pt idx="18">
                  <c:v>1454.7746893858593</c:v>
                </c:pt>
                <c:pt idx="19">
                  <c:v>1454.7746893858593</c:v>
                </c:pt>
              </c:numCache>
            </c:numRef>
          </c:val>
          <c:extLst>
            <c:ext xmlns:c16="http://schemas.microsoft.com/office/drawing/2014/chart" uri="{C3380CC4-5D6E-409C-BE32-E72D297353CC}">
              <c16:uniqueId val="{00000000-B831-4FBF-8111-D067889CEA18}"/>
            </c:ext>
          </c:extLst>
        </c:ser>
        <c:ser>
          <c:idx val="1"/>
          <c:order val="1"/>
          <c:tx>
            <c:strRef>
              <c:f>Портфель!$A$309</c:f>
              <c:strCache>
                <c:ptCount val="1"/>
                <c:pt idx="0">
                  <c:v>Денежные потоки от инвестиционной деятельности</c:v>
                </c:pt>
              </c:strCache>
            </c:strRef>
          </c:tx>
          <c:spPr>
            <a:gradFill>
              <a:gsLst>
                <a:gs pos="0">
                  <a:srgbClr val="B8CCE4">
                    <a:shade val="30000"/>
                    <a:satMod val="115000"/>
                  </a:srgbClr>
                </a:gs>
                <a:gs pos="50000">
                  <a:srgbClr val="B8CCE4">
                    <a:shade val="67500"/>
                    <a:satMod val="115000"/>
                  </a:srgbClr>
                </a:gs>
                <a:gs pos="100000">
                  <a:srgbClr val="B8CCE4">
                    <a:shade val="100000"/>
                    <a:satMod val="115000"/>
                  </a:srgbClr>
                </a:gs>
              </a:gsLst>
              <a:lin ang="10800000" scaled="1"/>
            </a:gradFill>
            <a:ln w="12700">
              <a:solidFill>
                <a:schemeClr val="bg1"/>
              </a:solidFill>
              <a:prstDash val="solid"/>
            </a:ln>
            <a:effectLst>
              <a:outerShdw blurRad="25400" dist="12700" dir="2700000" algn="tl" rotWithShape="0">
                <a:prstClr val="black">
                  <a:alpha val="40000"/>
                </a:prstClr>
              </a:outerShdw>
            </a:effectLst>
          </c:spPr>
          <c:invertIfNegative val="0"/>
          <c:cat>
            <c:strRef>
              <c:f>Портфель!$F$268:$Y$268</c:f>
              <c:strCache>
                <c:ptCount val="20"/>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strCache>
            </c:strRef>
          </c:cat>
          <c:val>
            <c:numRef>
              <c:f>Портфель!$F$309:$Y$309</c:f>
              <c:numCache>
                <c:formatCode>#,##0</c:formatCode>
                <c:ptCount val="20"/>
                <c:pt idx="0">
                  <c:v>0</c:v>
                </c:pt>
                <c:pt idx="1">
                  <c:v>0</c:v>
                </c:pt>
                <c:pt idx="2">
                  <c:v>-5695.3855543220343</c:v>
                </c:pt>
                <c:pt idx="3">
                  <c:v>-1519.56</c:v>
                </c:pt>
                <c:pt idx="4">
                  <c:v>-7024.8891971793519</c:v>
                </c:pt>
                <c:pt idx="5">
                  <c:v>-2883.7623677660667</c:v>
                </c:pt>
                <c:pt idx="6">
                  <c:v>-5.6843418860808015E-14</c:v>
                </c:pt>
                <c:pt idx="7">
                  <c:v>0</c:v>
                </c:pt>
                <c:pt idx="8">
                  <c:v>47.90430408785906</c:v>
                </c:pt>
                <c:pt idx="9">
                  <c:v>41.655454582366474</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B831-4FBF-8111-D067889CEA18}"/>
            </c:ext>
          </c:extLst>
        </c:ser>
        <c:ser>
          <c:idx val="2"/>
          <c:order val="2"/>
          <c:tx>
            <c:strRef>
              <c:f>Портфель!$A$327</c:f>
              <c:strCache>
                <c:ptCount val="1"/>
                <c:pt idx="0">
                  <c:v>Денежные потоки от финансовой деятельности</c:v>
                </c:pt>
              </c:strCache>
            </c:strRef>
          </c:tx>
          <c:spPr>
            <a:gradFill>
              <a:gsLst>
                <a:gs pos="0">
                  <a:schemeClr val="accent6">
                    <a:lumMod val="75000"/>
                  </a:schemeClr>
                </a:gs>
                <a:gs pos="50000">
                  <a:srgbClr val="F79646">
                    <a:lumMod val="60000"/>
                    <a:lumOff val="40000"/>
                  </a:srgbClr>
                </a:gs>
                <a:gs pos="100000">
                  <a:srgbClr val="F79646">
                    <a:lumMod val="40000"/>
                    <a:lumOff val="60000"/>
                  </a:srgbClr>
                </a:gs>
              </a:gsLst>
              <a:lin ang="10800000" scaled="1"/>
            </a:gradFill>
            <a:ln w="12700">
              <a:solidFill>
                <a:schemeClr val="bg1"/>
              </a:solidFill>
              <a:prstDash val="solid"/>
            </a:ln>
            <a:effectLst>
              <a:outerShdw blurRad="25400" dist="12700" dir="2700000" algn="tl" rotWithShape="0">
                <a:prstClr val="black">
                  <a:alpha val="40000"/>
                </a:prstClr>
              </a:outerShdw>
            </a:effectLst>
          </c:spPr>
          <c:invertIfNegative val="0"/>
          <c:cat>
            <c:strRef>
              <c:f>Портфель!$F$268:$Y$268</c:f>
              <c:strCache>
                <c:ptCount val="20"/>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strCache>
            </c:strRef>
          </c:cat>
          <c:val>
            <c:numRef>
              <c:f>Портфель!$F$327:$Y$327</c:f>
              <c:numCache>
                <c:formatCode>#,##0</c:formatCode>
                <c:ptCount val="20"/>
                <c:pt idx="0">
                  <c:v>0</c:v>
                </c:pt>
                <c:pt idx="1">
                  <c:v>0</c:v>
                </c:pt>
                <c:pt idx="2">
                  <c:v>5695.3855543220343</c:v>
                </c:pt>
                <c:pt idx="3">
                  <c:v>1519.56</c:v>
                </c:pt>
                <c:pt idx="4">
                  <c:v>7024.8891971793519</c:v>
                </c:pt>
                <c:pt idx="5">
                  <c:v>2982.5256975335087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B831-4FBF-8111-D067889CEA18}"/>
            </c:ext>
          </c:extLst>
        </c:ser>
        <c:dLbls>
          <c:showLegendKey val="0"/>
          <c:showVal val="0"/>
          <c:showCatName val="0"/>
          <c:showSerName val="0"/>
          <c:showPercent val="0"/>
          <c:showBubbleSize val="0"/>
        </c:dLbls>
        <c:gapWidth val="150"/>
        <c:overlap val="40"/>
        <c:axId val="111846144"/>
        <c:axId val="111847680"/>
      </c:barChart>
      <c:catAx>
        <c:axId val="111846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yr"/>
                <a:ea typeface="Arial Cyr"/>
                <a:cs typeface="Arial Cyr"/>
              </a:defRPr>
            </a:pPr>
            <a:endParaRPr lang="ru-RU"/>
          </a:p>
        </c:txPr>
        <c:crossAx val="111847680"/>
        <c:crosses val="autoZero"/>
        <c:auto val="1"/>
        <c:lblAlgn val="ctr"/>
        <c:lblOffset val="100"/>
        <c:tickLblSkip val="1"/>
        <c:tickMarkSkip val="1"/>
        <c:noMultiLvlLbl val="0"/>
      </c:catAx>
      <c:valAx>
        <c:axId val="111847680"/>
        <c:scaling>
          <c:orientation val="minMax"/>
        </c:scaling>
        <c:delete val="0"/>
        <c:axPos val="l"/>
        <c:majorGridlines>
          <c:spPr>
            <a:ln w="3175">
              <a:solidFill>
                <a:schemeClr val="tx1">
                  <a:lumMod val="50000"/>
                  <a:lumOff val="50000"/>
                </a:scheme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yr"/>
                <a:ea typeface="Arial Cyr"/>
                <a:cs typeface="Arial Cyr"/>
              </a:defRPr>
            </a:pPr>
            <a:endParaRPr lang="ru-RU"/>
          </a:p>
        </c:txPr>
        <c:crossAx val="111846144"/>
        <c:crosses val="autoZero"/>
        <c:crossBetween val="between"/>
      </c:valAx>
      <c:spPr>
        <a:solidFill>
          <a:srgbClr val="D8D8D8">
            <a:alpha val="70000"/>
          </a:srgbClr>
        </a:solidFill>
        <a:ln w="12700">
          <a:solidFill>
            <a:srgbClr val="C0C0C0"/>
          </a:solidFill>
          <a:prstDash val="solid"/>
        </a:ln>
      </c:spPr>
    </c:plotArea>
    <c:legend>
      <c:legendPos val="r"/>
      <c:overlay val="0"/>
      <c:spPr>
        <a:solidFill>
          <a:srgbClr val="FFFFFF"/>
        </a:solidFill>
        <a:ln w="0">
          <a:noFill/>
          <a:prstDash val="solid"/>
        </a:ln>
      </c:spPr>
      <c:txPr>
        <a:bodyPr/>
        <a:lstStyle/>
        <a:p>
          <a:pPr>
            <a:defRPr sz="80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Cyr"/>
          <a:ea typeface="Arial Cyr"/>
          <a:cs typeface="Arial Cyr"/>
        </a:defRPr>
      </a:pPr>
      <a:endParaRPr lang="ru-RU"/>
    </a:p>
  </c:txPr>
  <c:printSettings>
    <c:headerFooter alignWithMargins="0"/>
    <c:pageMargins b="1" l="0.75000000000000933" r="0.75000000000000933"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Портфель!$A$334</c:f>
              <c:strCache>
                <c:ptCount val="1"/>
                <c:pt idx="0">
                  <c:v>Денежные средства на конец периода</c:v>
                </c:pt>
              </c:strCache>
            </c:strRef>
          </c:tx>
          <c:spPr>
            <a:ln w="31750">
              <a:solidFill>
                <a:schemeClr val="accent3">
                  <a:lumMod val="50000"/>
                </a:schemeClr>
              </a:solidFill>
              <a:prstDash val="solid"/>
            </a:ln>
            <a:effectLst>
              <a:outerShdw blurRad="50800" dist="38100" dir="2700000" algn="tl" rotWithShape="0">
                <a:prstClr val="black">
                  <a:alpha val="40000"/>
                </a:prstClr>
              </a:outerShdw>
            </a:effectLst>
          </c:spPr>
          <c:marker>
            <c:symbol val="circle"/>
            <c:size val="7"/>
            <c:spPr>
              <a:solidFill>
                <a:schemeClr val="accent3">
                  <a:lumMod val="75000"/>
                </a:schemeClr>
              </a:solidFill>
              <a:ln>
                <a:solidFill>
                  <a:schemeClr val="accent3">
                    <a:lumMod val="50000"/>
                  </a:schemeClr>
                </a:solidFill>
                <a:prstDash val="solid"/>
              </a:ln>
              <a:effectLst>
                <a:outerShdw blurRad="50800" dist="38100" dir="2700000" algn="tl" rotWithShape="0">
                  <a:prstClr val="black">
                    <a:alpha val="40000"/>
                  </a:prstClr>
                </a:outerShdw>
              </a:effectLst>
            </c:spPr>
          </c:marker>
          <c:cat>
            <c:strRef>
              <c:f>Портфель!$F$268:$Y$268</c:f>
              <c:strCache>
                <c:ptCount val="20"/>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strCache>
            </c:strRef>
          </c:cat>
          <c:val>
            <c:numRef>
              <c:f>Портфель!$F$334:$Y$334</c:f>
              <c:numCache>
                <c:formatCode>#,##0</c:formatCode>
                <c:ptCount val="20"/>
                <c:pt idx="0">
                  <c:v>0</c:v>
                </c:pt>
                <c:pt idx="1">
                  <c:v>0</c:v>
                </c:pt>
                <c:pt idx="2">
                  <c:v>0</c:v>
                </c:pt>
                <c:pt idx="3">
                  <c:v>0</c:v>
                </c:pt>
                <c:pt idx="4">
                  <c:v>0</c:v>
                </c:pt>
                <c:pt idx="5">
                  <c:v>2827.4120312836421</c:v>
                </c:pt>
                <c:pt idx="6">
                  <c:v>2843.035293184585</c:v>
                </c:pt>
                <c:pt idx="7">
                  <c:v>3506.0283310907325</c:v>
                </c:pt>
                <c:pt idx="8">
                  <c:v>4470.038573843618</c:v>
                </c:pt>
                <c:pt idx="9">
                  <c:v>5755.3118390955333</c:v>
                </c:pt>
                <c:pt idx="10">
                  <c:v>7210.0865284813926</c:v>
                </c:pt>
                <c:pt idx="11">
                  <c:v>8664.861217867252</c:v>
                </c:pt>
                <c:pt idx="12">
                  <c:v>10119.63590725311</c:v>
                </c:pt>
                <c:pt idx="13">
                  <c:v>11574.410596638969</c:v>
                </c:pt>
                <c:pt idx="14">
                  <c:v>13029.185286024827</c:v>
                </c:pt>
                <c:pt idx="15">
                  <c:v>14483.959975410686</c:v>
                </c:pt>
                <c:pt idx="16">
                  <c:v>15938.734664796546</c:v>
                </c:pt>
                <c:pt idx="17">
                  <c:v>17393.509354182403</c:v>
                </c:pt>
                <c:pt idx="18">
                  <c:v>18848.284043568263</c:v>
                </c:pt>
                <c:pt idx="19">
                  <c:v>27196.87459454027</c:v>
                </c:pt>
              </c:numCache>
            </c:numRef>
          </c:val>
          <c:smooth val="0"/>
          <c:extLst>
            <c:ext xmlns:c16="http://schemas.microsoft.com/office/drawing/2014/chart" uri="{C3380CC4-5D6E-409C-BE32-E72D297353CC}">
              <c16:uniqueId val="{00000000-60A2-4052-AED2-EAD10C791D0F}"/>
            </c:ext>
          </c:extLst>
        </c:ser>
        <c:dLbls>
          <c:showLegendKey val="0"/>
          <c:showVal val="0"/>
          <c:showCatName val="0"/>
          <c:showSerName val="0"/>
          <c:showPercent val="0"/>
          <c:showBubbleSize val="0"/>
        </c:dLbls>
        <c:marker val="1"/>
        <c:smooth val="0"/>
        <c:axId val="111863296"/>
        <c:axId val="111865216"/>
      </c:lineChart>
      <c:catAx>
        <c:axId val="111863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yr"/>
                <a:ea typeface="Arial Cyr"/>
                <a:cs typeface="Arial Cyr"/>
              </a:defRPr>
            </a:pPr>
            <a:endParaRPr lang="ru-RU"/>
          </a:p>
        </c:txPr>
        <c:crossAx val="111865216"/>
        <c:crosses val="autoZero"/>
        <c:auto val="1"/>
        <c:lblAlgn val="ctr"/>
        <c:lblOffset val="100"/>
        <c:tickLblSkip val="1"/>
        <c:tickMarkSkip val="1"/>
        <c:noMultiLvlLbl val="0"/>
      </c:catAx>
      <c:valAx>
        <c:axId val="111865216"/>
        <c:scaling>
          <c:orientation val="minMax"/>
        </c:scaling>
        <c:delete val="0"/>
        <c:axPos val="l"/>
        <c:majorGridlines>
          <c:spPr>
            <a:ln w="3175">
              <a:solidFill>
                <a:schemeClr val="tx1">
                  <a:lumMod val="50000"/>
                  <a:lumOff val="50000"/>
                </a:scheme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yr"/>
                <a:ea typeface="Arial Cyr"/>
                <a:cs typeface="Arial Cyr"/>
              </a:defRPr>
            </a:pPr>
            <a:endParaRPr lang="ru-RU"/>
          </a:p>
        </c:txPr>
        <c:crossAx val="111863296"/>
        <c:crosses val="autoZero"/>
        <c:crossBetween val="between"/>
      </c:valAx>
      <c:spPr>
        <a:solidFill>
          <a:sysClr val="window" lastClr="FFFFFF">
            <a:lumMod val="85000"/>
            <a:alpha val="70000"/>
          </a:sysClr>
        </a:solid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Cyr"/>
          <a:ea typeface="Arial Cyr"/>
          <a:cs typeface="Arial Cyr"/>
        </a:defRPr>
      </a:pPr>
      <a:endParaRPr lang="ru-RU"/>
    </a:p>
  </c:txPr>
  <c:printSettings>
    <c:headerFooter alignWithMargins="0"/>
    <c:pageMargins b="1" l="0.75000000000000933" r="0.75000000000000933"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Портфель!$A$318</c:f>
              <c:strCache>
                <c:ptCount val="1"/>
                <c:pt idx="0">
                  <c:v>Поступления кредитов</c:v>
                </c:pt>
              </c:strCache>
            </c:strRef>
          </c:tx>
          <c:spPr>
            <a:gradFill flip="none" rotWithShape="1">
              <a:gsLst>
                <a:gs pos="0">
                  <a:srgbClr val="D7E3BC">
                    <a:lumMod val="25000"/>
                    <a:alpha val="80000"/>
                  </a:srgbClr>
                </a:gs>
                <a:gs pos="50000">
                  <a:srgbClr val="D7E3BC">
                    <a:lumMod val="50000"/>
                    <a:alpha val="80000"/>
                  </a:srgbClr>
                </a:gs>
                <a:gs pos="100000">
                  <a:srgbClr val="D7E3BC">
                    <a:lumMod val="75000"/>
                    <a:alpha val="80000"/>
                  </a:srgbClr>
                </a:gs>
              </a:gsLst>
              <a:lin ang="16200000" scaled="1"/>
              <a:tileRect/>
            </a:gradFill>
            <a:ln>
              <a:solidFill>
                <a:schemeClr val="bg1"/>
              </a:solidFill>
            </a:ln>
            <a:effectLst>
              <a:outerShdw blurRad="25400" dist="12700" dir="2700000" algn="tl" rotWithShape="0">
                <a:prstClr val="black">
                  <a:alpha val="40000"/>
                </a:prstClr>
              </a:outerShdw>
            </a:effectLst>
          </c:spPr>
          <c:invertIfNegative val="0"/>
          <c:cat>
            <c:strRef>
              <c:f>Портфель!$F$268:$Y$268</c:f>
              <c:strCache>
                <c:ptCount val="20"/>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strCache>
            </c:strRef>
          </c:cat>
          <c:val>
            <c:numRef>
              <c:f>Портфель!$F$318:$Y$318</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C436-400C-A8DE-B1A529A84E6A}"/>
            </c:ext>
          </c:extLst>
        </c:ser>
        <c:ser>
          <c:idx val="2"/>
          <c:order val="1"/>
          <c:tx>
            <c:strRef>
              <c:f>Портфель!$A$282</c:f>
              <c:strCache>
                <c:ptCount val="1"/>
                <c:pt idx="0">
                  <c:v>Выплата процентов по кредитам</c:v>
                </c:pt>
              </c:strCache>
            </c:strRef>
          </c:tx>
          <c:spPr>
            <a:solidFill>
              <a:schemeClr val="accent1">
                <a:lumMod val="75000"/>
                <a:alpha val="80000"/>
              </a:schemeClr>
            </a:solidFill>
            <a:ln>
              <a:solidFill>
                <a:schemeClr val="bg1">
                  <a:alpha val="80000"/>
                </a:schemeClr>
              </a:solidFill>
            </a:ln>
            <a:effectLst>
              <a:outerShdw blurRad="25400" dist="12700" dir="2700000" algn="tl" rotWithShape="0">
                <a:prstClr val="black">
                  <a:alpha val="40000"/>
                </a:prstClr>
              </a:outerShdw>
            </a:effectLst>
          </c:spPr>
          <c:invertIfNegative val="0"/>
          <c:cat>
            <c:strRef>
              <c:f>Портфель!$F$268:$Y$268</c:f>
              <c:strCache>
                <c:ptCount val="20"/>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strCache>
            </c:strRef>
          </c:cat>
          <c:val>
            <c:numRef>
              <c:f>Портфель!$F$282:$Y$282</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C436-400C-A8DE-B1A529A84E6A}"/>
            </c:ext>
          </c:extLst>
        </c:ser>
        <c:ser>
          <c:idx val="1"/>
          <c:order val="2"/>
          <c:tx>
            <c:strRef>
              <c:f>Портфель!$A$320</c:f>
              <c:strCache>
                <c:ptCount val="1"/>
                <c:pt idx="0">
                  <c:v>Возврат кредитов</c:v>
                </c:pt>
              </c:strCache>
            </c:strRef>
          </c:tx>
          <c:spPr>
            <a:solidFill>
              <a:srgbClr val="D75353">
                <a:alpha val="80000"/>
              </a:srgbClr>
            </a:solidFill>
            <a:ln>
              <a:solidFill>
                <a:schemeClr val="bg1"/>
              </a:solidFill>
            </a:ln>
            <a:effectLst>
              <a:outerShdw blurRad="25400" dist="12700" dir="2700000" algn="tl" rotWithShape="0">
                <a:prstClr val="black">
                  <a:alpha val="40000"/>
                </a:prstClr>
              </a:outerShdw>
            </a:effectLst>
          </c:spPr>
          <c:invertIfNegative val="0"/>
          <c:cat>
            <c:strRef>
              <c:f>Портфель!$F$268:$Y$268</c:f>
              <c:strCache>
                <c:ptCount val="20"/>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strCache>
            </c:strRef>
          </c:cat>
          <c:val>
            <c:numRef>
              <c:f>Портфель!$F$320:$Y$320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C436-400C-A8DE-B1A529A84E6A}"/>
            </c:ext>
          </c:extLst>
        </c:ser>
        <c:dLbls>
          <c:showLegendKey val="0"/>
          <c:showVal val="0"/>
          <c:showCatName val="0"/>
          <c:showSerName val="0"/>
          <c:showPercent val="0"/>
          <c:showBubbleSize val="0"/>
        </c:dLbls>
        <c:gapWidth val="150"/>
        <c:overlap val="100"/>
        <c:axId val="127136128"/>
        <c:axId val="127137664"/>
      </c:barChart>
      <c:catAx>
        <c:axId val="127136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yr"/>
                <a:ea typeface="Arial Cyr"/>
                <a:cs typeface="Arial Cyr"/>
              </a:defRPr>
            </a:pPr>
            <a:endParaRPr lang="ru-RU"/>
          </a:p>
        </c:txPr>
        <c:crossAx val="127137664"/>
        <c:crosses val="autoZero"/>
        <c:auto val="1"/>
        <c:lblAlgn val="ctr"/>
        <c:lblOffset val="100"/>
        <c:tickLblSkip val="1"/>
        <c:tickMarkSkip val="1"/>
        <c:noMultiLvlLbl val="0"/>
      </c:catAx>
      <c:valAx>
        <c:axId val="127137664"/>
        <c:scaling>
          <c:orientation val="minMax"/>
        </c:scaling>
        <c:delete val="0"/>
        <c:axPos val="l"/>
        <c:majorGridlines>
          <c:spPr>
            <a:ln w="3175">
              <a:solidFill>
                <a:schemeClr val="tx1">
                  <a:lumMod val="50000"/>
                  <a:lumOff val="50000"/>
                </a:scheme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yr"/>
                <a:ea typeface="Arial Cyr"/>
                <a:cs typeface="Arial Cyr"/>
              </a:defRPr>
            </a:pPr>
            <a:endParaRPr lang="ru-RU"/>
          </a:p>
        </c:txPr>
        <c:crossAx val="127136128"/>
        <c:crosses val="autoZero"/>
        <c:crossBetween val="between"/>
      </c:valAx>
      <c:spPr>
        <a:solidFill>
          <a:srgbClr val="D8D8D8">
            <a:alpha val="70000"/>
          </a:srgbClr>
        </a:solidFill>
        <a:ln w="12700">
          <a:solidFill>
            <a:srgbClr val="C0C0C0"/>
          </a:solidFill>
          <a:prstDash val="solid"/>
        </a:ln>
      </c:spPr>
    </c:plotArea>
    <c:legend>
      <c:legendPos val="b"/>
      <c:overlay val="0"/>
      <c:spPr>
        <a:solidFill>
          <a:srgbClr val="FFFFFF"/>
        </a:solidFill>
        <a:ln w="0">
          <a:noFill/>
          <a:prstDash val="solid"/>
        </a:ln>
      </c:spPr>
      <c:txPr>
        <a:bodyPr/>
        <a:lstStyle/>
        <a:p>
          <a:pPr>
            <a:defRPr sz="80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Cyr"/>
          <a:ea typeface="Arial Cyr"/>
          <a:cs typeface="Arial Cyr"/>
        </a:defRPr>
      </a:pPr>
      <a:endParaRPr lang="ru-RU"/>
    </a:p>
  </c:txPr>
  <c:printSettings>
    <c:headerFooter alignWithMargins="0"/>
    <c:pageMargins b="1" l="0.75000000000000955" r="0.7500000000000095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barChart>
        <c:barDir val="col"/>
        <c:grouping val="stacked"/>
        <c:varyColors val="0"/>
        <c:ser>
          <c:idx val="0"/>
          <c:order val="0"/>
          <c:tx>
            <c:strRef>
              <c:f>Портфель!$A$270</c:f>
              <c:strCache>
                <c:ptCount val="1"/>
                <c:pt idx="0">
                  <c:v>Поступления от продаж</c:v>
                </c:pt>
              </c:strCache>
            </c:strRef>
          </c:tx>
          <c:invertIfNegative val="0"/>
          <c:cat>
            <c:strRef>
              <c:f>Портфель!$F$268:$Y$268</c:f>
              <c:strCache>
                <c:ptCount val="20"/>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strCache>
            </c:strRef>
          </c:cat>
          <c:val>
            <c:numRef>
              <c:f>Портфель!$F$270:$Y$270</c:f>
              <c:numCache>
                <c:formatCode>#,##0</c:formatCode>
                <c:ptCount val="20"/>
                <c:pt idx="0">
                  <c:v>0</c:v>
                </c:pt>
                <c:pt idx="1">
                  <c:v>0</c:v>
                </c:pt>
                <c:pt idx="2">
                  <c:v>0</c:v>
                </c:pt>
                <c:pt idx="3">
                  <c:v>0</c:v>
                </c:pt>
                <c:pt idx="4">
                  <c:v>0</c:v>
                </c:pt>
                <c:pt idx="5">
                  <c:v>714.56092469127964</c:v>
                </c:pt>
                <c:pt idx="6">
                  <c:v>2731.2132863136535</c:v>
                </c:pt>
                <c:pt idx="7">
                  <c:v>4381.7008046824012</c:v>
                </c:pt>
                <c:pt idx="8">
                  <c:v>6249.0205978072227</c:v>
                </c:pt>
                <c:pt idx="9">
                  <c:v>7525.4219523772372</c:v>
                </c:pt>
                <c:pt idx="10">
                  <c:v>7525.4219523772372</c:v>
                </c:pt>
                <c:pt idx="11">
                  <c:v>7525.4219523772372</c:v>
                </c:pt>
                <c:pt idx="12">
                  <c:v>7525.4219523772372</c:v>
                </c:pt>
                <c:pt idx="13">
                  <c:v>7525.4219523772372</c:v>
                </c:pt>
                <c:pt idx="14">
                  <c:v>7525.4219523772372</c:v>
                </c:pt>
                <c:pt idx="15">
                  <c:v>7525.4219523772372</c:v>
                </c:pt>
                <c:pt idx="16">
                  <c:v>7525.4219523772372</c:v>
                </c:pt>
                <c:pt idx="17">
                  <c:v>7525.4219523772372</c:v>
                </c:pt>
                <c:pt idx="18">
                  <c:v>7525.4219523772372</c:v>
                </c:pt>
                <c:pt idx="19">
                  <c:v>7525.4219523772372</c:v>
                </c:pt>
              </c:numCache>
            </c:numRef>
          </c:val>
          <c:extLst>
            <c:ext xmlns:c16="http://schemas.microsoft.com/office/drawing/2014/chart" uri="{C3380CC4-5D6E-409C-BE32-E72D297353CC}">
              <c16:uniqueId val="{00000000-5FE4-4709-8EF0-726412D170B9}"/>
            </c:ext>
          </c:extLst>
        </c:ser>
        <c:ser>
          <c:idx val="1"/>
          <c:order val="1"/>
          <c:tx>
            <c:strRef>
              <c:f>Портфель!$A$316</c:f>
              <c:strCache>
                <c:ptCount val="1"/>
                <c:pt idx="0">
                  <c:v>Средства от инвесторов строительства</c:v>
                </c:pt>
              </c:strCache>
            </c:strRef>
          </c:tx>
          <c:invertIfNegative val="0"/>
          <c:cat>
            <c:strRef>
              <c:f>Портфель!$F$268:$Y$268</c:f>
              <c:strCache>
                <c:ptCount val="20"/>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strCache>
            </c:strRef>
          </c:cat>
          <c:val>
            <c:numRef>
              <c:f>Портфель!$F$316:$Y$316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5FE4-4709-8EF0-726412D170B9}"/>
            </c:ext>
          </c:extLst>
        </c:ser>
        <c:dLbls>
          <c:showLegendKey val="0"/>
          <c:showVal val="0"/>
          <c:showCatName val="0"/>
          <c:showSerName val="0"/>
          <c:showPercent val="0"/>
          <c:showBubbleSize val="0"/>
        </c:dLbls>
        <c:gapWidth val="55"/>
        <c:overlap val="100"/>
        <c:axId val="127035648"/>
        <c:axId val="127045632"/>
      </c:barChart>
      <c:catAx>
        <c:axId val="127035648"/>
        <c:scaling>
          <c:orientation val="minMax"/>
        </c:scaling>
        <c:delete val="0"/>
        <c:axPos val="b"/>
        <c:numFmt formatCode="General" sourceLinked="1"/>
        <c:majorTickMark val="none"/>
        <c:minorTickMark val="none"/>
        <c:tickLblPos val="nextTo"/>
        <c:spPr>
          <a:ln>
            <a:solidFill>
              <a:sysClr val="windowText" lastClr="000000"/>
            </a:solidFill>
          </a:ln>
        </c:spPr>
        <c:txPr>
          <a:bodyPr rot="0" vert="horz"/>
          <a:lstStyle/>
          <a:p>
            <a:pPr>
              <a:defRPr sz="800" b="0" i="0" u="none" strike="noStrike" baseline="0">
                <a:solidFill>
                  <a:srgbClr val="000000"/>
                </a:solidFill>
                <a:latin typeface="Arial"/>
                <a:ea typeface="Arial"/>
                <a:cs typeface="Arial"/>
              </a:defRPr>
            </a:pPr>
            <a:endParaRPr lang="ru-RU"/>
          </a:p>
        </c:txPr>
        <c:crossAx val="127045632"/>
        <c:crosses val="autoZero"/>
        <c:auto val="1"/>
        <c:lblAlgn val="ctr"/>
        <c:lblOffset val="100"/>
        <c:tickLblSkip val="1"/>
        <c:tickMarkSkip val="1"/>
        <c:noMultiLvlLbl val="0"/>
      </c:catAx>
      <c:valAx>
        <c:axId val="127045632"/>
        <c:scaling>
          <c:orientation val="minMax"/>
        </c:scaling>
        <c:delete val="0"/>
        <c:axPos val="l"/>
        <c:majorGridlines>
          <c:spPr>
            <a:ln>
              <a:solidFill>
                <a:schemeClr val="tx1">
                  <a:lumMod val="50000"/>
                  <a:lumOff val="50000"/>
                </a:schemeClr>
              </a:solidFill>
              <a:prstDash val="sysDash"/>
            </a:ln>
          </c:spPr>
        </c:majorGridlines>
        <c:numFmt formatCode="#,##0" sourceLinked="1"/>
        <c:majorTickMark val="none"/>
        <c:minorTickMark val="none"/>
        <c:tickLblPos val="nextTo"/>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ru-RU"/>
          </a:p>
        </c:txPr>
        <c:crossAx val="127035648"/>
        <c:crosses val="autoZero"/>
        <c:crossBetween val="between"/>
      </c:valAx>
      <c:spPr>
        <a:solidFill>
          <a:sysClr val="window" lastClr="FFFFFF">
            <a:lumMod val="85000"/>
            <a:alpha val="70000"/>
          </a:sysClr>
        </a:solidFill>
      </c:spPr>
    </c:plotArea>
    <c:legend>
      <c:legendPos val="b"/>
      <c:overlay val="0"/>
      <c:txPr>
        <a:bodyPr/>
        <a:lstStyle/>
        <a:p>
          <a:pPr>
            <a:defRPr sz="735" b="0" i="0" u="none" strike="noStrike" baseline="0">
              <a:solidFill>
                <a:srgbClr val="000000"/>
              </a:solidFill>
              <a:latin typeface="Arial"/>
              <a:ea typeface="Arial"/>
              <a:cs typeface="Arial"/>
            </a:defRPr>
          </a:pPr>
          <a:endParaRPr lang="ru-RU"/>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1" l="0.75000000000000955" r="0.7500000000000095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barChart>
        <c:barDir val="col"/>
        <c:grouping val="stacked"/>
        <c:varyColors val="0"/>
        <c:ser>
          <c:idx val="0"/>
          <c:order val="0"/>
          <c:tx>
            <c:strRef>
              <c:f>Портфель!$A$475</c:f>
              <c:strCache>
                <c:ptCount val="1"/>
                <c:pt idx="0">
                  <c:v>Суммарные внеоборотные активы</c:v>
                </c:pt>
              </c:strCache>
            </c:strRef>
          </c:tx>
          <c:invertIfNegative val="0"/>
          <c:cat>
            <c:strRef>
              <c:f>Портфель!$F$438:$Y$438</c:f>
              <c:strCache>
                <c:ptCount val="20"/>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strCache>
            </c:strRef>
          </c:cat>
          <c:val>
            <c:numRef>
              <c:f>Портфель!$F$475:$Y$475</c:f>
              <c:numCache>
                <c:formatCode>#,##0</c:formatCode>
                <c:ptCount val="20"/>
                <c:pt idx="0">
                  <c:v>0</c:v>
                </c:pt>
                <c:pt idx="1">
                  <c:v>0</c:v>
                </c:pt>
                <c:pt idx="2">
                  <c:v>4667.7931335951498</c:v>
                </c:pt>
                <c:pt idx="3">
                  <c:v>5903.2077677414909</c:v>
                </c:pt>
                <c:pt idx="4">
                  <c:v>13263.916649761954</c:v>
                </c:pt>
                <c:pt idx="5">
                  <c:v>12954.56413705319</c:v>
                </c:pt>
                <c:pt idx="6">
                  <c:v>12645.211624344427</c:v>
                </c:pt>
                <c:pt idx="7">
                  <c:v>12335.859111635664</c:v>
                </c:pt>
                <c:pt idx="8">
                  <c:v>12026.506598926899</c:v>
                </c:pt>
                <c:pt idx="9">
                  <c:v>11717.154086218135</c:v>
                </c:pt>
                <c:pt idx="10">
                  <c:v>11407.80157350937</c:v>
                </c:pt>
                <c:pt idx="11">
                  <c:v>11098.449060800607</c:v>
                </c:pt>
                <c:pt idx="12">
                  <c:v>10789.096548091842</c:v>
                </c:pt>
                <c:pt idx="13">
                  <c:v>10479.744035383081</c:v>
                </c:pt>
                <c:pt idx="14">
                  <c:v>10170.391522674316</c:v>
                </c:pt>
                <c:pt idx="15">
                  <c:v>9861.0390099655524</c:v>
                </c:pt>
                <c:pt idx="16">
                  <c:v>9551.6864972567873</c:v>
                </c:pt>
                <c:pt idx="17">
                  <c:v>9242.3339845480241</c:v>
                </c:pt>
                <c:pt idx="18">
                  <c:v>8932.9814718392608</c:v>
                </c:pt>
                <c:pt idx="19">
                  <c:v>7386.2189082954401</c:v>
                </c:pt>
              </c:numCache>
            </c:numRef>
          </c:val>
          <c:extLst>
            <c:ext xmlns:c16="http://schemas.microsoft.com/office/drawing/2014/chart" uri="{C3380CC4-5D6E-409C-BE32-E72D297353CC}">
              <c16:uniqueId val="{00000000-CC9B-430E-B0B0-95991C06B426}"/>
            </c:ext>
          </c:extLst>
        </c:ser>
        <c:ser>
          <c:idx val="1"/>
          <c:order val="1"/>
          <c:tx>
            <c:strRef>
              <c:f>Портфель!$A$458</c:f>
              <c:strCache>
                <c:ptCount val="1"/>
                <c:pt idx="0">
                  <c:v>Суммарные оборотные активы</c:v>
                </c:pt>
              </c:strCache>
            </c:strRef>
          </c:tx>
          <c:invertIfNegative val="0"/>
          <c:cat>
            <c:strRef>
              <c:f>Портфель!$F$438:$Y$438</c:f>
              <c:strCache>
                <c:ptCount val="20"/>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strCache>
            </c:strRef>
          </c:cat>
          <c:val>
            <c:numRef>
              <c:f>Портфель!$F$458:$Y$458</c:f>
              <c:numCache>
                <c:formatCode>#,##0</c:formatCode>
                <c:ptCount val="20"/>
                <c:pt idx="0">
                  <c:v>0</c:v>
                </c:pt>
                <c:pt idx="1">
                  <c:v>0</c:v>
                </c:pt>
                <c:pt idx="2">
                  <c:v>1027.5924207268845</c:v>
                </c:pt>
                <c:pt idx="3">
                  <c:v>1311.7377865805431</c:v>
                </c:pt>
                <c:pt idx="4">
                  <c:v>2767.2840466577863</c:v>
                </c:pt>
                <c:pt idx="5">
                  <c:v>3514.4851198929337</c:v>
                </c:pt>
                <c:pt idx="6">
                  <c:v>3860.6463563914631</c:v>
                </c:pt>
                <c:pt idx="7">
                  <c:v>4685.8749320814986</c:v>
                </c:pt>
                <c:pt idx="8">
                  <c:v>5955.1923204553905</c:v>
                </c:pt>
                <c:pt idx="9">
                  <c:v>7451.6224644236181</c:v>
                </c:pt>
                <c:pt idx="10">
                  <c:v>8906.3971538094756</c:v>
                </c:pt>
                <c:pt idx="11">
                  <c:v>10361.171843195334</c:v>
                </c:pt>
                <c:pt idx="12">
                  <c:v>11815.946532581194</c:v>
                </c:pt>
                <c:pt idx="13">
                  <c:v>13270.721221967051</c:v>
                </c:pt>
                <c:pt idx="14">
                  <c:v>14725.495911352911</c:v>
                </c:pt>
                <c:pt idx="15">
                  <c:v>16180.270600738768</c:v>
                </c:pt>
                <c:pt idx="16">
                  <c:v>17635.045290124628</c:v>
                </c:pt>
                <c:pt idx="17">
                  <c:v>19089.819979510485</c:v>
                </c:pt>
                <c:pt idx="18">
                  <c:v>20544.594668896345</c:v>
                </c:pt>
                <c:pt idx="19">
                  <c:v>28893.185219868352</c:v>
                </c:pt>
              </c:numCache>
            </c:numRef>
          </c:val>
          <c:extLst>
            <c:ext xmlns:c16="http://schemas.microsoft.com/office/drawing/2014/chart" uri="{C3380CC4-5D6E-409C-BE32-E72D297353CC}">
              <c16:uniqueId val="{00000001-CC9B-430E-B0B0-95991C06B426}"/>
            </c:ext>
          </c:extLst>
        </c:ser>
        <c:dLbls>
          <c:showLegendKey val="0"/>
          <c:showVal val="0"/>
          <c:showCatName val="0"/>
          <c:showSerName val="0"/>
          <c:showPercent val="0"/>
          <c:showBubbleSize val="0"/>
        </c:dLbls>
        <c:gapWidth val="55"/>
        <c:overlap val="100"/>
        <c:axId val="127218048"/>
        <c:axId val="127219584"/>
      </c:barChart>
      <c:catAx>
        <c:axId val="127218048"/>
        <c:scaling>
          <c:orientation val="minMax"/>
        </c:scaling>
        <c:delete val="0"/>
        <c:axPos val="b"/>
        <c:numFmt formatCode="General" sourceLinked="1"/>
        <c:majorTickMark val="none"/>
        <c:minorTickMark val="none"/>
        <c:tickLblPos val="nextTo"/>
        <c:spPr>
          <a:ln>
            <a:solidFill>
              <a:sysClr val="windowText" lastClr="000000"/>
            </a:solidFill>
          </a:ln>
        </c:spPr>
        <c:txPr>
          <a:bodyPr rot="0" vert="horz"/>
          <a:lstStyle/>
          <a:p>
            <a:pPr>
              <a:defRPr sz="800" b="0" i="0" u="none" strike="noStrike" baseline="0">
                <a:solidFill>
                  <a:srgbClr val="000000"/>
                </a:solidFill>
                <a:latin typeface="Arial"/>
                <a:ea typeface="Arial"/>
                <a:cs typeface="Arial"/>
              </a:defRPr>
            </a:pPr>
            <a:endParaRPr lang="ru-RU"/>
          </a:p>
        </c:txPr>
        <c:crossAx val="127219584"/>
        <c:crosses val="autoZero"/>
        <c:auto val="1"/>
        <c:lblAlgn val="ctr"/>
        <c:lblOffset val="100"/>
        <c:tickLblSkip val="1"/>
        <c:tickMarkSkip val="1"/>
        <c:noMultiLvlLbl val="0"/>
      </c:catAx>
      <c:valAx>
        <c:axId val="127219584"/>
        <c:scaling>
          <c:orientation val="minMax"/>
        </c:scaling>
        <c:delete val="0"/>
        <c:axPos val="l"/>
        <c:majorGridlines>
          <c:spPr>
            <a:ln>
              <a:solidFill>
                <a:schemeClr val="tx1">
                  <a:lumMod val="50000"/>
                  <a:lumOff val="50000"/>
                </a:schemeClr>
              </a:solidFill>
              <a:prstDash val="sysDash"/>
            </a:ln>
          </c:spPr>
        </c:majorGridlines>
        <c:numFmt formatCode="#,##0" sourceLinked="1"/>
        <c:majorTickMark val="none"/>
        <c:minorTickMark val="none"/>
        <c:tickLblPos val="nextTo"/>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ru-RU"/>
          </a:p>
        </c:txPr>
        <c:crossAx val="127218048"/>
        <c:crosses val="autoZero"/>
        <c:crossBetween val="between"/>
      </c:valAx>
      <c:spPr>
        <a:solidFill>
          <a:sysClr val="window" lastClr="FFFFFF">
            <a:lumMod val="85000"/>
            <a:alpha val="70000"/>
          </a:sysClr>
        </a:solidFill>
      </c:spPr>
    </c:plotArea>
    <c:legend>
      <c:legendPos val="b"/>
      <c:overlay val="0"/>
      <c:txPr>
        <a:bodyPr/>
        <a:lstStyle/>
        <a:p>
          <a:pPr>
            <a:defRPr sz="735" b="0" i="0" u="none" strike="noStrike" baseline="0">
              <a:solidFill>
                <a:srgbClr val="000000"/>
              </a:solidFill>
              <a:latin typeface="Arial"/>
              <a:ea typeface="Arial"/>
              <a:cs typeface="Arial"/>
            </a:defRPr>
          </a:pPr>
          <a:endParaRPr lang="ru-RU"/>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1" l="0.75000000000000977" r="0.75000000000000977"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plotArea>
      <c:layout/>
      <c:barChart>
        <c:barDir val="col"/>
        <c:grouping val="stacked"/>
        <c:varyColors val="0"/>
        <c:ser>
          <c:idx val="0"/>
          <c:order val="0"/>
          <c:tx>
            <c:strRef>
              <c:f>Портфель!$A$509</c:f>
              <c:strCache>
                <c:ptCount val="1"/>
                <c:pt idx="0">
                  <c:v>Суммарный собственный капитал</c:v>
                </c:pt>
              </c:strCache>
            </c:strRef>
          </c:tx>
          <c:invertIfNegative val="0"/>
          <c:cat>
            <c:strRef>
              <c:f>Портфель!$F$438:$Y$438</c:f>
              <c:strCache>
                <c:ptCount val="20"/>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strCache>
            </c:strRef>
          </c:cat>
          <c:val>
            <c:numRef>
              <c:f>Портфель!$F$509:$Y$509</c:f>
              <c:numCache>
                <c:formatCode>#,##0</c:formatCode>
                <c:ptCount val="20"/>
                <c:pt idx="0">
                  <c:v>0</c:v>
                </c:pt>
                <c:pt idx="1">
                  <c:v>0</c:v>
                </c:pt>
                <c:pt idx="2">
                  <c:v>5695.3855543220343</c:v>
                </c:pt>
                <c:pt idx="3">
                  <c:v>7214.9455543220338</c:v>
                </c:pt>
                <c:pt idx="4">
                  <c:v>13930.482238792622</c:v>
                </c:pt>
                <c:pt idx="5">
                  <c:v>16370.285927178682</c:v>
                </c:pt>
                <c:pt idx="6">
                  <c:v>16407.094650968447</c:v>
                </c:pt>
                <c:pt idx="7">
                  <c:v>16922.970713949719</c:v>
                </c:pt>
                <c:pt idx="8">
                  <c:v>17835.031285526988</c:v>
                </c:pt>
                <c:pt idx="9">
                  <c:v>18980.453462204081</c:v>
                </c:pt>
                <c:pt idx="10">
                  <c:v>20125.875638881178</c:v>
                </c:pt>
                <c:pt idx="11">
                  <c:v>21271.297815558275</c:v>
                </c:pt>
                <c:pt idx="12">
                  <c:v>22416.719992235368</c:v>
                </c:pt>
                <c:pt idx="13">
                  <c:v>23562.142168912462</c:v>
                </c:pt>
                <c:pt idx="14">
                  <c:v>24707.564345589559</c:v>
                </c:pt>
                <c:pt idx="15">
                  <c:v>25852.986522266656</c:v>
                </c:pt>
                <c:pt idx="16">
                  <c:v>26998.408698943749</c:v>
                </c:pt>
                <c:pt idx="17">
                  <c:v>28143.830875620846</c:v>
                </c:pt>
                <c:pt idx="18">
                  <c:v>29289.25305229794</c:v>
                </c:pt>
                <c:pt idx="19">
                  <c:v>36091.081039726123</c:v>
                </c:pt>
              </c:numCache>
            </c:numRef>
          </c:val>
          <c:extLst>
            <c:ext xmlns:c16="http://schemas.microsoft.com/office/drawing/2014/chart" uri="{C3380CC4-5D6E-409C-BE32-E72D297353CC}">
              <c16:uniqueId val="{00000000-C613-48D0-A383-81C8533421E2}"/>
            </c:ext>
          </c:extLst>
        </c:ser>
        <c:ser>
          <c:idx val="1"/>
          <c:order val="1"/>
          <c:tx>
            <c:strRef>
              <c:f>Портфель!$A$500</c:f>
              <c:strCache>
                <c:ptCount val="1"/>
                <c:pt idx="0">
                  <c:v>Долгосрочные обязательства</c:v>
                </c:pt>
              </c:strCache>
            </c:strRef>
          </c:tx>
          <c:invertIfNegative val="0"/>
          <c:cat>
            <c:strRef>
              <c:f>Портфель!$F$438:$Y$438</c:f>
              <c:strCache>
                <c:ptCount val="20"/>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strCache>
            </c:strRef>
          </c:cat>
          <c:val>
            <c:numRef>
              <c:f>Портфель!$F$500:$Y$500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C613-48D0-A383-81C8533421E2}"/>
            </c:ext>
          </c:extLst>
        </c:ser>
        <c:ser>
          <c:idx val="2"/>
          <c:order val="2"/>
          <c:tx>
            <c:strRef>
              <c:f>Портфель!$A$497</c:f>
              <c:strCache>
                <c:ptCount val="1"/>
                <c:pt idx="0">
                  <c:v>Суммарные краткосрочные обязательства</c:v>
                </c:pt>
              </c:strCache>
            </c:strRef>
          </c:tx>
          <c:invertIfNegative val="0"/>
          <c:cat>
            <c:strRef>
              <c:f>Портфель!$F$438:$Y$438</c:f>
              <c:strCache>
                <c:ptCount val="20"/>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strCache>
            </c:strRef>
          </c:cat>
          <c:val>
            <c:numRef>
              <c:f>Портфель!$F$497:$Y$497</c:f>
              <c:numCache>
                <c:formatCode>#,##0</c:formatCode>
                <c:ptCount val="20"/>
                <c:pt idx="0">
                  <c:v>0</c:v>
                </c:pt>
                <c:pt idx="1">
                  <c:v>0</c:v>
                </c:pt>
                <c:pt idx="2">
                  <c:v>0</c:v>
                </c:pt>
                <c:pt idx="3">
                  <c:v>0</c:v>
                </c:pt>
                <c:pt idx="4">
                  <c:v>2100.7184576271193</c:v>
                </c:pt>
                <c:pt idx="5">
                  <c:v>98.76332976744186</c:v>
                </c:pt>
                <c:pt idx="6">
                  <c:v>98.76332976744186</c:v>
                </c:pt>
                <c:pt idx="7">
                  <c:v>98.76332976744186</c:v>
                </c:pt>
                <c:pt idx="8">
                  <c:v>146.66763385530092</c:v>
                </c:pt>
                <c:pt idx="9">
                  <c:v>188.32308843766876</c:v>
                </c:pt>
                <c:pt idx="10">
                  <c:v>188.32308843766739</c:v>
                </c:pt>
                <c:pt idx="11">
                  <c:v>188.32308843766739</c:v>
                </c:pt>
                <c:pt idx="12">
                  <c:v>188.32308843766739</c:v>
                </c:pt>
                <c:pt idx="13">
                  <c:v>188.32308843766739</c:v>
                </c:pt>
                <c:pt idx="14">
                  <c:v>188.32308843766739</c:v>
                </c:pt>
                <c:pt idx="15">
                  <c:v>188.32308843766739</c:v>
                </c:pt>
                <c:pt idx="16">
                  <c:v>188.32308843766739</c:v>
                </c:pt>
                <c:pt idx="17">
                  <c:v>188.32308843766739</c:v>
                </c:pt>
                <c:pt idx="18">
                  <c:v>188.32308843766739</c:v>
                </c:pt>
                <c:pt idx="19">
                  <c:v>188.32308843766739</c:v>
                </c:pt>
              </c:numCache>
            </c:numRef>
          </c:val>
          <c:extLst>
            <c:ext xmlns:c16="http://schemas.microsoft.com/office/drawing/2014/chart" uri="{C3380CC4-5D6E-409C-BE32-E72D297353CC}">
              <c16:uniqueId val="{00000002-C613-48D0-A383-81C8533421E2}"/>
            </c:ext>
          </c:extLst>
        </c:ser>
        <c:dLbls>
          <c:showLegendKey val="0"/>
          <c:showVal val="0"/>
          <c:showCatName val="0"/>
          <c:showSerName val="0"/>
          <c:showPercent val="0"/>
          <c:showBubbleSize val="0"/>
        </c:dLbls>
        <c:gapWidth val="55"/>
        <c:overlap val="100"/>
        <c:axId val="127249408"/>
        <c:axId val="127251200"/>
      </c:barChart>
      <c:catAx>
        <c:axId val="127249408"/>
        <c:scaling>
          <c:orientation val="minMax"/>
        </c:scaling>
        <c:delete val="0"/>
        <c:axPos val="b"/>
        <c:numFmt formatCode="General" sourceLinked="1"/>
        <c:majorTickMark val="none"/>
        <c:minorTickMark val="none"/>
        <c:tickLblPos val="nextTo"/>
        <c:spPr>
          <a:ln>
            <a:solidFill>
              <a:srgbClr val="000000"/>
            </a:solidFill>
          </a:ln>
        </c:spPr>
        <c:txPr>
          <a:bodyPr rot="0" vert="horz"/>
          <a:lstStyle/>
          <a:p>
            <a:pPr>
              <a:defRPr sz="800" b="0" i="0" u="none" strike="noStrike" baseline="0">
                <a:solidFill>
                  <a:srgbClr val="000000"/>
                </a:solidFill>
                <a:latin typeface="Arial"/>
                <a:ea typeface="Arial"/>
                <a:cs typeface="Arial"/>
              </a:defRPr>
            </a:pPr>
            <a:endParaRPr lang="ru-RU"/>
          </a:p>
        </c:txPr>
        <c:crossAx val="127251200"/>
        <c:crosses val="autoZero"/>
        <c:auto val="1"/>
        <c:lblAlgn val="ctr"/>
        <c:lblOffset val="100"/>
        <c:tickLblSkip val="1"/>
        <c:tickMarkSkip val="1"/>
        <c:noMultiLvlLbl val="0"/>
      </c:catAx>
      <c:valAx>
        <c:axId val="127251200"/>
        <c:scaling>
          <c:orientation val="minMax"/>
        </c:scaling>
        <c:delete val="0"/>
        <c:axPos val="l"/>
        <c:majorGridlines>
          <c:spPr>
            <a:ln>
              <a:prstDash val="sysDash"/>
            </a:ln>
          </c:spPr>
        </c:majorGridlines>
        <c:numFmt formatCode="#,##0" sourceLinked="1"/>
        <c:majorTickMark val="none"/>
        <c:minorTickMark val="none"/>
        <c:tickLblPos val="nextTo"/>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ru-RU"/>
          </a:p>
        </c:txPr>
        <c:crossAx val="127249408"/>
        <c:crosses val="autoZero"/>
        <c:crossBetween val="between"/>
      </c:valAx>
      <c:spPr>
        <a:solidFill>
          <a:sysClr val="window" lastClr="FFFFFF">
            <a:lumMod val="85000"/>
            <a:alpha val="70000"/>
          </a:sysClr>
        </a:solidFill>
      </c:spPr>
    </c:plotArea>
    <c:legend>
      <c:legendPos val="b"/>
      <c:layout>
        <c:manualLayout>
          <c:xMode val="edge"/>
          <c:yMode val="edge"/>
          <c:x val="5.1622418879056046E-2"/>
          <c:y val="0"/>
          <c:w val="0.90117994100294985"/>
          <c:h val="0"/>
        </c:manualLayout>
      </c:layout>
      <c:overlay val="0"/>
      <c:txPr>
        <a:bodyPr/>
        <a:lstStyle/>
        <a:p>
          <a:pPr>
            <a:defRPr sz="735" b="0" i="0" u="none" strike="noStrike" baseline="0">
              <a:solidFill>
                <a:srgbClr val="000000"/>
              </a:solidFill>
              <a:latin typeface="Arial"/>
              <a:ea typeface="Arial"/>
              <a:cs typeface="Arial"/>
            </a:defRPr>
          </a:pPr>
          <a:endParaRPr lang="ru-RU"/>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1" l="0.75000000000000999" r="0.75000000000000999"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Проект!$A$1331</c:f>
              <c:strCache>
                <c:ptCount val="1"/>
                <c:pt idx="0">
                  <c:v>Денежные потоки от операционной деятельности</c:v>
                </c:pt>
              </c:strCache>
            </c:strRef>
          </c:tx>
          <c:invertIfNegative val="0"/>
          <c:cat>
            <c:strRef>
              <c:f>Проект!$F$1319:$AC$1319</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Проект!$F$1331:$AC$1331</c:f>
              <c:numCache>
                <c:formatCode>#,##0</c:formatCode>
                <c:ptCount val="24"/>
                <c:pt idx="0">
                  <c:v>0</c:v>
                </c:pt>
                <c:pt idx="1">
                  <c:v>0</c:v>
                </c:pt>
                <c:pt idx="2">
                  <c:v>0</c:v>
                </c:pt>
                <c:pt idx="3">
                  <c:v>0</c:v>
                </c:pt>
                <c:pt idx="4">
                  <c:v>0</c:v>
                </c:pt>
                <c:pt idx="5">
                  <c:v>2728.6487015162002</c:v>
                </c:pt>
                <c:pt idx="6">
                  <c:v>15.623261900942879</c:v>
                </c:pt>
                <c:pt idx="7">
                  <c:v>662.99303790614749</c:v>
                </c:pt>
                <c:pt idx="8">
                  <c:v>916.10593866502631</c:v>
                </c:pt>
                <c:pt idx="9">
                  <c:v>1243.6178106695488</c:v>
                </c:pt>
                <c:pt idx="10">
                  <c:v>1454.7746893858591</c:v>
                </c:pt>
                <c:pt idx="11">
                  <c:v>1454.7746893858591</c:v>
                </c:pt>
                <c:pt idx="12">
                  <c:v>1454.7746893858591</c:v>
                </c:pt>
                <c:pt idx="13">
                  <c:v>1454.7746893858591</c:v>
                </c:pt>
                <c:pt idx="14">
                  <c:v>1454.7746893858591</c:v>
                </c:pt>
                <c:pt idx="15">
                  <c:v>1454.7746893858591</c:v>
                </c:pt>
                <c:pt idx="16">
                  <c:v>1454.7746893858591</c:v>
                </c:pt>
                <c:pt idx="17">
                  <c:v>1454.7746893858591</c:v>
                </c:pt>
                <c:pt idx="18">
                  <c:v>1454.7746893858591</c:v>
                </c:pt>
                <c:pt idx="19">
                  <c:v>1454.7746893858591</c:v>
                </c:pt>
                <c:pt idx="20">
                  <c:v>1454.7746893858591</c:v>
                </c:pt>
                <c:pt idx="21">
                  <c:v>1454.7746893858591</c:v>
                </c:pt>
                <c:pt idx="22">
                  <c:v>1454.7746893858591</c:v>
                </c:pt>
                <c:pt idx="23">
                  <c:v>1454.7746893858591</c:v>
                </c:pt>
              </c:numCache>
            </c:numRef>
          </c:val>
          <c:extLst>
            <c:ext xmlns:c16="http://schemas.microsoft.com/office/drawing/2014/chart" uri="{C3380CC4-5D6E-409C-BE32-E72D297353CC}">
              <c16:uniqueId val="{00000000-E0BC-4AA0-A2FD-63079B08A68F}"/>
            </c:ext>
          </c:extLst>
        </c:ser>
        <c:ser>
          <c:idx val="1"/>
          <c:order val="1"/>
          <c:tx>
            <c:strRef>
              <c:f>Проект!$A$1342</c:f>
              <c:strCache>
                <c:ptCount val="1"/>
                <c:pt idx="0">
                  <c:v>Денежные потоки от инвестиционной деятельности</c:v>
                </c:pt>
              </c:strCache>
            </c:strRef>
          </c:tx>
          <c:invertIfNegative val="0"/>
          <c:cat>
            <c:strRef>
              <c:f>Проект!$F$1319:$AC$1319</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Проект!$F$1342:$AC$1342</c:f>
              <c:numCache>
                <c:formatCode>#,##0</c:formatCode>
                <c:ptCount val="24"/>
                <c:pt idx="0">
                  <c:v>0</c:v>
                </c:pt>
                <c:pt idx="1">
                  <c:v>0</c:v>
                </c:pt>
                <c:pt idx="2">
                  <c:v>-5695.3855543220343</c:v>
                </c:pt>
                <c:pt idx="3">
                  <c:v>-1519.56</c:v>
                </c:pt>
                <c:pt idx="4">
                  <c:v>-7024.8891971793519</c:v>
                </c:pt>
                <c:pt idx="5">
                  <c:v>-2883.7623677660667</c:v>
                </c:pt>
                <c:pt idx="6">
                  <c:v>-5.6843418860808015E-14</c:v>
                </c:pt>
                <c:pt idx="7">
                  <c:v>0</c:v>
                </c:pt>
                <c:pt idx="8">
                  <c:v>47.90430408785906</c:v>
                </c:pt>
                <c:pt idx="9">
                  <c:v>41.655454582366474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E0BC-4AA0-A2FD-63079B08A68F}"/>
            </c:ext>
          </c:extLst>
        </c:ser>
        <c:ser>
          <c:idx val="2"/>
          <c:order val="2"/>
          <c:tx>
            <c:strRef>
              <c:f>Проект!$A$1352</c:f>
              <c:strCache>
                <c:ptCount val="1"/>
                <c:pt idx="0">
                  <c:v>Денежные потоки от финансовой деятельности</c:v>
                </c:pt>
              </c:strCache>
            </c:strRef>
          </c:tx>
          <c:invertIfNegative val="0"/>
          <c:cat>
            <c:strRef>
              <c:f>Проект!$F$1319:$AC$1319</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Проект!$F$1352:$AC$1352</c:f>
              <c:numCache>
                <c:formatCode>#,##0</c:formatCode>
                <c:ptCount val="24"/>
                <c:pt idx="0">
                  <c:v>0</c:v>
                </c:pt>
                <c:pt idx="1">
                  <c:v>0</c:v>
                </c:pt>
                <c:pt idx="2">
                  <c:v>5695.3855543220343</c:v>
                </c:pt>
                <c:pt idx="3">
                  <c:v>1519.56</c:v>
                </c:pt>
                <c:pt idx="4">
                  <c:v>7024.8891971793519</c:v>
                </c:pt>
                <c:pt idx="5">
                  <c:v>2982.5256975335087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2-E0BC-4AA0-A2FD-63079B08A68F}"/>
            </c:ext>
          </c:extLst>
        </c:ser>
        <c:dLbls>
          <c:showLegendKey val="0"/>
          <c:showVal val="0"/>
          <c:showCatName val="0"/>
          <c:showSerName val="0"/>
          <c:showPercent val="0"/>
          <c:showBubbleSize val="0"/>
        </c:dLbls>
        <c:gapWidth val="150"/>
        <c:overlap val="40"/>
        <c:axId val="108313600"/>
        <c:axId val="108319488"/>
      </c:barChart>
      <c:catAx>
        <c:axId val="108313600"/>
        <c:scaling>
          <c:orientation val="minMax"/>
        </c:scaling>
        <c:delete val="0"/>
        <c:axPos val="b"/>
        <c:numFmt formatCode="General" sourceLinked="1"/>
        <c:majorTickMark val="out"/>
        <c:minorTickMark val="none"/>
        <c:tickLblPos val="nextTo"/>
        <c:txPr>
          <a:bodyPr rot="-5400000" vert="horz"/>
          <a:lstStyle/>
          <a:p>
            <a:pPr>
              <a:defRPr/>
            </a:pPr>
            <a:endParaRPr lang="ru-RU"/>
          </a:p>
        </c:txPr>
        <c:crossAx val="108319488"/>
        <c:crosses val="autoZero"/>
        <c:auto val="1"/>
        <c:lblAlgn val="ctr"/>
        <c:lblOffset val="100"/>
        <c:tickLblSkip val="1"/>
        <c:tickMarkSkip val="1"/>
        <c:noMultiLvlLbl val="0"/>
      </c:catAx>
      <c:valAx>
        <c:axId val="108319488"/>
        <c:scaling>
          <c:orientation val="minMax"/>
        </c:scaling>
        <c:delete val="0"/>
        <c:axPos val="l"/>
        <c:majorGridlines/>
        <c:numFmt formatCode="#,##0" sourceLinked="1"/>
        <c:majorTickMark val="out"/>
        <c:minorTickMark val="none"/>
        <c:tickLblPos val="nextTo"/>
        <c:txPr>
          <a:bodyPr rot="0" vert="horz"/>
          <a:lstStyle/>
          <a:p>
            <a:pPr>
              <a:defRPr/>
            </a:pPr>
            <a:endParaRPr lang="ru-RU"/>
          </a:p>
        </c:txPr>
        <c:crossAx val="108313600"/>
        <c:crosses val="autoZero"/>
        <c:crossBetween val="between"/>
      </c:valAx>
    </c:plotArea>
    <c:legend>
      <c:legendPos val="b"/>
      <c:layout>
        <c:manualLayout>
          <c:xMode val="edge"/>
          <c:yMode val="edge"/>
          <c:x val="3.061092410217282E-2"/>
          <c:y val="0.78010448521315545"/>
          <c:w val="0.93288601709416508"/>
          <c:h val="0.19743761892074779"/>
        </c:manualLayout>
      </c:layout>
      <c:overlay val="0"/>
    </c:legend>
    <c:plotVisOnly val="1"/>
    <c:dispBlanksAs val="gap"/>
    <c:showDLblsOverMax val="0"/>
  </c:chart>
  <c:printSettings>
    <c:headerFooter alignWithMargins="0"/>
    <c:pageMargins b="1" l="0.7500000000000091" r="0.7500000000000091"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1"/>
    <c:plotArea>
      <c:layout/>
      <c:barChart>
        <c:barDir val="col"/>
        <c:grouping val="clustered"/>
        <c:varyColors val="0"/>
        <c:ser>
          <c:idx val="0"/>
          <c:order val="0"/>
          <c:tx>
            <c:strRef>
              <c:f>Портфель!$A$569</c:f>
              <c:strCache>
                <c:ptCount val="1"/>
                <c:pt idx="0">
                  <c:v>Рентабельность активов</c:v>
                </c:pt>
              </c:strCache>
            </c:strRef>
          </c:tx>
          <c:invertIfNegative val="0"/>
          <c:cat>
            <c:strRef>
              <c:f>Портфель!$F$567:$Y$567</c:f>
              <c:strCache>
                <c:ptCount val="20"/>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strCache>
            </c:strRef>
          </c:cat>
          <c:val>
            <c:numRef>
              <c:f>Портфель!$F$569:$Y$569</c:f>
              <c:numCache>
                <c:formatCode>0.0%</c:formatCode>
                <c:ptCount val="20"/>
                <c:pt idx="0">
                  <c:v>0</c:v>
                </c:pt>
                <c:pt idx="1">
                  <c:v>0</c:v>
                </c:pt>
                <c:pt idx="2">
                  <c:v>0</c:v>
                </c:pt>
                <c:pt idx="3">
                  <c:v>0</c:v>
                </c:pt>
                <c:pt idx="4">
                  <c:v>-0.10646152162064888</c:v>
                </c:pt>
                <c:pt idx="5">
                  <c:v>-0.13359208250427435</c:v>
                </c:pt>
                <c:pt idx="6">
                  <c:v>8.9301173221077966E-3</c:v>
                </c:pt>
                <c:pt idx="7">
                  <c:v>0.12309289915124753</c:v>
                </c:pt>
                <c:pt idx="8">
                  <c:v>0.2084505419885555</c:v>
                </c:pt>
                <c:pt idx="9">
                  <c:v>0.24665572371504377</c:v>
                </c:pt>
                <c:pt idx="10">
                  <c:v>0.23208426793843373</c:v>
                </c:pt>
                <c:pt idx="11">
                  <c:v>0.21935694399723132</c:v>
                </c:pt>
                <c:pt idx="12">
                  <c:v>0.20795296241462075</c:v>
                </c:pt>
                <c:pt idx="13">
                  <c:v>0.19767612829521039</c:v>
                </c:pt>
                <c:pt idx="14">
                  <c:v>0.1883672034273802</c:v>
                </c:pt>
                <c:pt idx="15">
                  <c:v>0.17989559585247208</c:v>
                </c:pt>
                <c:pt idx="16">
                  <c:v>0.17215319543480906</c:v>
                </c:pt>
                <c:pt idx="17">
                  <c:v>0.165049735588022</c:v>
                </c:pt>
                <c:pt idx="18">
                  <c:v>0.15850925781535261</c:v>
                </c:pt>
                <c:pt idx="19">
                  <c:v>0.12628897350471102</c:v>
                </c:pt>
              </c:numCache>
            </c:numRef>
          </c:val>
          <c:extLst>
            <c:ext xmlns:c16="http://schemas.microsoft.com/office/drawing/2014/chart" uri="{C3380CC4-5D6E-409C-BE32-E72D297353CC}">
              <c16:uniqueId val="{00000000-D310-4751-B629-DF9E8858F9E4}"/>
            </c:ext>
          </c:extLst>
        </c:ser>
        <c:dLbls>
          <c:showLegendKey val="0"/>
          <c:showVal val="0"/>
          <c:showCatName val="0"/>
          <c:showSerName val="0"/>
          <c:showPercent val="0"/>
          <c:showBubbleSize val="0"/>
        </c:dLbls>
        <c:gapWidth val="150"/>
        <c:axId val="126759296"/>
        <c:axId val="126760832"/>
      </c:barChart>
      <c:catAx>
        <c:axId val="126759296"/>
        <c:scaling>
          <c:orientation val="minMax"/>
        </c:scaling>
        <c:delete val="0"/>
        <c:axPos val="b"/>
        <c:numFmt formatCode="General" sourceLinked="1"/>
        <c:majorTickMark val="out"/>
        <c:minorTickMark val="none"/>
        <c:tickLblPos val="nextTo"/>
        <c:spPr>
          <a:ln>
            <a:solidFill>
              <a:sysClr val="windowText" lastClr="000000"/>
            </a:solidFill>
          </a:ln>
        </c:spPr>
        <c:txPr>
          <a:bodyPr rot="0" vert="horz"/>
          <a:lstStyle/>
          <a:p>
            <a:pPr>
              <a:defRPr sz="800" b="0" i="0" u="none" strike="noStrike" baseline="0">
                <a:solidFill>
                  <a:srgbClr val="000000"/>
                </a:solidFill>
                <a:latin typeface="Arial"/>
                <a:ea typeface="Arial"/>
                <a:cs typeface="Arial"/>
              </a:defRPr>
            </a:pPr>
            <a:endParaRPr lang="ru-RU"/>
          </a:p>
        </c:txPr>
        <c:crossAx val="126760832"/>
        <c:crosses val="autoZero"/>
        <c:auto val="1"/>
        <c:lblAlgn val="ctr"/>
        <c:lblOffset val="100"/>
        <c:tickLblSkip val="1"/>
        <c:tickMarkSkip val="1"/>
        <c:noMultiLvlLbl val="0"/>
      </c:catAx>
      <c:valAx>
        <c:axId val="126760832"/>
        <c:scaling>
          <c:orientation val="minMax"/>
        </c:scaling>
        <c:delete val="0"/>
        <c:axPos val="l"/>
        <c:majorGridlines>
          <c:spPr>
            <a:ln>
              <a:solidFill>
                <a:schemeClr val="tx1">
                  <a:lumMod val="50000"/>
                  <a:lumOff val="50000"/>
                </a:schemeClr>
              </a:solidFill>
              <a:prstDash val="sysDash"/>
            </a:ln>
          </c:spPr>
        </c:majorGridlines>
        <c:numFmt formatCode="0.0%" sourceLinked="1"/>
        <c:majorTickMark val="out"/>
        <c:minorTickMark val="none"/>
        <c:tickLblPos val="nextTo"/>
        <c:spPr>
          <a:ln>
            <a:solidFill>
              <a:schemeClr val="tx1"/>
            </a:solidFill>
            <a:prstDash val="solid"/>
          </a:ln>
        </c:spPr>
        <c:txPr>
          <a:bodyPr rot="0" vert="horz"/>
          <a:lstStyle/>
          <a:p>
            <a:pPr>
              <a:defRPr sz="800" b="0" i="0" u="none" strike="noStrike" baseline="0">
                <a:solidFill>
                  <a:srgbClr val="000000"/>
                </a:solidFill>
                <a:latin typeface="Arial"/>
                <a:ea typeface="Arial"/>
                <a:cs typeface="Arial"/>
              </a:defRPr>
            </a:pPr>
            <a:endParaRPr lang="ru-RU"/>
          </a:p>
        </c:txPr>
        <c:crossAx val="126759296"/>
        <c:crosses val="autoZero"/>
        <c:crossBetween val="between"/>
      </c:valAx>
      <c:spPr>
        <a:solidFill>
          <a:sysClr val="window" lastClr="FFFFFF">
            <a:lumMod val="85000"/>
            <a:alpha val="70000"/>
          </a:sys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1" l="0.75000000000000955" r="0.7500000000000095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1"/>
    <c:plotArea>
      <c:layout/>
      <c:barChart>
        <c:barDir val="col"/>
        <c:grouping val="clustered"/>
        <c:varyColors val="0"/>
        <c:ser>
          <c:idx val="0"/>
          <c:order val="0"/>
          <c:tx>
            <c:strRef>
              <c:f>Портфель!$A$573</c:f>
              <c:strCache>
                <c:ptCount val="1"/>
                <c:pt idx="0">
                  <c:v>Прибыльность продаж</c:v>
                </c:pt>
              </c:strCache>
            </c:strRef>
          </c:tx>
          <c:invertIfNegative val="0"/>
          <c:cat>
            <c:strRef>
              <c:f>Портфель!$F$567:$Y$567</c:f>
              <c:strCache>
                <c:ptCount val="20"/>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strCache>
            </c:strRef>
          </c:cat>
          <c:val>
            <c:numRef>
              <c:f>Портфель!$F$573:$Y$573</c:f>
              <c:numCache>
                <c:formatCode>0.0%</c:formatCode>
                <c:ptCount val="20"/>
                <c:pt idx="0">
                  <c:v>0</c:v>
                </c:pt>
                <c:pt idx="1">
                  <c:v>0</c:v>
                </c:pt>
                <c:pt idx="2">
                  <c:v>0</c:v>
                </c:pt>
                <c:pt idx="3">
                  <c:v>0</c:v>
                </c:pt>
                <c:pt idx="4">
                  <c:v>0</c:v>
                </c:pt>
                <c:pt idx="5">
                  <c:v>-0.75951817457962389</c:v>
                </c:pt>
                <c:pt idx="6">
                  <c:v>1.3477059435166394E-2</c:v>
                </c:pt>
                <c:pt idx="7">
                  <c:v>0.11773420550074816</c:v>
                </c:pt>
                <c:pt idx="8">
                  <c:v>0.14595256285397906</c:v>
                </c:pt>
                <c:pt idx="9">
                  <c:v>0.15220703688452486</c:v>
                </c:pt>
                <c:pt idx="10">
                  <c:v>0.15220703688452486</c:v>
                </c:pt>
                <c:pt idx="11">
                  <c:v>0.15220703688452486</c:v>
                </c:pt>
                <c:pt idx="12">
                  <c:v>0.15220703688452486</c:v>
                </c:pt>
                <c:pt idx="13">
                  <c:v>0.15220703688452486</c:v>
                </c:pt>
                <c:pt idx="14">
                  <c:v>0.15220703688452486</c:v>
                </c:pt>
                <c:pt idx="15">
                  <c:v>0.15220703688452486</c:v>
                </c:pt>
                <c:pt idx="16">
                  <c:v>0.15220703688452486</c:v>
                </c:pt>
                <c:pt idx="17">
                  <c:v>0.15220703688452486</c:v>
                </c:pt>
                <c:pt idx="18">
                  <c:v>0.15220703688452486</c:v>
                </c:pt>
                <c:pt idx="19">
                  <c:v>0.15220703688452486</c:v>
                </c:pt>
              </c:numCache>
            </c:numRef>
          </c:val>
          <c:extLst>
            <c:ext xmlns:c16="http://schemas.microsoft.com/office/drawing/2014/chart" uri="{C3380CC4-5D6E-409C-BE32-E72D297353CC}">
              <c16:uniqueId val="{00000000-48E6-439F-82CA-46690DCAB0EA}"/>
            </c:ext>
          </c:extLst>
        </c:ser>
        <c:dLbls>
          <c:showLegendKey val="0"/>
          <c:showVal val="0"/>
          <c:showCatName val="0"/>
          <c:showSerName val="0"/>
          <c:showPercent val="0"/>
          <c:showBubbleSize val="0"/>
        </c:dLbls>
        <c:gapWidth val="150"/>
        <c:axId val="126788736"/>
        <c:axId val="126790272"/>
      </c:barChart>
      <c:catAx>
        <c:axId val="126788736"/>
        <c:scaling>
          <c:orientation val="minMax"/>
        </c:scaling>
        <c:delete val="0"/>
        <c:axPos val="b"/>
        <c:numFmt formatCode="General" sourceLinked="1"/>
        <c:majorTickMark val="out"/>
        <c:minorTickMark val="none"/>
        <c:tickLblPos val="nextTo"/>
        <c:spPr>
          <a:ln>
            <a:solidFill>
              <a:sysClr val="windowText" lastClr="000000"/>
            </a:solidFill>
          </a:ln>
        </c:spPr>
        <c:txPr>
          <a:bodyPr rot="0" vert="horz"/>
          <a:lstStyle/>
          <a:p>
            <a:pPr>
              <a:defRPr sz="800" b="0" i="0" u="none" strike="noStrike" baseline="0">
                <a:solidFill>
                  <a:srgbClr val="000000"/>
                </a:solidFill>
                <a:latin typeface="Arial"/>
                <a:ea typeface="Arial"/>
                <a:cs typeface="Arial"/>
              </a:defRPr>
            </a:pPr>
            <a:endParaRPr lang="ru-RU"/>
          </a:p>
        </c:txPr>
        <c:crossAx val="126790272"/>
        <c:crosses val="autoZero"/>
        <c:auto val="1"/>
        <c:lblAlgn val="ctr"/>
        <c:lblOffset val="100"/>
        <c:tickLblSkip val="1"/>
        <c:tickMarkSkip val="1"/>
        <c:noMultiLvlLbl val="0"/>
      </c:catAx>
      <c:valAx>
        <c:axId val="126790272"/>
        <c:scaling>
          <c:orientation val="minMax"/>
        </c:scaling>
        <c:delete val="0"/>
        <c:axPos val="l"/>
        <c:majorGridlines>
          <c:spPr>
            <a:ln>
              <a:prstDash val="sysDash"/>
            </a:ln>
          </c:spPr>
        </c:majorGridlines>
        <c:numFmt formatCode="0.0%" sourceLinked="1"/>
        <c:majorTickMark val="out"/>
        <c:minorTickMark val="none"/>
        <c:tickLblPos val="nextTo"/>
        <c:spPr>
          <a:ln>
            <a:solidFill>
              <a:sysClr val="windowText" lastClr="000000"/>
            </a:solidFill>
          </a:ln>
        </c:spPr>
        <c:txPr>
          <a:bodyPr rot="0" vert="horz"/>
          <a:lstStyle/>
          <a:p>
            <a:pPr>
              <a:defRPr sz="800" b="0" i="0" u="none" strike="noStrike" baseline="0">
                <a:solidFill>
                  <a:srgbClr val="000000"/>
                </a:solidFill>
                <a:latin typeface="Arial"/>
                <a:ea typeface="Arial"/>
                <a:cs typeface="Arial"/>
              </a:defRPr>
            </a:pPr>
            <a:endParaRPr lang="ru-RU"/>
          </a:p>
        </c:txPr>
        <c:crossAx val="126788736"/>
        <c:crosses val="autoZero"/>
        <c:crossBetween val="between"/>
      </c:valAx>
      <c:spPr>
        <a:solidFill>
          <a:sysClr val="window" lastClr="FFFFFF">
            <a:lumMod val="85000"/>
            <a:alpha val="70000"/>
          </a:sys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1" l="0.75000000000000977" r="0.75000000000000977"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5"/>
    </mc:Choice>
    <mc:Fallback>
      <c:style val="15"/>
    </mc:Fallback>
  </mc:AlternateContent>
  <c:chart>
    <c:autoTitleDeleted val="1"/>
    <c:plotArea>
      <c:layout/>
      <c:barChart>
        <c:barDir val="col"/>
        <c:grouping val="clustered"/>
        <c:varyColors val="0"/>
        <c:ser>
          <c:idx val="0"/>
          <c:order val="0"/>
          <c:tx>
            <c:strRef>
              <c:f>Портфель!$A$579</c:f>
              <c:strCache>
                <c:ptCount val="1"/>
                <c:pt idx="0">
                  <c:v>Рентабельность по EBITDA</c:v>
                </c:pt>
              </c:strCache>
            </c:strRef>
          </c:tx>
          <c:spPr>
            <a:solidFill>
              <a:srgbClr val="B8CCE4">
                <a:lumMod val="75000"/>
              </a:srgbClr>
            </a:solidFill>
            <a:ln>
              <a:solidFill>
                <a:schemeClr val="bg1"/>
              </a:solidFill>
            </a:ln>
          </c:spPr>
          <c:invertIfNegative val="0"/>
          <c:cat>
            <c:strRef>
              <c:f>Портфель!$F$567:$Y$567</c:f>
              <c:strCache>
                <c:ptCount val="20"/>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strCache>
            </c:strRef>
          </c:cat>
          <c:val>
            <c:numRef>
              <c:f>Портфель!$F$579:$Y$579</c:f>
              <c:numCache>
                <c:formatCode>0%</c:formatCode>
                <c:ptCount val="20"/>
                <c:pt idx="0">
                  <c:v>0</c:v>
                </c:pt>
                <c:pt idx="1">
                  <c:v>0</c:v>
                </c:pt>
                <c:pt idx="2">
                  <c:v>0</c:v>
                </c:pt>
                <c:pt idx="3">
                  <c:v>0</c:v>
                </c:pt>
                <c:pt idx="4">
                  <c:v>0</c:v>
                </c:pt>
                <c:pt idx="5">
                  <c:v>-0.18561414472251095</c:v>
                </c:pt>
                <c:pt idx="6">
                  <c:v>0.12847411309839638</c:v>
                </c:pt>
                <c:pt idx="7">
                  <c:v>0.2134676636496716</c:v>
                </c:pt>
                <c:pt idx="8">
                  <c:v>0.26286559576152846</c:v>
                </c:pt>
                <c:pt idx="9">
                  <c:v>0.28201007711575748</c:v>
                </c:pt>
                <c:pt idx="10">
                  <c:v>0.28201007711575748</c:v>
                </c:pt>
                <c:pt idx="11">
                  <c:v>0.28201007711575748</c:v>
                </c:pt>
                <c:pt idx="12">
                  <c:v>0.28201007711575748</c:v>
                </c:pt>
                <c:pt idx="13">
                  <c:v>0.28201007711575748</c:v>
                </c:pt>
                <c:pt idx="14">
                  <c:v>0.28201007711575748</c:v>
                </c:pt>
                <c:pt idx="15">
                  <c:v>0.28201007711575748</c:v>
                </c:pt>
                <c:pt idx="16">
                  <c:v>0.28201007711575748</c:v>
                </c:pt>
                <c:pt idx="17">
                  <c:v>0.28201007711575748</c:v>
                </c:pt>
                <c:pt idx="18">
                  <c:v>0.28201007711575748</c:v>
                </c:pt>
                <c:pt idx="19">
                  <c:v>0.28201007711575748</c:v>
                </c:pt>
              </c:numCache>
            </c:numRef>
          </c:val>
          <c:extLst>
            <c:ext xmlns:c16="http://schemas.microsoft.com/office/drawing/2014/chart" uri="{C3380CC4-5D6E-409C-BE32-E72D297353CC}">
              <c16:uniqueId val="{00000000-EA6A-4863-959A-5FD5715D99A6}"/>
            </c:ext>
          </c:extLst>
        </c:ser>
        <c:dLbls>
          <c:showLegendKey val="0"/>
          <c:showVal val="0"/>
          <c:showCatName val="0"/>
          <c:showSerName val="0"/>
          <c:showPercent val="0"/>
          <c:showBubbleSize val="0"/>
        </c:dLbls>
        <c:gapWidth val="150"/>
        <c:axId val="126809984"/>
        <c:axId val="126811520"/>
      </c:barChart>
      <c:catAx>
        <c:axId val="126809984"/>
        <c:scaling>
          <c:orientation val="minMax"/>
        </c:scaling>
        <c:delete val="0"/>
        <c:axPos val="b"/>
        <c:numFmt formatCode="General" sourceLinked="1"/>
        <c:majorTickMark val="out"/>
        <c:minorTickMark val="none"/>
        <c:tickLblPos val="nextTo"/>
        <c:spPr>
          <a:ln>
            <a:solidFill>
              <a:sysClr val="windowText" lastClr="000000"/>
            </a:solidFill>
          </a:ln>
        </c:spPr>
        <c:txPr>
          <a:bodyPr rot="0" vert="horz"/>
          <a:lstStyle/>
          <a:p>
            <a:pPr>
              <a:defRPr sz="800" b="0" i="0" u="none" strike="noStrike" baseline="0">
                <a:solidFill>
                  <a:srgbClr val="000000"/>
                </a:solidFill>
                <a:latin typeface="Arial"/>
                <a:ea typeface="Arial"/>
                <a:cs typeface="Arial"/>
              </a:defRPr>
            </a:pPr>
            <a:endParaRPr lang="ru-RU"/>
          </a:p>
        </c:txPr>
        <c:crossAx val="126811520"/>
        <c:crosses val="autoZero"/>
        <c:auto val="1"/>
        <c:lblAlgn val="ctr"/>
        <c:lblOffset val="100"/>
        <c:tickLblSkip val="1"/>
        <c:tickMarkSkip val="1"/>
        <c:noMultiLvlLbl val="0"/>
      </c:catAx>
      <c:valAx>
        <c:axId val="126811520"/>
        <c:scaling>
          <c:orientation val="minMax"/>
        </c:scaling>
        <c:delete val="0"/>
        <c:axPos val="l"/>
        <c:majorGridlines>
          <c:spPr>
            <a:ln>
              <a:prstDash val="sysDash"/>
            </a:ln>
          </c:spPr>
        </c:majorGridlines>
        <c:numFmt formatCode="0%" sourceLinked="1"/>
        <c:majorTickMark val="out"/>
        <c:minorTickMark val="none"/>
        <c:tickLblPos val="nextTo"/>
        <c:spPr>
          <a:ln>
            <a:solidFill>
              <a:sysClr val="windowText" lastClr="000000"/>
            </a:solidFill>
          </a:ln>
        </c:spPr>
        <c:txPr>
          <a:bodyPr rot="0" vert="horz"/>
          <a:lstStyle/>
          <a:p>
            <a:pPr>
              <a:defRPr sz="800" b="0" i="0" u="none" strike="noStrike" baseline="0">
                <a:solidFill>
                  <a:srgbClr val="000000"/>
                </a:solidFill>
                <a:latin typeface="Arial"/>
                <a:ea typeface="Arial"/>
                <a:cs typeface="Arial"/>
              </a:defRPr>
            </a:pPr>
            <a:endParaRPr lang="ru-RU"/>
          </a:p>
        </c:txPr>
        <c:crossAx val="126809984"/>
        <c:crosses val="autoZero"/>
        <c:crossBetween val="between"/>
      </c:valAx>
      <c:spPr>
        <a:solidFill>
          <a:sysClr val="window" lastClr="FFFFFF">
            <a:lumMod val="85000"/>
            <a:alpha val="70000"/>
          </a:sys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1" l="0.75000000000000977" r="0.75000000000000977"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manualLayout>
          <c:layoutTarget val="inner"/>
          <c:xMode val="edge"/>
          <c:yMode val="edge"/>
          <c:x val="7.6955843754824768E-2"/>
          <c:y val="3.8307007584219031E-2"/>
          <c:w val="0.88027775204570013"/>
          <c:h val="0.74649174024165355"/>
        </c:manualLayout>
      </c:layout>
      <c:lineChart>
        <c:grouping val="standard"/>
        <c:varyColors val="0"/>
        <c:ser>
          <c:idx val="0"/>
          <c:order val="0"/>
          <c:tx>
            <c:strRef>
              <c:f>Проект!$A$1199</c:f>
              <c:strCache>
                <c:ptCount val="1"/>
                <c:pt idx="0">
                  <c:v>Выручка (нетто)</c:v>
                </c:pt>
              </c:strCache>
            </c:strRef>
          </c:tx>
          <c:cat>
            <c:strRef>
              <c:f>Проект!$F$1197:$AC$1197</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Проект!$F$1199:$AC$1199</c:f>
              <c:numCache>
                <c:formatCode>#,##0</c:formatCode>
                <c:ptCount val="24"/>
                <c:pt idx="0">
                  <c:v>0</c:v>
                </c:pt>
                <c:pt idx="1">
                  <c:v>0</c:v>
                </c:pt>
                <c:pt idx="2">
                  <c:v>0</c:v>
                </c:pt>
                <c:pt idx="3">
                  <c:v>0</c:v>
                </c:pt>
                <c:pt idx="4">
                  <c:v>0</c:v>
                </c:pt>
                <c:pt idx="5">
                  <c:v>714.56092469127964</c:v>
                </c:pt>
                <c:pt idx="6">
                  <c:v>2731.2132863136535</c:v>
                </c:pt>
                <c:pt idx="7">
                  <c:v>4381.7008046824012</c:v>
                </c:pt>
                <c:pt idx="8">
                  <c:v>6249.0205978072227</c:v>
                </c:pt>
                <c:pt idx="9">
                  <c:v>7525.4219523772372</c:v>
                </c:pt>
                <c:pt idx="10">
                  <c:v>7525.4219523772372</c:v>
                </c:pt>
                <c:pt idx="11">
                  <c:v>7525.4219523772372</c:v>
                </c:pt>
                <c:pt idx="12">
                  <c:v>7525.4219523772372</c:v>
                </c:pt>
                <c:pt idx="13">
                  <c:v>7525.4219523772372</c:v>
                </c:pt>
                <c:pt idx="14">
                  <c:v>7525.4219523772372</c:v>
                </c:pt>
                <c:pt idx="15">
                  <c:v>7525.4219523772372</c:v>
                </c:pt>
                <c:pt idx="16">
                  <c:v>7525.4219523772372</c:v>
                </c:pt>
                <c:pt idx="17">
                  <c:v>7525.4219523772372</c:v>
                </c:pt>
                <c:pt idx="18">
                  <c:v>7525.4219523772372</c:v>
                </c:pt>
                <c:pt idx="19">
                  <c:v>7525.4219523772372</c:v>
                </c:pt>
                <c:pt idx="20">
                  <c:v>7525.4219523772372</c:v>
                </c:pt>
                <c:pt idx="21">
                  <c:v>7525.4219523772372</c:v>
                </c:pt>
                <c:pt idx="22">
                  <c:v>7525.4219523772372</c:v>
                </c:pt>
                <c:pt idx="23">
                  <c:v>7525.4219523772372</c:v>
                </c:pt>
              </c:numCache>
            </c:numRef>
          </c:val>
          <c:smooth val="0"/>
          <c:extLst>
            <c:ext xmlns:c16="http://schemas.microsoft.com/office/drawing/2014/chart" uri="{C3380CC4-5D6E-409C-BE32-E72D297353CC}">
              <c16:uniqueId val="{00000000-AFA2-4A98-ACA8-69A81CC5AF2B}"/>
            </c:ext>
          </c:extLst>
        </c:ser>
        <c:dLbls>
          <c:showLegendKey val="0"/>
          <c:showVal val="0"/>
          <c:showCatName val="0"/>
          <c:showSerName val="0"/>
          <c:showPercent val="0"/>
          <c:showBubbleSize val="0"/>
        </c:dLbls>
        <c:marker val="1"/>
        <c:smooth val="0"/>
        <c:axId val="126875520"/>
        <c:axId val="126887424"/>
      </c:lineChart>
      <c:catAx>
        <c:axId val="126875520"/>
        <c:scaling>
          <c:orientation val="minMax"/>
        </c:scaling>
        <c:delete val="0"/>
        <c:axPos val="b"/>
        <c:numFmt formatCode="General" sourceLinked="1"/>
        <c:majorTickMark val="out"/>
        <c:minorTickMark val="none"/>
        <c:tickLblPos val="nextTo"/>
        <c:txPr>
          <a:bodyPr rot="-5400000" vert="horz"/>
          <a:lstStyle/>
          <a:p>
            <a:pPr>
              <a:defRPr/>
            </a:pPr>
            <a:endParaRPr lang="ru-RU"/>
          </a:p>
        </c:txPr>
        <c:crossAx val="126887424"/>
        <c:crosses val="autoZero"/>
        <c:auto val="1"/>
        <c:lblAlgn val="ctr"/>
        <c:lblOffset val="100"/>
        <c:tickLblSkip val="1"/>
        <c:tickMarkSkip val="1"/>
        <c:noMultiLvlLbl val="0"/>
      </c:catAx>
      <c:valAx>
        <c:axId val="126887424"/>
        <c:scaling>
          <c:orientation val="minMax"/>
        </c:scaling>
        <c:delete val="0"/>
        <c:axPos val="l"/>
        <c:majorGridlines/>
        <c:numFmt formatCode="#,##0" sourceLinked="1"/>
        <c:majorTickMark val="out"/>
        <c:minorTickMark val="none"/>
        <c:tickLblPos val="nextTo"/>
        <c:txPr>
          <a:bodyPr rot="0" vert="horz"/>
          <a:lstStyle/>
          <a:p>
            <a:pPr>
              <a:defRPr/>
            </a:pPr>
            <a:endParaRPr lang="ru-RU"/>
          </a:p>
        </c:txPr>
        <c:crossAx val="126875520"/>
        <c:crosses val="autoZero"/>
        <c:crossBetween val="between"/>
      </c:valAx>
    </c:plotArea>
    <c:plotVisOnly val="1"/>
    <c:dispBlanksAs val="gap"/>
    <c:showDLblsOverMax val="0"/>
  </c:chart>
  <c:txPr>
    <a:bodyPr/>
    <a:lstStyle/>
    <a:p>
      <a:pPr>
        <a:defRPr sz="800">
          <a:latin typeface="Palatino Linotype" panose="02040502050505030304" pitchFamily="18" charset="0"/>
        </a:defRPr>
      </a:pPr>
      <a:endParaRPr lang="ru-RU"/>
    </a:p>
  </c:txPr>
  <c:printSettings>
    <c:headerFooter alignWithMargins="0"/>
    <c:pageMargins b="1" l="0.7500000000000091" r="0.7500000000000091"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800" b="0" i="0" u="none" strike="noStrike" baseline="0">
              <a:solidFill>
                <a:srgbClr val="000000"/>
              </a:solidFill>
              <a:latin typeface="Arial"/>
              <a:ea typeface="Arial"/>
              <a:cs typeface="Arial"/>
            </a:defRPr>
          </a:pPr>
          <a:endParaRPr lang="ru-RU"/>
        </a:p>
      </c:txPr>
    </c:title>
    <c:autoTitleDeleted val="0"/>
    <c:plotArea>
      <c:layout/>
      <c:lineChart>
        <c:grouping val="standard"/>
        <c:varyColors val="0"/>
        <c:ser>
          <c:idx val="2"/>
          <c:order val="0"/>
          <c:tx>
            <c:strRef>
              <c:f>Проект!$A$1222</c:f>
              <c:strCache>
                <c:ptCount val="1"/>
                <c:pt idx="0">
                  <c:v>Чистая прибыль (убыток)</c:v>
                </c:pt>
              </c:strCache>
            </c:strRef>
          </c:tx>
          <c:spPr>
            <a:ln w="28575">
              <a:solidFill>
                <a:schemeClr val="bg2">
                  <a:lumMod val="50000"/>
                </a:schemeClr>
              </a:solidFill>
              <a:prstDash val="solid"/>
            </a:ln>
          </c:spPr>
          <c:marker>
            <c:symbol val="square"/>
            <c:size val="5"/>
            <c:spPr>
              <a:solidFill>
                <a:schemeClr val="bg2">
                  <a:lumMod val="50000"/>
                </a:schemeClr>
              </a:solidFill>
              <a:ln>
                <a:solidFill>
                  <a:schemeClr val="bg2">
                    <a:lumMod val="50000"/>
                  </a:schemeClr>
                </a:solidFill>
              </a:ln>
            </c:spPr>
          </c:marker>
          <c:cat>
            <c:strRef>
              <c:f>Проект!$F$1197:$AC$1197</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Проект!$F$1222:$AC$1222</c:f>
              <c:numCache>
                <c:formatCode>#,##0</c:formatCode>
                <c:ptCount val="24"/>
                <c:pt idx="0">
                  <c:v>0</c:v>
                </c:pt>
                <c:pt idx="1">
                  <c:v>0</c:v>
                </c:pt>
                <c:pt idx="2">
                  <c:v>0</c:v>
                </c:pt>
                <c:pt idx="3">
                  <c:v>0</c:v>
                </c:pt>
                <c:pt idx="4">
                  <c:v>-309.35251270876392</c:v>
                </c:pt>
                <c:pt idx="5">
                  <c:v>-542.72200914744883</c:v>
                </c:pt>
                <c:pt idx="6">
                  <c:v>36.808723789765239</c:v>
                </c:pt>
                <c:pt idx="7">
                  <c:v>515.87606298127139</c:v>
                </c:pt>
                <c:pt idx="8">
                  <c:v>912.06057157726855</c:v>
                </c:pt>
                <c:pt idx="9">
                  <c:v>1145.4221766770952</c:v>
                </c:pt>
                <c:pt idx="10">
                  <c:v>1145.4221766770952</c:v>
                </c:pt>
                <c:pt idx="11">
                  <c:v>1145.4221766770952</c:v>
                </c:pt>
                <c:pt idx="12">
                  <c:v>1145.4221766770952</c:v>
                </c:pt>
                <c:pt idx="13">
                  <c:v>1145.4221766770952</c:v>
                </c:pt>
                <c:pt idx="14">
                  <c:v>1145.4221766770952</c:v>
                </c:pt>
                <c:pt idx="15">
                  <c:v>1145.4221766770952</c:v>
                </c:pt>
                <c:pt idx="16">
                  <c:v>1145.4221766770952</c:v>
                </c:pt>
                <c:pt idx="17">
                  <c:v>1145.4221766770952</c:v>
                </c:pt>
                <c:pt idx="18">
                  <c:v>1145.4221766770952</c:v>
                </c:pt>
                <c:pt idx="19">
                  <c:v>1145.4221766770952</c:v>
                </c:pt>
                <c:pt idx="20">
                  <c:v>1145.4221766770952</c:v>
                </c:pt>
                <c:pt idx="21">
                  <c:v>1145.4221766770952</c:v>
                </c:pt>
                <c:pt idx="22">
                  <c:v>1145.4221766770952</c:v>
                </c:pt>
                <c:pt idx="23">
                  <c:v>1145.4221766770952</c:v>
                </c:pt>
              </c:numCache>
            </c:numRef>
          </c:val>
          <c:smooth val="0"/>
          <c:extLst>
            <c:ext xmlns:c16="http://schemas.microsoft.com/office/drawing/2014/chart" uri="{C3380CC4-5D6E-409C-BE32-E72D297353CC}">
              <c16:uniqueId val="{00000000-5B53-4250-9CB7-9AA2EEC80C82}"/>
            </c:ext>
          </c:extLst>
        </c:ser>
        <c:dLbls>
          <c:showLegendKey val="0"/>
          <c:showVal val="0"/>
          <c:showCatName val="0"/>
          <c:showSerName val="0"/>
          <c:showPercent val="0"/>
          <c:showBubbleSize val="0"/>
        </c:dLbls>
        <c:marker val="1"/>
        <c:smooth val="0"/>
        <c:axId val="127341312"/>
        <c:axId val="127343232"/>
      </c:lineChart>
      <c:catAx>
        <c:axId val="127341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RU"/>
          </a:p>
        </c:txPr>
        <c:crossAx val="127343232"/>
        <c:crosses val="autoZero"/>
        <c:auto val="1"/>
        <c:lblAlgn val="ctr"/>
        <c:lblOffset val="100"/>
        <c:tickLblSkip val="1"/>
        <c:tickMarkSkip val="1"/>
        <c:noMultiLvlLbl val="0"/>
      </c:catAx>
      <c:valAx>
        <c:axId val="127343232"/>
        <c:scaling>
          <c:orientation val="minMax"/>
        </c:scaling>
        <c:delete val="0"/>
        <c:axPos val="l"/>
        <c:majorGridlines>
          <c:spPr>
            <a:ln w="3175">
              <a:solidFill>
                <a:schemeClr val="tx1">
                  <a:lumMod val="50000"/>
                  <a:lumOff val="50000"/>
                </a:scheme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RU"/>
          </a:p>
        </c:txPr>
        <c:crossAx val="127341312"/>
        <c:crosses val="autoZero"/>
        <c:crossBetween val="between"/>
      </c:valAx>
      <c:spPr>
        <a:solidFill>
          <a:sysClr val="window" lastClr="FFFFFF">
            <a:lumMod val="85000"/>
            <a:alpha val="70000"/>
          </a:sysClr>
        </a:solid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ru-RU"/>
    </a:p>
  </c:txPr>
  <c:printSettings>
    <c:headerFooter alignWithMargins="0"/>
    <c:pageMargins b="1" l="0.7500000000000091" r="0.7500000000000091"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800" b="0" i="0" u="none" strike="noStrike" baseline="0">
              <a:solidFill>
                <a:srgbClr val="000000"/>
              </a:solidFill>
              <a:latin typeface="Arial"/>
              <a:ea typeface="Arial"/>
              <a:cs typeface="Arial"/>
            </a:defRPr>
          </a:pPr>
          <a:endParaRPr lang="ru-RU"/>
        </a:p>
      </c:txPr>
    </c:title>
    <c:autoTitleDeleted val="0"/>
    <c:plotArea>
      <c:layout/>
      <c:lineChart>
        <c:grouping val="standard"/>
        <c:varyColors val="0"/>
        <c:ser>
          <c:idx val="0"/>
          <c:order val="0"/>
          <c:tx>
            <c:strRef>
              <c:f>Проект!$A$1285</c:f>
              <c:strCache>
                <c:ptCount val="1"/>
                <c:pt idx="0">
                  <c:v>Прибыль до налога, процентов и амортизации (EBITDA)</c:v>
                </c:pt>
              </c:strCache>
            </c:strRef>
          </c:tx>
          <c:spPr>
            <a:ln>
              <a:solidFill>
                <a:schemeClr val="accent4">
                  <a:lumMod val="75000"/>
                </a:schemeClr>
              </a:solidFill>
            </a:ln>
          </c:spPr>
          <c:marker>
            <c:spPr>
              <a:solidFill>
                <a:schemeClr val="accent4">
                  <a:lumMod val="60000"/>
                  <a:lumOff val="40000"/>
                </a:schemeClr>
              </a:solidFill>
              <a:ln>
                <a:solidFill>
                  <a:schemeClr val="accent4">
                    <a:lumMod val="75000"/>
                  </a:schemeClr>
                </a:solidFill>
              </a:ln>
            </c:spPr>
          </c:marker>
          <c:cat>
            <c:strRef>
              <c:f>Проект!$F$1275:$AC$1275</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Проект!$F$1285:$AC$1285</c:f>
              <c:numCache>
                <c:formatCode>#,##0</c:formatCode>
                <c:ptCount val="24"/>
                <c:pt idx="0">
                  <c:v>0</c:v>
                </c:pt>
                <c:pt idx="1">
                  <c:v>0</c:v>
                </c:pt>
                <c:pt idx="2">
                  <c:v>0</c:v>
                </c:pt>
                <c:pt idx="3">
                  <c:v>0</c:v>
                </c:pt>
                <c:pt idx="4">
                  <c:v>0</c:v>
                </c:pt>
                <c:pt idx="5">
                  <c:v>-233.36949643868491</c:v>
                </c:pt>
                <c:pt idx="6">
                  <c:v>346.16123649852915</c:v>
                </c:pt>
                <c:pt idx="7">
                  <c:v>825.22857569003531</c:v>
                </c:pt>
                <c:pt idx="8">
                  <c:v>1365.1259965496097</c:v>
                </c:pt>
                <c:pt idx="9">
                  <c:v>1723.4539653965358</c:v>
                </c:pt>
                <c:pt idx="10">
                  <c:v>1723.4539653965358</c:v>
                </c:pt>
                <c:pt idx="11">
                  <c:v>1723.4539653965358</c:v>
                </c:pt>
                <c:pt idx="12">
                  <c:v>1723.4539653965358</c:v>
                </c:pt>
                <c:pt idx="13">
                  <c:v>1723.4539653965358</c:v>
                </c:pt>
                <c:pt idx="14">
                  <c:v>1723.4539653965358</c:v>
                </c:pt>
                <c:pt idx="15">
                  <c:v>1723.4539653965358</c:v>
                </c:pt>
                <c:pt idx="16">
                  <c:v>1723.4539653965358</c:v>
                </c:pt>
                <c:pt idx="17">
                  <c:v>1723.4539653965358</c:v>
                </c:pt>
                <c:pt idx="18">
                  <c:v>1723.4539653965358</c:v>
                </c:pt>
                <c:pt idx="19">
                  <c:v>1723.4539653965358</c:v>
                </c:pt>
                <c:pt idx="20">
                  <c:v>1723.4539653965358</c:v>
                </c:pt>
                <c:pt idx="21">
                  <c:v>1723.4539653965358</c:v>
                </c:pt>
                <c:pt idx="22">
                  <c:v>1723.4539653965358</c:v>
                </c:pt>
                <c:pt idx="23">
                  <c:v>1723.4539653965358</c:v>
                </c:pt>
              </c:numCache>
            </c:numRef>
          </c:val>
          <c:smooth val="0"/>
          <c:extLst>
            <c:ext xmlns:c16="http://schemas.microsoft.com/office/drawing/2014/chart" uri="{C3380CC4-5D6E-409C-BE32-E72D297353CC}">
              <c16:uniqueId val="{00000000-4BEB-4243-8285-CA95E1FEFFB8}"/>
            </c:ext>
          </c:extLst>
        </c:ser>
        <c:dLbls>
          <c:showLegendKey val="0"/>
          <c:showVal val="0"/>
          <c:showCatName val="0"/>
          <c:showSerName val="0"/>
          <c:showPercent val="0"/>
          <c:showBubbleSize val="0"/>
        </c:dLbls>
        <c:marker val="1"/>
        <c:smooth val="0"/>
        <c:axId val="127358848"/>
        <c:axId val="127377408"/>
      </c:lineChart>
      <c:catAx>
        <c:axId val="127358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RU"/>
          </a:p>
        </c:txPr>
        <c:crossAx val="127377408"/>
        <c:crosses val="autoZero"/>
        <c:auto val="1"/>
        <c:lblAlgn val="ctr"/>
        <c:lblOffset val="100"/>
        <c:tickLblSkip val="1"/>
        <c:tickMarkSkip val="1"/>
        <c:noMultiLvlLbl val="0"/>
      </c:catAx>
      <c:valAx>
        <c:axId val="127377408"/>
        <c:scaling>
          <c:orientation val="minMax"/>
        </c:scaling>
        <c:delete val="0"/>
        <c:axPos val="l"/>
        <c:majorGridlines>
          <c:spPr>
            <a:ln w="3175">
              <a:solidFill>
                <a:schemeClr val="tx1">
                  <a:lumMod val="50000"/>
                  <a:lumOff val="50000"/>
                </a:scheme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RU"/>
          </a:p>
        </c:txPr>
        <c:crossAx val="127358848"/>
        <c:crosses val="autoZero"/>
        <c:crossBetween val="between"/>
      </c:valAx>
      <c:spPr>
        <a:solidFill>
          <a:sysClr val="window" lastClr="FFFFFF">
            <a:lumMod val="85000"/>
            <a:alpha val="70000"/>
          </a:sysClr>
        </a:solid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ru-RU"/>
    </a:p>
  </c:txPr>
  <c:printSettings>
    <c:headerFooter alignWithMargins="0"/>
    <c:pageMargins b="1" l="0.75000000000000955" r="0.7500000000000095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Проект!$A$1331</c:f>
              <c:strCache>
                <c:ptCount val="1"/>
                <c:pt idx="0">
                  <c:v>Денежные потоки от операционной деятельности</c:v>
                </c:pt>
              </c:strCache>
            </c:strRef>
          </c:tx>
          <c:invertIfNegative val="0"/>
          <c:cat>
            <c:strRef>
              <c:f>Проект!$F$1319:$AC$1319</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Проект!$F$1331:$AC$1331</c:f>
              <c:numCache>
                <c:formatCode>#,##0</c:formatCode>
                <c:ptCount val="24"/>
                <c:pt idx="0">
                  <c:v>0</c:v>
                </c:pt>
                <c:pt idx="1">
                  <c:v>0</c:v>
                </c:pt>
                <c:pt idx="2">
                  <c:v>0</c:v>
                </c:pt>
                <c:pt idx="3">
                  <c:v>0</c:v>
                </c:pt>
                <c:pt idx="4">
                  <c:v>0</c:v>
                </c:pt>
                <c:pt idx="5">
                  <c:v>2728.6487015162002</c:v>
                </c:pt>
                <c:pt idx="6">
                  <c:v>15.623261900942879</c:v>
                </c:pt>
                <c:pt idx="7">
                  <c:v>662.99303790614749</c:v>
                </c:pt>
                <c:pt idx="8">
                  <c:v>916.10593866502631</c:v>
                </c:pt>
                <c:pt idx="9">
                  <c:v>1243.6178106695488</c:v>
                </c:pt>
                <c:pt idx="10">
                  <c:v>1454.7746893858591</c:v>
                </c:pt>
                <c:pt idx="11">
                  <c:v>1454.7746893858591</c:v>
                </c:pt>
                <c:pt idx="12">
                  <c:v>1454.7746893858591</c:v>
                </c:pt>
                <c:pt idx="13">
                  <c:v>1454.7746893858591</c:v>
                </c:pt>
                <c:pt idx="14">
                  <c:v>1454.7746893858591</c:v>
                </c:pt>
                <c:pt idx="15">
                  <c:v>1454.7746893858591</c:v>
                </c:pt>
                <c:pt idx="16">
                  <c:v>1454.7746893858591</c:v>
                </c:pt>
                <c:pt idx="17">
                  <c:v>1454.7746893858591</c:v>
                </c:pt>
                <c:pt idx="18">
                  <c:v>1454.7746893858591</c:v>
                </c:pt>
                <c:pt idx="19">
                  <c:v>1454.7746893858591</c:v>
                </c:pt>
                <c:pt idx="20">
                  <c:v>1454.7746893858591</c:v>
                </c:pt>
                <c:pt idx="21">
                  <c:v>1454.7746893858591</c:v>
                </c:pt>
                <c:pt idx="22">
                  <c:v>1454.7746893858591</c:v>
                </c:pt>
                <c:pt idx="23">
                  <c:v>1454.7746893858591</c:v>
                </c:pt>
              </c:numCache>
            </c:numRef>
          </c:val>
          <c:extLst>
            <c:ext xmlns:c16="http://schemas.microsoft.com/office/drawing/2014/chart" uri="{C3380CC4-5D6E-409C-BE32-E72D297353CC}">
              <c16:uniqueId val="{00000000-6F5C-4359-9685-05ED1A6C7BDD}"/>
            </c:ext>
          </c:extLst>
        </c:ser>
        <c:ser>
          <c:idx val="1"/>
          <c:order val="1"/>
          <c:tx>
            <c:strRef>
              <c:f>Проект!$A$1342</c:f>
              <c:strCache>
                <c:ptCount val="1"/>
                <c:pt idx="0">
                  <c:v>Денежные потоки от инвестиционной деятельности</c:v>
                </c:pt>
              </c:strCache>
            </c:strRef>
          </c:tx>
          <c:invertIfNegative val="0"/>
          <c:cat>
            <c:strRef>
              <c:f>Проект!$F$1319:$AC$1319</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Проект!$F$1342:$AC$1342</c:f>
              <c:numCache>
                <c:formatCode>#,##0</c:formatCode>
                <c:ptCount val="24"/>
                <c:pt idx="0">
                  <c:v>0</c:v>
                </c:pt>
                <c:pt idx="1">
                  <c:v>0</c:v>
                </c:pt>
                <c:pt idx="2">
                  <c:v>-5695.3855543220343</c:v>
                </c:pt>
                <c:pt idx="3">
                  <c:v>-1519.56</c:v>
                </c:pt>
                <c:pt idx="4">
                  <c:v>-7024.8891971793519</c:v>
                </c:pt>
                <c:pt idx="5">
                  <c:v>-2883.7623677660667</c:v>
                </c:pt>
                <c:pt idx="6">
                  <c:v>-5.6843418860808015E-14</c:v>
                </c:pt>
                <c:pt idx="7">
                  <c:v>0</c:v>
                </c:pt>
                <c:pt idx="8">
                  <c:v>47.90430408785906</c:v>
                </c:pt>
                <c:pt idx="9">
                  <c:v>41.655454582366474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6F5C-4359-9685-05ED1A6C7BDD}"/>
            </c:ext>
          </c:extLst>
        </c:ser>
        <c:ser>
          <c:idx val="2"/>
          <c:order val="2"/>
          <c:tx>
            <c:strRef>
              <c:f>Проект!$A$1352</c:f>
              <c:strCache>
                <c:ptCount val="1"/>
                <c:pt idx="0">
                  <c:v>Денежные потоки от финансовой деятельности</c:v>
                </c:pt>
              </c:strCache>
            </c:strRef>
          </c:tx>
          <c:invertIfNegative val="0"/>
          <c:cat>
            <c:strRef>
              <c:f>Проект!$F$1319:$AC$1319</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Проект!$F$1352:$AC$1352</c:f>
              <c:numCache>
                <c:formatCode>#,##0</c:formatCode>
                <c:ptCount val="24"/>
                <c:pt idx="0">
                  <c:v>0</c:v>
                </c:pt>
                <c:pt idx="1">
                  <c:v>0</c:v>
                </c:pt>
                <c:pt idx="2">
                  <c:v>5695.3855543220343</c:v>
                </c:pt>
                <c:pt idx="3">
                  <c:v>1519.56</c:v>
                </c:pt>
                <c:pt idx="4">
                  <c:v>7024.8891971793519</c:v>
                </c:pt>
                <c:pt idx="5">
                  <c:v>2982.5256975335087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2-6F5C-4359-9685-05ED1A6C7BDD}"/>
            </c:ext>
          </c:extLst>
        </c:ser>
        <c:dLbls>
          <c:showLegendKey val="0"/>
          <c:showVal val="0"/>
          <c:showCatName val="0"/>
          <c:showSerName val="0"/>
          <c:showPercent val="0"/>
          <c:showBubbleSize val="0"/>
        </c:dLbls>
        <c:gapWidth val="150"/>
        <c:overlap val="40"/>
        <c:axId val="127477632"/>
        <c:axId val="127479168"/>
      </c:barChart>
      <c:catAx>
        <c:axId val="127477632"/>
        <c:scaling>
          <c:orientation val="minMax"/>
        </c:scaling>
        <c:delete val="0"/>
        <c:axPos val="b"/>
        <c:numFmt formatCode="General" sourceLinked="1"/>
        <c:majorTickMark val="out"/>
        <c:minorTickMark val="none"/>
        <c:tickLblPos val="nextTo"/>
        <c:txPr>
          <a:bodyPr rot="-5400000" vert="horz"/>
          <a:lstStyle/>
          <a:p>
            <a:pPr>
              <a:defRPr/>
            </a:pPr>
            <a:endParaRPr lang="ru-RU"/>
          </a:p>
        </c:txPr>
        <c:crossAx val="127479168"/>
        <c:crosses val="autoZero"/>
        <c:auto val="1"/>
        <c:lblAlgn val="ctr"/>
        <c:lblOffset val="100"/>
        <c:tickLblSkip val="1"/>
        <c:tickMarkSkip val="1"/>
        <c:noMultiLvlLbl val="0"/>
      </c:catAx>
      <c:valAx>
        <c:axId val="127479168"/>
        <c:scaling>
          <c:orientation val="minMax"/>
        </c:scaling>
        <c:delete val="0"/>
        <c:axPos val="l"/>
        <c:majorGridlines/>
        <c:numFmt formatCode="#,##0" sourceLinked="1"/>
        <c:majorTickMark val="out"/>
        <c:minorTickMark val="none"/>
        <c:tickLblPos val="nextTo"/>
        <c:txPr>
          <a:bodyPr rot="0" vert="horz"/>
          <a:lstStyle/>
          <a:p>
            <a:pPr>
              <a:defRPr/>
            </a:pPr>
            <a:endParaRPr lang="ru-RU"/>
          </a:p>
        </c:txPr>
        <c:crossAx val="127477632"/>
        <c:crosses val="autoZero"/>
        <c:crossBetween val="between"/>
      </c:valAx>
    </c:plotArea>
    <c:legend>
      <c:legendPos val="b"/>
      <c:layout>
        <c:manualLayout>
          <c:xMode val="edge"/>
          <c:yMode val="edge"/>
          <c:x val="3.061092410217282E-2"/>
          <c:y val="0.78010448521315545"/>
          <c:w val="0.93288601709416508"/>
          <c:h val="0.19743761892074779"/>
        </c:manualLayout>
      </c:layout>
      <c:overlay val="0"/>
    </c:legend>
    <c:plotVisOnly val="1"/>
    <c:dispBlanksAs val="gap"/>
    <c:showDLblsOverMax val="0"/>
  </c:chart>
  <c:printSettings>
    <c:headerFooter alignWithMargins="0"/>
    <c:pageMargins b="1" l="0.7500000000000091" r="0.7500000000000091"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800" b="0" i="0" u="none" strike="noStrike" baseline="0">
              <a:solidFill>
                <a:srgbClr val="000000"/>
              </a:solidFill>
              <a:latin typeface="Arial Cyr"/>
              <a:ea typeface="Arial Cyr"/>
              <a:cs typeface="Arial Cyr"/>
            </a:defRPr>
          </a:pPr>
          <a:endParaRPr lang="ru-RU"/>
        </a:p>
      </c:txPr>
    </c:title>
    <c:autoTitleDeleted val="0"/>
    <c:plotArea>
      <c:layout/>
      <c:lineChart>
        <c:grouping val="standard"/>
        <c:varyColors val="0"/>
        <c:ser>
          <c:idx val="1"/>
          <c:order val="0"/>
          <c:tx>
            <c:strRef>
              <c:f>Проект!$A$1356</c:f>
              <c:strCache>
                <c:ptCount val="1"/>
                <c:pt idx="0">
                  <c:v>Денежные средства на конец периода</c:v>
                </c:pt>
              </c:strCache>
            </c:strRef>
          </c:tx>
          <c:spPr>
            <a:ln w="31750">
              <a:solidFill>
                <a:schemeClr val="accent3">
                  <a:lumMod val="50000"/>
                </a:schemeClr>
              </a:solidFill>
              <a:prstDash val="solid"/>
            </a:ln>
            <a:effectLst>
              <a:outerShdw blurRad="50800" dist="38100" dir="2700000" algn="tl" rotWithShape="0">
                <a:prstClr val="black">
                  <a:alpha val="40000"/>
                </a:prstClr>
              </a:outerShdw>
            </a:effectLst>
          </c:spPr>
          <c:marker>
            <c:symbol val="circle"/>
            <c:size val="7"/>
            <c:spPr>
              <a:solidFill>
                <a:schemeClr val="accent3">
                  <a:lumMod val="75000"/>
                </a:schemeClr>
              </a:solidFill>
              <a:ln>
                <a:solidFill>
                  <a:schemeClr val="accent3">
                    <a:lumMod val="50000"/>
                  </a:schemeClr>
                </a:solidFill>
                <a:prstDash val="solid"/>
              </a:ln>
              <a:effectLst>
                <a:outerShdw blurRad="50800" dist="38100" dir="2700000" algn="tl" rotWithShape="0">
                  <a:prstClr val="black">
                    <a:alpha val="40000"/>
                  </a:prstClr>
                </a:outerShdw>
              </a:effectLst>
            </c:spPr>
          </c:marker>
          <c:cat>
            <c:strRef>
              <c:f>Проект!$F$1319:$AC$1319</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Проект!$F$1356:$AC$1356</c:f>
              <c:numCache>
                <c:formatCode>#,##0</c:formatCode>
                <c:ptCount val="24"/>
                <c:pt idx="0">
                  <c:v>0</c:v>
                </c:pt>
                <c:pt idx="1">
                  <c:v>0</c:v>
                </c:pt>
                <c:pt idx="2">
                  <c:v>0</c:v>
                </c:pt>
                <c:pt idx="3">
                  <c:v>0</c:v>
                </c:pt>
                <c:pt idx="4">
                  <c:v>0</c:v>
                </c:pt>
                <c:pt idx="5">
                  <c:v>2827.4120312836421</c:v>
                </c:pt>
                <c:pt idx="6">
                  <c:v>2843.035293184585</c:v>
                </c:pt>
                <c:pt idx="7">
                  <c:v>3506.0283310907325</c:v>
                </c:pt>
                <c:pt idx="8">
                  <c:v>4470.038573843618</c:v>
                </c:pt>
                <c:pt idx="9">
                  <c:v>5755.3118390955333</c:v>
                </c:pt>
                <c:pt idx="10">
                  <c:v>7210.0865284813926</c:v>
                </c:pt>
                <c:pt idx="11">
                  <c:v>8664.861217867252</c:v>
                </c:pt>
                <c:pt idx="12">
                  <c:v>10119.63590725311</c:v>
                </c:pt>
                <c:pt idx="13">
                  <c:v>11574.410596638969</c:v>
                </c:pt>
                <c:pt idx="14">
                  <c:v>13029.185286024827</c:v>
                </c:pt>
                <c:pt idx="15">
                  <c:v>14483.959975410686</c:v>
                </c:pt>
                <c:pt idx="16">
                  <c:v>15938.734664796544</c:v>
                </c:pt>
                <c:pt idx="17">
                  <c:v>17393.509354182403</c:v>
                </c:pt>
                <c:pt idx="18">
                  <c:v>18848.284043568263</c:v>
                </c:pt>
                <c:pt idx="19">
                  <c:v>20303.058732954123</c:v>
                </c:pt>
                <c:pt idx="20">
                  <c:v>21757.833422339983</c:v>
                </c:pt>
                <c:pt idx="21">
                  <c:v>23212.608111725844</c:v>
                </c:pt>
                <c:pt idx="22">
                  <c:v>24667.382801111704</c:v>
                </c:pt>
                <c:pt idx="23">
                  <c:v>26122.157490497564</c:v>
                </c:pt>
              </c:numCache>
            </c:numRef>
          </c:val>
          <c:smooth val="0"/>
          <c:extLst>
            <c:ext xmlns:c16="http://schemas.microsoft.com/office/drawing/2014/chart" uri="{C3380CC4-5D6E-409C-BE32-E72D297353CC}">
              <c16:uniqueId val="{00000000-2A92-4DC1-996D-4FCC329E3337}"/>
            </c:ext>
          </c:extLst>
        </c:ser>
        <c:dLbls>
          <c:showLegendKey val="0"/>
          <c:showVal val="0"/>
          <c:showCatName val="0"/>
          <c:showSerName val="0"/>
          <c:showPercent val="0"/>
          <c:showBubbleSize val="0"/>
        </c:dLbls>
        <c:marker val="1"/>
        <c:smooth val="0"/>
        <c:axId val="127518592"/>
        <c:axId val="127528960"/>
      </c:lineChart>
      <c:catAx>
        <c:axId val="1275185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yr"/>
                <a:ea typeface="Arial Cyr"/>
                <a:cs typeface="Arial Cyr"/>
              </a:defRPr>
            </a:pPr>
            <a:endParaRPr lang="ru-RU"/>
          </a:p>
        </c:txPr>
        <c:crossAx val="127528960"/>
        <c:crosses val="autoZero"/>
        <c:auto val="1"/>
        <c:lblAlgn val="ctr"/>
        <c:lblOffset val="100"/>
        <c:tickLblSkip val="1"/>
        <c:tickMarkSkip val="1"/>
        <c:noMultiLvlLbl val="0"/>
      </c:catAx>
      <c:valAx>
        <c:axId val="127528960"/>
        <c:scaling>
          <c:orientation val="minMax"/>
        </c:scaling>
        <c:delete val="0"/>
        <c:axPos val="l"/>
        <c:majorGridlines>
          <c:spPr>
            <a:ln w="3175">
              <a:solidFill>
                <a:schemeClr val="tx1">
                  <a:lumMod val="50000"/>
                  <a:lumOff val="50000"/>
                </a:scheme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yr"/>
                <a:ea typeface="Arial Cyr"/>
                <a:cs typeface="Arial Cyr"/>
              </a:defRPr>
            </a:pPr>
            <a:endParaRPr lang="ru-RU"/>
          </a:p>
        </c:txPr>
        <c:crossAx val="127518592"/>
        <c:crosses val="autoZero"/>
        <c:crossBetween val="between"/>
      </c:valAx>
      <c:spPr>
        <a:solidFill>
          <a:sysClr val="window" lastClr="FFFFFF">
            <a:lumMod val="85000"/>
            <a:alpha val="70000"/>
          </a:sysClr>
        </a:solid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Cyr"/>
          <a:ea typeface="Arial Cyr"/>
          <a:cs typeface="Arial Cyr"/>
        </a:defRPr>
      </a:pPr>
      <a:endParaRPr lang="ru-RU"/>
    </a:p>
  </c:txPr>
  <c:printSettings>
    <c:headerFooter alignWithMargins="0"/>
    <c:pageMargins b="1" l="0.7500000000000091" r="0.7500000000000091"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barChart>
        <c:barDir val="col"/>
        <c:grouping val="stacked"/>
        <c:varyColors val="0"/>
        <c:ser>
          <c:idx val="0"/>
          <c:order val="0"/>
          <c:tx>
            <c:strRef>
              <c:f>Проект!$A$1321</c:f>
              <c:strCache>
                <c:ptCount val="1"/>
                <c:pt idx="0">
                  <c:v>Поступления от продаж</c:v>
                </c:pt>
              </c:strCache>
            </c:strRef>
          </c:tx>
          <c:invertIfNegative val="0"/>
          <c:cat>
            <c:strRef>
              <c:f>Проект!$F$1319:$AC$1319</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Проект!$F$1321:$AC$1321</c:f>
              <c:numCache>
                <c:formatCode>#,##0</c:formatCode>
                <c:ptCount val="24"/>
                <c:pt idx="0">
                  <c:v>0</c:v>
                </c:pt>
                <c:pt idx="1">
                  <c:v>0</c:v>
                </c:pt>
                <c:pt idx="2">
                  <c:v>0</c:v>
                </c:pt>
                <c:pt idx="3">
                  <c:v>0</c:v>
                </c:pt>
                <c:pt idx="4">
                  <c:v>0</c:v>
                </c:pt>
                <c:pt idx="5">
                  <c:v>714.56092469127964</c:v>
                </c:pt>
                <c:pt idx="6">
                  <c:v>2731.2132863136535</c:v>
                </c:pt>
                <c:pt idx="7">
                  <c:v>4381.7008046824012</c:v>
                </c:pt>
                <c:pt idx="8">
                  <c:v>6249.0205978072227</c:v>
                </c:pt>
                <c:pt idx="9">
                  <c:v>7525.4219523772372</c:v>
                </c:pt>
                <c:pt idx="10">
                  <c:v>7525.4219523772372</c:v>
                </c:pt>
                <c:pt idx="11">
                  <c:v>7525.4219523772372</c:v>
                </c:pt>
                <c:pt idx="12">
                  <c:v>7525.4219523772372</c:v>
                </c:pt>
                <c:pt idx="13">
                  <c:v>7525.4219523772372</c:v>
                </c:pt>
                <c:pt idx="14">
                  <c:v>7525.4219523772372</c:v>
                </c:pt>
                <c:pt idx="15">
                  <c:v>7525.4219523772372</c:v>
                </c:pt>
                <c:pt idx="16">
                  <c:v>7525.4219523772372</c:v>
                </c:pt>
                <c:pt idx="17">
                  <c:v>7525.4219523772372</c:v>
                </c:pt>
                <c:pt idx="18">
                  <c:v>7525.4219523772372</c:v>
                </c:pt>
                <c:pt idx="19">
                  <c:v>7525.4219523772372</c:v>
                </c:pt>
                <c:pt idx="20">
                  <c:v>7525.4219523772372</c:v>
                </c:pt>
                <c:pt idx="21">
                  <c:v>7525.4219523772372</c:v>
                </c:pt>
                <c:pt idx="22">
                  <c:v>7525.4219523772372</c:v>
                </c:pt>
                <c:pt idx="23">
                  <c:v>7525.4219523772372</c:v>
                </c:pt>
              </c:numCache>
            </c:numRef>
          </c:val>
          <c:extLst>
            <c:ext xmlns:c16="http://schemas.microsoft.com/office/drawing/2014/chart" uri="{C3380CC4-5D6E-409C-BE32-E72D297353CC}">
              <c16:uniqueId val="{00000000-D2EF-42AC-AAB8-908D0A6DB0D9}"/>
            </c:ext>
          </c:extLst>
        </c:ser>
        <c:ser>
          <c:idx val="1"/>
          <c:order val="1"/>
          <c:tx>
            <c:strRef>
              <c:f>Проект!$A$1346</c:f>
              <c:strCache>
                <c:ptCount val="1"/>
                <c:pt idx="0">
                  <c:v>Средства от инвесторов строительства</c:v>
                </c:pt>
              </c:strCache>
            </c:strRef>
          </c:tx>
          <c:invertIfNegative val="0"/>
          <c:cat>
            <c:strRef>
              <c:f>Проект!$F$1319:$AC$1319</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Проект!$F$1346:$AC$1346</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D2EF-42AC-AAB8-908D0A6DB0D9}"/>
            </c:ext>
          </c:extLst>
        </c:ser>
        <c:dLbls>
          <c:showLegendKey val="0"/>
          <c:showVal val="0"/>
          <c:showCatName val="0"/>
          <c:showSerName val="0"/>
          <c:showPercent val="0"/>
          <c:showBubbleSize val="0"/>
        </c:dLbls>
        <c:gapWidth val="55"/>
        <c:overlap val="100"/>
        <c:axId val="132596480"/>
        <c:axId val="132598016"/>
      </c:barChart>
      <c:catAx>
        <c:axId val="132596480"/>
        <c:scaling>
          <c:orientation val="minMax"/>
        </c:scaling>
        <c:delete val="0"/>
        <c:axPos val="b"/>
        <c:numFmt formatCode="General" sourceLinked="1"/>
        <c:majorTickMark val="none"/>
        <c:minorTickMark val="none"/>
        <c:tickLblPos val="nextTo"/>
        <c:spPr>
          <a:ln>
            <a:solidFill>
              <a:sysClr val="windowText" lastClr="000000"/>
            </a:solidFill>
          </a:ln>
        </c:spPr>
        <c:txPr>
          <a:bodyPr rot="0" vert="horz"/>
          <a:lstStyle/>
          <a:p>
            <a:pPr>
              <a:defRPr sz="800" b="0" i="0" u="none" strike="noStrike" baseline="0">
                <a:solidFill>
                  <a:srgbClr val="000000"/>
                </a:solidFill>
                <a:latin typeface="Arial"/>
                <a:ea typeface="Arial"/>
                <a:cs typeface="Arial"/>
              </a:defRPr>
            </a:pPr>
            <a:endParaRPr lang="ru-RU"/>
          </a:p>
        </c:txPr>
        <c:crossAx val="132598016"/>
        <c:crosses val="autoZero"/>
        <c:auto val="1"/>
        <c:lblAlgn val="ctr"/>
        <c:lblOffset val="100"/>
        <c:tickLblSkip val="1"/>
        <c:tickMarkSkip val="1"/>
        <c:noMultiLvlLbl val="0"/>
      </c:catAx>
      <c:valAx>
        <c:axId val="132598016"/>
        <c:scaling>
          <c:orientation val="minMax"/>
        </c:scaling>
        <c:delete val="0"/>
        <c:axPos val="l"/>
        <c:majorGridlines>
          <c:spPr>
            <a:ln>
              <a:solidFill>
                <a:schemeClr val="tx1">
                  <a:lumMod val="50000"/>
                  <a:lumOff val="50000"/>
                </a:schemeClr>
              </a:solidFill>
              <a:prstDash val="sysDash"/>
            </a:ln>
          </c:spPr>
        </c:majorGridlines>
        <c:numFmt formatCode="#,##0" sourceLinked="1"/>
        <c:majorTickMark val="none"/>
        <c:minorTickMark val="none"/>
        <c:tickLblPos val="nextTo"/>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ru-RU"/>
          </a:p>
        </c:txPr>
        <c:crossAx val="132596480"/>
        <c:crosses val="autoZero"/>
        <c:crossBetween val="between"/>
      </c:valAx>
      <c:spPr>
        <a:solidFill>
          <a:sysClr val="window" lastClr="FFFFFF">
            <a:lumMod val="85000"/>
            <a:alpha val="70000"/>
          </a:sysClr>
        </a:solidFill>
      </c:spPr>
    </c:plotArea>
    <c:legend>
      <c:legendPos val="r"/>
      <c:overlay val="0"/>
      <c:txPr>
        <a:bodyPr/>
        <a:lstStyle/>
        <a:p>
          <a:pPr>
            <a:defRPr sz="735" b="0" i="0" u="none" strike="noStrike" baseline="0">
              <a:solidFill>
                <a:srgbClr val="000000"/>
              </a:solidFill>
              <a:latin typeface="Arial"/>
              <a:ea typeface="Arial"/>
              <a:cs typeface="Arial"/>
            </a:defRPr>
          </a:pPr>
          <a:endParaRPr lang="ru-RU"/>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1" l="0.75000000000000933" r="0.75000000000000933"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3"/>
    </mc:Choice>
    <mc:Fallback>
      <c:style val="13"/>
    </mc:Fallback>
  </mc:AlternateContent>
  <c:chart>
    <c:title>
      <c:overlay val="0"/>
      <c:spPr>
        <a:noFill/>
        <a:ln w="25400">
          <a:noFill/>
        </a:ln>
      </c:spPr>
      <c:txPr>
        <a:bodyPr/>
        <a:lstStyle/>
        <a:p>
          <a:pPr>
            <a:defRPr sz="1000" b="0" i="0" u="none" strike="noStrike" baseline="0">
              <a:solidFill>
                <a:srgbClr val="000000"/>
              </a:solidFill>
              <a:latin typeface="Calibri"/>
              <a:ea typeface="Calibri"/>
              <a:cs typeface="Calibri"/>
            </a:defRPr>
          </a:pPr>
          <a:endParaRPr lang="ru-RU"/>
        </a:p>
      </c:txPr>
    </c:title>
    <c:autoTitleDeleted val="0"/>
    <c:plotArea>
      <c:layout/>
      <c:barChart>
        <c:barDir val="col"/>
        <c:grouping val="clustered"/>
        <c:varyColors val="0"/>
        <c:ser>
          <c:idx val="0"/>
          <c:order val="0"/>
          <c:tx>
            <c:strRef>
              <c:f>Проект!$A$1556</c:f>
              <c:strCache>
                <c:ptCount val="1"/>
                <c:pt idx="0">
                  <c:v>Рентабельность активов</c:v>
                </c:pt>
              </c:strCache>
            </c:strRef>
          </c:tx>
          <c:invertIfNegative val="0"/>
          <c:cat>
            <c:strRef>
              <c:f>Проект!$F$1554:$AC$1554</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Проект!$F$1556:$AC$1556</c:f>
              <c:numCache>
                <c:formatCode>0.0%</c:formatCode>
                <c:ptCount val="24"/>
                <c:pt idx="0">
                  <c:v>0</c:v>
                </c:pt>
                <c:pt idx="1">
                  <c:v>0</c:v>
                </c:pt>
                <c:pt idx="2">
                  <c:v>0</c:v>
                </c:pt>
                <c:pt idx="3">
                  <c:v>0</c:v>
                </c:pt>
                <c:pt idx="4">
                  <c:v>-0.10646152162064888</c:v>
                </c:pt>
                <c:pt idx="5">
                  <c:v>-0.13359208250427435</c:v>
                </c:pt>
                <c:pt idx="6">
                  <c:v>8.9301173221077966E-3</c:v>
                </c:pt>
                <c:pt idx="7">
                  <c:v>0.12309289915124753</c:v>
                </c:pt>
                <c:pt idx="8">
                  <c:v>0.2084505419885555</c:v>
                </c:pt>
                <c:pt idx="9">
                  <c:v>0.24665572371504377</c:v>
                </c:pt>
                <c:pt idx="10">
                  <c:v>0.23208426793843373</c:v>
                </c:pt>
                <c:pt idx="11">
                  <c:v>0.21935694399723132</c:v>
                </c:pt>
                <c:pt idx="12">
                  <c:v>0.20795296241462075</c:v>
                </c:pt>
                <c:pt idx="13">
                  <c:v>0.19767612829521039</c:v>
                </c:pt>
                <c:pt idx="14">
                  <c:v>0.1883672034273802</c:v>
                </c:pt>
                <c:pt idx="15">
                  <c:v>0.17989559585247208</c:v>
                </c:pt>
                <c:pt idx="16">
                  <c:v>0.17215319543480906</c:v>
                </c:pt>
                <c:pt idx="17">
                  <c:v>0.165049735588022</c:v>
                </c:pt>
                <c:pt idx="18">
                  <c:v>0.15850925781535261</c:v>
                </c:pt>
                <c:pt idx="19">
                  <c:v>0.15246738481339775</c:v>
                </c:pt>
                <c:pt idx="20">
                  <c:v>0.14686919432143766</c:v>
                </c:pt>
                <c:pt idx="21">
                  <c:v>0.14166754478058258</c:v>
                </c:pt>
                <c:pt idx="22">
                  <c:v>0.13682174462227417</c:v>
                </c:pt>
                <c:pt idx="23">
                  <c:v>0.13014428174206347</c:v>
                </c:pt>
              </c:numCache>
            </c:numRef>
          </c:val>
          <c:extLst>
            <c:ext xmlns:c16="http://schemas.microsoft.com/office/drawing/2014/chart" uri="{C3380CC4-5D6E-409C-BE32-E72D297353CC}">
              <c16:uniqueId val="{00000000-FD17-432E-B1C4-660D8865FCA3}"/>
            </c:ext>
          </c:extLst>
        </c:ser>
        <c:dLbls>
          <c:showLegendKey val="0"/>
          <c:showVal val="0"/>
          <c:showCatName val="0"/>
          <c:showSerName val="0"/>
          <c:showPercent val="0"/>
          <c:showBubbleSize val="0"/>
        </c:dLbls>
        <c:gapWidth val="150"/>
        <c:axId val="132625920"/>
        <c:axId val="132627456"/>
      </c:barChart>
      <c:catAx>
        <c:axId val="132625920"/>
        <c:scaling>
          <c:orientation val="minMax"/>
        </c:scaling>
        <c:delete val="0"/>
        <c:axPos val="b"/>
        <c:numFmt formatCode="General" sourceLinked="1"/>
        <c:majorTickMark val="out"/>
        <c:minorTickMark val="none"/>
        <c:tickLblPos val="nextTo"/>
        <c:spPr>
          <a:ln>
            <a:solidFill>
              <a:sysClr val="windowText" lastClr="000000"/>
            </a:solidFill>
          </a:ln>
        </c:spPr>
        <c:txPr>
          <a:bodyPr rot="0" vert="horz"/>
          <a:lstStyle/>
          <a:p>
            <a:pPr>
              <a:defRPr sz="800" b="0" i="0" u="none" strike="noStrike" baseline="0">
                <a:solidFill>
                  <a:srgbClr val="000000"/>
                </a:solidFill>
                <a:latin typeface="Arial"/>
                <a:ea typeface="Arial"/>
                <a:cs typeface="Arial"/>
              </a:defRPr>
            </a:pPr>
            <a:endParaRPr lang="ru-RU"/>
          </a:p>
        </c:txPr>
        <c:crossAx val="132627456"/>
        <c:crosses val="autoZero"/>
        <c:auto val="1"/>
        <c:lblAlgn val="ctr"/>
        <c:lblOffset val="100"/>
        <c:tickLblSkip val="1"/>
        <c:tickMarkSkip val="1"/>
        <c:noMultiLvlLbl val="0"/>
      </c:catAx>
      <c:valAx>
        <c:axId val="132627456"/>
        <c:scaling>
          <c:orientation val="minMax"/>
        </c:scaling>
        <c:delete val="0"/>
        <c:axPos val="l"/>
        <c:majorGridlines>
          <c:spPr>
            <a:ln>
              <a:solidFill>
                <a:schemeClr val="tx1">
                  <a:lumMod val="50000"/>
                  <a:lumOff val="50000"/>
                </a:schemeClr>
              </a:solidFill>
              <a:prstDash val="sysDash"/>
            </a:ln>
          </c:spPr>
        </c:majorGridlines>
        <c:numFmt formatCode="0.0%" sourceLinked="1"/>
        <c:majorTickMark val="out"/>
        <c:minorTickMark val="none"/>
        <c:tickLblPos val="nextTo"/>
        <c:spPr>
          <a:ln>
            <a:solidFill>
              <a:schemeClr val="tx1"/>
            </a:solidFill>
            <a:prstDash val="solid"/>
          </a:ln>
        </c:spPr>
        <c:txPr>
          <a:bodyPr rot="0" vert="horz"/>
          <a:lstStyle/>
          <a:p>
            <a:pPr>
              <a:defRPr sz="800" b="0" i="0" u="none" strike="noStrike" baseline="0">
                <a:solidFill>
                  <a:srgbClr val="000000"/>
                </a:solidFill>
                <a:latin typeface="Arial"/>
                <a:ea typeface="Arial"/>
                <a:cs typeface="Arial"/>
              </a:defRPr>
            </a:pPr>
            <a:endParaRPr lang="ru-RU"/>
          </a:p>
        </c:txPr>
        <c:crossAx val="132625920"/>
        <c:crosses val="autoZero"/>
        <c:crossBetween val="between"/>
      </c:valAx>
      <c:spPr>
        <a:solidFill>
          <a:sysClr val="window" lastClr="FFFFFF">
            <a:lumMod val="85000"/>
            <a:alpha val="70000"/>
          </a:sys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1" l="0.75000000000000933" r="0.75000000000000933"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800" b="0" i="0" u="none" strike="noStrike" baseline="0">
              <a:solidFill>
                <a:srgbClr val="000000"/>
              </a:solidFill>
              <a:latin typeface="Arial Cyr"/>
              <a:ea typeface="Arial Cyr"/>
              <a:cs typeface="Arial Cyr"/>
            </a:defRPr>
          </a:pPr>
          <a:endParaRPr lang="ru-RU"/>
        </a:p>
      </c:txPr>
    </c:title>
    <c:autoTitleDeleted val="0"/>
    <c:plotArea>
      <c:layout/>
      <c:lineChart>
        <c:grouping val="standard"/>
        <c:varyColors val="0"/>
        <c:ser>
          <c:idx val="1"/>
          <c:order val="0"/>
          <c:tx>
            <c:strRef>
              <c:f>Проект!$A$1356</c:f>
              <c:strCache>
                <c:ptCount val="1"/>
                <c:pt idx="0">
                  <c:v>Денежные средства на конец периода</c:v>
                </c:pt>
              </c:strCache>
            </c:strRef>
          </c:tx>
          <c:spPr>
            <a:ln w="31750">
              <a:solidFill>
                <a:schemeClr val="accent3">
                  <a:lumMod val="50000"/>
                </a:schemeClr>
              </a:solidFill>
              <a:prstDash val="solid"/>
            </a:ln>
            <a:effectLst>
              <a:outerShdw blurRad="50800" dist="38100" dir="2700000" algn="tl" rotWithShape="0">
                <a:prstClr val="black">
                  <a:alpha val="40000"/>
                </a:prstClr>
              </a:outerShdw>
            </a:effectLst>
          </c:spPr>
          <c:marker>
            <c:symbol val="circle"/>
            <c:size val="7"/>
            <c:spPr>
              <a:solidFill>
                <a:schemeClr val="accent3">
                  <a:lumMod val="75000"/>
                </a:schemeClr>
              </a:solidFill>
              <a:ln>
                <a:solidFill>
                  <a:schemeClr val="accent3">
                    <a:lumMod val="50000"/>
                  </a:schemeClr>
                </a:solidFill>
                <a:prstDash val="solid"/>
              </a:ln>
              <a:effectLst>
                <a:outerShdw blurRad="50800" dist="38100" dir="2700000" algn="tl" rotWithShape="0">
                  <a:prstClr val="black">
                    <a:alpha val="40000"/>
                  </a:prstClr>
                </a:outerShdw>
              </a:effectLst>
            </c:spPr>
          </c:marker>
          <c:cat>
            <c:strRef>
              <c:f>Проект!$F$1319:$AC$1319</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Проект!$F$1356:$AC$1356</c:f>
              <c:numCache>
                <c:formatCode>#,##0</c:formatCode>
                <c:ptCount val="24"/>
                <c:pt idx="0">
                  <c:v>0</c:v>
                </c:pt>
                <c:pt idx="1">
                  <c:v>0</c:v>
                </c:pt>
                <c:pt idx="2">
                  <c:v>0</c:v>
                </c:pt>
                <c:pt idx="3">
                  <c:v>0</c:v>
                </c:pt>
                <c:pt idx="4">
                  <c:v>0</c:v>
                </c:pt>
                <c:pt idx="5">
                  <c:v>2827.4120312836421</c:v>
                </c:pt>
                <c:pt idx="6">
                  <c:v>2843.035293184585</c:v>
                </c:pt>
                <c:pt idx="7">
                  <c:v>3506.0283310907325</c:v>
                </c:pt>
                <c:pt idx="8">
                  <c:v>4470.038573843618</c:v>
                </c:pt>
                <c:pt idx="9">
                  <c:v>5755.3118390955333</c:v>
                </c:pt>
                <c:pt idx="10">
                  <c:v>7210.0865284813926</c:v>
                </c:pt>
                <c:pt idx="11">
                  <c:v>8664.861217867252</c:v>
                </c:pt>
                <c:pt idx="12">
                  <c:v>10119.63590725311</c:v>
                </c:pt>
                <c:pt idx="13">
                  <c:v>11574.410596638969</c:v>
                </c:pt>
                <c:pt idx="14">
                  <c:v>13029.185286024827</c:v>
                </c:pt>
                <c:pt idx="15">
                  <c:v>14483.959975410686</c:v>
                </c:pt>
                <c:pt idx="16">
                  <c:v>15938.734664796544</c:v>
                </c:pt>
                <c:pt idx="17">
                  <c:v>17393.509354182403</c:v>
                </c:pt>
                <c:pt idx="18">
                  <c:v>18848.284043568263</c:v>
                </c:pt>
                <c:pt idx="19">
                  <c:v>20303.058732954123</c:v>
                </c:pt>
                <c:pt idx="20">
                  <c:v>21757.833422339983</c:v>
                </c:pt>
                <c:pt idx="21">
                  <c:v>23212.608111725844</c:v>
                </c:pt>
                <c:pt idx="22">
                  <c:v>24667.382801111704</c:v>
                </c:pt>
                <c:pt idx="23">
                  <c:v>26122.157490497564</c:v>
                </c:pt>
              </c:numCache>
            </c:numRef>
          </c:val>
          <c:smooth val="0"/>
          <c:extLst>
            <c:ext xmlns:c16="http://schemas.microsoft.com/office/drawing/2014/chart" uri="{C3380CC4-5D6E-409C-BE32-E72D297353CC}">
              <c16:uniqueId val="{00000000-4FE5-412E-94B6-7F3E27B50232}"/>
            </c:ext>
          </c:extLst>
        </c:ser>
        <c:dLbls>
          <c:showLegendKey val="0"/>
          <c:showVal val="0"/>
          <c:showCatName val="0"/>
          <c:showSerName val="0"/>
          <c:showPercent val="0"/>
          <c:showBubbleSize val="0"/>
        </c:dLbls>
        <c:marker val="1"/>
        <c:smooth val="0"/>
        <c:axId val="108487424"/>
        <c:axId val="108489344"/>
      </c:lineChart>
      <c:catAx>
        <c:axId val="10848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yr"/>
                <a:ea typeface="Arial Cyr"/>
                <a:cs typeface="Arial Cyr"/>
              </a:defRPr>
            </a:pPr>
            <a:endParaRPr lang="ru-RU"/>
          </a:p>
        </c:txPr>
        <c:crossAx val="108489344"/>
        <c:crosses val="autoZero"/>
        <c:auto val="1"/>
        <c:lblAlgn val="ctr"/>
        <c:lblOffset val="100"/>
        <c:tickLblSkip val="1"/>
        <c:tickMarkSkip val="1"/>
        <c:noMultiLvlLbl val="0"/>
      </c:catAx>
      <c:valAx>
        <c:axId val="108489344"/>
        <c:scaling>
          <c:orientation val="minMax"/>
        </c:scaling>
        <c:delete val="0"/>
        <c:axPos val="l"/>
        <c:majorGridlines>
          <c:spPr>
            <a:ln w="3175">
              <a:solidFill>
                <a:schemeClr val="tx1">
                  <a:lumMod val="50000"/>
                  <a:lumOff val="50000"/>
                </a:scheme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yr"/>
                <a:ea typeface="Arial Cyr"/>
                <a:cs typeface="Arial Cyr"/>
              </a:defRPr>
            </a:pPr>
            <a:endParaRPr lang="ru-RU"/>
          </a:p>
        </c:txPr>
        <c:crossAx val="108487424"/>
        <c:crosses val="autoZero"/>
        <c:crossBetween val="between"/>
      </c:valAx>
      <c:spPr>
        <a:solidFill>
          <a:sysClr val="window" lastClr="FFFFFF">
            <a:lumMod val="85000"/>
            <a:alpha val="70000"/>
          </a:sysClr>
        </a:solid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Cyr"/>
          <a:ea typeface="Arial Cyr"/>
          <a:cs typeface="Arial Cyr"/>
        </a:defRPr>
      </a:pPr>
      <a:endParaRPr lang="ru-RU"/>
    </a:p>
  </c:txPr>
  <c:printSettings>
    <c:headerFooter alignWithMargins="0"/>
    <c:pageMargins b="1" l="0.7500000000000091" r="0.7500000000000091"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6"/>
    </mc:Choice>
    <mc:Fallback>
      <c:style val="16"/>
    </mc:Fallback>
  </mc:AlternateContent>
  <c:chart>
    <c:title>
      <c:overlay val="0"/>
      <c:spPr>
        <a:noFill/>
        <a:ln w="25400">
          <a:noFill/>
        </a:ln>
      </c:spPr>
      <c:txPr>
        <a:bodyPr/>
        <a:lstStyle/>
        <a:p>
          <a:pPr>
            <a:defRPr sz="1000" b="0" i="0" u="none" strike="noStrike" baseline="0">
              <a:solidFill>
                <a:srgbClr val="000000"/>
              </a:solidFill>
              <a:latin typeface="Calibri"/>
              <a:ea typeface="Calibri"/>
              <a:cs typeface="Calibri"/>
            </a:defRPr>
          </a:pPr>
          <a:endParaRPr lang="ru-RU"/>
        </a:p>
      </c:txPr>
    </c:title>
    <c:autoTitleDeleted val="0"/>
    <c:plotArea>
      <c:layout/>
      <c:barChart>
        <c:barDir val="col"/>
        <c:grouping val="clustered"/>
        <c:varyColors val="0"/>
        <c:ser>
          <c:idx val="0"/>
          <c:order val="0"/>
          <c:tx>
            <c:strRef>
              <c:f>Проект!$A$1560</c:f>
              <c:strCache>
                <c:ptCount val="1"/>
                <c:pt idx="0">
                  <c:v>Прибыльность продаж</c:v>
                </c:pt>
              </c:strCache>
            </c:strRef>
          </c:tx>
          <c:invertIfNegative val="0"/>
          <c:cat>
            <c:strRef>
              <c:f>Проект!$F$1554:$AC$1554</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Проект!$F$1560:$AC$1560</c:f>
              <c:numCache>
                <c:formatCode>0.0%</c:formatCode>
                <c:ptCount val="24"/>
                <c:pt idx="0">
                  <c:v>0</c:v>
                </c:pt>
                <c:pt idx="1">
                  <c:v>0</c:v>
                </c:pt>
                <c:pt idx="2">
                  <c:v>0</c:v>
                </c:pt>
                <c:pt idx="3">
                  <c:v>0</c:v>
                </c:pt>
                <c:pt idx="4">
                  <c:v>0</c:v>
                </c:pt>
                <c:pt idx="5">
                  <c:v>-0.75951817457962389</c:v>
                </c:pt>
                <c:pt idx="6">
                  <c:v>1.3477059435166394E-2</c:v>
                </c:pt>
                <c:pt idx="7">
                  <c:v>0.11773420550074816</c:v>
                </c:pt>
                <c:pt idx="8">
                  <c:v>0.14595256285397906</c:v>
                </c:pt>
                <c:pt idx="9">
                  <c:v>0.15220703688452486</c:v>
                </c:pt>
                <c:pt idx="10">
                  <c:v>0.15220703688452486</c:v>
                </c:pt>
                <c:pt idx="11">
                  <c:v>0.15220703688452486</c:v>
                </c:pt>
                <c:pt idx="12">
                  <c:v>0.15220703688452486</c:v>
                </c:pt>
                <c:pt idx="13">
                  <c:v>0.15220703688452486</c:v>
                </c:pt>
                <c:pt idx="14">
                  <c:v>0.15220703688452486</c:v>
                </c:pt>
                <c:pt idx="15">
                  <c:v>0.15220703688452486</c:v>
                </c:pt>
                <c:pt idx="16">
                  <c:v>0.15220703688452486</c:v>
                </c:pt>
                <c:pt idx="17">
                  <c:v>0.15220703688452486</c:v>
                </c:pt>
                <c:pt idx="18">
                  <c:v>0.15220703688452486</c:v>
                </c:pt>
                <c:pt idx="19">
                  <c:v>0.15220703688452486</c:v>
                </c:pt>
                <c:pt idx="20">
                  <c:v>0.15220703688452486</c:v>
                </c:pt>
                <c:pt idx="21">
                  <c:v>0.15220703688452486</c:v>
                </c:pt>
                <c:pt idx="22">
                  <c:v>0.15220703688452486</c:v>
                </c:pt>
                <c:pt idx="23">
                  <c:v>0.15220703688452486</c:v>
                </c:pt>
              </c:numCache>
            </c:numRef>
          </c:val>
          <c:extLst>
            <c:ext xmlns:c16="http://schemas.microsoft.com/office/drawing/2014/chart" uri="{C3380CC4-5D6E-409C-BE32-E72D297353CC}">
              <c16:uniqueId val="{00000000-25CC-4E7C-BE39-B72DF1844DD9}"/>
            </c:ext>
          </c:extLst>
        </c:ser>
        <c:dLbls>
          <c:showLegendKey val="0"/>
          <c:showVal val="0"/>
          <c:showCatName val="0"/>
          <c:showSerName val="0"/>
          <c:showPercent val="0"/>
          <c:showBubbleSize val="0"/>
        </c:dLbls>
        <c:gapWidth val="150"/>
        <c:axId val="132713088"/>
        <c:axId val="132731264"/>
      </c:barChart>
      <c:catAx>
        <c:axId val="132713088"/>
        <c:scaling>
          <c:orientation val="minMax"/>
        </c:scaling>
        <c:delete val="0"/>
        <c:axPos val="b"/>
        <c:numFmt formatCode="General" sourceLinked="1"/>
        <c:majorTickMark val="out"/>
        <c:minorTickMark val="none"/>
        <c:tickLblPos val="nextTo"/>
        <c:spPr>
          <a:ln>
            <a:solidFill>
              <a:sysClr val="windowText" lastClr="000000"/>
            </a:solidFill>
          </a:ln>
        </c:spPr>
        <c:txPr>
          <a:bodyPr rot="0" vert="horz"/>
          <a:lstStyle/>
          <a:p>
            <a:pPr>
              <a:defRPr sz="800" b="0" i="0" u="none" strike="noStrike" baseline="0">
                <a:solidFill>
                  <a:srgbClr val="000000"/>
                </a:solidFill>
                <a:latin typeface="Arial"/>
                <a:ea typeface="Arial"/>
                <a:cs typeface="Arial"/>
              </a:defRPr>
            </a:pPr>
            <a:endParaRPr lang="ru-RU"/>
          </a:p>
        </c:txPr>
        <c:crossAx val="132731264"/>
        <c:crosses val="autoZero"/>
        <c:auto val="1"/>
        <c:lblAlgn val="ctr"/>
        <c:lblOffset val="100"/>
        <c:tickLblSkip val="1"/>
        <c:tickMarkSkip val="1"/>
        <c:noMultiLvlLbl val="0"/>
      </c:catAx>
      <c:valAx>
        <c:axId val="132731264"/>
        <c:scaling>
          <c:orientation val="minMax"/>
        </c:scaling>
        <c:delete val="0"/>
        <c:axPos val="l"/>
        <c:majorGridlines>
          <c:spPr>
            <a:ln>
              <a:prstDash val="sysDash"/>
            </a:ln>
          </c:spPr>
        </c:majorGridlines>
        <c:numFmt formatCode="0.0%" sourceLinked="1"/>
        <c:majorTickMark val="out"/>
        <c:minorTickMark val="none"/>
        <c:tickLblPos val="nextTo"/>
        <c:spPr>
          <a:ln>
            <a:solidFill>
              <a:sysClr val="windowText" lastClr="000000"/>
            </a:solidFill>
          </a:ln>
        </c:spPr>
        <c:txPr>
          <a:bodyPr rot="0" vert="horz"/>
          <a:lstStyle/>
          <a:p>
            <a:pPr>
              <a:defRPr sz="800" b="0" i="0" u="none" strike="noStrike" baseline="0">
                <a:solidFill>
                  <a:srgbClr val="000000"/>
                </a:solidFill>
                <a:latin typeface="Arial"/>
                <a:ea typeface="Arial"/>
                <a:cs typeface="Arial"/>
              </a:defRPr>
            </a:pPr>
            <a:endParaRPr lang="ru-RU"/>
          </a:p>
        </c:txPr>
        <c:crossAx val="132713088"/>
        <c:crosses val="autoZero"/>
        <c:crossBetween val="between"/>
      </c:valAx>
      <c:spPr>
        <a:solidFill>
          <a:sysClr val="window" lastClr="FFFFFF">
            <a:lumMod val="85000"/>
            <a:alpha val="70000"/>
          </a:sys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1" l="0.75000000000000955" r="0.7500000000000095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manualLayout>
          <c:layoutTarget val="inner"/>
          <c:xMode val="edge"/>
          <c:yMode val="edge"/>
          <c:x val="6.4834954454222632E-2"/>
          <c:y val="3.6203865439587007E-2"/>
          <c:w val="0.89301621120889296"/>
          <c:h val="0.75167119550914108"/>
        </c:manualLayout>
      </c:layout>
      <c:barChart>
        <c:barDir val="col"/>
        <c:grouping val="clustered"/>
        <c:varyColors val="0"/>
        <c:ser>
          <c:idx val="0"/>
          <c:order val="0"/>
          <c:tx>
            <c:strRef>
              <c:f>Проект!$A$1566</c:f>
              <c:strCache>
                <c:ptCount val="1"/>
                <c:pt idx="0">
                  <c:v>Рентабельность по EBITDA</c:v>
                </c:pt>
              </c:strCache>
            </c:strRef>
          </c:tx>
          <c:invertIfNegative val="0"/>
          <c:cat>
            <c:strRef>
              <c:f>Проект!$F$1554:$AC$1554</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Проект!$F$1566:$AC$1566</c:f>
              <c:numCache>
                <c:formatCode>0%</c:formatCode>
                <c:ptCount val="24"/>
                <c:pt idx="0">
                  <c:v>0</c:v>
                </c:pt>
                <c:pt idx="1">
                  <c:v>0</c:v>
                </c:pt>
                <c:pt idx="2">
                  <c:v>0</c:v>
                </c:pt>
                <c:pt idx="3">
                  <c:v>0</c:v>
                </c:pt>
                <c:pt idx="4">
                  <c:v>0</c:v>
                </c:pt>
                <c:pt idx="5">
                  <c:v>-0.18561414472251095</c:v>
                </c:pt>
                <c:pt idx="6">
                  <c:v>0.12847411309839638</c:v>
                </c:pt>
                <c:pt idx="7">
                  <c:v>0.2134676636496716</c:v>
                </c:pt>
                <c:pt idx="8">
                  <c:v>0.26286559576152846</c:v>
                </c:pt>
                <c:pt idx="9">
                  <c:v>0.28201007711575748</c:v>
                </c:pt>
                <c:pt idx="10">
                  <c:v>0.28201007711575748</c:v>
                </c:pt>
                <c:pt idx="11">
                  <c:v>0.28201007711575748</c:v>
                </c:pt>
                <c:pt idx="12">
                  <c:v>0.28201007711575748</c:v>
                </c:pt>
                <c:pt idx="13">
                  <c:v>0.28201007711575748</c:v>
                </c:pt>
                <c:pt idx="14">
                  <c:v>0.28201007711575748</c:v>
                </c:pt>
                <c:pt idx="15">
                  <c:v>0.28201007711575748</c:v>
                </c:pt>
                <c:pt idx="16">
                  <c:v>0.28201007711575748</c:v>
                </c:pt>
                <c:pt idx="17">
                  <c:v>0.28201007711575748</c:v>
                </c:pt>
                <c:pt idx="18">
                  <c:v>0.28201007711575748</c:v>
                </c:pt>
                <c:pt idx="19">
                  <c:v>0.28201007711575748</c:v>
                </c:pt>
                <c:pt idx="20">
                  <c:v>0.28201007711575748</c:v>
                </c:pt>
                <c:pt idx="21">
                  <c:v>0.28201007711575748</c:v>
                </c:pt>
                <c:pt idx="22">
                  <c:v>0.28201007711575748</c:v>
                </c:pt>
                <c:pt idx="23">
                  <c:v>0.28201007711575748</c:v>
                </c:pt>
              </c:numCache>
            </c:numRef>
          </c:val>
          <c:extLst>
            <c:ext xmlns:c16="http://schemas.microsoft.com/office/drawing/2014/chart" uri="{C3380CC4-5D6E-409C-BE32-E72D297353CC}">
              <c16:uniqueId val="{00000000-E07E-4B64-A4B7-0DF6A8A70F78}"/>
            </c:ext>
          </c:extLst>
        </c:ser>
        <c:dLbls>
          <c:showLegendKey val="0"/>
          <c:showVal val="0"/>
          <c:showCatName val="0"/>
          <c:showSerName val="0"/>
          <c:showPercent val="0"/>
          <c:showBubbleSize val="0"/>
        </c:dLbls>
        <c:gapWidth val="150"/>
        <c:axId val="132755456"/>
        <c:axId val="132756992"/>
      </c:barChart>
      <c:catAx>
        <c:axId val="132755456"/>
        <c:scaling>
          <c:orientation val="minMax"/>
        </c:scaling>
        <c:delete val="0"/>
        <c:axPos val="b"/>
        <c:numFmt formatCode="General" sourceLinked="1"/>
        <c:majorTickMark val="out"/>
        <c:minorTickMark val="none"/>
        <c:tickLblPos val="nextTo"/>
        <c:txPr>
          <a:bodyPr rot="-5400000" vert="horz"/>
          <a:lstStyle/>
          <a:p>
            <a:pPr>
              <a:defRPr/>
            </a:pPr>
            <a:endParaRPr lang="ru-RU"/>
          </a:p>
        </c:txPr>
        <c:crossAx val="132756992"/>
        <c:crosses val="autoZero"/>
        <c:auto val="1"/>
        <c:lblAlgn val="ctr"/>
        <c:lblOffset val="100"/>
        <c:tickLblSkip val="1"/>
        <c:tickMarkSkip val="1"/>
        <c:noMultiLvlLbl val="0"/>
      </c:catAx>
      <c:valAx>
        <c:axId val="132756992"/>
        <c:scaling>
          <c:orientation val="minMax"/>
        </c:scaling>
        <c:delete val="0"/>
        <c:axPos val="l"/>
        <c:majorGridlines/>
        <c:numFmt formatCode="0%" sourceLinked="1"/>
        <c:majorTickMark val="out"/>
        <c:minorTickMark val="none"/>
        <c:tickLblPos val="nextTo"/>
        <c:txPr>
          <a:bodyPr rot="0" vert="horz"/>
          <a:lstStyle/>
          <a:p>
            <a:pPr>
              <a:defRPr/>
            </a:pPr>
            <a:endParaRPr lang="ru-RU"/>
          </a:p>
        </c:txPr>
        <c:crossAx val="132755456"/>
        <c:crosses val="autoZero"/>
        <c:crossBetween val="between"/>
      </c:valAx>
    </c:plotArea>
    <c:plotVisOnly val="1"/>
    <c:dispBlanksAs val="gap"/>
    <c:showDLblsOverMax val="0"/>
  </c:chart>
  <c:txPr>
    <a:bodyPr/>
    <a:lstStyle/>
    <a:p>
      <a:pPr>
        <a:defRPr sz="900">
          <a:latin typeface="Palatino Linotype" panose="02040502050505030304" pitchFamily="18" charset="0"/>
        </a:defRPr>
      </a:pPr>
      <a:endParaRPr lang="ru-RU"/>
    </a:p>
  </c:txPr>
  <c:printSettings>
    <c:headerFooter alignWithMargins="0"/>
    <c:pageMargins b="1" l="0.75000000000000955" r="0.7500000000000095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lineChart>
        <c:grouping val="standard"/>
        <c:varyColors val="0"/>
        <c:ser>
          <c:idx val="0"/>
          <c:order val="0"/>
          <c:tx>
            <c:strRef>
              <c:f>Проект!$A$1735</c:f>
              <c:strCache>
                <c:ptCount val="1"/>
                <c:pt idx="0">
                  <c:v>Дисконтированный поток нарастающим итогом</c:v>
                </c:pt>
              </c:strCache>
            </c:strRef>
          </c:tx>
          <c:cat>
            <c:strRef>
              <c:f>Проект!$F$1711:$AC$1711</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Проект!$F$1735:$AC$1735</c:f>
              <c:numCache>
                <c:formatCode>#,##0</c:formatCode>
                <c:ptCount val="24"/>
                <c:pt idx="0">
                  <c:v>0</c:v>
                </c:pt>
                <c:pt idx="1">
                  <c:v>0</c:v>
                </c:pt>
                <c:pt idx="2">
                  <c:v>-5310.9744141877218</c:v>
                </c:pt>
                <c:pt idx="3">
                  <c:v>-6679.3158320013526</c:v>
                </c:pt>
                <c:pt idx="4">
                  <c:v>-12787.915133896442</c:v>
                </c:pt>
                <c:pt idx="5">
                  <c:v>-12918.16514304072</c:v>
                </c:pt>
                <c:pt idx="6">
                  <c:v>-12905.49665013374</c:v>
                </c:pt>
                <c:pt idx="7">
                  <c:v>-12386.352759803322</c:v>
                </c:pt>
                <c:pt idx="8">
                  <c:v>-11657.422519536489</c:v>
                </c:pt>
                <c:pt idx="9">
                  <c:v>-10718.941846680926</c:v>
                </c:pt>
                <c:pt idx="10">
                  <c:v>-9693.1691489428358</c:v>
                </c:pt>
                <c:pt idx="11">
                  <c:v>-8702.6185258798614</c:v>
                </c:pt>
                <c:pt idx="12">
                  <c:v>-7746.0805530774551</c:v>
                </c:pt>
                <c:pt idx="13">
                  <c:v>-6822.3873342657926</c:v>
                </c:pt>
                <c:pt idx="14">
                  <c:v>-5930.4110753631066</c:v>
                </c:pt>
                <c:pt idx="15">
                  <c:v>-5069.0627074822596</c:v>
                </c:pt>
                <c:pt idx="16">
                  <c:v>-4237.2905572192976</c:v>
                </c:pt>
                <c:pt idx="17">
                  <c:v>-3434.0790626004609</c:v>
                </c:pt>
                <c:pt idx="18">
                  <c:v>-2658.4475331198641</c:v>
                </c:pt>
                <c:pt idx="19">
                  <c:v>-1909.44895235391</c:v>
                </c:pt>
                <c:pt idx="20">
                  <c:v>-1186.1688216904649</c:v>
                </c:pt>
                <c:pt idx="21">
                  <c:v>-487.72404376104168</c:v>
                </c:pt>
                <c:pt idx="22">
                  <c:v>186.73815578730319</c:v>
                </c:pt>
                <c:pt idx="23">
                  <c:v>838.04126949682859</c:v>
                </c:pt>
              </c:numCache>
            </c:numRef>
          </c:val>
          <c:smooth val="0"/>
          <c:extLst>
            <c:ext xmlns:c16="http://schemas.microsoft.com/office/drawing/2014/chart" uri="{C3380CC4-5D6E-409C-BE32-E72D297353CC}">
              <c16:uniqueId val="{00000000-31BB-47E8-931B-22A1AF18FAD2}"/>
            </c:ext>
          </c:extLst>
        </c:ser>
        <c:dLbls>
          <c:showLegendKey val="0"/>
          <c:showVal val="0"/>
          <c:showCatName val="0"/>
          <c:showSerName val="0"/>
          <c:showPercent val="0"/>
          <c:showBubbleSize val="0"/>
        </c:dLbls>
        <c:marker val="1"/>
        <c:smooth val="0"/>
        <c:axId val="132793088"/>
        <c:axId val="132794624"/>
      </c:lineChart>
      <c:catAx>
        <c:axId val="132793088"/>
        <c:scaling>
          <c:orientation val="minMax"/>
        </c:scaling>
        <c:delete val="0"/>
        <c:axPos val="b"/>
        <c:numFmt formatCode="General" sourceLinked="1"/>
        <c:majorTickMark val="out"/>
        <c:minorTickMark val="none"/>
        <c:tickLblPos val="nextTo"/>
        <c:txPr>
          <a:bodyPr rot="-5400000" vert="horz"/>
          <a:lstStyle/>
          <a:p>
            <a:pPr>
              <a:defRPr/>
            </a:pPr>
            <a:endParaRPr lang="ru-RU"/>
          </a:p>
        </c:txPr>
        <c:crossAx val="132794624"/>
        <c:crosses val="autoZero"/>
        <c:auto val="1"/>
        <c:lblAlgn val="ctr"/>
        <c:lblOffset val="100"/>
        <c:tickLblSkip val="1"/>
        <c:tickMarkSkip val="1"/>
        <c:noMultiLvlLbl val="0"/>
      </c:catAx>
      <c:valAx>
        <c:axId val="132794624"/>
        <c:scaling>
          <c:orientation val="minMax"/>
        </c:scaling>
        <c:delete val="0"/>
        <c:axPos val="l"/>
        <c:majorGridlines/>
        <c:numFmt formatCode="#,##0" sourceLinked="1"/>
        <c:majorTickMark val="out"/>
        <c:minorTickMark val="none"/>
        <c:tickLblPos val="nextTo"/>
        <c:txPr>
          <a:bodyPr rot="0" vert="horz"/>
          <a:lstStyle/>
          <a:p>
            <a:pPr>
              <a:defRPr/>
            </a:pPr>
            <a:endParaRPr lang="ru-RU"/>
          </a:p>
        </c:txPr>
        <c:crossAx val="132793088"/>
        <c:crosses val="autoZero"/>
        <c:crossBetween val="between"/>
      </c:valAx>
    </c:plotArea>
    <c:legend>
      <c:legendPos val="b"/>
      <c:overlay val="0"/>
    </c:legend>
    <c:plotVisOnly val="1"/>
    <c:dispBlanksAs val="gap"/>
    <c:showDLblsOverMax val="0"/>
  </c:chart>
  <c:txPr>
    <a:bodyPr/>
    <a:lstStyle/>
    <a:p>
      <a:pPr>
        <a:defRPr sz="900">
          <a:latin typeface="Palatino Linotype" panose="02040502050505030304" pitchFamily="18" charset="0"/>
        </a:defRPr>
      </a:pPr>
      <a:endParaRPr lang="ru-RU"/>
    </a:p>
  </c:txPr>
  <c:printSettings>
    <c:headerFooter alignWithMargins="0"/>
    <c:pageMargins b="1" l="0.7500000000000091" r="0.7500000000000091"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Отчет!$A$160</c:f>
              <c:strCache>
                <c:ptCount val="1"/>
                <c:pt idx="0">
                  <c:v>Долота</c:v>
                </c:pt>
              </c:strCache>
            </c:strRef>
          </c:tx>
          <c:invertIfNegative val="0"/>
          <c:cat>
            <c:strRef>
              <c:f>Отчет!$F$158:$AC$158</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Отчет!$F$160:$AC$160</c:f>
              <c:numCache>
                <c:formatCode>#,##0</c:formatCode>
                <c:ptCount val="24"/>
                <c:pt idx="0">
                  <c:v>0</c:v>
                </c:pt>
                <c:pt idx="1">
                  <c:v>0</c:v>
                </c:pt>
                <c:pt idx="2">
                  <c:v>0</c:v>
                </c:pt>
                <c:pt idx="3">
                  <c:v>0</c:v>
                </c:pt>
                <c:pt idx="4">
                  <c:v>0</c:v>
                </c:pt>
                <c:pt idx="5">
                  <c:v>714.56092469127964</c:v>
                </c:pt>
                <c:pt idx="6">
                  <c:v>1157.8325765441614</c:v>
                </c:pt>
                <c:pt idx="7">
                  <c:v>1727.3957628387241</c:v>
                </c:pt>
                <c:pt idx="8">
                  <c:v>2292.4740814594084</c:v>
                </c:pt>
                <c:pt idx="9">
                  <c:v>2292.4740814594084</c:v>
                </c:pt>
                <c:pt idx="10">
                  <c:v>2292.4740814594084</c:v>
                </c:pt>
                <c:pt idx="11">
                  <c:v>2292.4740814594084</c:v>
                </c:pt>
                <c:pt idx="12">
                  <c:v>2292.4740814594084</c:v>
                </c:pt>
                <c:pt idx="13">
                  <c:v>2292.4740814594084</c:v>
                </c:pt>
                <c:pt idx="14">
                  <c:v>2292.4740814594084</c:v>
                </c:pt>
                <c:pt idx="15">
                  <c:v>2292.4740814594084</c:v>
                </c:pt>
                <c:pt idx="16">
                  <c:v>2292.4740814594084</c:v>
                </c:pt>
                <c:pt idx="17">
                  <c:v>2292.4740814594084</c:v>
                </c:pt>
                <c:pt idx="18">
                  <c:v>2292.4740814594084</c:v>
                </c:pt>
                <c:pt idx="19">
                  <c:v>2292.4740814594084</c:v>
                </c:pt>
                <c:pt idx="20">
                  <c:v>2292.4740814594084</c:v>
                </c:pt>
                <c:pt idx="21">
                  <c:v>2292.4740814594084</c:v>
                </c:pt>
                <c:pt idx="22">
                  <c:v>2292.4740814594084</c:v>
                </c:pt>
                <c:pt idx="23">
                  <c:v>2292.4740814594084</c:v>
                </c:pt>
              </c:numCache>
            </c:numRef>
          </c:val>
          <c:extLst>
            <c:ext xmlns:c16="http://schemas.microsoft.com/office/drawing/2014/chart" uri="{C3380CC4-5D6E-409C-BE32-E72D297353CC}">
              <c16:uniqueId val="{00000000-BE25-4852-A268-C73F133F176D}"/>
            </c:ext>
          </c:extLst>
        </c:ser>
        <c:ser>
          <c:idx val="1"/>
          <c:order val="1"/>
          <c:tx>
            <c:strRef>
              <c:f>Отчет!$A$161</c:f>
              <c:strCache>
                <c:ptCount val="1"/>
                <c:pt idx="0">
                  <c:v>    к оплате от покупателей (без НДС)</c:v>
                </c:pt>
              </c:strCache>
            </c:strRef>
          </c:tx>
          <c:invertIfNegative val="0"/>
          <c:cat>
            <c:strRef>
              <c:f>Отчет!$F$158:$AC$158</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Отчет!$F$161:$AC$161</c:f>
            </c:numRef>
          </c:val>
          <c:extLst>
            <c:ext xmlns:c16="http://schemas.microsoft.com/office/drawing/2014/chart" uri="{C3380CC4-5D6E-409C-BE32-E72D297353CC}">
              <c16:uniqueId val="{00000001-BE25-4852-A268-C73F133F176D}"/>
            </c:ext>
          </c:extLst>
        </c:ser>
        <c:ser>
          <c:idx val="2"/>
          <c:order val="2"/>
          <c:tx>
            <c:strRef>
              <c:f>Отчет!$A$162</c:f>
              <c:strCache>
                <c:ptCount val="1"/>
                <c:pt idx="0">
                  <c:v>    в т.ч. акцизов, налогов и пошлин</c:v>
                </c:pt>
              </c:strCache>
            </c:strRef>
          </c:tx>
          <c:invertIfNegative val="0"/>
          <c:cat>
            <c:strRef>
              <c:f>Отчет!$F$158:$AC$158</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Отчет!$F$162:$AC$162</c:f>
            </c:numRef>
          </c:val>
          <c:extLst>
            <c:ext xmlns:c16="http://schemas.microsoft.com/office/drawing/2014/chart" uri="{C3380CC4-5D6E-409C-BE32-E72D297353CC}">
              <c16:uniqueId val="{00000002-BE25-4852-A268-C73F133F176D}"/>
            </c:ext>
          </c:extLst>
        </c:ser>
        <c:ser>
          <c:idx val="3"/>
          <c:order val="3"/>
          <c:tx>
            <c:strRef>
              <c:f>Отчет!$A$163</c:f>
              <c:strCache>
                <c:ptCount val="1"/>
                <c:pt idx="0">
                  <c:v>    НДС на поставленную продукцию</c:v>
                </c:pt>
              </c:strCache>
            </c:strRef>
          </c:tx>
          <c:invertIfNegative val="0"/>
          <c:cat>
            <c:strRef>
              <c:f>Отчет!$F$158:$AC$158</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Отчет!$F$163:$AC$163</c:f>
            </c:numRef>
          </c:val>
          <c:extLst>
            <c:ext xmlns:c16="http://schemas.microsoft.com/office/drawing/2014/chart" uri="{C3380CC4-5D6E-409C-BE32-E72D297353CC}">
              <c16:uniqueId val="{00000003-BE25-4852-A268-C73F133F176D}"/>
            </c:ext>
          </c:extLst>
        </c:ser>
        <c:ser>
          <c:idx val="4"/>
          <c:order val="4"/>
          <c:tx>
            <c:strRef>
              <c:f>Отчет!$A$164</c:f>
              <c:strCache>
                <c:ptCount val="1"/>
                <c:pt idx="0">
                  <c:v>    график оплаты (без НДС)</c:v>
                </c:pt>
              </c:strCache>
            </c:strRef>
          </c:tx>
          <c:invertIfNegative val="0"/>
          <c:cat>
            <c:strRef>
              <c:f>Отчет!$F$158:$AC$158</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Отчет!$F$164:$AC$164</c:f>
            </c:numRef>
          </c:val>
          <c:extLst>
            <c:ext xmlns:c16="http://schemas.microsoft.com/office/drawing/2014/chart" uri="{C3380CC4-5D6E-409C-BE32-E72D297353CC}">
              <c16:uniqueId val="{00000004-BE25-4852-A268-C73F133F176D}"/>
            </c:ext>
          </c:extLst>
        </c:ser>
        <c:ser>
          <c:idx val="5"/>
          <c:order val="5"/>
          <c:tx>
            <c:strRef>
              <c:f>Отчет!$A$165</c:f>
              <c:strCache>
                <c:ptCount val="1"/>
                <c:pt idx="0">
                  <c:v>    полученный НДС</c:v>
                </c:pt>
              </c:strCache>
            </c:strRef>
          </c:tx>
          <c:invertIfNegative val="0"/>
          <c:cat>
            <c:strRef>
              <c:f>Отчет!$F$158:$AC$158</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Отчет!$F$165:$AC$165</c:f>
            </c:numRef>
          </c:val>
          <c:extLst>
            <c:ext xmlns:c16="http://schemas.microsoft.com/office/drawing/2014/chart" uri="{C3380CC4-5D6E-409C-BE32-E72D297353CC}">
              <c16:uniqueId val="{00000005-BE25-4852-A268-C73F133F176D}"/>
            </c:ext>
          </c:extLst>
        </c:ser>
        <c:ser>
          <c:idx val="6"/>
          <c:order val="6"/>
          <c:tx>
            <c:strRef>
              <c:f>Отчет!$A$166</c:f>
              <c:strCache>
                <c:ptCount val="1"/>
                <c:pt idx="0">
                  <c:v>    дебиторская задолженность</c:v>
                </c:pt>
              </c:strCache>
            </c:strRef>
          </c:tx>
          <c:invertIfNegative val="0"/>
          <c:cat>
            <c:strRef>
              <c:f>Отчет!$F$158:$AC$158</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Отчет!$F$166:$AC$166</c:f>
            </c:numRef>
          </c:val>
          <c:extLst>
            <c:ext xmlns:c16="http://schemas.microsoft.com/office/drawing/2014/chart" uri="{C3380CC4-5D6E-409C-BE32-E72D297353CC}">
              <c16:uniqueId val="{00000006-BE25-4852-A268-C73F133F176D}"/>
            </c:ext>
          </c:extLst>
        </c:ser>
        <c:ser>
          <c:idx val="7"/>
          <c:order val="7"/>
          <c:tx>
            <c:strRef>
              <c:f>Отчет!$A$167</c:f>
              <c:strCache>
                <c:ptCount val="1"/>
                <c:pt idx="0">
                  <c:v>    полученные авансы</c:v>
                </c:pt>
              </c:strCache>
            </c:strRef>
          </c:tx>
          <c:invertIfNegative val="0"/>
          <c:cat>
            <c:strRef>
              <c:f>Отчет!$F$158:$AC$158</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Отчет!$F$167:$AC$167</c:f>
            </c:numRef>
          </c:val>
          <c:extLst>
            <c:ext xmlns:c16="http://schemas.microsoft.com/office/drawing/2014/chart" uri="{C3380CC4-5D6E-409C-BE32-E72D297353CC}">
              <c16:uniqueId val="{00000007-BE25-4852-A268-C73F133F176D}"/>
            </c:ext>
          </c:extLst>
        </c:ser>
        <c:ser>
          <c:idx val="8"/>
          <c:order val="8"/>
          <c:tx>
            <c:strRef>
              <c:f>Отчет!$A$168</c:f>
              <c:strCache>
                <c:ptCount val="1"/>
                <c:pt idx="0">
                  <c:v>ВЗД</c:v>
                </c:pt>
              </c:strCache>
            </c:strRef>
          </c:tx>
          <c:invertIfNegative val="0"/>
          <c:cat>
            <c:strRef>
              <c:f>Отчет!$F$158:$AC$158</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Отчет!$F$168:$AC$168</c:f>
              <c:numCache>
                <c:formatCode>#,##0</c:formatCode>
                <c:ptCount val="24"/>
                <c:pt idx="0">
                  <c:v>0</c:v>
                </c:pt>
                <c:pt idx="1">
                  <c:v>0</c:v>
                </c:pt>
                <c:pt idx="2">
                  <c:v>0</c:v>
                </c:pt>
                <c:pt idx="3">
                  <c:v>0</c:v>
                </c:pt>
                <c:pt idx="4">
                  <c:v>0</c:v>
                </c:pt>
                <c:pt idx="5">
                  <c:v>0</c:v>
                </c:pt>
                <c:pt idx="6">
                  <c:v>1573.3807097694921</c:v>
                </c:pt>
                <c:pt idx="7">
                  <c:v>2654.3050418436769</c:v>
                </c:pt>
                <c:pt idx="8">
                  <c:v>3956.5465163478138</c:v>
                </c:pt>
                <c:pt idx="9">
                  <c:v>5232.9478709178293</c:v>
                </c:pt>
                <c:pt idx="10">
                  <c:v>5232.9478709178293</c:v>
                </c:pt>
                <c:pt idx="11">
                  <c:v>5232.9478709178293</c:v>
                </c:pt>
                <c:pt idx="12">
                  <c:v>5232.9478709178293</c:v>
                </c:pt>
                <c:pt idx="13">
                  <c:v>5232.9478709178293</c:v>
                </c:pt>
                <c:pt idx="14">
                  <c:v>5232.9478709178293</c:v>
                </c:pt>
                <c:pt idx="15">
                  <c:v>5232.9478709178293</c:v>
                </c:pt>
                <c:pt idx="16">
                  <c:v>5232.9478709178293</c:v>
                </c:pt>
                <c:pt idx="17">
                  <c:v>5232.9478709178293</c:v>
                </c:pt>
                <c:pt idx="18">
                  <c:v>5232.9478709178293</c:v>
                </c:pt>
                <c:pt idx="19">
                  <c:v>5232.9478709178293</c:v>
                </c:pt>
                <c:pt idx="20">
                  <c:v>5232.9478709178293</c:v>
                </c:pt>
                <c:pt idx="21">
                  <c:v>5232.9478709178293</c:v>
                </c:pt>
                <c:pt idx="22">
                  <c:v>5232.9478709178293</c:v>
                </c:pt>
                <c:pt idx="23">
                  <c:v>5232.9478709178293</c:v>
                </c:pt>
              </c:numCache>
            </c:numRef>
          </c:val>
          <c:extLst>
            <c:ext xmlns:c16="http://schemas.microsoft.com/office/drawing/2014/chart" uri="{C3380CC4-5D6E-409C-BE32-E72D297353CC}">
              <c16:uniqueId val="{00000008-BE25-4852-A268-C73F133F176D}"/>
            </c:ext>
          </c:extLst>
        </c:ser>
        <c:ser>
          <c:idx val="9"/>
          <c:order val="9"/>
          <c:tx>
            <c:strRef>
              <c:f>Отчет!$A$169</c:f>
              <c:strCache>
                <c:ptCount val="1"/>
                <c:pt idx="0">
                  <c:v>    к оплате от покупателей (без НДС)</c:v>
                </c:pt>
              </c:strCache>
            </c:strRef>
          </c:tx>
          <c:invertIfNegative val="0"/>
          <c:cat>
            <c:strRef>
              <c:f>Отчет!$F$158:$AC$158</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Отчет!$F$169:$AC$169</c:f>
            </c:numRef>
          </c:val>
          <c:extLst>
            <c:ext xmlns:c16="http://schemas.microsoft.com/office/drawing/2014/chart" uri="{C3380CC4-5D6E-409C-BE32-E72D297353CC}">
              <c16:uniqueId val="{00000009-BE25-4852-A268-C73F133F176D}"/>
            </c:ext>
          </c:extLst>
        </c:ser>
        <c:ser>
          <c:idx val="10"/>
          <c:order val="10"/>
          <c:tx>
            <c:strRef>
              <c:f>Отчет!$A$170</c:f>
              <c:strCache>
                <c:ptCount val="1"/>
                <c:pt idx="0">
                  <c:v>    в т.ч. акцизов, налогов и пошлин</c:v>
                </c:pt>
              </c:strCache>
            </c:strRef>
          </c:tx>
          <c:invertIfNegative val="0"/>
          <c:cat>
            <c:strRef>
              <c:f>Отчет!$F$158:$AC$158</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Отчет!$F$170:$AC$170</c:f>
            </c:numRef>
          </c:val>
          <c:extLst>
            <c:ext xmlns:c16="http://schemas.microsoft.com/office/drawing/2014/chart" uri="{C3380CC4-5D6E-409C-BE32-E72D297353CC}">
              <c16:uniqueId val="{0000000A-BE25-4852-A268-C73F133F176D}"/>
            </c:ext>
          </c:extLst>
        </c:ser>
        <c:ser>
          <c:idx val="11"/>
          <c:order val="11"/>
          <c:tx>
            <c:strRef>
              <c:f>Отчет!$A$171</c:f>
              <c:strCache>
                <c:ptCount val="1"/>
                <c:pt idx="0">
                  <c:v>    НДС на поставленную продукцию</c:v>
                </c:pt>
              </c:strCache>
            </c:strRef>
          </c:tx>
          <c:invertIfNegative val="0"/>
          <c:cat>
            <c:strRef>
              <c:f>Отчет!$F$158:$AC$158</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Отчет!$F$171:$AC$171</c:f>
            </c:numRef>
          </c:val>
          <c:extLst>
            <c:ext xmlns:c16="http://schemas.microsoft.com/office/drawing/2014/chart" uri="{C3380CC4-5D6E-409C-BE32-E72D297353CC}">
              <c16:uniqueId val="{0000000B-BE25-4852-A268-C73F133F176D}"/>
            </c:ext>
          </c:extLst>
        </c:ser>
        <c:ser>
          <c:idx val="12"/>
          <c:order val="12"/>
          <c:tx>
            <c:strRef>
              <c:f>Отчет!$A$172</c:f>
              <c:strCache>
                <c:ptCount val="1"/>
                <c:pt idx="0">
                  <c:v>    график оплаты (без НДС)</c:v>
                </c:pt>
              </c:strCache>
            </c:strRef>
          </c:tx>
          <c:invertIfNegative val="0"/>
          <c:cat>
            <c:strRef>
              <c:f>Отчет!$F$158:$AC$158</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Отчет!$F$172:$AC$172</c:f>
            </c:numRef>
          </c:val>
          <c:extLst>
            <c:ext xmlns:c16="http://schemas.microsoft.com/office/drawing/2014/chart" uri="{C3380CC4-5D6E-409C-BE32-E72D297353CC}">
              <c16:uniqueId val="{0000000C-BE25-4852-A268-C73F133F176D}"/>
            </c:ext>
          </c:extLst>
        </c:ser>
        <c:ser>
          <c:idx val="13"/>
          <c:order val="13"/>
          <c:tx>
            <c:strRef>
              <c:f>Отчет!$A$173</c:f>
              <c:strCache>
                <c:ptCount val="1"/>
                <c:pt idx="0">
                  <c:v>    полученный НДС</c:v>
                </c:pt>
              </c:strCache>
            </c:strRef>
          </c:tx>
          <c:invertIfNegative val="0"/>
          <c:cat>
            <c:strRef>
              <c:f>Отчет!$F$158:$AC$158</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Отчет!$F$173:$AC$173</c:f>
            </c:numRef>
          </c:val>
          <c:extLst>
            <c:ext xmlns:c16="http://schemas.microsoft.com/office/drawing/2014/chart" uri="{C3380CC4-5D6E-409C-BE32-E72D297353CC}">
              <c16:uniqueId val="{0000000D-BE25-4852-A268-C73F133F176D}"/>
            </c:ext>
          </c:extLst>
        </c:ser>
        <c:ser>
          <c:idx val="14"/>
          <c:order val="14"/>
          <c:tx>
            <c:strRef>
              <c:f>Отчет!$A$174</c:f>
              <c:strCache>
                <c:ptCount val="1"/>
                <c:pt idx="0">
                  <c:v>    дебиторская задолженность</c:v>
                </c:pt>
              </c:strCache>
            </c:strRef>
          </c:tx>
          <c:invertIfNegative val="0"/>
          <c:cat>
            <c:strRef>
              <c:f>Отчет!$F$158:$AC$158</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Отчет!$F$174:$AC$174</c:f>
            </c:numRef>
          </c:val>
          <c:extLst>
            <c:ext xmlns:c16="http://schemas.microsoft.com/office/drawing/2014/chart" uri="{C3380CC4-5D6E-409C-BE32-E72D297353CC}">
              <c16:uniqueId val="{0000000E-BE25-4852-A268-C73F133F176D}"/>
            </c:ext>
          </c:extLst>
        </c:ser>
        <c:ser>
          <c:idx val="15"/>
          <c:order val="15"/>
          <c:tx>
            <c:strRef>
              <c:f>Отчет!$A$175</c:f>
              <c:strCache>
                <c:ptCount val="1"/>
                <c:pt idx="0">
                  <c:v>    полученные авансы</c:v>
                </c:pt>
              </c:strCache>
            </c:strRef>
          </c:tx>
          <c:invertIfNegative val="0"/>
          <c:cat>
            <c:strRef>
              <c:f>Отчет!$F$158:$AC$158</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Отчет!$F$175:$AC$175</c:f>
            </c:numRef>
          </c:val>
          <c:extLst>
            <c:ext xmlns:c16="http://schemas.microsoft.com/office/drawing/2014/chart" uri="{C3380CC4-5D6E-409C-BE32-E72D297353CC}">
              <c16:uniqueId val="{0000000F-BE25-4852-A268-C73F133F176D}"/>
            </c:ext>
          </c:extLst>
        </c:ser>
        <c:dLbls>
          <c:showLegendKey val="0"/>
          <c:showVal val="0"/>
          <c:showCatName val="0"/>
          <c:showSerName val="0"/>
          <c:showPercent val="0"/>
          <c:showBubbleSize val="0"/>
        </c:dLbls>
        <c:gapWidth val="150"/>
        <c:axId val="132884736"/>
        <c:axId val="132886528"/>
      </c:barChart>
      <c:catAx>
        <c:axId val="132884736"/>
        <c:scaling>
          <c:orientation val="minMax"/>
        </c:scaling>
        <c:delete val="0"/>
        <c:axPos val="b"/>
        <c:numFmt formatCode="General" sourceLinked="0"/>
        <c:majorTickMark val="out"/>
        <c:minorTickMark val="none"/>
        <c:tickLblPos val="nextTo"/>
        <c:crossAx val="132886528"/>
        <c:crosses val="autoZero"/>
        <c:auto val="1"/>
        <c:lblAlgn val="ctr"/>
        <c:lblOffset val="100"/>
        <c:noMultiLvlLbl val="0"/>
      </c:catAx>
      <c:valAx>
        <c:axId val="132886528"/>
        <c:scaling>
          <c:orientation val="minMax"/>
        </c:scaling>
        <c:delete val="0"/>
        <c:axPos val="l"/>
        <c:majorGridlines/>
        <c:numFmt formatCode="#,##0" sourceLinked="1"/>
        <c:majorTickMark val="out"/>
        <c:minorTickMark val="none"/>
        <c:tickLblPos val="nextTo"/>
        <c:crossAx val="132884736"/>
        <c:crosses val="autoZero"/>
        <c:crossBetween val="between"/>
      </c:valAx>
    </c:plotArea>
    <c:legend>
      <c:legendPos val="b"/>
      <c:overlay val="0"/>
    </c:legend>
    <c:plotVisOnly val="1"/>
    <c:dispBlanksAs val="gap"/>
    <c:showDLblsOverMax val="0"/>
  </c:chart>
  <c:txPr>
    <a:bodyPr/>
    <a:lstStyle/>
    <a:p>
      <a:pPr>
        <a:defRPr sz="800" b="1">
          <a:latin typeface="Palatino Linotype" panose="02040502050505030304" pitchFamily="18" charset="0"/>
        </a:defRPr>
      </a:pPr>
      <a:endParaRPr lang="ru-R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2.0960931101440147E-2"/>
          <c:y val="0.13194444444444445"/>
          <c:w val="0.79347486889582586"/>
          <c:h val="0.75"/>
        </c:manualLayout>
      </c:layout>
      <c:ofPieChart>
        <c:ofPieType val="bar"/>
        <c:varyColors val="1"/>
        <c:ser>
          <c:idx val="0"/>
          <c:order val="0"/>
          <c:explosion val="3"/>
          <c:dLbls>
            <c:dLbl>
              <c:idx val="1"/>
              <c:layout>
                <c:manualLayout>
                  <c:x val="-0.17715359951276644"/>
                  <c:y val="-0.2193569553805774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DD-4235-9E31-D4EA7B9C3175}"/>
                </c:ext>
              </c:extLst>
            </c:dLbl>
            <c:dLbl>
              <c:idx val="2"/>
              <c:spPr/>
              <c:txPr>
                <a:bodyPr/>
                <a:lstStyle/>
                <a:p>
                  <a:pPr>
                    <a:defRPr sz="750"/>
                  </a:pPr>
                  <a:endParaRPr lang="ru-RU"/>
                </a:p>
              </c:txPr>
              <c:dLblPos val="bestFit"/>
              <c:showLegendKey val="0"/>
              <c:showVal val="0"/>
              <c:showCatName val="1"/>
              <c:showSerName val="0"/>
              <c:showPercent val="1"/>
              <c:showBubbleSize val="0"/>
              <c:extLst>
                <c:ext xmlns:c16="http://schemas.microsoft.com/office/drawing/2014/chart" uri="{C3380CC4-5D6E-409C-BE32-E72D297353CC}">
                  <c16:uniqueId val="{00000001-47DD-4235-9E31-D4EA7B9C3175}"/>
                </c:ext>
              </c:extLst>
            </c:dLbl>
            <c:dLbl>
              <c:idx val="3"/>
              <c:layout>
                <c:manualLayout>
                  <c:x val="-3.1395228664646193E-3"/>
                  <c:y val="0.1443365412656751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DD-4235-9E31-D4EA7B9C3175}"/>
                </c:ext>
              </c:extLst>
            </c:dLbl>
            <c:spPr>
              <a:noFill/>
              <a:ln>
                <a:noFill/>
              </a:ln>
              <a:effectLst/>
            </c:sp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Инвестиции!$A$24:$A$29</c:f>
              <c:strCache>
                <c:ptCount val="6"/>
                <c:pt idx="0">
                  <c:v>Оборудование</c:v>
                </c:pt>
                <c:pt idx="1">
                  <c:v>Закупка необходимого запаса сырья</c:v>
                </c:pt>
                <c:pt idx="2">
                  <c:v>Непредвиденные расходы</c:v>
                </c:pt>
                <c:pt idx="3">
                  <c:v>Покупка земли (2 га)</c:v>
                </c:pt>
                <c:pt idx="4">
                  <c:v>Строительство </c:v>
                </c:pt>
                <c:pt idx="5">
                  <c:v>Получение разрешительной документации</c:v>
                </c:pt>
              </c:strCache>
            </c:strRef>
          </c:cat>
          <c:val>
            <c:numRef>
              <c:f>Инвестиции!$B$24:$B$29</c:f>
              <c:numCache>
                <c:formatCode>[$€-1809]#\ ##0</c:formatCode>
                <c:ptCount val="6"/>
                <c:pt idx="0">
                  <c:v>12919418.51440678</c:v>
                </c:pt>
                <c:pt idx="1">
                  <c:v>573239.37919591088</c:v>
                </c:pt>
                <c:pt idx="2">
                  <c:v>390582.55543220334</c:v>
                </c:pt>
                <c:pt idx="3">
                  <c:v>200000</c:v>
                </c:pt>
                <c:pt idx="4">
                  <c:v>3039120</c:v>
                </c:pt>
                <c:pt idx="5">
                  <c:v>100000</c:v>
                </c:pt>
              </c:numCache>
            </c:numRef>
          </c:val>
          <c:extLst>
            <c:ext xmlns:c16="http://schemas.microsoft.com/office/drawing/2014/chart" uri="{C3380CC4-5D6E-409C-BE32-E72D297353CC}">
              <c16:uniqueId val="{00000003-47DD-4235-9E31-D4EA7B9C3175}"/>
            </c:ext>
          </c:extLst>
        </c:ser>
        <c:dLbls>
          <c:showLegendKey val="0"/>
          <c:showVal val="0"/>
          <c:showCatName val="0"/>
          <c:showSerName val="0"/>
          <c:showPercent val="0"/>
          <c:showBubbleSize val="0"/>
          <c:showLeaderLines val="1"/>
        </c:dLbls>
        <c:gapWidth val="100"/>
        <c:secondPieSize val="75"/>
        <c:serLines/>
      </c:ofPieChart>
    </c:plotArea>
    <c:plotVisOnly val="1"/>
    <c:dispBlanksAs val="gap"/>
    <c:showDLblsOverMax val="0"/>
  </c:chart>
  <c:txPr>
    <a:bodyPr/>
    <a:lstStyle/>
    <a:p>
      <a:pPr>
        <a:defRPr sz="800" b="1">
          <a:latin typeface="Palatino Linotype" panose="02040502050505030304" pitchFamily="18" charset="0"/>
        </a:defRPr>
      </a:pPr>
      <a:endParaRPr lang="ru-R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bar"/>
        <c:grouping val="stacked"/>
        <c:varyColors val="0"/>
        <c:ser>
          <c:idx val="0"/>
          <c:order val="0"/>
          <c:tx>
            <c:strRef>
              <c:f>Инвестиции!$B$56</c:f>
              <c:strCache>
                <c:ptCount val="1"/>
                <c:pt idx="0">
                  <c:v>Начало</c:v>
                </c:pt>
              </c:strCache>
            </c:strRef>
          </c:tx>
          <c:spPr>
            <a:noFill/>
          </c:spPr>
          <c:invertIfNegative val="0"/>
          <c:cat>
            <c:strRef>
              <c:f>Инвестиции!$A$57:$A$65</c:f>
              <c:strCache>
                <c:ptCount val="9"/>
                <c:pt idx="0">
                  <c:v>Финансирование</c:v>
                </c:pt>
                <c:pt idx="1">
                  <c:v>Покупка земли </c:v>
                </c:pt>
                <c:pt idx="2">
                  <c:v>Строительство производственного помещения</c:v>
                </c:pt>
                <c:pt idx="3">
                  <c:v>Коммуникации, инфраструктура, благоустройство территории</c:v>
                </c:pt>
                <c:pt idx="4">
                  <c:v>Оборудование (аванс)</c:v>
                </c:pt>
                <c:pt idx="5">
                  <c:v>Оборудование (доплата)</c:v>
                </c:pt>
                <c:pt idx="6">
                  <c:v>Получение разрешительной документации</c:v>
                </c:pt>
                <c:pt idx="7">
                  <c:v>Закупка необходимого запаса сырья</c:v>
                </c:pt>
                <c:pt idx="8">
                  <c:v>Старт продаж</c:v>
                </c:pt>
              </c:strCache>
            </c:strRef>
          </c:cat>
          <c:val>
            <c:numRef>
              <c:f>Инвестиции!$B$57:$B$65</c:f>
              <c:numCache>
                <c:formatCode>General</c:formatCode>
                <c:ptCount val="9"/>
                <c:pt idx="0">
                  <c:v>1</c:v>
                </c:pt>
                <c:pt idx="1">
                  <c:v>1</c:v>
                </c:pt>
                <c:pt idx="2">
                  <c:v>2</c:v>
                </c:pt>
                <c:pt idx="3">
                  <c:v>1</c:v>
                </c:pt>
                <c:pt idx="4">
                  <c:v>1</c:v>
                </c:pt>
                <c:pt idx="5">
                  <c:v>4</c:v>
                </c:pt>
                <c:pt idx="6">
                  <c:v>1</c:v>
                </c:pt>
                <c:pt idx="7">
                  <c:v>4</c:v>
                </c:pt>
                <c:pt idx="8">
                  <c:v>5</c:v>
                </c:pt>
              </c:numCache>
            </c:numRef>
          </c:val>
          <c:extLst>
            <c:ext xmlns:c16="http://schemas.microsoft.com/office/drawing/2014/chart" uri="{C3380CC4-5D6E-409C-BE32-E72D297353CC}">
              <c16:uniqueId val="{00000000-8EF5-4A04-BF49-A460FE195743}"/>
            </c:ext>
          </c:extLst>
        </c:ser>
        <c:ser>
          <c:idx val="1"/>
          <c:order val="1"/>
          <c:tx>
            <c:strRef>
              <c:f>Инвестиции!#REF!</c:f>
              <c:strCache>
                <c:ptCount val="1"/>
                <c:pt idx="0">
                  <c:v>#REF!</c:v>
                </c:pt>
              </c:strCache>
            </c:strRef>
          </c:tx>
          <c:invertIfNegative val="0"/>
          <c:dPt>
            <c:idx val="5"/>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extLst>
              <c:ext xmlns:c16="http://schemas.microsoft.com/office/drawing/2014/chart" uri="{C3380CC4-5D6E-409C-BE32-E72D297353CC}">
                <c16:uniqueId val="{00000002-8EF5-4A04-BF49-A460FE195743}"/>
              </c:ext>
            </c:extLst>
          </c:dPt>
          <c:dPt>
            <c:idx val="6"/>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extLst>
              <c:ext xmlns:c16="http://schemas.microsoft.com/office/drawing/2014/chart" uri="{C3380CC4-5D6E-409C-BE32-E72D297353CC}">
                <c16:uniqueId val="{00000004-8EF5-4A04-BF49-A460FE195743}"/>
              </c:ext>
            </c:extLst>
          </c:dPt>
          <c:dPt>
            <c:idx val="7"/>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extLst>
              <c:ext xmlns:c16="http://schemas.microsoft.com/office/drawing/2014/chart" uri="{C3380CC4-5D6E-409C-BE32-E72D297353CC}">
                <c16:uniqueId val="{00000006-8EF5-4A04-BF49-A460FE195743}"/>
              </c:ext>
            </c:extLst>
          </c:dPt>
          <c:dPt>
            <c:idx val="8"/>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extLst>
              <c:ext xmlns:c16="http://schemas.microsoft.com/office/drawing/2014/chart" uri="{C3380CC4-5D6E-409C-BE32-E72D297353CC}">
                <c16:uniqueId val="{00000008-8EF5-4A04-BF49-A460FE195743}"/>
              </c:ext>
            </c:extLst>
          </c:dPt>
          <c:dPt>
            <c:idx val="9"/>
            <c:invertIfNegative val="0"/>
            <c:bubble3D val="0"/>
            <c:spPr>
              <a:solidFill>
                <a:schemeClr val="accent3"/>
              </a:solidFill>
            </c:spPr>
            <c:extLst>
              <c:ext xmlns:c16="http://schemas.microsoft.com/office/drawing/2014/chart" uri="{C3380CC4-5D6E-409C-BE32-E72D297353CC}">
                <c16:uniqueId val="{0000000A-8EF5-4A04-BF49-A460FE195743}"/>
              </c:ext>
            </c:extLst>
          </c:dPt>
          <c:dPt>
            <c:idx val="10"/>
            <c:invertIfNegative val="0"/>
            <c:bubble3D val="0"/>
            <c:spPr>
              <a:solidFill>
                <a:schemeClr val="accent3"/>
              </a:solidFill>
            </c:spPr>
            <c:extLst>
              <c:ext xmlns:c16="http://schemas.microsoft.com/office/drawing/2014/chart" uri="{C3380CC4-5D6E-409C-BE32-E72D297353CC}">
                <c16:uniqueId val="{0000000C-8EF5-4A04-BF49-A460FE195743}"/>
              </c:ext>
            </c:extLst>
          </c:dPt>
          <c:dPt>
            <c:idx val="11"/>
            <c:invertIfNegative val="0"/>
            <c:bubble3D val="0"/>
            <c:spPr>
              <a:solidFill>
                <a:schemeClr val="accent3"/>
              </a:solidFill>
            </c:spPr>
            <c:extLst>
              <c:ext xmlns:c16="http://schemas.microsoft.com/office/drawing/2014/chart" uri="{C3380CC4-5D6E-409C-BE32-E72D297353CC}">
                <c16:uniqueId val="{0000000E-8EF5-4A04-BF49-A460FE195743}"/>
              </c:ext>
            </c:extLst>
          </c:dPt>
          <c:dPt>
            <c:idx val="12"/>
            <c:invertIfNegative val="0"/>
            <c:bubble3D val="0"/>
            <c:spPr>
              <a:solidFill>
                <a:schemeClr val="accent3"/>
              </a:solidFill>
            </c:spPr>
            <c:extLst>
              <c:ext xmlns:c16="http://schemas.microsoft.com/office/drawing/2014/chart" uri="{C3380CC4-5D6E-409C-BE32-E72D297353CC}">
                <c16:uniqueId val="{00000010-8EF5-4A04-BF49-A460FE195743}"/>
              </c:ext>
            </c:extLst>
          </c:dPt>
          <c:dPt>
            <c:idx val="13"/>
            <c:invertIfNegative val="0"/>
            <c:bubble3D val="0"/>
            <c:spPr>
              <a:solidFill>
                <a:schemeClr val="accent3"/>
              </a:solidFill>
            </c:spPr>
            <c:extLst>
              <c:ext xmlns:c16="http://schemas.microsoft.com/office/drawing/2014/chart" uri="{C3380CC4-5D6E-409C-BE32-E72D297353CC}">
                <c16:uniqueId val="{00000012-8EF5-4A04-BF49-A460FE195743}"/>
              </c:ext>
            </c:extLst>
          </c:dPt>
          <c:dPt>
            <c:idx val="14"/>
            <c:invertIfNegative val="0"/>
            <c:bubble3D val="0"/>
            <c:spPr>
              <a:solidFill>
                <a:schemeClr val="accent3"/>
              </a:solidFill>
            </c:spPr>
            <c:extLst>
              <c:ext xmlns:c16="http://schemas.microsoft.com/office/drawing/2014/chart" uri="{C3380CC4-5D6E-409C-BE32-E72D297353CC}">
                <c16:uniqueId val="{00000014-8EF5-4A04-BF49-A460FE195743}"/>
              </c:ext>
            </c:extLst>
          </c:dPt>
          <c:dPt>
            <c:idx val="15"/>
            <c:invertIfNegative val="0"/>
            <c:bubble3D val="0"/>
            <c:spPr>
              <a:solidFill>
                <a:schemeClr val="accent3"/>
              </a:solidFill>
            </c:spPr>
            <c:extLst>
              <c:ext xmlns:c16="http://schemas.microsoft.com/office/drawing/2014/chart" uri="{C3380CC4-5D6E-409C-BE32-E72D297353CC}">
                <c16:uniqueId val="{00000016-8EF5-4A04-BF49-A460FE195743}"/>
              </c:ext>
            </c:extLst>
          </c:dPt>
          <c:dPt>
            <c:idx val="16"/>
            <c:invertIfNegative val="0"/>
            <c:bubble3D val="0"/>
            <c:spPr>
              <a:solidFill>
                <a:schemeClr val="accent3"/>
              </a:solidFill>
            </c:spPr>
            <c:extLst>
              <c:ext xmlns:c16="http://schemas.microsoft.com/office/drawing/2014/chart" uri="{C3380CC4-5D6E-409C-BE32-E72D297353CC}">
                <c16:uniqueId val="{00000018-8EF5-4A04-BF49-A460FE195743}"/>
              </c:ext>
            </c:extLst>
          </c:dPt>
          <c:dPt>
            <c:idx val="17"/>
            <c:invertIfNegative val="0"/>
            <c:bubble3D val="0"/>
            <c:spPr>
              <a:solidFill>
                <a:schemeClr val="accent3"/>
              </a:solidFill>
            </c:spPr>
            <c:extLst>
              <c:ext xmlns:c16="http://schemas.microsoft.com/office/drawing/2014/chart" uri="{C3380CC4-5D6E-409C-BE32-E72D297353CC}">
                <c16:uniqueId val="{0000001A-8EF5-4A04-BF49-A460FE195743}"/>
              </c:ext>
            </c:extLst>
          </c:dPt>
          <c:dPt>
            <c:idx val="18"/>
            <c:invertIfNegative val="0"/>
            <c:bubble3D val="0"/>
            <c:spPr>
              <a:solidFill>
                <a:schemeClr val="accent3"/>
              </a:solidFill>
            </c:spPr>
            <c:extLst>
              <c:ext xmlns:c16="http://schemas.microsoft.com/office/drawing/2014/chart" uri="{C3380CC4-5D6E-409C-BE32-E72D297353CC}">
                <c16:uniqueId val="{0000001C-8EF5-4A04-BF49-A460FE195743}"/>
              </c:ext>
            </c:extLst>
          </c:dPt>
          <c:dPt>
            <c:idx val="19"/>
            <c:invertIfNegative val="0"/>
            <c:bubble3D val="0"/>
            <c:spPr>
              <a:solidFill>
                <a:schemeClr val="accent3"/>
              </a:solidFill>
            </c:spPr>
            <c:extLst>
              <c:ext xmlns:c16="http://schemas.microsoft.com/office/drawing/2014/chart" uri="{C3380CC4-5D6E-409C-BE32-E72D297353CC}">
                <c16:uniqueId val="{0000001E-8EF5-4A04-BF49-A460FE195743}"/>
              </c:ext>
            </c:extLst>
          </c:dPt>
          <c:dPt>
            <c:idx val="20"/>
            <c:invertIfNegative val="0"/>
            <c:bubble3D val="0"/>
            <c:spPr>
              <a:solidFill>
                <a:schemeClr val="accent3"/>
              </a:solidFill>
            </c:spPr>
            <c:extLst>
              <c:ext xmlns:c16="http://schemas.microsoft.com/office/drawing/2014/chart" uri="{C3380CC4-5D6E-409C-BE32-E72D297353CC}">
                <c16:uniqueId val="{00000020-8EF5-4A04-BF49-A460FE195743}"/>
              </c:ext>
            </c:extLst>
          </c:dPt>
          <c:dPt>
            <c:idx val="21"/>
            <c:invertIfNegative val="0"/>
            <c:bubble3D val="0"/>
            <c:spPr>
              <a:solidFill>
                <a:schemeClr val="accent3"/>
              </a:solidFill>
            </c:spPr>
            <c:extLst>
              <c:ext xmlns:c16="http://schemas.microsoft.com/office/drawing/2014/chart" uri="{C3380CC4-5D6E-409C-BE32-E72D297353CC}">
                <c16:uniqueId val="{00000022-8EF5-4A04-BF49-A460FE195743}"/>
              </c:ext>
            </c:extLst>
          </c:dPt>
          <c:dPt>
            <c:idx val="22"/>
            <c:invertIfNegative val="0"/>
            <c:bubble3D val="0"/>
            <c:spPr>
              <a:solidFill>
                <a:schemeClr val="accent3"/>
              </a:solidFill>
            </c:spPr>
            <c:extLst>
              <c:ext xmlns:c16="http://schemas.microsoft.com/office/drawing/2014/chart" uri="{C3380CC4-5D6E-409C-BE32-E72D297353CC}">
                <c16:uniqueId val="{00000024-8EF5-4A04-BF49-A460FE195743}"/>
              </c:ext>
            </c:extLst>
          </c:dPt>
          <c:dPt>
            <c:idx val="23"/>
            <c:invertIfNegative val="0"/>
            <c:bubble3D val="0"/>
            <c:spPr>
              <a:solidFill>
                <a:schemeClr val="accent3"/>
              </a:solidFill>
            </c:spPr>
            <c:extLst>
              <c:ext xmlns:c16="http://schemas.microsoft.com/office/drawing/2014/chart" uri="{C3380CC4-5D6E-409C-BE32-E72D297353CC}">
                <c16:uniqueId val="{00000026-8EF5-4A04-BF49-A460FE195743}"/>
              </c:ext>
            </c:extLst>
          </c:dPt>
          <c:dPt>
            <c:idx val="24"/>
            <c:invertIfNegative val="0"/>
            <c:bubble3D val="0"/>
            <c:spPr>
              <a:solidFill>
                <a:schemeClr val="accent3"/>
              </a:solidFill>
            </c:spPr>
            <c:extLst>
              <c:ext xmlns:c16="http://schemas.microsoft.com/office/drawing/2014/chart" uri="{C3380CC4-5D6E-409C-BE32-E72D297353CC}">
                <c16:uniqueId val="{00000028-8EF5-4A04-BF49-A460FE195743}"/>
              </c:ext>
            </c:extLst>
          </c:dPt>
          <c:dPt>
            <c:idx val="25"/>
            <c:invertIfNegative val="0"/>
            <c:bubble3D val="0"/>
            <c:spPr>
              <a:solidFill>
                <a:schemeClr val="accent3"/>
              </a:solidFill>
            </c:spPr>
            <c:extLst>
              <c:ext xmlns:c16="http://schemas.microsoft.com/office/drawing/2014/chart" uri="{C3380CC4-5D6E-409C-BE32-E72D297353CC}">
                <c16:uniqueId val="{0000002A-8EF5-4A04-BF49-A460FE195743}"/>
              </c:ext>
            </c:extLst>
          </c:dPt>
          <c:cat>
            <c:strRef>
              <c:f>Инвестиции!$A$57:$A$65</c:f>
              <c:strCache>
                <c:ptCount val="9"/>
                <c:pt idx="0">
                  <c:v>Финансирование</c:v>
                </c:pt>
                <c:pt idx="1">
                  <c:v>Покупка земли </c:v>
                </c:pt>
                <c:pt idx="2">
                  <c:v>Строительство производственного помещения</c:v>
                </c:pt>
                <c:pt idx="3">
                  <c:v>Коммуникации, инфраструктура, благоустройство территории</c:v>
                </c:pt>
                <c:pt idx="4">
                  <c:v>Оборудование (аванс)</c:v>
                </c:pt>
                <c:pt idx="5">
                  <c:v>Оборудование (доплата)</c:v>
                </c:pt>
                <c:pt idx="6">
                  <c:v>Получение разрешительной документации</c:v>
                </c:pt>
                <c:pt idx="7">
                  <c:v>Закупка необходимого запаса сырья</c:v>
                </c:pt>
                <c:pt idx="8">
                  <c:v>Старт продаж</c:v>
                </c:pt>
              </c:strCache>
            </c:strRef>
          </c:cat>
          <c:val>
            <c:numRef>
              <c:f>Инвестиции!#REF!</c:f>
              <c:numCache>
                <c:formatCode>General</c:formatCode>
                <c:ptCount val="1"/>
                <c:pt idx="0">
                  <c:v>1</c:v>
                </c:pt>
              </c:numCache>
            </c:numRef>
          </c:val>
          <c:extLst>
            <c:ext xmlns:c16="http://schemas.microsoft.com/office/drawing/2014/chart" uri="{C3380CC4-5D6E-409C-BE32-E72D297353CC}">
              <c16:uniqueId val="{0000002B-8EF5-4A04-BF49-A460FE195743}"/>
            </c:ext>
          </c:extLst>
        </c:ser>
        <c:dLbls>
          <c:showLegendKey val="0"/>
          <c:showVal val="0"/>
          <c:showCatName val="0"/>
          <c:showSerName val="0"/>
          <c:showPercent val="0"/>
          <c:showBubbleSize val="0"/>
        </c:dLbls>
        <c:gapWidth val="150"/>
        <c:overlap val="100"/>
        <c:axId val="134067328"/>
        <c:axId val="134068864"/>
      </c:barChart>
      <c:catAx>
        <c:axId val="134067328"/>
        <c:scaling>
          <c:orientation val="maxMin"/>
        </c:scaling>
        <c:delete val="0"/>
        <c:axPos val="l"/>
        <c:numFmt formatCode="General" sourceLinked="0"/>
        <c:majorTickMark val="out"/>
        <c:minorTickMark val="none"/>
        <c:tickLblPos val="nextTo"/>
        <c:crossAx val="134068864"/>
        <c:crosses val="autoZero"/>
        <c:auto val="1"/>
        <c:lblAlgn val="ctr"/>
        <c:lblOffset val="100"/>
        <c:noMultiLvlLbl val="0"/>
      </c:catAx>
      <c:valAx>
        <c:axId val="134068864"/>
        <c:scaling>
          <c:orientation val="minMax"/>
          <c:max val="6"/>
          <c:min val="1"/>
        </c:scaling>
        <c:delete val="0"/>
        <c:axPos val="t"/>
        <c:majorGridlines/>
        <c:title>
          <c:tx>
            <c:rich>
              <a:bodyPr/>
              <a:lstStyle/>
              <a:p>
                <a:pPr>
                  <a:defRPr/>
                </a:pPr>
                <a:r>
                  <a:rPr lang="ru-RU"/>
                  <a:t>Квартал</a:t>
                </a:r>
              </a:p>
            </c:rich>
          </c:tx>
          <c:overlay val="0"/>
        </c:title>
        <c:numFmt formatCode="General" sourceLinked="1"/>
        <c:majorTickMark val="out"/>
        <c:minorTickMark val="none"/>
        <c:tickLblPos val="nextTo"/>
        <c:crossAx val="134067328"/>
        <c:crosses val="autoZero"/>
        <c:crossBetween val="between"/>
        <c:majorUnit val="1"/>
        <c:minorUnit val="1"/>
      </c:valAx>
    </c:plotArea>
    <c:plotVisOnly val="1"/>
    <c:dispBlanksAs val="gap"/>
    <c:showDLblsOverMax val="0"/>
  </c:chart>
  <c:spPr>
    <a:ln>
      <a:solidFill>
        <a:schemeClr val="bg1"/>
      </a:solidFill>
    </a:ln>
  </c:spPr>
  <c:txPr>
    <a:bodyPr/>
    <a:lstStyle/>
    <a:p>
      <a:pPr>
        <a:defRPr sz="1000" b="1">
          <a:latin typeface="Palatino Linotype" panose="02040502050505030304" pitchFamily="18" charset="0"/>
        </a:defRPr>
      </a:pPr>
      <a:endParaRPr lang="ru-R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5276209255387604"/>
          <c:y val="6.0164917676628613E-2"/>
          <c:w val="0.80227422107249879"/>
          <c:h val="0.86266014912477929"/>
        </c:manualLayout>
      </c:layout>
      <c:pieChart>
        <c:varyColors val="1"/>
        <c:ser>
          <c:idx val="0"/>
          <c:order val="0"/>
          <c:explosion val="25"/>
          <c:dLbls>
            <c:dLbl>
              <c:idx val="9"/>
              <c:layout>
                <c:manualLayout>
                  <c:x val="2.7733342292216367E-2"/>
                  <c:y val="-1.342280480465320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110D-4ED6-B2F1-2B9B93668205}"/>
                </c:ext>
              </c:extLst>
            </c:dLbl>
            <c:spPr>
              <a:noFill/>
              <a:ln>
                <a:noFill/>
              </a:ln>
              <a:effectLst/>
            </c:sp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продажи!$B$5:$B$18</c:f>
              <c:strCache>
                <c:ptCount val="14"/>
                <c:pt idx="0">
                  <c:v>190-613</c:v>
                </c:pt>
                <c:pt idx="1">
                  <c:v>215,9-416</c:v>
                </c:pt>
                <c:pt idx="2">
                  <c:v>215,9-516</c:v>
                </c:pt>
                <c:pt idx="3">
                  <c:v>215,9-613</c:v>
                </c:pt>
                <c:pt idx="4">
                  <c:v>215,9-713</c:v>
                </c:pt>
                <c:pt idx="5">
                  <c:v>220,7-416</c:v>
                </c:pt>
                <c:pt idx="6">
                  <c:v>220,7-516</c:v>
                </c:pt>
                <c:pt idx="7">
                  <c:v>220,7-613</c:v>
                </c:pt>
                <c:pt idx="8">
                  <c:v>220,7-713</c:v>
                </c:pt>
                <c:pt idx="9">
                  <c:v>295,3-419</c:v>
                </c:pt>
                <c:pt idx="10">
                  <c:v>295,3-519</c:v>
                </c:pt>
                <c:pt idx="11">
                  <c:v>295,3-619</c:v>
                </c:pt>
                <c:pt idx="12">
                  <c:v>295,3-716</c:v>
                </c:pt>
                <c:pt idx="13">
                  <c:v>393,7-619</c:v>
                </c:pt>
              </c:strCache>
            </c:strRef>
          </c:cat>
          <c:val>
            <c:numRef>
              <c:f>продажи!$C$5:$C$18</c:f>
              <c:numCache>
                <c:formatCode>General</c:formatCode>
                <c:ptCount val="14"/>
                <c:pt idx="0">
                  <c:v>8</c:v>
                </c:pt>
                <c:pt idx="1">
                  <c:v>10</c:v>
                </c:pt>
                <c:pt idx="2">
                  <c:v>10</c:v>
                </c:pt>
                <c:pt idx="3">
                  <c:v>10</c:v>
                </c:pt>
                <c:pt idx="4">
                  <c:v>10</c:v>
                </c:pt>
                <c:pt idx="5">
                  <c:v>4</c:v>
                </c:pt>
                <c:pt idx="6">
                  <c:v>4</c:v>
                </c:pt>
                <c:pt idx="7">
                  <c:v>4</c:v>
                </c:pt>
                <c:pt idx="8">
                  <c:v>4</c:v>
                </c:pt>
                <c:pt idx="9">
                  <c:v>4</c:v>
                </c:pt>
                <c:pt idx="10">
                  <c:v>5</c:v>
                </c:pt>
                <c:pt idx="11">
                  <c:v>5</c:v>
                </c:pt>
                <c:pt idx="12">
                  <c:v>4</c:v>
                </c:pt>
                <c:pt idx="13">
                  <c:v>8</c:v>
                </c:pt>
              </c:numCache>
            </c:numRef>
          </c:val>
          <c:extLst>
            <c:ext xmlns:c16="http://schemas.microsoft.com/office/drawing/2014/chart" uri="{C3380CC4-5D6E-409C-BE32-E72D297353CC}">
              <c16:uniqueId val="{00000001-110D-4ED6-B2F1-2B9B93668205}"/>
            </c:ext>
          </c:extLst>
        </c:ser>
        <c:dLbls>
          <c:showLegendKey val="0"/>
          <c:showVal val="0"/>
          <c:showCatName val="0"/>
          <c:showSerName val="0"/>
          <c:showPercent val="0"/>
          <c:showBubbleSize val="0"/>
          <c:showLeaderLines val="1"/>
        </c:dLbls>
        <c:firstSliceAng val="0"/>
      </c:pieChart>
    </c:plotArea>
    <c:plotVisOnly val="1"/>
    <c:dispBlanksAs val="gap"/>
    <c:showDLblsOverMax val="0"/>
  </c:chart>
  <c:txPr>
    <a:bodyPr/>
    <a:lstStyle/>
    <a:p>
      <a:pPr>
        <a:defRPr sz="1000" b="1">
          <a:latin typeface="Palatino Linotype" panose="02040502050505030304" pitchFamily="18" charset="0"/>
        </a:defRPr>
      </a:pPr>
      <a:endParaRPr lang="ru-R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5276209255387604"/>
          <c:y val="6.0164917676628613E-2"/>
          <c:w val="0.80227422107249879"/>
          <c:h val="0.86266014912477929"/>
        </c:manualLayout>
      </c:layout>
      <c:pieChart>
        <c:varyColors val="1"/>
        <c:ser>
          <c:idx val="1"/>
          <c:order val="0"/>
          <c:tx>
            <c:strRef>
              <c:f>продажи!$C$36</c:f>
              <c:strCache>
                <c:ptCount val="1"/>
                <c:pt idx="0">
                  <c:v>а</c:v>
                </c:pt>
              </c:strCache>
            </c:strRef>
          </c:tx>
          <c:explosion val="9"/>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numRef>
              <c:f>продажи!$B$37:$B$46</c:f>
              <c:numCache>
                <c:formatCode>General</c:formatCode>
                <c:ptCount val="10"/>
                <c:pt idx="0">
                  <c:v>172</c:v>
                </c:pt>
                <c:pt idx="1">
                  <c:v>106</c:v>
                </c:pt>
                <c:pt idx="2">
                  <c:v>120</c:v>
                </c:pt>
                <c:pt idx="3">
                  <c:v>165</c:v>
                </c:pt>
                <c:pt idx="4">
                  <c:v>195</c:v>
                </c:pt>
                <c:pt idx="5">
                  <c:v>240</c:v>
                </c:pt>
                <c:pt idx="6">
                  <c:v>95</c:v>
                </c:pt>
                <c:pt idx="7">
                  <c:v>215</c:v>
                </c:pt>
                <c:pt idx="8">
                  <c:v>76</c:v>
                </c:pt>
                <c:pt idx="9">
                  <c:v>54</c:v>
                </c:pt>
              </c:numCache>
            </c:numRef>
          </c:cat>
          <c:val>
            <c:numRef>
              <c:f>продажи!$C$37:$C$46</c:f>
              <c:numCache>
                <c:formatCode>0.00%</c:formatCode>
                <c:ptCount val="10"/>
                <c:pt idx="0">
                  <c:v>0.3125</c:v>
                </c:pt>
                <c:pt idx="1">
                  <c:v>0.125</c:v>
                </c:pt>
                <c:pt idx="2">
                  <c:v>0.125</c:v>
                </c:pt>
                <c:pt idx="3">
                  <c:v>0.1</c:v>
                </c:pt>
                <c:pt idx="4">
                  <c:v>8.7499999999999994E-2</c:v>
                </c:pt>
                <c:pt idx="5">
                  <c:v>7.4999999999999997E-2</c:v>
                </c:pt>
                <c:pt idx="6">
                  <c:v>6.25E-2</c:v>
                </c:pt>
                <c:pt idx="7">
                  <c:v>0.05</c:v>
                </c:pt>
                <c:pt idx="8">
                  <c:v>3.7499999999999999E-2</c:v>
                </c:pt>
                <c:pt idx="9">
                  <c:v>2.5000000000000001E-2</c:v>
                </c:pt>
              </c:numCache>
            </c:numRef>
          </c:val>
          <c:extLst>
            <c:ext xmlns:c16="http://schemas.microsoft.com/office/drawing/2014/chart" uri="{C3380CC4-5D6E-409C-BE32-E72D297353CC}">
              <c16:uniqueId val="{00000000-D15F-43F7-9958-B74AE9017CBA}"/>
            </c:ext>
          </c:extLst>
        </c:ser>
        <c:dLbls>
          <c:showLegendKey val="0"/>
          <c:showVal val="0"/>
          <c:showCatName val="0"/>
          <c:showSerName val="0"/>
          <c:showPercent val="0"/>
          <c:showBubbleSize val="0"/>
          <c:showLeaderLines val="1"/>
        </c:dLbls>
        <c:firstSliceAng val="0"/>
      </c:pieChart>
    </c:plotArea>
    <c:plotVisOnly val="1"/>
    <c:dispBlanksAs val="gap"/>
    <c:showDLblsOverMax val="0"/>
  </c:chart>
  <c:txPr>
    <a:bodyPr/>
    <a:lstStyle/>
    <a:p>
      <a:pPr>
        <a:defRPr sz="1000" b="1">
          <a:latin typeface="Palatino Linotype" panose="02040502050505030304" pitchFamily="18" charset="0"/>
        </a:defRPr>
      </a:pPr>
      <a:endParaRPr lang="ru-R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25194474374913661"/>
          <c:y val="0.13553551711446449"/>
          <c:w val="0.52301735967214624"/>
          <c:h val="0.77761931051404731"/>
        </c:manualLayout>
      </c:layout>
      <c:pieChart>
        <c:varyColors val="1"/>
        <c:ser>
          <c:idx val="0"/>
          <c:order val="0"/>
          <c:explosion val="25"/>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'Продажи 2'!$A$88:$A$101</c:f>
              <c:strCache>
                <c:ptCount val="14"/>
                <c:pt idx="0">
                  <c:v>393,7-619</c:v>
                </c:pt>
                <c:pt idx="1">
                  <c:v>215,9-713</c:v>
                </c:pt>
                <c:pt idx="2">
                  <c:v>215,9-613</c:v>
                </c:pt>
                <c:pt idx="3">
                  <c:v>215,9-516</c:v>
                </c:pt>
                <c:pt idx="4">
                  <c:v>295,3-619</c:v>
                </c:pt>
                <c:pt idx="5">
                  <c:v>295,3-519</c:v>
                </c:pt>
                <c:pt idx="6">
                  <c:v>215,9-416</c:v>
                </c:pt>
                <c:pt idx="7">
                  <c:v>190-613</c:v>
                </c:pt>
                <c:pt idx="8">
                  <c:v>295,3-716</c:v>
                </c:pt>
                <c:pt idx="9">
                  <c:v>295,3-419</c:v>
                </c:pt>
                <c:pt idx="10">
                  <c:v>220,7-713</c:v>
                </c:pt>
                <c:pt idx="11">
                  <c:v>220,7-613</c:v>
                </c:pt>
                <c:pt idx="12">
                  <c:v>220,7-516</c:v>
                </c:pt>
                <c:pt idx="13">
                  <c:v>220,7-416</c:v>
                </c:pt>
              </c:strCache>
            </c:strRef>
          </c:cat>
          <c:val>
            <c:numRef>
              <c:f>'Продажи 2'!$B$88:$B$101</c:f>
              <c:numCache>
                <c:formatCode>[$€-2]\ #\ ##0</c:formatCode>
                <c:ptCount val="14"/>
                <c:pt idx="0">
                  <c:v>6798539.8490056572</c:v>
                </c:pt>
                <c:pt idx="1">
                  <c:v>4576577.946102689</c:v>
                </c:pt>
                <c:pt idx="2">
                  <c:v>3975047.2396221645</c:v>
                </c:pt>
                <c:pt idx="3">
                  <c:v>3514708.8978917049</c:v>
                </c:pt>
                <c:pt idx="4">
                  <c:v>3246588.7470962359</c:v>
                </c:pt>
                <c:pt idx="5">
                  <c:v>3143120.3179709166</c:v>
                </c:pt>
                <c:pt idx="6">
                  <c:v>3027342.2076388486</c:v>
                </c:pt>
                <c:pt idx="7">
                  <c:v>2827822.3297778377</c:v>
                </c:pt>
                <c:pt idx="8">
                  <c:v>2576786.7171831476</c:v>
                </c:pt>
                <c:pt idx="9">
                  <c:v>2118180.5274721826</c:v>
                </c:pt>
                <c:pt idx="10">
                  <c:v>1832274.4739333931</c:v>
                </c:pt>
                <c:pt idx="11">
                  <c:v>1591446.2018595035</c:v>
                </c:pt>
                <c:pt idx="12">
                  <c:v>1407145.573123608</c:v>
                </c:pt>
                <c:pt idx="13">
                  <c:v>1212023.9000062174</c:v>
                </c:pt>
              </c:numCache>
            </c:numRef>
          </c:val>
          <c:extLst>
            <c:ext xmlns:c16="http://schemas.microsoft.com/office/drawing/2014/chart" uri="{C3380CC4-5D6E-409C-BE32-E72D297353CC}">
              <c16:uniqueId val="{00000000-6B05-4687-8265-B853C1A1F5AE}"/>
            </c:ext>
          </c:extLst>
        </c:ser>
        <c:dLbls>
          <c:showLegendKey val="0"/>
          <c:showVal val="0"/>
          <c:showCatName val="0"/>
          <c:showSerName val="0"/>
          <c:showPercent val="0"/>
          <c:showBubbleSize val="0"/>
          <c:showLeaderLines val="1"/>
        </c:dLbls>
        <c:firstSliceAng val="0"/>
      </c:pieChart>
    </c:plotArea>
    <c:plotVisOnly val="1"/>
    <c:dispBlanksAs val="gap"/>
    <c:showDLblsOverMax val="0"/>
  </c:chart>
  <c:txPr>
    <a:bodyPr/>
    <a:lstStyle/>
    <a:p>
      <a:pPr>
        <a:defRPr b="1">
          <a:latin typeface="Palatino Linotype" panose="02040502050505030304" pitchFamily="18" charset="0"/>
        </a:defRPr>
      </a:pPr>
      <a:endParaRPr lang="ru-R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9814357415849335"/>
          <c:y val="9.794949740566114E-2"/>
          <c:w val="0.61892379242068429"/>
          <c:h val="0.84323026491942454"/>
        </c:manualLayout>
      </c:layout>
      <c:pieChart>
        <c:varyColors val="1"/>
        <c:ser>
          <c:idx val="1"/>
          <c:order val="0"/>
          <c:explosion val="17"/>
          <c:dLbls>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numRef>
              <c:f>'Продажи 2'!$A$112:$A$121</c:f>
              <c:numCache>
                <c:formatCode>General</c:formatCode>
                <c:ptCount val="10"/>
                <c:pt idx="0">
                  <c:v>172</c:v>
                </c:pt>
                <c:pt idx="1">
                  <c:v>195</c:v>
                </c:pt>
                <c:pt idx="2">
                  <c:v>240</c:v>
                </c:pt>
                <c:pt idx="3">
                  <c:v>165</c:v>
                </c:pt>
                <c:pt idx="4">
                  <c:v>215</c:v>
                </c:pt>
                <c:pt idx="5">
                  <c:v>120</c:v>
                </c:pt>
                <c:pt idx="6">
                  <c:v>106</c:v>
                </c:pt>
                <c:pt idx="7">
                  <c:v>95</c:v>
                </c:pt>
                <c:pt idx="8">
                  <c:v>76</c:v>
                </c:pt>
                <c:pt idx="9">
                  <c:v>54</c:v>
                </c:pt>
              </c:numCache>
            </c:numRef>
          </c:cat>
          <c:val>
            <c:numRef>
              <c:f>'Продажи 2'!$B$112:$B$121</c:f>
              <c:numCache>
                <c:formatCode>[$€-2]\ #\ ##0</c:formatCode>
                <c:ptCount val="10"/>
                <c:pt idx="0">
                  <c:v>35949804.793434933</c:v>
                </c:pt>
                <c:pt idx="1">
                  <c:v>13902679.793764198</c:v>
                </c:pt>
                <c:pt idx="2">
                  <c:v>11746149.003192019</c:v>
                </c:pt>
                <c:pt idx="3">
                  <c:v>10364336.58614181</c:v>
                </c:pt>
                <c:pt idx="4">
                  <c:v>7884642.8719065767</c:v>
                </c:pt>
                <c:pt idx="5">
                  <c:v>6405090.518081503</c:v>
                </c:pt>
                <c:pt idx="6">
                  <c:v>5126915.6578617729</c:v>
                </c:pt>
                <c:pt idx="7">
                  <c:v>1972719.7250443632</c:v>
                </c:pt>
                <c:pt idx="8">
                  <c:v>766372.87837675656</c:v>
                </c:pt>
                <c:pt idx="9">
                  <c:v>177741.24530764224</c:v>
                </c:pt>
              </c:numCache>
            </c:numRef>
          </c:val>
          <c:extLst>
            <c:ext xmlns:c16="http://schemas.microsoft.com/office/drawing/2014/chart" uri="{C3380CC4-5D6E-409C-BE32-E72D297353CC}">
              <c16:uniqueId val="{00000000-2292-43FD-B4C6-8B30483AEA3F}"/>
            </c:ext>
          </c:extLst>
        </c:ser>
        <c:dLbls>
          <c:showLegendKey val="0"/>
          <c:showVal val="0"/>
          <c:showCatName val="0"/>
          <c:showSerName val="0"/>
          <c:showPercent val="0"/>
          <c:showBubbleSize val="0"/>
          <c:showLeaderLines val="1"/>
        </c:dLbls>
        <c:firstSliceAng val="0"/>
      </c:pieChart>
    </c:plotArea>
    <c:plotVisOnly val="1"/>
    <c:dispBlanksAs val="gap"/>
    <c:showDLblsOverMax val="0"/>
  </c:chart>
  <c:txPr>
    <a:bodyPr/>
    <a:lstStyle/>
    <a:p>
      <a:pPr>
        <a:defRPr b="1">
          <a:latin typeface="Palatino Linotype" panose="02040502050505030304" pitchFamily="18" charset="0"/>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1"/>
    <c:plotArea>
      <c:layout/>
      <c:lineChart>
        <c:grouping val="standard"/>
        <c:varyColors val="0"/>
        <c:ser>
          <c:idx val="0"/>
          <c:order val="0"/>
          <c:tx>
            <c:strRef>
              <c:f>Проект!$A$1735</c:f>
              <c:strCache>
                <c:ptCount val="1"/>
                <c:pt idx="0">
                  <c:v>Дисконтированный поток нарастающим итогом</c:v>
                </c:pt>
              </c:strCache>
            </c:strRef>
          </c:tx>
          <c:spPr>
            <a:ln w="38100">
              <a:solidFill>
                <a:schemeClr val="accent6">
                  <a:lumMod val="50000"/>
                </a:schemeClr>
              </a:solidFill>
            </a:ln>
          </c:spPr>
          <c:marker>
            <c:symbol val="circle"/>
            <c:size val="6"/>
            <c:spPr>
              <a:ln>
                <a:solidFill>
                  <a:schemeClr val="accent6">
                    <a:lumMod val="50000"/>
                  </a:schemeClr>
                </a:solidFill>
              </a:ln>
            </c:spPr>
          </c:marker>
          <c:cat>
            <c:strRef>
              <c:f>Проект!$F$1711:$AC$1711</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Проект!$F$1735:$AC$1735</c:f>
              <c:numCache>
                <c:formatCode>#,##0</c:formatCode>
                <c:ptCount val="24"/>
                <c:pt idx="0">
                  <c:v>0</c:v>
                </c:pt>
                <c:pt idx="1">
                  <c:v>0</c:v>
                </c:pt>
                <c:pt idx="2">
                  <c:v>-5310.9744141877218</c:v>
                </c:pt>
                <c:pt idx="3">
                  <c:v>-6679.3158320013526</c:v>
                </c:pt>
                <c:pt idx="4">
                  <c:v>-12787.915133896442</c:v>
                </c:pt>
                <c:pt idx="5">
                  <c:v>-12918.16514304072</c:v>
                </c:pt>
                <c:pt idx="6">
                  <c:v>-12905.49665013374</c:v>
                </c:pt>
                <c:pt idx="7">
                  <c:v>-12386.352759803322</c:v>
                </c:pt>
                <c:pt idx="8">
                  <c:v>-11657.422519536489</c:v>
                </c:pt>
                <c:pt idx="9">
                  <c:v>-10718.941846680926</c:v>
                </c:pt>
                <c:pt idx="10">
                  <c:v>-9693.1691489428358</c:v>
                </c:pt>
                <c:pt idx="11">
                  <c:v>-8702.6185258798614</c:v>
                </c:pt>
                <c:pt idx="12">
                  <c:v>-7746.0805530774551</c:v>
                </c:pt>
                <c:pt idx="13">
                  <c:v>-6822.3873342657926</c:v>
                </c:pt>
                <c:pt idx="14">
                  <c:v>-5930.4110753631066</c:v>
                </c:pt>
                <c:pt idx="15">
                  <c:v>-5069.0627074822596</c:v>
                </c:pt>
                <c:pt idx="16">
                  <c:v>-4237.2905572192976</c:v>
                </c:pt>
                <c:pt idx="17">
                  <c:v>-3434.0790626004609</c:v>
                </c:pt>
                <c:pt idx="18">
                  <c:v>-2658.4475331198641</c:v>
                </c:pt>
                <c:pt idx="19">
                  <c:v>-1909.44895235391</c:v>
                </c:pt>
                <c:pt idx="20">
                  <c:v>-1186.1688216904649</c:v>
                </c:pt>
                <c:pt idx="21">
                  <c:v>-487.72404376104168</c:v>
                </c:pt>
                <c:pt idx="22">
                  <c:v>186.73815578730319</c:v>
                </c:pt>
                <c:pt idx="23">
                  <c:v>838.04126949682859</c:v>
                </c:pt>
              </c:numCache>
            </c:numRef>
          </c:val>
          <c:smooth val="0"/>
          <c:extLst>
            <c:ext xmlns:c16="http://schemas.microsoft.com/office/drawing/2014/chart" uri="{C3380CC4-5D6E-409C-BE32-E72D297353CC}">
              <c16:uniqueId val="{00000000-925F-45AD-B940-34BCEC0BC70B}"/>
            </c:ext>
          </c:extLst>
        </c:ser>
        <c:dLbls>
          <c:showLegendKey val="0"/>
          <c:showVal val="0"/>
          <c:showCatName val="0"/>
          <c:showSerName val="0"/>
          <c:showPercent val="0"/>
          <c:showBubbleSize val="0"/>
        </c:dLbls>
        <c:marker val="1"/>
        <c:smooth val="0"/>
        <c:axId val="108509056"/>
        <c:axId val="108523520"/>
      </c:lineChart>
      <c:catAx>
        <c:axId val="108509056"/>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ru-RU"/>
          </a:p>
        </c:txPr>
        <c:crossAx val="108523520"/>
        <c:crosses val="autoZero"/>
        <c:auto val="1"/>
        <c:lblAlgn val="ctr"/>
        <c:lblOffset val="100"/>
        <c:tickLblSkip val="1"/>
        <c:tickMarkSkip val="1"/>
        <c:noMultiLvlLbl val="0"/>
      </c:catAx>
      <c:valAx>
        <c:axId val="108523520"/>
        <c:scaling>
          <c:orientation val="minMax"/>
        </c:scaling>
        <c:delete val="0"/>
        <c:axPos val="l"/>
        <c:majorGridlines>
          <c:spPr>
            <a:ln>
              <a:solidFill>
                <a:schemeClr val="tx1">
                  <a:lumMod val="50000"/>
                  <a:lumOff val="50000"/>
                </a:schemeClr>
              </a:solidFill>
              <a:prstDash val="sysDash"/>
            </a:ln>
          </c:spPr>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ru-RU"/>
          </a:p>
        </c:txPr>
        <c:crossAx val="108509056"/>
        <c:crosses val="autoZero"/>
        <c:crossBetween val="between"/>
      </c:valAx>
      <c:spPr>
        <a:solidFill>
          <a:sysClr val="window" lastClr="FFFFFF">
            <a:lumMod val="85000"/>
            <a:alpha val="70000"/>
          </a:sysClr>
        </a:solidFill>
      </c:spPr>
    </c:plotArea>
    <c:legend>
      <c:legendPos val="r"/>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Calibri"/>
              <a:ea typeface="Calibri"/>
              <a:cs typeface="Calibri"/>
            </a:defRPr>
          </a:pPr>
          <a:endParaRPr lang="ru-RU"/>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1" l="0.7500000000000091" r="0.7500000000000091"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5"/>
    </mc:Choice>
    <mc:Fallback>
      <c:style val="15"/>
    </mc:Fallback>
  </mc:AlternateContent>
  <c:chart>
    <c:autoTitleDeleted val="1"/>
    <c:plotArea>
      <c:layout/>
      <c:lineChart>
        <c:grouping val="standard"/>
        <c:varyColors val="0"/>
        <c:ser>
          <c:idx val="0"/>
          <c:order val="0"/>
          <c:tx>
            <c:strRef>
              <c:f>Проект!$A$1809</c:f>
              <c:strCache>
                <c:ptCount val="1"/>
                <c:pt idx="0">
                  <c:v>Дисконтированный поток нарастающим итогом</c:v>
                </c:pt>
              </c:strCache>
            </c:strRef>
          </c:tx>
          <c:spPr>
            <a:ln w="38100">
              <a:solidFill>
                <a:schemeClr val="accent1">
                  <a:lumMod val="50000"/>
                </a:schemeClr>
              </a:solidFill>
            </a:ln>
          </c:spPr>
          <c:marker>
            <c:symbol val="circle"/>
            <c:size val="7"/>
            <c:spPr>
              <a:solidFill>
                <a:schemeClr val="accent1">
                  <a:lumMod val="75000"/>
                </a:schemeClr>
              </a:solidFill>
              <a:ln>
                <a:solidFill>
                  <a:schemeClr val="accent1">
                    <a:lumMod val="50000"/>
                  </a:schemeClr>
                </a:solidFill>
              </a:ln>
            </c:spPr>
          </c:marker>
          <c:cat>
            <c:strRef>
              <c:f>Проект!$F$1785:$AC$1785</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Проект!$F$1809:$AC$1809</c:f>
            </c:numRef>
          </c:val>
          <c:smooth val="0"/>
          <c:extLst>
            <c:ext xmlns:c16="http://schemas.microsoft.com/office/drawing/2014/chart" uri="{C3380CC4-5D6E-409C-BE32-E72D297353CC}">
              <c16:uniqueId val="{00000000-8997-47D0-92F0-EACC827B2A82}"/>
            </c:ext>
          </c:extLst>
        </c:ser>
        <c:dLbls>
          <c:showLegendKey val="0"/>
          <c:showVal val="0"/>
          <c:showCatName val="0"/>
          <c:showSerName val="0"/>
          <c:showPercent val="0"/>
          <c:showBubbleSize val="0"/>
        </c:dLbls>
        <c:marker val="1"/>
        <c:smooth val="0"/>
        <c:axId val="97721728"/>
        <c:axId val="97744384"/>
      </c:lineChart>
      <c:catAx>
        <c:axId val="97721728"/>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ru-RU"/>
          </a:p>
        </c:txPr>
        <c:crossAx val="97744384"/>
        <c:crosses val="autoZero"/>
        <c:auto val="1"/>
        <c:lblAlgn val="ctr"/>
        <c:lblOffset val="100"/>
        <c:tickLblSkip val="1"/>
        <c:tickMarkSkip val="1"/>
        <c:noMultiLvlLbl val="0"/>
      </c:catAx>
      <c:valAx>
        <c:axId val="97744384"/>
        <c:scaling>
          <c:orientation val="minMax"/>
        </c:scaling>
        <c:delete val="0"/>
        <c:axPos val="l"/>
        <c:majorGridlines>
          <c:spPr>
            <a:ln>
              <a:solidFill>
                <a:schemeClr val="tx1">
                  <a:lumMod val="50000"/>
                  <a:lumOff val="50000"/>
                </a:schemeClr>
              </a:solidFill>
              <a:prstDash val="sysDash"/>
            </a:ln>
          </c:spPr>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ru-RU"/>
          </a:p>
        </c:txPr>
        <c:crossAx val="97721728"/>
        <c:crosses val="autoZero"/>
        <c:crossBetween val="between"/>
      </c:valAx>
      <c:spPr>
        <a:solidFill>
          <a:sysClr val="window" lastClr="FFFFFF">
            <a:lumMod val="85000"/>
            <a:alpha val="70000"/>
          </a:sysClr>
        </a:solidFill>
      </c:spPr>
    </c:plotArea>
    <c:legend>
      <c:legendPos val="r"/>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Calibri"/>
              <a:ea typeface="Calibri"/>
              <a:cs typeface="Calibri"/>
            </a:defRPr>
          </a:pPr>
          <a:endParaRPr lang="ru-RU"/>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1" l="0.7500000000000091" r="0.7500000000000091"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1"/>
    <c:plotArea>
      <c:layout/>
      <c:lineChart>
        <c:grouping val="standard"/>
        <c:varyColors val="0"/>
        <c:ser>
          <c:idx val="0"/>
          <c:order val="0"/>
          <c:tx>
            <c:strRef>
              <c:f>Проект!$A$1881</c:f>
              <c:strCache>
                <c:ptCount val="1"/>
                <c:pt idx="0">
                  <c:v>Дисконтированный поток нарастающим итогом</c:v>
                </c:pt>
              </c:strCache>
            </c:strRef>
          </c:tx>
          <c:spPr>
            <a:ln w="38100">
              <a:solidFill>
                <a:schemeClr val="accent1">
                  <a:lumMod val="50000"/>
                </a:schemeClr>
              </a:solidFill>
            </a:ln>
          </c:spPr>
          <c:marker>
            <c:symbol val="circle"/>
            <c:size val="7"/>
            <c:spPr>
              <a:solidFill>
                <a:schemeClr val="accent1">
                  <a:lumMod val="75000"/>
                </a:schemeClr>
              </a:solidFill>
              <a:ln>
                <a:solidFill>
                  <a:schemeClr val="accent1">
                    <a:lumMod val="50000"/>
                  </a:schemeClr>
                </a:solidFill>
              </a:ln>
            </c:spPr>
          </c:marker>
          <c:cat>
            <c:strRef>
              <c:f>Проект!$F$1859:$AC$1859</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Проект!$F$1881:$AC$1881</c:f>
            </c:numRef>
          </c:val>
          <c:smooth val="0"/>
          <c:extLst>
            <c:ext xmlns:c16="http://schemas.microsoft.com/office/drawing/2014/chart" uri="{C3380CC4-5D6E-409C-BE32-E72D297353CC}">
              <c16:uniqueId val="{00000000-836B-4BD9-B1D3-7A8B66AB4AD3}"/>
            </c:ext>
          </c:extLst>
        </c:ser>
        <c:dLbls>
          <c:showLegendKey val="0"/>
          <c:showVal val="0"/>
          <c:showCatName val="0"/>
          <c:showSerName val="0"/>
          <c:showPercent val="0"/>
          <c:showBubbleSize val="0"/>
        </c:dLbls>
        <c:marker val="1"/>
        <c:smooth val="0"/>
        <c:axId val="97776384"/>
        <c:axId val="97778304"/>
      </c:lineChart>
      <c:catAx>
        <c:axId val="97776384"/>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ru-RU"/>
          </a:p>
        </c:txPr>
        <c:crossAx val="97778304"/>
        <c:crosses val="autoZero"/>
        <c:auto val="1"/>
        <c:lblAlgn val="ctr"/>
        <c:lblOffset val="100"/>
        <c:tickLblSkip val="1"/>
        <c:tickMarkSkip val="1"/>
        <c:noMultiLvlLbl val="0"/>
      </c:catAx>
      <c:valAx>
        <c:axId val="97778304"/>
        <c:scaling>
          <c:orientation val="minMax"/>
        </c:scaling>
        <c:delete val="0"/>
        <c:axPos val="l"/>
        <c:majorGridlines>
          <c:spPr>
            <a:ln>
              <a:solidFill>
                <a:schemeClr val="tx1">
                  <a:lumMod val="50000"/>
                  <a:lumOff val="50000"/>
                </a:schemeClr>
              </a:solidFill>
              <a:prstDash val="sysDash"/>
            </a:ln>
          </c:spPr>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ru-RU"/>
          </a:p>
        </c:txPr>
        <c:crossAx val="97776384"/>
        <c:crosses val="autoZero"/>
        <c:crossBetween val="between"/>
      </c:valAx>
      <c:spPr>
        <a:solidFill>
          <a:sysClr val="window" lastClr="FFFFFF">
            <a:lumMod val="85000"/>
            <a:alpha val="70000"/>
          </a:sysClr>
        </a:solidFill>
      </c:spPr>
    </c:plotArea>
    <c:legend>
      <c:legendPos val="r"/>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Calibri"/>
              <a:ea typeface="Calibri"/>
              <a:cs typeface="Calibri"/>
            </a:defRPr>
          </a:pPr>
          <a:endParaRPr lang="ru-RU"/>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1" l="0.7500000000000091" r="0.7500000000000091"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Проект!$A$2060</c:f>
              <c:strCache>
                <c:ptCount val="1"/>
                <c:pt idx="0">
                  <c:v>NPV для полных инвестиционных затрат</c:v>
                </c:pt>
              </c:strCache>
            </c:strRef>
          </c:tx>
          <c:spPr>
            <a:ln>
              <a:solidFill>
                <a:schemeClr val="accent1">
                  <a:lumMod val="50000"/>
                </a:schemeClr>
              </a:solidFill>
            </a:ln>
          </c:spPr>
          <c:marker>
            <c:spPr>
              <a:solidFill>
                <a:schemeClr val="accent1">
                  <a:lumMod val="50000"/>
                </a:schemeClr>
              </a:solidFill>
              <a:ln>
                <a:solidFill>
                  <a:schemeClr val="accent1">
                    <a:lumMod val="50000"/>
                  </a:schemeClr>
                </a:solidFill>
              </a:ln>
            </c:spPr>
          </c:marker>
          <c:cat>
            <c:numRef>
              <c:f>Проект!$B$2063:$B$2069</c:f>
              <c:numCache>
                <c:formatCode>0%</c:formatCode>
                <c:ptCount val="7"/>
                <c:pt idx="0">
                  <c:v>1</c:v>
                </c:pt>
                <c:pt idx="1">
                  <c:v>1.05</c:v>
                </c:pt>
                <c:pt idx="2">
                  <c:v>1.1000000000000001</c:v>
                </c:pt>
                <c:pt idx="3">
                  <c:v>1.1500000000000001</c:v>
                </c:pt>
                <c:pt idx="4">
                  <c:v>1.2000000000000002</c:v>
                </c:pt>
                <c:pt idx="5">
                  <c:v>1.2500000000000002</c:v>
                </c:pt>
                <c:pt idx="6">
                  <c:v>1.3000000000000003</c:v>
                </c:pt>
              </c:numCache>
            </c:numRef>
          </c:cat>
          <c:val>
            <c:numRef>
              <c:f>Проект!$C$2063:$C$2069</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3FAC-41EB-A09B-1C00F4DE6BBD}"/>
            </c:ext>
          </c:extLst>
        </c:ser>
        <c:dLbls>
          <c:showLegendKey val="0"/>
          <c:showVal val="0"/>
          <c:showCatName val="0"/>
          <c:showSerName val="0"/>
          <c:showPercent val="0"/>
          <c:showBubbleSize val="0"/>
        </c:dLbls>
        <c:marker val="1"/>
        <c:smooth val="0"/>
        <c:axId val="108462080"/>
        <c:axId val="109861120"/>
      </c:lineChart>
      <c:catAx>
        <c:axId val="1084620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yr"/>
                <a:ea typeface="Arial Cyr"/>
                <a:cs typeface="Arial Cyr"/>
              </a:defRPr>
            </a:pPr>
            <a:endParaRPr lang="ru-RU"/>
          </a:p>
        </c:txPr>
        <c:crossAx val="109861120"/>
        <c:crosses val="autoZero"/>
        <c:auto val="1"/>
        <c:lblAlgn val="ctr"/>
        <c:lblOffset val="100"/>
        <c:tickLblSkip val="1"/>
        <c:tickMarkSkip val="1"/>
        <c:noMultiLvlLbl val="0"/>
      </c:catAx>
      <c:valAx>
        <c:axId val="109861120"/>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yr"/>
                <a:ea typeface="Arial Cyr"/>
                <a:cs typeface="Arial Cyr"/>
              </a:defRPr>
            </a:pPr>
            <a:endParaRPr lang="ru-RU"/>
          </a:p>
        </c:txPr>
        <c:crossAx val="108462080"/>
        <c:crosses val="autoZero"/>
        <c:crossBetween val="between"/>
      </c:valAx>
      <c:spPr>
        <a:solidFill>
          <a:sysClr val="window" lastClr="FFFFFF">
            <a:lumMod val="85000"/>
            <a:alpha val="70000"/>
          </a:sysClr>
        </a:solidFill>
        <a:ln w="12700">
          <a:solidFill>
            <a:srgbClr val="C0C0C0"/>
          </a:solidFill>
          <a:prstDash val="solid"/>
        </a:ln>
      </c:spPr>
    </c:plotArea>
    <c:legend>
      <c:legendPos val="r"/>
      <c:overlay val="0"/>
      <c:spPr>
        <a:solidFill>
          <a:srgbClr val="FFFFFF"/>
        </a:solidFill>
        <a:ln w="3175">
          <a:noFill/>
          <a:prstDash val="solid"/>
        </a:ln>
      </c:spPr>
      <c:txPr>
        <a:bodyPr/>
        <a:lstStyle/>
        <a:p>
          <a:pPr>
            <a:defRPr sz="80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Cyr"/>
          <a:ea typeface="Arial Cyr"/>
          <a:cs typeface="Arial Cyr"/>
        </a:defRPr>
      </a:pPr>
      <a:endParaRPr lang="ru-RU"/>
    </a:p>
  </c:txPr>
  <c:printSettings>
    <c:headerFooter alignWithMargins="0"/>
    <c:pageMargins b="1" l="0.75000000000000955" r="0.7500000000000095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Проект!$A$1347</c:f>
              <c:strCache>
                <c:ptCount val="1"/>
                <c:pt idx="0">
                  <c:v>Поступления кредитов</c:v>
                </c:pt>
              </c:strCache>
            </c:strRef>
          </c:tx>
          <c:spPr>
            <a:gradFill flip="none" rotWithShape="1">
              <a:gsLst>
                <a:gs pos="0">
                  <a:srgbClr val="D7E3BC">
                    <a:lumMod val="25000"/>
                    <a:alpha val="80000"/>
                  </a:srgbClr>
                </a:gs>
                <a:gs pos="50000">
                  <a:srgbClr val="D7E3BC">
                    <a:lumMod val="50000"/>
                    <a:alpha val="80000"/>
                  </a:srgbClr>
                </a:gs>
                <a:gs pos="100000">
                  <a:srgbClr val="D7E3BC">
                    <a:lumMod val="75000"/>
                    <a:alpha val="80000"/>
                  </a:srgbClr>
                </a:gs>
              </a:gsLst>
              <a:lin ang="16200000" scaled="1"/>
              <a:tileRect/>
            </a:gradFill>
            <a:ln>
              <a:solidFill>
                <a:schemeClr val="bg1"/>
              </a:solidFill>
            </a:ln>
            <a:effectLst>
              <a:outerShdw blurRad="25400" dist="12700" dir="2700000" algn="tl" rotWithShape="0">
                <a:prstClr val="black">
                  <a:alpha val="40000"/>
                </a:prstClr>
              </a:outerShdw>
            </a:effectLst>
          </c:spPr>
          <c:invertIfNegative val="0"/>
          <c:cat>
            <c:strRef>
              <c:f>Проект!$F$1319:$AC$1319</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Проект!$F$1347:$AC$1347</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5EC7-428C-801D-49D6CC3E4169}"/>
            </c:ext>
          </c:extLst>
        </c:ser>
        <c:ser>
          <c:idx val="2"/>
          <c:order val="1"/>
          <c:tx>
            <c:strRef>
              <c:f>Проект!$A$1327</c:f>
              <c:strCache>
                <c:ptCount val="1"/>
                <c:pt idx="0">
                  <c:v>Выплата процентов по кредитам</c:v>
                </c:pt>
              </c:strCache>
            </c:strRef>
          </c:tx>
          <c:spPr>
            <a:solidFill>
              <a:schemeClr val="accent1">
                <a:lumMod val="75000"/>
                <a:alpha val="80000"/>
              </a:schemeClr>
            </a:solidFill>
            <a:ln>
              <a:solidFill>
                <a:schemeClr val="bg1">
                  <a:alpha val="80000"/>
                </a:schemeClr>
              </a:solidFill>
            </a:ln>
            <a:effectLst>
              <a:outerShdw blurRad="25400" dist="12700" dir="2700000" algn="tl" rotWithShape="0">
                <a:prstClr val="black">
                  <a:alpha val="40000"/>
                </a:prstClr>
              </a:outerShdw>
            </a:effectLst>
          </c:spPr>
          <c:invertIfNegative val="0"/>
          <c:cat>
            <c:strRef>
              <c:f>Проект!$F$1319:$AC$1319</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Проект!$F$1327:$AC$1327</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5EC7-428C-801D-49D6CC3E4169}"/>
            </c:ext>
          </c:extLst>
        </c:ser>
        <c:ser>
          <c:idx val="1"/>
          <c:order val="2"/>
          <c:tx>
            <c:strRef>
              <c:f>Проект!$A$1348</c:f>
              <c:strCache>
                <c:ptCount val="1"/>
                <c:pt idx="0">
                  <c:v>Возврат кредитов</c:v>
                </c:pt>
              </c:strCache>
            </c:strRef>
          </c:tx>
          <c:spPr>
            <a:solidFill>
              <a:srgbClr val="D75353">
                <a:alpha val="80000"/>
              </a:srgbClr>
            </a:solidFill>
            <a:ln>
              <a:solidFill>
                <a:schemeClr val="bg1"/>
              </a:solidFill>
            </a:ln>
            <a:effectLst>
              <a:outerShdw blurRad="25400" dist="12700" dir="2700000" algn="tl" rotWithShape="0">
                <a:prstClr val="black">
                  <a:alpha val="40000"/>
                </a:prstClr>
              </a:outerShdw>
            </a:effectLst>
          </c:spPr>
          <c:invertIfNegative val="0"/>
          <c:cat>
            <c:strRef>
              <c:f>Проект!$F$1319:$AC$1319</c:f>
              <c:strCache>
                <c:ptCount val="24"/>
                <c:pt idx="0">
                  <c:v>1 кв. 2016</c:v>
                </c:pt>
                <c:pt idx="1">
                  <c:v>2 кв. 2016</c:v>
                </c:pt>
                <c:pt idx="2">
                  <c:v>3 кв. 2016</c:v>
                </c:pt>
                <c:pt idx="3">
                  <c:v>4 кв. 2016</c:v>
                </c:pt>
                <c:pt idx="4">
                  <c:v>1 кв. 2017</c:v>
                </c:pt>
                <c:pt idx="5">
                  <c:v>2 кв. 2017</c:v>
                </c:pt>
                <c:pt idx="6">
                  <c:v>3 кв. 2017</c:v>
                </c:pt>
                <c:pt idx="7">
                  <c:v>4 кв. 2017</c:v>
                </c:pt>
                <c:pt idx="8">
                  <c:v>1 кв. 2018</c:v>
                </c:pt>
                <c:pt idx="9">
                  <c:v>2 кв. 2018</c:v>
                </c:pt>
                <c:pt idx="10">
                  <c:v>3 кв. 2018</c:v>
                </c:pt>
                <c:pt idx="11">
                  <c:v>4 кв. 2018</c:v>
                </c:pt>
                <c:pt idx="12">
                  <c:v>1 кв. 2019</c:v>
                </c:pt>
                <c:pt idx="13">
                  <c:v>2 кв. 2019</c:v>
                </c:pt>
                <c:pt idx="14">
                  <c:v>3 кв. 2019</c:v>
                </c:pt>
                <c:pt idx="15">
                  <c:v>4 кв. 2019</c:v>
                </c:pt>
                <c:pt idx="16">
                  <c:v>1 кв. 2020</c:v>
                </c:pt>
                <c:pt idx="17">
                  <c:v>2 кв. 2020</c:v>
                </c:pt>
                <c:pt idx="18">
                  <c:v>3 кв. 2020</c:v>
                </c:pt>
                <c:pt idx="19">
                  <c:v>4 кв. 2020</c:v>
                </c:pt>
                <c:pt idx="20">
                  <c:v>1 кв. 2021</c:v>
                </c:pt>
                <c:pt idx="21">
                  <c:v>2 кв. 2021</c:v>
                </c:pt>
                <c:pt idx="22">
                  <c:v>3 кв. 2021</c:v>
                </c:pt>
                <c:pt idx="23">
                  <c:v>4 кв. 2021</c:v>
                </c:pt>
              </c:strCache>
            </c:strRef>
          </c:cat>
          <c:val>
            <c:numRef>
              <c:f>Проект!$F$1348:$AC$1348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2-5EC7-428C-801D-49D6CC3E4169}"/>
            </c:ext>
          </c:extLst>
        </c:ser>
        <c:dLbls>
          <c:showLegendKey val="0"/>
          <c:showVal val="0"/>
          <c:showCatName val="0"/>
          <c:showSerName val="0"/>
          <c:showPercent val="0"/>
          <c:showBubbleSize val="0"/>
        </c:dLbls>
        <c:gapWidth val="150"/>
        <c:overlap val="100"/>
        <c:axId val="109920256"/>
        <c:axId val="109921792"/>
      </c:barChart>
      <c:catAx>
        <c:axId val="109920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yr"/>
                <a:ea typeface="Arial Cyr"/>
                <a:cs typeface="Arial Cyr"/>
              </a:defRPr>
            </a:pPr>
            <a:endParaRPr lang="ru-RU"/>
          </a:p>
        </c:txPr>
        <c:crossAx val="109921792"/>
        <c:crosses val="autoZero"/>
        <c:auto val="1"/>
        <c:lblAlgn val="ctr"/>
        <c:lblOffset val="100"/>
        <c:tickLblSkip val="1"/>
        <c:tickMarkSkip val="1"/>
        <c:noMultiLvlLbl val="0"/>
      </c:catAx>
      <c:valAx>
        <c:axId val="109921792"/>
        <c:scaling>
          <c:orientation val="minMax"/>
        </c:scaling>
        <c:delete val="0"/>
        <c:axPos val="l"/>
        <c:majorGridlines>
          <c:spPr>
            <a:ln w="3175">
              <a:solidFill>
                <a:schemeClr val="tx1">
                  <a:lumMod val="50000"/>
                  <a:lumOff val="50000"/>
                </a:scheme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yr"/>
                <a:ea typeface="Arial Cyr"/>
                <a:cs typeface="Arial Cyr"/>
              </a:defRPr>
            </a:pPr>
            <a:endParaRPr lang="ru-RU"/>
          </a:p>
        </c:txPr>
        <c:crossAx val="109920256"/>
        <c:crosses val="autoZero"/>
        <c:crossBetween val="between"/>
      </c:valAx>
      <c:spPr>
        <a:solidFill>
          <a:srgbClr val="D8D8D8">
            <a:alpha val="70000"/>
          </a:srgbClr>
        </a:solidFill>
        <a:ln w="12700">
          <a:solidFill>
            <a:srgbClr val="C0C0C0"/>
          </a:solidFill>
          <a:prstDash val="solid"/>
        </a:ln>
      </c:spPr>
    </c:plotArea>
    <c:legend>
      <c:legendPos val="r"/>
      <c:overlay val="0"/>
      <c:spPr>
        <a:solidFill>
          <a:srgbClr val="FFFFFF"/>
        </a:solidFill>
        <a:ln w="0">
          <a:noFill/>
          <a:prstDash val="solid"/>
        </a:ln>
      </c:spPr>
      <c:txPr>
        <a:bodyPr/>
        <a:lstStyle/>
        <a:p>
          <a:pPr>
            <a:defRPr sz="80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Cyr"/>
          <a:ea typeface="Arial Cyr"/>
          <a:cs typeface="Arial Cyr"/>
        </a:defRPr>
      </a:pPr>
      <a:endParaRPr lang="ru-RU"/>
    </a:p>
  </c:txPr>
  <c:printSettings>
    <c:headerFooter alignWithMargins="0"/>
    <c:pageMargins b="1" l="0.75000000000000933" r="0.75000000000000933" t="1" header="0.5" footer="0.5"/>
    <c:pageSetup/>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5.xml"/><Relationship Id="rId13" Type="http://schemas.openxmlformats.org/officeDocument/2006/relationships/chart" Target="../charts/chart30.xml"/><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chart" Target="../charts/chart29.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5" Type="http://schemas.openxmlformats.org/officeDocument/2006/relationships/chart" Target="../charts/chart3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 Id="rId14"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0.xml"/><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11" Type="http://schemas.openxmlformats.org/officeDocument/2006/relationships/chart" Target="../charts/chart43.xml"/><Relationship Id="rId5" Type="http://schemas.openxmlformats.org/officeDocument/2006/relationships/chart" Target="../charts/chart37.xml"/><Relationship Id="rId10" Type="http://schemas.openxmlformats.org/officeDocument/2006/relationships/chart" Target="../charts/chart42.xml"/><Relationship Id="rId4" Type="http://schemas.openxmlformats.org/officeDocument/2006/relationships/chart" Target="../charts/chart36.xml"/><Relationship Id="rId9" Type="http://schemas.openxmlformats.org/officeDocument/2006/relationships/chart" Target="../charts/chart4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drawing1.xml><?xml version="1.0" encoding="utf-8"?>
<xdr:wsDr xmlns:xdr="http://schemas.openxmlformats.org/drawingml/2006/spreadsheetDrawing" xmlns:a="http://schemas.openxmlformats.org/drawingml/2006/main">
  <xdr:twoCellAnchor>
    <xdr:from>
      <xdr:col>0</xdr:col>
      <xdr:colOff>0</xdr:colOff>
      <xdr:row>1224</xdr:row>
      <xdr:rowOff>0</xdr:rowOff>
    </xdr:from>
    <xdr:to>
      <xdr:col>8</xdr:col>
      <xdr:colOff>0</xdr:colOff>
      <xdr:row>1247</xdr:row>
      <xdr:rowOff>0</xdr:rowOff>
    </xdr:to>
    <xdr:graphicFrame macro="">
      <xdr:nvGraphicFramePr>
        <xdr:cNvPr id="14777047" name="Chart 176">
          <a:extLst>
            <a:ext uri="{FF2B5EF4-FFF2-40B4-BE49-F238E27FC236}">
              <a16:creationId xmlns:a16="http://schemas.microsoft.com/office/drawing/2014/main" id="{00000000-0008-0000-0000-0000D77AE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1249</xdr:row>
      <xdr:rowOff>0</xdr:rowOff>
    </xdr:from>
    <xdr:to>
      <xdr:col>7</xdr:col>
      <xdr:colOff>666750</xdr:colOff>
      <xdr:row>1272</xdr:row>
      <xdr:rowOff>0</xdr:rowOff>
    </xdr:to>
    <xdr:graphicFrame macro="">
      <xdr:nvGraphicFramePr>
        <xdr:cNvPr id="14777048" name="Chart 177">
          <a:extLst>
            <a:ext uri="{FF2B5EF4-FFF2-40B4-BE49-F238E27FC236}">
              <a16:creationId xmlns:a16="http://schemas.microsoft.com/office/drawing/2014/main" id="{00000000-0008-0000-0000-0000D87AE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1358</xdr:row>
      <xdr:rowOff>0</xdr:rowOff>
    </xdr:from>
    <xdr:to>
      <xdr:col>7</xdr:col>
      <xdr:colOff>666750</xdr:colOff>
      <xdr:row>1380</xdr:row>
      <xdr:rowOff>133350</xdr:rowOff>
    </xdr:to>
    <xdr:graphicFrame macro="">
      <xdr:nvGraphicFramePr>
        <xdr:cNvPr id="14777049" name="Chart 178">
          <a:extLst>
            <a:ext uri="{FF2B5EF4-FFF2-40B4-BE49-F238E27FC236}">
              <a16:creationId xmlns:a16="http://schemas.microsoft.com/office/drawing/2014/main" id="{00000000-0008-0000-0000-0000D97AE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1383</xdr:row>
      <xdr:rowOff>0</xdr:rowOff>
    </xdr:from>
    <xdr:to>
      <xdr:col>8</xdr:col>
      <xdr:colOff>0</xdr:colOff>
      <xdr:row>1406</xdr:row>
      <xdr:rowOff>0</xdr:rowOff>
    </xdr:to>
    <xdr:graphicFrame macro="">
      <xdr:nvGraphicFramePr>
        <xdr:cNvPr id="14777050" name="Chart 179">
          <a:extLst>
            <a:ext uri="{FF2B5EF4-FFF2-40B4-BE49-F238E27FC236}">
              <a16:creationId xmlns:a16="http://schemas.microsoft.com/office/drawing/2014/main" id="{00000000-0008-0000-0000-0000DA7AE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1759</xdr:row>
      <xdr:rowOff>9525</xdr:rowOff>
    </xdr:from>
    <xdr:to>
      <xdr:col>8</xdr:col>
      <xdr:colOff>0</xdr:colOff>
      <xdr:row>1781</xdr:row>
      <xdr:rowOff>133350</xdr:rowOff>
    </xdr:to>
    <xdr:graphicFrame macro="">
      <xdr:nvGraphicFramePr>
        <xdr:cNvPr id="14777051" name="Chart 184">
          <a:extLst>
            <a:ext uri="{FF2B5EF4-FFF2-40B4-BE49-F238E27FC236}">
              <a16:creationId xmlns:a16="http://schemas.microsoft.com/office/drawing/2014/main" id="{00000000-0008-0000-0000-0000DB7AE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9525</xdr:colOff>
      <xdr:row>1833</xdr:row>
      <xdr:rowOff>9525</xdr:rowOff>
    </xdr:from>
    <xdr:to>
      <xdr:col>8</xdr:col>
      <xdr:colOff>0</xdr:colOff>
      <xdr:row>1856</xdr:row>
      <xdr:rowOff>0</xdr:rowOff>
    </xdr:to>
    <xdr:graphicFrame macro="">
      <xdr:nvGraphicFramePr>
        <xdr:cNvPr id="14777052" name="Chart 185">
          <a:extLst>
            <a:ext uri="{FF2B5EF4-FFF2-40B4-BE49-F238E27FC236}">
              <a16:creationId xmlns:a16="http://schemas.microsoft.com/office/drawing/2014/main" id="{00000000-0008-0000-0000-0000DC7AE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xdr:colOff>
      <xdr:row>1905</xdr:row>
      <xdr:rowOff>0</xdr:rowOff>
    </xdr:from>
    <xdr:to>
      <xdr:col>7</xdr:col>
      <xdr:colOff>666750</xdr:colOff>
      <xdr:row>1928</xdr:row>
      <xdr:rowOff>0</xdr:rowOff>
    </xdr:to>
    <xdr:graphicFrame macro="">
      <xdr:nvGraphicFramePr>
        <xdr:cNvPr id="14777053" name="Chart 186">
          <a:extLst>
            <a:ext uri="{FF2B5EF4-FFF2-40B4-BE49-F238E27FC236}">
              <a16:creationId xmlns:a16="http://schemas.microsoft.com/office/drawing/2014/main" id="{00000000-0008-0000-0000-0000DD7AE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2071</xdr:row>
      <xdr:rowOff>0</xdr:rowOff>
    </xdr:from>
    <xdr:to>
      <xdr:col>8</xdr:col>
      <xdr:colOff>0</xdr:colOff>
      <xdr:row>2094</xdr:row>
      <xdr:rowOff>0</xdr:rowOff>
    </xdr:to>
    <xdr:graphicFrame macro="">
      <xdr:nvGraphicFramePr>
        <xdr:cNvPr id="14777054" name="Chart 186">
          <a:extLst>
            <a:ext uri="{FF2B5EF4-FFF2-40B4-BE49-F238E27FC236}">
              <a16:creationId xmlns:a16="http://schemas.microsoft.com/office/drawing/2014/main" id="{00000000-0008-0000-0000-0000DE7AE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1408</xdr:row>
      <xdr:rowOff>0</xdr:rowOff>
    </xdr:from>
    <xdr:to>
      <xdr:col>8</xdr:col>
      <xdr:colOff>0</xdr:colOff>
      <xdr:row>1431</xdr:row>
      <xdr:rowOff>0</xdr:rowOff>
    </xdr:to>
    <xdr:graphicFrame macro="">
      <xdr:nvGraphicFramePr>
        <xdr:cNvPr id="14777055" name="Chart 178">
          <a:extLst>
            <a:ext uri="{FF2B5EF4-FFF2-40B4-BE49-F238E27FC236}">
              <a16:creationId xmlns:a16="http://schemas.microsoft.com/office/drawing/2014/main" id="{00000000-0008-0000-0000-0000DF7AE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1433</xdr:row>
      <xdr:rowOff>0</xdr:rowOff>
    </xdr:from>
    <xdr:to>
      <xdr:col>8</xdr:col>
      <xdr:colOff>0</xdr:colOff>
      <xdr:row>1456</xdr:row>
      <xdr:rowOff>0</xdr:rowOff>
    </xdr:to>
    <xdr:graphicFrame macro="">
      <xdr:nvGraphicFramePr>
        <xdr:cNvPr id="14777056" name="Chart 179">
          <a:extLst>
            <a:ext uri="{FF2B5EF4-FFF2-40B4-BE49-F238E27FC236}">
              <a16:creationId xmlns:a16="http://schemas.microsoft.com/office/drawing/2014/main" id="{00000000-0008-0000-0000-0000E07AE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1503</xdr:row>
      <xdr:rowOff>0</xdr:rowOff>
    </xdr:from>
    <xdr:to>
      <xdr:col>8</xdr:col>
      <xdr:colOff>0</xdr:colOff>
      <xdr:row>1526</xdr:row>
      <xdr:rowOff>0</xdr:rowOff>
    </xdr:to>
    <xdr:graphicFrame macro="">
      <xdr:nvGraphicFramePr>
        <xdr:cNvPr id="14777057" name="Chart 179">
          <a:extLst>
            <a:ext uri="{FF2B5EF4-FFF2-40B4-BE49-F238E27FC236}">
              <a16:creationId xmlns:a16="http://schemas.microsoft.com/office/drawing/2014/main" id="{00000000-0008-0000-0000-0000E17AE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1528</xdr:row>
      <xdr:rowOff>0</xdr:rowOff>
    </xdr:from>
    <xdr:to>
      <xdr:col>8</xdr:col>
      <xdr:colOff>0</xdr:colOff>
      <xdr:row>1551</xdr:row>
      <xdr:rowOff>0</xdr:rowOff>
    </xdr:to>
    <xdr:graphicFrame macro="">
      <xdr:nvGraphicFramePr>
        <xdr:cNvPr id="14777058" name="Chart 179">
          <a:extLst>
            <a:ext uri="{FF2B5EF4-FFF2-40B4-BE49-F238E27FC236}">
              <a16:creationId xmlns:a16="http://schemas.microsoft.com/office/drawing/2014/main" id="{00000000-0008-0000-0000-0000E27AE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1581</xdr:row>
      <xdr:rowOff>0</xdr:rowOff>
    </xdr:from>
    <xdr:to>
      <xdr:col>8</xdr:col>
      <xdr:colOff>0</xdr:colOff>
      <xdr:row>1604</xdr:row>
      <xdr:rowOff>0</xdr:rowOff>
    </xdr:to>
    <xdr:graphicFrame macro="">
      <xdr:nvGraphicFramePr>
        <xdr:cNvPr id="14777059" name="Chart 179">
          <a:extLst>
            <a:ext uri="{FF2B5EF4-FFF2-40B4-BE49-F238E27FC236}">
              <a16:creationId xmlns:a16="http://schemas.microsoft.com/office/drawing/2014/main" id="{00000000-0008-0000-0000-0000E37AE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1606</xdr:row>
      <xdr:rowOff>0</xdr:rowOff>
    </xdr:from>
    <xdr:to>
      <xdr:col>8</xdr:col>
      <xdr:colOff>0</xdr:colOff>
      <xdr:row>1629</xdr:row>
      <xdr:rowOff>0</xdr:rowOff>
    </xdr:to>
    <xdr:graphicFrame macro="">
      <xdr:nvGraphicFramePr>
        <xdr:cNvPr id="14777060" name="Chart 179">
          <a:extLst>
            <a:ext uri="{FF2B5EF4-FFF2-40B4-BE49-F238E27FC236}">
              <a16:creationId xmlns:a16="http://schemas.microsoft.com/office/drawing/2014/main" id="{00000000-0008-0000-0000-0000E47AE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1631</xdr:row>
      <xdr:rowOff>0</xdr:rowOff>
    </xdr:from>
    <xdr:to>
      <xdr:col>8</xdr:col>
      <xdr:colOff>0</xdr:colOff>
      <xdr:row>1654</xdr:row>
      <xdr:rowOff>0</xdr:rowOff>
    </xdr:to>
    <xdr:graphicFrame macro="">
      <xdr:nvGraphicFramePr>
        <xdr:cNvPr id="14777061" name="Chart 179">
          <a:extLst>
            <a:ext uri="{FF2B5EF4-FFF2-40B4-BE49-F238E27FC236}">
              <a16:creationId xmlns:a16="http://schemas.microsoft.com/office/drawing/2014/main" id="{00000000-0008-0000-0000-0000E57AE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1139</xdr:row>
      <xdr:rowOff>0</xdr:rowOff>
    </xdr:from>
    <xdr:to>
      <xdr:col>8</xdr:col>
      <xdr:colOff>0</xdr:colOff>
      <xdr:row>1162</xdr:row>
      <xdr:rowOff>0</xdr:rowOff>
    </xdr:to>
    <xdr:graphicFrame macro="">
      <xdr:nvGraphicFramePr>
        <xdr:cNvPr id="14777062" name="Chart 179">
          <a:extLst>
            <a:ext uri="{FF2B5EF4-FFF2-40B4-BE49-F238E27FC236}">
              <a16:creationId xmlns:a16="http://schemas.microsoft.com/office/drawing/2014/main" id="{00000000-0008-0000-0000-0000E67AE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1293</xdr:row>
      <xdr:rowOff>0</xdr:rowOff>
    </xdr:from>
    <xdr:to>
      <xdr:col>7</xdr:col>
      <xdr:colOff>666750</xdr:colOff>
      <xdr:row>1316</xdr:row>
      <xdr:rowOff>0</xdr:rowOff>
    </xdr:to>
    <xdr:graphicFrame macro="">
      <xdr:nvGraphicFramePr>
        <xdr:cNvPr id="14777063" name="Chart 177">
          <a:extLst>
            <a:ext uri="{FF2B5EF4-FFF2-40B4-BE49-F238E27FC236}">
              <a16:creationId xmlns:a16="http://schemas.microsoft.com/office/drawing/2014/main" id="{00000000-0008-0000-0000-0000E77AE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mc:AlternateContent xmlns:mc="http://schemas.openxmlformats.org/markup-compatibility/2006">
    <mc:Choice xmlns:a14="http://schemas.microsoft.com/office/drawing/2010/main" Requires="a14">
      <xdr:twoCellAnchor>
        <xdr:from>
          <xdr:col>0</xdr:col>
          <xdr:colOff>19050</xdr:colOff>
          <xdr:row>16</xdr:row>
          <xdr:rowOff>0</xdr:rowOff>
        </xdr:from>
        <xdr:to>
          <xdr:col>1</xdr:col>
          <xdr:colOff>9525</xdr:colOff>
          <xdr:row>17</xdr:row>
          <xdr:rowOff>47625</xdr:rowOff>
        </xdr:to>
        <xdr:sp macro="" textlink="">
          <xdr:nvSpPr>
            <xdr:cNvPr id="1043" name="Button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800" b="0" i="0" u="none" strike="noStrike" baseline="0">
                  <a:solidFill>
                    <a:srgbClr val="000000"/>
                  </a:solidFill>
                  <a:latin typeface="Arial"/>
                  <a:cs typeface="Arial"/>
                </a:rPr>
                <a:t>Изменить параметры проекта...</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23</xdr:row>
          <xdr:rowOff>0</xdr:rowOff>
        </xdr:from>
        <xdr:to>
          <xdr:col>1</xdr:col>
          <xdr:colOff>9525</xdr:colOff>
          <xdr:row>24</xdr:row>
          <xdr:rowOff>47625</xdr:rowOff>
        </xdr:to>
        <xdr:sp macro="" textlink="">
          <xdr:nvSpPr>
            <xdr:cNvPr id="1044" name="Button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800" b="0" i="0" u="none" strike="noStrike" baseline="0">
                  <a:solidFill>
                    <a:srgbClr val="000000"/>
                  </a:solidFill>
                  <a:latin typeface="Arial"/>
                  <a:cs typeface="Arial"/>
                </a:rPr>
                <a:t>Изменить отображение...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620</xdr:row>
          <xdr:rowOff>9525</xdr:rowOff>
        </xdr:from>
        <xdr:to>
          <xdr:col>3</xdr:col>
          <xdr:colOff>0</xdr:colOff>
          <xdr:row>621</xdr:row>
          <xdr:rowOff>0</xdr:rowOff>
        </xdr:to>
        <xdr:sp macro="" textlink="">
          <xdr:nvSpPr>
            <xdr:cNvPr id="1051" name="PRJ_BTN_8"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800" b="0" i="0" u="none" strike="noStrike" baseline="0">
                  <a:solidFill>
                    <a:srgbClr val="000000"/>
                  </a:solidFill>
                  <a:latin typeface="Arial Cyr"/>
                  <a:cs typeface="Arial Cyr"/>
                </a:rPr>
                <a:t>Добавить / удалить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621</xdr:row>
          <xdr:rowOff>0</xdr:rowOff>
        </xdr:from>
        <xdr:to>
          <xdr:col>3</xdr:col>
          <xdr:colOff>0</xdr:colOff>
          <xdr:row>661</xdr:row>
          <xdr:rowOff>0</xdr:rowOff>
        </xdr:to>
        <xdr:sp macro="" textlink="">
          <xdr:nvSpPr>
            <xdr:cNvPr id="1062" name="PRJ_BTN_3"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800" b="0" i="0" u="none" strike="noStrike" baseline="0">
                  <a:solidFill>
                    <a:srgbClr val="000000"/>
                  </a:solidFill>
                  <a:latin typeface="Arial Cyr"/>
                  <a:cs typeface="Arial Cyr"/>
                </a:rPr>
                <a:t>Добавить / удалить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724</xdr:row>
          <xdr:rowOff>0</xdr:rowOff>
        </xdr:from>
        <xdr:to>
          <xdr:col>3</xdr:col>
          <xdr:colOff>0</xdr:colOff>
          <xdr:row>738</xdr:row>
          <xdr:rowOff>9525</xdr:rowOff>
        </xdr:to>
        <xdr:sp macro="" textlink="">
          <xdr:nvSpPr>
            <xdr:cNvPr id="1067" name="Button 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800" b="0" i="0" u="none" strike="noStrike" baseline="0">
                  <a:solidFill>
                    <a:srgbClr val="000000"/>
                  </a:solidFill>
                  <a:latin typeface="Arial Cyr"/>
                  <a:cs typeface="Arial Cyr"/>
                </a:rPr>
                <a:t>Добавить / удалить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819</xdr:row>
          <xdr:rowOff>0</xdr:rowOff>
        </xdr:from>
        <xdr:to>
          <xdr:col>3</xdr:col>
          <xdr:colOff>0</xdr:colOff>
          <xdr:row>820</xdr:row>
          <xdr:rowOff>0</xdr:rowOff>
        </xdr:to>
        <xdr:sp macro="" textlink="">
          <xdr:nvSpPr>
            <xdr:cNvPr id="1070" name="Button 46"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800" b="0" i="0" u="none" strike="noStrike" baseline="0">
                  <a:solidFill>
                    <a:srgbClr val="000000"/>
                  </a:solidFill>
                  <a:latin typeface="Arial Cyr"/>
                  <a:cs typeface="Arial Cyr"/>
                </a:rPr>
                <a:t>Добавить / удалить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820</xdr:row>
          <xdr:rowOff>0</xdr:rowOff>
        </xdr:from>
        <xdr:to>
          <xdr:col>3</xdr:col>
          <xdr:colOff>0</xdr:colOff>
          <xdr:row>866</xdr:row>
          <xdr:rowOff>0</xdr:rowOff>
        </xdr:to>
        <xdr:sp macro="" textlink="">
          <xdr:nvSpPr>
            <xdr:cNvPr id="1071" name="Button 47"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800" b="0" i="0" u="none" strike="noStrike" baseline="0">
                  <a:solidFill>
                    <a:srgbClr val="000000"/>
                  </a:solidFill>
                  <a:latin typeface="Arial Cyr"/>
                  <a:cs typeface="Arial Cyr"/>
                </a:rPr>
                <a:t>Добавить / удалить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866</xdr:row>
          <xdr:rowOff>0</xdr:rowOff>
        </xdr:from>
        <xdr:to>
          <xdr:col>3</xdr:col>
          <xdr:colOff>0</xdr:colOff>
          <xdr:row>867</xdr:row>
          <xdr:rowOff>57150</xdr:rowOff>
        </xdr:to>
        <xdr:sp macro="" textlink="">
          <xdr:nvSpPr>
            <xdr:cNvPr id="1076" name="Button 52"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800" b="0" i="0" u="none" strike="noStrike" baseline="0">
                  <a:solidFill>
                    <a:srgbClr val="000000"/>
                  </a:solidFill>
                  <a:latin typeface="Arial Cyr"/>
                  <a:cs typeface="Arial Cyr"/>
                </a:rPr>
                <a:t>Добавить / удалить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819</xdr:row>
          <xdr:rowOff>0</xdr:rowOff>
        </xdr:from>
        <xdr:to>
          <xdr:col>3</xdr:col>
          <xdr:colOff>0</xdr:colOff>
          <xdr:row>820</xdr:row>
          <xdr:rowOff>0</xdr:rowOff>
        </xdr:to>
        <xdr:sp macro="" textlink="">
          <xdr:nvSpPr>
            <xdr:cNvPr id="1080" name="Button 56"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800" b="0" i="0" u="none" strike="noStrike" baseline="0">
                  <a:solidFill>
                    <a:srgbClr val="000000"/>
                  </a:solidFill>
                  <a:latin typeface="Arial Cyr"/>
                  <a:cs typeface="Arial Cyr"/>
                </a:rPr>
                <a:t>Добавить / удалить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75</xdr:row>
          <xdr:rowOff>0</xdr:rowOff>
        </xdr:from>
        <xdr:to>
          <xdr:col>3</xdr:col>
          <xdr:colOff>0</xdr:colOff>
          <xdr:row>102</xdr:row>
          <xdr:rowOff>9525</xdr:rowOff>
        </xdr:to>
        <xdr:sp macro="" textlink="">
          <xdr:nvSpPr>
            <xdr:cNvPr id="1086" name="Button 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800" b="0" i="0" u="none" strike="noStrike" baseline="0">
                  <a:solidFill>
                    <a:srgbClr val="000000"/>
                  </a:solidFill>
                  <a:latin typeface="Arial Cyr"/>
                  <a:cs typeface="Arial Cyr"/>
                </a:rPr>
                <a:t>Добавить / удалить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1095</xdr:row>
          <xdr:rowOff>9525</xdr:rowOff>
        </xdr:from>
        <xdr:to>
          <xdr:col>3</xdr:col>
          <xdr:colOff>0</xdr:colOff>
          <xdr:row>1096</xdr:row>
          <xdr:rowOff>0</xdr:rowOff>
        </xdr:to>
        <xdr:sp macro="" textlink="">
          <xdr:nvSpPr>
            <xdr:cNvPr id="1100" name="Button 76"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800" b="0" i="0" u="none" strike="noStrike" baseline="0">
                  <a:solidFill>
                    <a:srgbClr val="000000"/>
                  </a:solidFill>
                  <a:latin typeface="Arial Cyr"/>
                  <a:cs typeface="Arial Cyr"/>
                </a:rPr>
                <a:t>Добавить / удалить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1096</xdr:row>
          <xdr:rowOff>0</xdr:rowOff>
        </xdr:from>
        <xdr:to>
          <xdr:col>1</xdr:col>
          <xdr:colOff>0</xdr:colOff>
          <xdr:row>1096</xdr:row>
          <xdr:rowOff>0</xdr:rowOff>
        </xdr:to>
        <xdr:sp macro="" textlink="">
          <xdr:nvSpPr>
            <xdr:cNvPr id="1101" name="Button 77"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ru-RU" sz="700" b="0" i="0" u="none" strike="noStrike" baseline="0">
                  <a:solidFill>
                    <a:srgbClr val="000000"/>
                  </a:solidFill>
                  <a:latin typeface="Arial Cyr"/>
                  <a:cs typeface="Arial Cyr"/>
                </a:rPr>
                <a:t>автоматический подбор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230</xdr:row>
          <xdr:rowOff>0</xdr:rowOff>
        </xdr:from>
        <xdr:to>
          <xdr:col>3</xdr:col>
          <xdr:colOff>0</xdr:colOff>
          <xdr:row>280</xdr:row>
          <xdr:rowOff>0</xdr:rowOff>
        </xdr:to>
        <xdr:sp macro="" textlink="">
          <xdr:nvSpPr>
            <xdr:cNvPr id="1173" name="Button 149" hidden="1">
              <a:extLst>
                <a:ext uri="{63B3BB69-23CF-44E3-9099-C40C66FF867C}">
                  <a14:compatExt spid="_x0000_s1173"/>
                </a:ext>
                <a:ext uri="{FF2B5EF4-FFF2-40B4-BE49-F238E27FC236}">
                  <a16:creationId xmlns:a16="http://schemas.microsoft.com/office/drawing/2014/main" id="{00000000-0008-0000-0000-000095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800" b="0" i="0" u="none" strike="noStrike" baseline="0">
                  <a:solidFill>
                    <a:srgbClr val="000000"/>
                  </a:solidFill>
                  <a:latin typeface="Arial Cyr"/>
                  <a:cs typeface="Arial Cyr"/>
                </a:rPr>
                <a:t>Добавить / удалить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3</xdr:row>
          <xdr:rowOff>9525</xdr:rowOff>
        </xdr:from>
        <xdr:to>
          <xdr:col>0</xdr:col>
          <xdr:colOff>219075</xdr:colOff>
          <xdr:row>3</xdr:row>
          <xdr:rowOff>190500</xdr:rowOff>
        </xdr:to>
        <xdr:sp macro="" textlink="">
          <xdr:nvSpPr>
            <xdr:cNvPr id="1189" name="Button 165" hidden="1">
              <a:extLst>
                <a:ext uri="{63B3BB69-23CF-44E3-9099-C40C66FF867C}">
                  <a14:compatExt spid="_x0000_s1189"/>
                </a:ext>
                <a:ext uri="{FF2B5EF4-FFF2-40B4-BE49-F238E27FC236}">
                  <a16:creationId xmlns:a16="http://schemas.microsoft.com/office/drawing/2014/main" id="{00000000-0008-0000-0000-0000A5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34</xdr:row>
          <xdr:rowOff>9525</xdr:rowOff>
        </xdr:from>
        <xdr:to>
          <xdr:col>0</xdr:col>
          <xdr:colOff>219075</xdr:colOff>
          <xdr:row>34</xdr:row>
          <xdr:rowOff>190500</xdr:rowOff>
        </xdr:to>
        <xdr:sp macro="" textlink="">
          <xdr:nvSpPr>
            <xdr:cNvPr id="1190" name="Button 166" hidden="1">
              <a:extLst>
                <a:ext uri="{63B3BB69-23CF-44E3-9099-C40C66FF867C}">
                  <a14:compatExt spid="_x0000_s1190"/>
                </a:ext>
                <a:ext uri="{FF2B5EF4-FFF2-40B4-BE49-F238E27FC236}">
                  <a16:creationId xmlns:a16="http://schemas.microsoft.com/office/drawing/2014/main" id="{00000000-0008-0000-0000-0000A6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35</xdr:row>
          <xdr:rowOff>0</xdr:rowOff>
        </xdr:from>
        <xdr:to>
          <xdr:col>0</xdr:col>
          <xdr:colOff>219075</xdr:colOff>
          <xdr:row>74</xdr:row>
          <xdr:rowOff>190500</xdr:rowOff>
        </xdr:to>
        <xdr:sp macro="" textlink="">
          <xdr:nvSpPr>
            <xdr:cNvPr id="1191" name="Button 167" hidden="1">
              <a:extLst>
                <a:ext uri="{63B3BB69-23CF-44E3-9099-C40C66FF867C}">
                  <a14:compatExt spid="_x0000_s1191"/>
                </a:ext>
                <a:ext uri="{FF2B5EF4-FFF2-40B4-BE49-F238E27FC236}">
                  <a16:creationId xmlns:a16="http://schemas.microsoft.com/office/drawing/2014/main" id="{00000000-0008-0000-0000-0000A7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75</xdr:row>
          <xdr:rowOff>0</xdr:rowOff>
        </xdr:from>
        <xdr:to>
          <xdr:col>0</xdr:col>
          <xdr:colOff>219075</xdr:colOff>
          <xdr:row>101</xdr:row>
          <xdr:rowOff>190500</xdr:rowOff>
        </xdr:to>
        <xdr:sp macro="" textlink="">
          <xdr:nvSpPr>
            <xdr:cNvPr id="1192" name="Button 168" hidden="1">
              <a:extLst>
                <a:ext uri="{63B3BB69-23CF-44E3-9099-C40C66FF867C}">
                  <a14:compatExt spid="_x0000_s1192"/>
                </a:ext>
                <a:ext uri="{FF2B5EF4-FFF2-40B4-BE49-F238E27FC236}">
                  <a16:creationId xmlns:a16="http://schemas.microsoft.com/office/drawing/2014/main" id="{00000000-0008-0000-0000-0000A8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229</xdr:row>
          <xdr:rowOff>9525</xdr:rowOff>
        </xdr:from>
        <xdr:to>
          <xdr:col>0</xdr:col>
          <xdr:colOff>219075</xdr:colOff>
          <xdr:row>229</xdr:row>
          <xdr:rowOff>190500</xdr:rowOff>
        </xdr:to>
        <xdr:sp macro="" textlink="">
          <xdr:nvSpPr>
            <xdr:cNvPr id="1202" name="Button 178" hidden="1">
              <a:extLst>
                <a:ext uri="{63B3BB69-23CF-44E3-9099-C40C66FF867C}">
                  <a14:compatExt spid="_x0000_s1202"/>
                </a:ext>
                <a:ext uri="{FF2B5EF4-FFF2-40B4-BE49-F238E27FC236}">
                  <a16:creationId xmlns:a16="http://schemas.microsoft.com/office/drawing/2014/main" id="{00000000-0008-0000-0000-0000B2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230</xdr:row>
          <xdr:rowOff>0</xdr:rowOff>
        </xdr:from>
        <xdr:to>
          <xdr:col>0</xdr:col>
          <xdr:colOff>219075</xdr:colOff>
          <xdr:row>279</xdr:row>
          <xdr:rowOff>190500</xdr:rowOff>
        </xdr:to>
        <xdr:sp macro="" textlink="">
          <xdr:nvSpPr>
            <xdr:cNvPr id="1203" name="Button 179" hidden="1">
              <a:extLst>
                <a:ext uri="{63B3BB69-23CF-44E3-9099-C40C66FF867C}">
                  <a14:compatExt spid="_x0000_s1203"/>
                </a:ext>
                <a:ext uri="{FF2B5EF4-FFF2-40B4-BE49-F238E27FC236}">
                  <a16:creationId xmlns:a16="http://schemas.microsoft.com/office/drawing/2014/main" id="{00000000-0008-0000-0000-0000B3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620</xdr:row>
          <xdr:rowOff>9525</xdr:rowOff>
        </xdr:from>
        <xdr:to>
          <xdr:col>0</xdr:col>
          <xdr:colOff>219075</xdr:colOff>
          <xdr:row>620</xdr:row>
          <xdr:rowOff>190500</xdr:rowOff>
        </xdr:to>
        <xdr:sp macro="" textlink="">
          <xdr:nvSpPr>
            <xdr:cNvPr id="1204" name="Button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621</xdr:row>
          <xdr:rowOff>0</xdr:rowOff>
        </xdr:from>
        <xdr:to>
          <xdr:col>0</xdr:col>
          <xdr:colOff>219075</xdr:colOff>
          <xdr:row>660</xdr:row>
          <xdr:rowOff>190500</xdr:rowOff>
        </xdr:to>
        <xdr:sp macro="" textlink="">
          <xdr:nvSpPr>
            <xdr:cNvPr id="1205" name="Button 181" hidden="1">
              <a:extLst>
                <a:ext uri="{63B3BB69-23CF-44E3-9099-C40C66FF867C}">
                  <a14:compatExt spid="_x0000_s1205"/>
                </a:ext>
                <a:ext uri="{FF2B5EF4-FFF2-40B4-BE49-F238E27FC236}">
                  <a16:creationId xmlns:a16="http://schemas.microsoft.com/office/drawing/2014/main" id="{00000000-0008-0000-0000-0000B5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661</xdr:row>
          <xdr:rowOff>0</xdr:rowOff>
        </xdr:from>
        <xdr:to>
          <xdr:col>0</xdr:col>
          <xdr:colOff>219075</xdr:colOff>
          <xdr:row>668</xdr:row>
          <xdr:rowOff>190500</xdr:rowOff>
        </xdr:to>
        <xdr:sp macro="" textlink="">
          <xdr:nvSpPr>
            <xdr:cNvPr id="1206" name="Button 182" hidden="1">
              <a:extLst>
                <a:ext uri="{63B3BB69-23CF-44E3-9099-C40C66FF867C}">
                  <a14:compatExt spid="_x0000_s1206"/>
                </a:ext>
                <a:ext uri="{FF2B5EF4-FFF2-40B4-BE49-F238E27FC236}">
                  <a16:creationId xmlns:a16="http://schemas.microsoft.com/office/drawing/2014/main" id="{00000000-0008-0000-0000-0000B6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675</xdr:row>
          <xdr:rowOff>9525</xdr:rowOff>
        </xdr:from>
        <xdr:to>
          <xdr:col>0</xdr:col>
          <xdr:colOff>219075</xdr:colOff>
          <xdr:row>675</xdr:row>
          <xdr:rowOff>190500</xdr:rowOff>
        </xdr:to>
        <xdr:sp macro="" textlink="">
          <xdr:nvSpPr>
            <xdr:cNvPr id="1207" name="Button 183" hidden="1">
              <a:extLst>
                <a:ext uri="{63B3BB69-23CF-44E3-9099-C40C66FF867C}">
                  <a14:compatExt spid="_x0000_s1207"/>
                </a:ext>
                <a:ext uri="{FF2B5EF4-FFF2-40B4-BE49-F238E27FC236}">
                  <a16:creationId xmlns:a16="http://schemas.microsoft.com/office/drawing/2014/main" id="{00000000-0008-0000-0000-0000B7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694</xdr:row>
          <xdr:rowOff>9525</xdr:rowOff>
        </xdr:from>
        <xdr:to>
          <xdr:col>0</xdr:col>
          <xdr:colOff>219075</xdr:colOff>
          <xdr:row>694</xdr:row>
          <xdr:rowOff>190500</xdr:rowOff>
        </xdr:to>
        <xdr:sp macro="" textlink="">
          <xdr:nvSpPr>
            <xdr:cNvPr id="1208" name="Button 184" hidden="1">
              <a:extLst>
                <a:ext uri="{63B3BB69-23CF-44E3-9099-C40C66FF867C}">
                  <a14:compatExt spid="_x0000_s1208"/>
                </a:ext>
                <a:ext uri="{FF2B5EF4-FFF2-40B4-BE49-F238E27FC236}">
                  <a16:creationId xmlns:a16="http://schemas.microsoft.com/office/drawing/2014/main" id="{00000000-0008-0000-0000-0000B8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723</xdr:row>
          <xdr:rowOff>9525</xdr:rowOff>
        </xdr:from>
        <xdr:to>
          <xdr:col>0</xdr:col>
          <xdr:colOff>219075</xdr:colOff>
          <xdr:row>723</xdr:row>
          <xdr:rowOff>190500</xdr:rowOff>
        </xdr:to>
        <xdr:sp macro="" textlink="">
          <xdr:nvSpPr>
            <xdr:cNvPr id="1209" name="Button 185" hidden="1">
              <a:extLst>
                <a:ext uri="{63B3BB69-23CF-44E3-9099-C40C66FF867C}">
                  <a14:compatExt spid="_x0000_s1209"/>
                </a:ext>
                <a:ext uri="{FF2B5EF4-FFF2-40B4-BE49-F238E27FC236}">
                  <a16:creationId xmlns:a16="http://schemas.microsoft.com/office/drawing/2014/main" id="{00000000-0008-0000-0000-0000B9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724</xdr:row>
          <xdr:rowOff>0</xdr:rowOff>
        </xdr:from>
        <xdr:to>
          <xdr:col>0</xdr:col>
          <xdr:colOff>219075</xdr:colOff>
          <xdr:row>737</xdr:row>
          <xdr:rowOff>190500</xdr:rowOff>
        </xdr:to>
        <xdr:sp macro="" textlink="">
          <xdr:nvSpPr>
            <xdr:cNvPr id="1210" name="Button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747</xdr:row>
          <xdr:rowOff>9525</xdr:rowOff>
        </xdr:from>
        <xdr:to>
          <xdr:col>0</xdr:col>
          <xdr:colOff>219075</xdr:colOff>
          <xdr:row>747</xdr:row>
          <xdr:rowOff>190500</xdr:rowOff>
        </xdr:to>
        <xdr:sp macro="" textlink="">
          <xdr:nvSpPr>
            <xdr:cNvPr id="1211" name="Button 187" hidden="1">
              <a:extLst>
                <a:ext uri="{63B3BB69-23CF-44E3-9099-C40C66FF867C}">
                  <a14:compatExt spid="_x0000_s1211"/>
                </a:ext>
                <a:ext uri="{FF2B5EF4-FFF2-40B4-BE49-F238E27FC236}">
                  <a16:creationId xmlns:a16="http://schemas.microsoft.com/office/drawing/2014/main" id="{00000000-0008-0000-0000-0000BB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767</xdr:row>
          <xdr:rowOff>9525</xdr:rowOff>
        </xdr:from>
        <xdr:to>
          <xdr:col>0</xdr:col>
          <xdr:colOff>219075</xdr:colOff>
          <xdr:row>767</xdr:row>
          <xdr:rowOff>190500</xdr:rowOff>
        </xdr:to>
        <xdr:sp macro="" textlink="">
          <xdr:nvSpPr>
            <xdr:cNvPr id="1212" name="Button 188" hidden="1">
              <a:extLst>
                <a:ext uri="{63B3BB69-23CF-44E3-9099-C40C66FF867C}">
                  <a14:compatExt spid="_x0000_s1212"/>
                </a:ext>
                <a:ext uri="{FF2B5EF4-FFF2-40B4-BE49-F238E27FC236}">
                  <a16:creationId xmlns:a16="http://schemas.microsoft.com/office/drawing/2014/main" id="{00000000-0008-0000-0000-0000BC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819</xdr:row>
          <xdr:rowOff>9525</xdr:rowOff>
        </xdr:from>
        <xdr:to>
          <xdr:col>0</xdr:col>
          <xdr:colOff>219075</xdr:colOff>
          <xdr:row>819</xdr:row>
          <xdr:rowOff>190500</xdr:rowOff>
        </xdr:to>
        <xdr:sp macro="" textlink="">
          <xdr:nvSpPr>
            <xdr:cNvPr id="1213" name="Button 189" hidden="1">
              <a:extLst>
                <a:ext uri="{63B3BB69-23CF-44E3-9099-C40C66FF867C}">
                  <a14:compatExt spid="_x0000_s1213"/>
                </a:ext>
                <a:ext uri="{FF2B5EF4-FFF2-40B4-BE49-F238E27FC236}">
                  <a16:creationId xmlns:a16="http://schemas.microsoft.com/office/drawing/2014/main" id="{00000000-0008-0000-0000-0000BD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820</xdr:row>
          <xdr:rowOff>0</xdr:rowOff>
        </xdr:from>
        <xdr:to>
          <xdr:col>0</xdr:col>
          <xdr:colOff>219075</xdr:colOff>
          <xdr:row>865</xdr:row>
          <xdr:rowOff>190500</xdr:rowOff>
        </xdr:to>
        <xdr:sp macro="" textlink="">
          <xdr:nvSpPr>
            <xdr:cNvPr id="1214" name="Button 190" hidden="1">
              <a:extLst>
                <a:ext uri="{63B3BB69-23CF-44E3-9099-C40C66FF867C}">
                  <a14:compatExt spid="_x0000_s1214"/>
                </a:ext>
                <a:ext uri="{FF2B5EF4-FFF2-40B4-BE49-F238E27FC236}">
                  <a16:creationId xmlns:a16="http://schemas.microsoft.com/office/drawing/2014/main" id="{00000000-0008-0000-0000-0000BE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920</xdr:row>
          <xdr:rowOff>9525</xdr:rowOff>
        </xdr:from>
        <xdr:to>
          <xdr:col>0</xdr:col>
          <xdr:colOff>219075</xdr:colOff>
          <xdr:row>920</xdr:row>
          <xdr:rowOff>190500</xdr:rowOff>
        </xdr:to>
        <xdr:sp macro="" textlink="">
          <xdr:nvSpPr>
            <xdr:cNvPr id="1215" name="Button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991</xdr:row>
          <xdr:rowOff>0</xdr:rowOff>
        </xdr:from>
        <xdr:to>
          <xdr:col>0</xdr:col>
          <xdr:colOff>219075</xdr:colOff>
          <xdr:row>1007</xdr:row>
          <xdr:rowOff>190500</xdr:rowOff>
        </xdr:to>
        <xdr:sp macro="" textlink="">
          <xdr:nvSpPr>
            <xdr:cNvPr id="1216" name="Button 192" hidden="1">
              <a:extLst>
                <a:ext uri="{63B3BB69-23CF-44E3-9099-C40C66FF867C}">
                  <a14:compatExt spid="_x0000_s1216"/>
                </a:ext>
                <a:ext uri="{FF2B5EF4-FFF2-40B4-BE49-F238E27FC236}">
                  <a16:creationId xmlns:a16="http://schemas.microsoft.com/office/drawing/2014/main" id="{00000000-0008-0000-0000-0000C0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1008</xdr:row>
          <xdr:rowOff>0</xdr:rowOff>
        </xdr:from>
        <xdr:to>
          <xdr:col>0</xdr:col>
          <xdr:colOff>219075</xdr:colOff>
          <xdr:row>1072</xdr:row>
          <xdr:rowOff>190500</xdr:rowOff>
        </xdr:to>
        <xdr:sp macro="" textlink="">
          <xdr:nvSpPr>
            <xdr:cNvPr id="1217" name="Button 193" hidden="1">
              <a:extLst>
                <a:ext uri="{63B3BB69-23CF-44E3-9099-C40C66FF867C}">
                  <a14:compatExt spid="_x0000_s1217"/>
                </a:ext>
                <a:ext uri="{FF2B5EF4-FFF2-40B4-BE49-F238E27FC236}">
                  <a16:creationId xmlns:a16="http://schemas.microsoft.com/office/drawing/2014/main" id="{00000000-0008-0000-0000-0000C1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1095</xdr:row>
          <xdr:rowOff>9525</xdr:rowOff>
        </xdr:from>
        <xdr:to>
          <xdr:col>0</xdr:col>
          <xdr:colOff>219075</xdr:colOff>
          <xdr:row>1095</xdr:row>
          <xdr:rowOff>190500</xdr:rowOff>
        </xdr:to>
        <xdr:sp macro="" textlink="">
          <xdr:nvSpPr>
            <xdr:cNvPr id="1219" name="Button 195" hidden="1">
              <a:extLst>
                <a:ext uri="{63B3BB69-23CF-44E3-9099-C40C66FF867C}">
                  <a14:compatExt spid="_x0000_s1219"/>
                </a:ext>
                <a:ext uri="{FF2B5EF4-FFF2-40B4-BE49-F238E27FC236}">
                  <a16:creationId xmlns:a16="http://schemas.microsoft.com/office/drawing/2014/main" id="{00000000-0008-0000-0000-0000C3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1096</xdr:row>
          <xdr:rowOff>0</xdr:rowOff>
        </xdr:from>
        <xdr:to>
          <xdr:col>0</xdr:col>
          <xdr:colOff>219075</xdr:colOff>
          <xdr:row>1164</xdr:row>
          <xdr:rowOff>190500</xdr:rowOff>
        </xdr:to>
        <xdr:sp macro="" textlink="">
          <xdr:nvSpPr>
            <xdr:cNvPr id="1220" name="Button 196" hidden="1">
              <a:extLst>
                <a:ext uri="{63B3BB69-23CF-44E3-9099-C40C66FF867C}">
                  <a14:compatExt spid="_x0000_s1220"/>
                </a:ext>
                <a:ext uri="{FF2B5EF4-FFF2-40B4-BE49-F238E27FC236}">
                  <a16:creationId xmlns:a16="http://schemas.microsoft.com/office/drawing/2014/main" id="{00000000-0008-0000-0000-0000C4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1196</xdr:row>
          <xdr:rowOff>9525</xdr:rowOff>
        </xdr:from>
        <xdr:to>
          <xdr:col>0</xdr:col>
          <xdr:colOff>219075</xdr:colOff>
          <xdr:row>1196</xdr:row>
          <xdr:rowOff>190500</xdr:rowOff>
        </xdr:to>
        <xdr:sp macro="" textlink="">
          <xdr:nvSpPr>
            <xdr:cNvPr id="1221" name="Button 197" hidden="1">
              <a:extLst>
                <a:ext uri="{63B3BB69-23CF-44E3-9099-C40C66FF867C}">
                  <a14:compatExt spid="_x0000_s1221"/>
                </a:ext>
                <a:ext uri="{FF2B5EF4-FFF2-40B4-BE49-F238E27FC236}">
                  <a16:creationId xmlns:a16="http://schemas.microsoft.com/office/drawing/2014/main" id="{00000000-0008-0000-0000-0000C5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1275</xdr:row>
          <xdr:rowOff>9525</xdr:rowOff>
        </xdr:from>
        <xdr:to>
          <xdr:col>0</xdr:col>
          <xdr:colOff>219075</xdr:colOff>
          <xdr:row>1318</xdr:row>
          <xdr:rowOff>190500</xdr:rowOff>
        </xdr:to>
        <xdr:sp macro="" textlink="">
          <xdr:nvSpPr>
            <xdr:cNvPr id="1222" name="Button 198" hidden="1">
              <a:extLst>
                <a:ext uri="{63B3BB69-23CF-44E3-9099-C40C66FF867C}">
                  <a14:compatExt spid="_x0000_s1222"/>
                </a:ext>
                <a:ext uri="{FF2B5EF4-FFF2-40B4-BE49-F238E27FC236}">
                  <a16:creationId xmlns:a16="http://schemas.microsoft.com/office/drawing/2014/main" id="{00000000-0008-0000-0000-0000C6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1458</xdr:row>
          <xdr:rowOff>9525</xdr:rowOff>
        </xdr:from>
        <xdr:to>
          <xdr:col>0</xdr:col>
          <xdr:colOff>219075</xdr:colOff>
          <xdr:row>1458</xdr:row>
          <xdr:rowOff>190500</xdr:rowOff>
        </xdr:to>
        <xdr:sp macro="" textlink="">
          <xdr:nvSpPr>
            <xdr:cNvPr id="1223" name="Button 199" hidden="1">
              <a:extLst>
                <a:ext uri="{63B3BB69-23CF-44E3-9099-C40C66FF867C}">
                  <a14:compatExt spid="_x0000_s1223"/>
                </a:ext>
                <a:ext uri="{FF2B5EF4-FFF2-40B4-BE49-F238E27FC236}">
                  <a16:creationId xmlns:a16="http://schemas.microsoft.com/office/drawing/2014/main" id="{00000000-0008-0000-0000-0000C7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1553</xdr:row>
          <xdr:rowOff>9525</xdr:rowOff>
        </xdr:from>
        <xdr:to>
          <xdr:col>0</xdr:col>
          <xdr:colOff>219075</xdr:colOff>
          <xdr:row>1553</xdr:row>
          <xdr:rowOff>190500</xdr:rowOff>
        </xdr:to>
        <xdr:sp macro="" textlink="">
          <xdr:nvSpPr>
            <xdr:cNvPr id="1224" name="Button 200"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1657</xdr:row>
          <xdr:rowOff>0</xdr:rowOff>
        </xdr:from>
        <xdr:to>
          <xdr:col>0</xdr:col>
          <xdr:colOff>219075</xdr:colOff>
          <xdr:row>1710</xdr:row>
          <xdr:rowOff>190500</xdr:rowOff>
        </xdr:to>
        <xdr:sp macro="" textlink="">
          <xdr:nvSpPr>
            <xdr:cNvPr id="1225" name="Button 201" hidden="1">
              <a:extLst>
                <a:ext uri="{63B3BB69-23CF-44E3-9099-C40C66FF867C}">
                  <a14:compatExt spid="_x0000_s1225"/>
                </a:ext>
                <a:ext uri="{FF2B5EF4-FFF2-40B4-BE49-F238E27FC236}">
                  <a16:creationId xmlns:a16="http://schemas.microsoft.com/office/drawing/2014/main" id="{00000000-0008-0000-0000-0000C9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1784</xdr:row>
          <xdr:rowOff>9525</xdr:rowOff>
        </xdr:from>
        <xdr:to>
          <xdr:col>0</xdr:col>
          <xdr:colOff>219075</xdr:colOff>
          <xdr:row>1784</xdr:row>
          <xdr:rowOff>190500</xdr:rowOff>
        </xdr:to>
        <xdr:sp macro="" textlink="">
          <xdr:nvSpPr>
            <xdr:cNvPr id="1226" name="Button 202" hidden="1">
              <a:extLst>
                <a:ext uri="{63B3BB69-23CF-44E3-9099-C40C66FF867C}">
                  <a14:compatExt spid="_x0000_s1226"/>
                </a:ext>
                <a:ext uri="{FF2B5EF4-FFF2-40B4-BE49-F238E27FC236}">
                  <a16:creationId xmlns:a16="http://schemas.microsoft.com/office/drawing/2014/main" id="{00000000-0008-0000-0000-0000CA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1785</xdr:row>
          <xdr:rowOff>0</xdr:rowOff>
        </xdr:from>
        <xdr:to>
          <xdr:col>0</xdr:col>
          <xdr:colOff>219075</xdr:colOff>
          <xdr:row>1858</xdr:row>
          <xdr:rowOff>190500</xdr:rowOff>
        </xdr:to>
        <xdr:sp macro="" textlink="">
          <xdr:nvSpPr>
            <xdr:cNvPr id="1227" name="Button 203" hidden="1">
              <a:extLst>
                <a:ext uri="{63B3BB69-23CF-44E3-9099-C40C66FF867C}">
                  <a14:compatExt spid="_x0000_s1227"/>
                </a:ext>
                <a:ext uri="{FF2B5EF4-FFF2-40B4-BE49-F238E27FC236}">
                  <a16:creationId xmlns:a16="http://schemas.microsoft.com/office/drawing/2014/main" id="{00000000-0008-0000-0000-0000CB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1859</xdr:row>
          <xdr:rowOff>0</xdr:rowOff>
        </xdr:from>
        <xdr:to>
          <xdr:col>0</xdr:col>
          <xdr:colOff>219075</xdr:colOff>
          <xdr:row>1930</xdr:row>
          <xdr:rowOff>190500</xdr:rowOff>
        </xdr:to>
        <xdr:sp macro="" textlink="">
          <xdr:nvSpPr>
            <xdr:cNvPr id="1228" name="Button 204" hidden="1">
              <a:extLst>
                <a:ext uri="{63B3BB69-23CF-44E3-9099-C40C66FF867C}">
                  <a14:compatExt spid="_x0000_s1228"/>
                </a:ext>
                <a:ext uri="{FF2B5EF4-FFF2-40B4-BE49-F238E27FC236}">
                  <a16:creationId xmlns:a16="http://schemas.microsoft.com/office/drawing/2014/main" id="{00000000-0008-0000-0000-0000CC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1956</xdr:row>
          <xdr:rowOff>9525</xdr:rowOff>
        </xdr:from>
        <xdr:to>
          <xdr:col>0</xdr:col>
          <xdr:colOff>219075</xdr:colOff>
          <xdr:row>1956</xdr:row>
          <xdr:rowOff>190500</xdr:rowOff>
        </xdr:to>
        <xdr:sp macro="" textlink="">
          <xdr:nvSpPr>
            <xdr:cNvPr id="1229" name="Button 205" hidden="1">
              <a:extLst>
                <a:ext uri="{63B3BB69-23CF-44E3-9099-C40C66FF867C}">
                  <a14:compatExt spid="_x0000_s1229"/>
                </a:ext>
                <a:ext uri="{FF2B5EF4-FFF2-40B4-BE49-F238E27FC236}">
                  <a16:creationId xmlns:a16="http://schemas.microsoft.com/office/drawing/2014/main" id="{00000000-0008-0000-0000-0000CD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1957</xdr:row>
          <xdr:rowOff>0</xdr:rowOff>
        </xdr:from>
        <xdr:to>
          <xdr:col>0</xdr:col>
          <xdr:colOff>219075</xdr:colOff>
          <xdr:row>2007</xdr:row>
          <xdr:rowOff>190500</xdr:rowOff>
        </xdr:to>
        <xdr:sp macro="" textlink="">
          <xdr:nvSpPr>
            <xdr:cNvPr id="1230" name="Button 206" hidden="1">
              <a:extLst>
                <a:ext uri="{63B3BB69-23CF-44E3-9099-C40C66FF867C}">
                  <a14:compatExt spid="_x0000_s1230"/>
                </a:ext>
                <a:ext uri="{FF2B5EF4-FFF2-40B4-BE49-F238E27FC236}">
                  <a16:creationId xmlns:a16="http://schemas.microsoft.com/office/drawing/2014/main" id="{00000000-0008-0000-0000-0000CE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2047</xdr:row>
          <xdr:rowOff>9525</xdr:rowOff>
        </xdr:from>
        <xdr:to>
          <xdr:col>0</xdr:col>
          <xdr:colOff>219075</xdr:colOff>
          <xdr:row>2047</xdr:row>
          <xdr:rowOff>190500</xdr:rowOff>
        </xdr:to>
        <xdr:sp macro="" textlink="">
          <xdr:nvSpPr>
            <xdr:cNvPr id="1231" name="Button 207" hidden="1">
              <a:extLst>
                <a:ext uri="{63B3BB69-23CF-44E3-9099-C40C66FF867C}">
                  <a14:compatExt spid="_x0000_s1231"/>
                </a:ext>
                <a:ext uri="{FF2B5EF4-FFF2-40B4-BE49-F238E27FC236}">
                  <a16:creationId xmlns:a16="http://schemas.microsoft.com/office/drawing/2014/main" id="{00000000-0008-0000-0000-0000CF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1274</xdr:row>
          <xdr:rowOff>9525</xdr:rowOff>
        </xdr:from>
        <xdr:to>
          <xdr:col>0</xdr:col>
          <xdr:colOff>219075</xdr:colOff>
          <xdr:row>1274</xdr:row>
          <xdr:rowOff>190500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2047</xdr:row>
          <xdr:rowOff>0</xdr:rowOff>
        </xdr:from>
        <xdr:to>
          <xdr:col>3</xdr:col>
          <xdr:colOff>0</xdr:colOff>
          <xdr:row>2048</xdr:row>
          <xdr:rowOff>0</xdr:rowOff>
        </xdr:to>
        <xdr:sp macro="" textlink="">
          <xdr:nvSpPr>
            <xdr:cNvPr id="3424338" name="Button 2130" hidden="1">
              <a:extLst>
                <a:ext uri="{63B3BB69-23CF-44E3-9099-C40C66FF867C}">
                  <a14:compatExt spid="_x0000_s3424338"/>
                </a:ext>
                <a:ext uri="{FF2B5EF4-FFF2-40B4-BE49-F238E27FC236}">
                  <a16:creationId xmlns:a16="http://schemas.microsoft.com/office/drawing/2014/main" id="{00000000-0008-0000-0000-000052403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800" b="0" i="0" u="none" strike="noStrike" baseline="0">
                  <a:solidFill>
                    <a:srgbClr val="000000"/>
                  </a:solidFill>
                  <a:latin typeface="Arial Cyr"/>
                  <a:cs typeface="Arial Cyr"/>
                </a:rPr>
                <a:t>Настроить...</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2062</xdr:row>
          <xdr:rowOff>19050</xdr:rowOff>
        </xdr:from>
        <xdr:to>
          <xdr:col>1</xdr:col>
          <xdr:colOff>0</xdr:colOff>
          <xdr:row>2064</xdr:row>
          <xdr:rowOff>0</xdr:rowOff>
        </xdr:to>
        <xdr:sp macro="" textlink="">
          <xdr:nvSpPr>
            <xdr:cNvPr id="3424469" name="Button 2261" hidden="1">
              <a:extLst>
                <a:ext uri="{63B3BB69-23CF-44E3-9099-C40C66FF867C}">
                  <a14:compatExt spid="_x0000_s3424469"/>
                </a:ext>
                <a:ext uri="{FF2B5EF4-FFF2-40B4-BE49-F238E27FC236}">
                  <a16:creationId xmlns:a16="http://schemas.microsoft.com/office/drawing/2014/main" id="{00000000-0008-0000-0000-0000D5403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800" b="0" i="0" u="none" strike="noStrike" baseline="0">
                  <a:solidFill>
                    <a:srgbClr val="000000"/>
                  </a:solidFill>
                  <a:latin typeface="Arial Cyr"/>
                  <a:cs typeface="Arial Cyr"/>
                </a:rPr>
                <a:t>Пересчитать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1656</xdr:row>
          <xdr:rowOff>9525</xdr:rowOff>
        </xdr:from>
        <xdr:to>
          <xdr:col>0</xdr:col>
          <xdr:colOff>219075</xdr:colOff>
          <xdr:row>1656</xdr:row>
          <xdr:rowOff>190500</xdr:rowOff>
        </xdr:to>
        <xdr:sp macro="" textlink="">
          <xdr:nvSpPr>
            <xdr:cNvPr id="13002492" name="Button 7932" hidden="1">
              <a:extLst>
                <a:ext uri="{63B3BB69-23CF-44E3-9099-C40C66FF867C}">
                  <a14:compatExt spid="_x0000_s13002492"/>
                </a:ext>
                <a:ext uri="{FF2B5EF4-FFF2-40B4-BE49-F238E27FC236}">
                  <a16:creationId xmlns:a16="http://schemas.microsoft.com/office/drawing/2014/main" id="{00000000-0008-0000-0000-0000FC66C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xdr:oneCellAnchor>
    <xdr:from>
      <xdr:col>0</xdr:col>
      <xdr:colOff>32022</xdr:colOff>
      <xdr:row>11</xdr:row>
      <xdr:rowOff>132716</xdr:rowOff>
    </xdr:from>
    <xdr:ext cx="4336468" cy="792395"/>
    <xdr:sp macro="" textlink="">
      <xdr:nvSpPr>
        <xdr:cNvPr id="69" name="Прямоугольник 68">
          <a:extLst>
            <a:ext uri="{FF2B5EF4-FFF2-40B4-BE49-F238E27FC236}">
              <a16:creationId xmlns:a16="http://schemas.microsoft.com/office/drawing/2014/main" id="{00000000-0008-0000-0000-000045000000}"/>
            </a:ext>
          </a:extLst>
        </xdr:cNvPr>
        <xdr:cNvSpPr/>
      </xdr:nvSpPr>
      <xdr:spPr>
        <a:xfrm rot="20774683">
          <a:off x="32022" y="1847216"/>
          <a:ext cx="4336468" cy="792395"/>
        </a:xfrm>
        <a:prstGeom prst="rect">
          <a:avLst/>
        </a:prstGeom>
        <a:noFill/>
      </xdr:spPr>
      <xdr:txBody>
        <a:bodyPr wrap="square" lIns="91440" tIns="45720" rIns="91440" bIns="45720">
          <a:noAutofit/>
        </a:bodyPr>
        <a:lstStyle/>
        <a:p>
          <a:pPr algn="ctr"/>
          <a:r>
            <a:rPr lang="en-US" sz="28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28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0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0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oneCellAnchor>
    <xdr:from>
      <xdr:col>0</xdr:col>
      <xdr:colOff>0</xdr:colOff>
      <xdr:row>131</xdr:row>
      <xdr:rowOff>137282</xdr:rowOff>
    </xdr:from>
    <xdr:ext cx="4382837" cy="792395"/>
    <xdr:sp macro="" textlink="">
      <xdr:nvSpPr>
        <xdr:cNvPr id="70" name="Прямоугольник 69">
          <a:extLst>
            <a:ext uri="{FF2B5EF4-FFF2-40B4-BE49-F238E27FC236}">
              <a16:creationId xmlns:a16="http://schemas.microsoft.com/office/drawing/2014/main" id="{00000000-0008-0000-0000-000046000000}"/>
            </a:ext>
          </a:extLst>
        </xdr:cNvPr>
        <xdr:cNvSpPr/>
      </xdr:nvSpPr>
      <xdr:spPr>
        <a:xfrm rot="20774683">
          <a:off x="0" y="8033507"/>
          <a:ext cx="4382837" cy="792395"/>
        </a:xfrm>
        <a:prstGeom prst="rect">
          <a:avLst/>
        </a:prstGeom>
        <a:noFill/>
      </xdr:spPr>
      <xdr:txBody>
        <a:bodyPr wrap="square" lIns="91440" tIns="45720" rIns="91440" bIns="45720">
          <a:noAutofit/>
        </a:bodyPr>
        <a:lstStyle/>
        <a:p>
          <a:pPr algn="ctr"/>
          <a:r>
            <a:rPr lang="en-US" sz="28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28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0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0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oneCellAnchor>
    <xdr:from>
      <xdr:col>0</xdr:col>
      <xdr:colOff>0</xdr:colOff>
      <xdr:row>619</xdr:row>
      <xdr:rowOff>0</xdr:rowOff>
    </xdr:from>
    <xdr:ext cx="4336468" cy="792395"/>
    <xdr:sp macro="" textlink="">
      <xdr:nvSpPr>
        <xdr:cNvPr id="71" name="Прямоугольник 70">
          <a:extLst>
            <a:ext uri="{FF2B5EF4-FFF2-40B4-BE49-F238E27FC236}">
              <a16:creationId xmlns:a16="http://schemas.microsoft.com/office/drawing/2014/main" id="{00000000-0008-0000-0000-000047000000}"/>
            </a:ext>
          </a:extLst>
        </xdr:cNvPr>
        <xdr:cNvSpPr/>
      </xdr:nvSpPr>
      <xdr:spPr>
        <a:xfrm rot="20774683">
          <a:off x="0" y="20469225"/>
          <a:ext cx="4336468" cy="792395"/>
        </a:xfrm>
        <a:prstGeom prst="rect">
          <a:avLst/>
        </a:prstGeom>
        <a:noFill/>
      </xdr:spPr>
      <xdr:txBody>
        <a:bodyPr wrap="square" lIns="91440" tIns="45720" rIns="91440" bIns="45720">
          <a:noAutofit/>
        </a:bodyPr>
        <a:lstStyle/>
        <a:p>
          <a:pPr algn="ctr"/>
          <a:r>
            <a:rPr lang="en-US" sz="28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28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0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0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oneCellAnchor>
    <xdr:from>
      <xdr:col>0</xdr:col>
      <xdr:colOff>32021</xdr:colOff>
      <xdr:row>1095</xdr:row>
      <xdr:rowOff>152399</xdr:rowOff>
    </xdr:from>
    <xdr:ext cx="4336468" cy="792395"/>
    <xdr:sp macro="" textlink="">
      <xdr:nvSpPr>
        <xdr:cNvPr id="72" name="Прямоугольник 71">
          <a:extLst>
            <a:ext uri="{FF2B5EF4-FFF2-40B4-BE49-F238E27FC236}">
              <a16:creationId xmlns:a16="http://schemas.microsoft.com/office/drawing/2014/main" id="{00000000-0008-0000-0000-000048000000}"/>
            </a:ext>
          </a:extLst>
        </xdr:cNvPr>
        <xdr:cNvSpPr/>
      </xdr:nvSpPr>
      <xdr:spPr>
        <a:xfrm rot="20774683">
          <a:off x="32021" y="45796199"/>
          <a:ext cx="4336468" cy="792395"/>
        </a:xfrm>
        <a:prstGeom prst="rect">
          <a:avLst/>
        </a:prstGeom>
        <a:noFill/>
      </xdr:spPr>
      <xdr:txBody>
        <a:bodyPr wrap="square" lIns="91440" tIns="45720" rIns="91440" bIns="45720">
          <a:noAutofit/>
        </a:bodyPr>
        <a:lstStyle/>
        <a:p>
          <a:pPr algn="ctr"/>
          <a:r>
            <a:rPr lang="en-US" sz="28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28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0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0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oneCellAnchor>
    <xdr:from>
      <xdr:col>0</xdr:col>
      <xdr:colOff>0</xdr:colOff>
      <xdr:row>1287</xdr:row>
      <xdr:rowOff>0</xdr:rowOff>
    </xdr:from>
    <xdr:ext cx="4336468" cy="792395"/>
    <xdr:sp macro="" textlink="">
      <xdr:nvSpPr>
        <xdr:cNvPr id="73" name="Прямоугольник 72">
          <a:extLst>
            <a:ext uri="{FF2B5EF4-FFF2-40B4-BE49-F238E27FC236}">
              <a16:creationId xmlns:a16="http://schemas.microsoft.com/office/drawing/2014/main" id="{00000000-0008-0000-0000-000049000000}"/>
            </a:ext>
          </a:extLst>
        </xdr:cNvPr>
        <xdr:cNvSpPr/>
      </xdr:nvSpPr>
      <xdr:spPr>
        <a:xfrm rot="20774683">
          <a:off x="0" y="63198375"/>
          <a:ext cx="4336468" cy="792395"/>
        </a:xfrm>
        <a:prstGeom prst="rect">
          <a:avLst/>
        </a:prstGeom>
        <a:noFill/>
      </xdr:spPr>
      <xdr:txBody>
        <a:bodyPr wrap="square" lIns="91440" tIns="45720" rIns="91440" bIns="45720">
          <a:noAutofit/>
        </a:bodyPr>
        <a:lstStyle/>
        <a:p>
          <a:pPr algn="ctr"/>
          <a:r>
            <a:rPr lang="en-US" sz="28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28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0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0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oneCellAnchor>
    <xdr:from>
      <xdr:col>0</xdr:col>
      <xdr:colOff>0</xdr:colOff>
      <xdr:row>1456</xdr:row>
      <xdr:rowOff>0</xdr:rowOff>
    </xdr:from>
    <xdr:ext cx="4336468" cy="792395"/>
    <xdr:sp macro="" textlink="">
      <xdr:nvSpPr>
        <xdr:cNvPr id="74" name="Прямоугольник 73">
          <a:extLst>
            <a:ext uri="{FF2B5EF4-FFF2-40B4-BE49-F238E27FC236}">
              <a16:creationId xmlns:a16="http://schemas.microsoft.com/office/drawing/2014/main" id="{00000000-0008-0000-0000-00004A000000}"/>
            </a:ext>
          </a:extLst>
        </xdr:cNvPr>
        <xdr:cNvSpPr/>
      </xdr:nvSpPr>
      <xdr:spPr>
        <a:xfrm rot="20774683">
          <a:off x="0" y="83553300"/>
          <a:ext cx="4336468" cy="792395"/>
        </a:xfrm>
        <a:prstGeom prst="rect">
          <a:avLst/>
        </a:prstGeom>
        <a:noFill/>
      </xdr:spPr>
      <xdr:txBody>
        <a:bodyPr wrap="square" lIns="91440" tIns="45720" rIns="91440" bIns="45720">
          <a:noAutofit/>
        </a:bodyPr>
        <a:lstStyle/>
        <a:p>
          <a:pPr algn="ctr"/>
          <a:r>
            <a:rPr lang="en-US" sz="28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28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0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0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oneCellAnchor>
    <xdr:from>
      <xdr:col>0</xdr:col>
      <xdr:colOff>0</xdr:colOff>
      <xdr:row>1629</xdr:row>
      <xdr:rowOff>0</xdr:rowOff>
    </xdr:from>
    <xdr:ext cx="4336468" cy="792395"/>
    <xdr:sp macro="" textlink="">
      <xdr:nvSpPr>
        <xdr:cNvPr id="75" name="Прямоугольник 74">
          <a:extLst>
            <a:ext uri="{FF2B5EF4-FFF2-40B4-BE49-F238E27FC236}">
              <a16:creationId xmlns:a16="http://schemas.microsoft.com/office/drawing/2014/main" id="{00000000-0008-0000-0000-00004B000000}"/>
            </a:ext>
          </a:extLst>
        </xdr:cNvPr>
        <xdr:cNvSpPr/>
      </xdr:nvSpPr>
      <xdr:spPr>
        <a:xfrm rot="20774683">
          <a:off x="0" y="101831775"/>
          <a:ext cx="4336468" cy="792395"/>
        </a:xfrm>
        <a:prstGeom prst="rect">
          <a:avLst/>
        </a:prstGeom>
        <a:noFill/>
      </xdr:spPr>
      <xdr:txBody>
        <a:bodyPr wrap="square" lIns="91440" tIns="45720" rIns="91440" bIns="45720">
          <a:noAutofit/>
        </a:bodyPr>
        <a:lstStyle/>
        <a:p>
          <a:pPr algn="ctr"/>
          <a:r>
            <a:rPr lang="en-US" sz="28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28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0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0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oneCellAnchor>
    <xdr:from>
      <xdr:col>0</xdr:col>
      <xdr:colOff>0</xdr:colOff>
      <xdr:row>1782</xdr:row>
      <xdr:rowOff>0</xdr:rowOff>
    </xdr:from>
    <xdr:ext cx="4336468" cy="792395"/>
    <xdr:sp macro="" textlink="">
      <xdr:nvSpPr>
        <xdr:cNvPr id="76" name="Прямоугольник 75">
          <a:extLst>
            <a:ext uri="{FF2B5EF4-FFF2-40B4-BE49-F238E27FC236}">
              <a16:creationId xmlns:a16="http://schemas.microsoft.com/office/drawing/2014/main" id="{00000000-0008-0000-0000-00004C000000}"/>
            </a:ext>
          </a:extLst>
        </xdr:cNvPr>
        <xdr:cNvSpPr/>
      </xdr:nvSpPr>
      <xdr:spPr>
        <a:xfrm rot="20774683">
          <a:off x="0" y="116824125"/>
          <a:ext cx="4336468" cy="792395"/>
        </a:xfrm>
        <a:prstGeom prst="rect">
          <a:avLst/>
        </a:prstGeom>
        <a:noFill/>
      </xdr:spPr>
      <xdr:txBody>
        <a:bodyPr wrap="square" lIns="91440" tIns="45720" rIns="91440" bIns="45720">
          <a:noAutofit/>
        </a:bodyPr>
        <a:lstStyle/>
        <a:p>
          <a:pPr algn="ctr"/>
          <a:r>
            <a:rPr lang="en-US" sz="28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28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0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0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14</xdr:row>
      <xdr:rowOff>0</xdr:rowOff>
    </xdr:from>
    <xdr:ext cx="8851774" cy="792395"/>
    <xdr:sp macro="" textlink="">
      <xdr:nvSpPr>
        <xdr:cNvPr id="2" name="Прямоугольник 1">
          <a:extLst>
            <a:ext uri="{FF2B5EF4-FFF2-40B4-BE49-F238E27FC236}">
              <a16:creationId xmlns:a16="http://schemas.microsoft.com/office/drawing/2014/main" id="{00000000-0008-0000-0900-000002000000}"/>
            </a:ext>
          </a:extLst>
        </xdr:cNvPr>
        <xdr:cNvSpPr/>
      </xdr:nvSpPr>
      <xdr:spPr>
        <a:xfrm rot="20774683">
          <a:off x="0" y="2678906"/>
          <a:ext cx="8851774" cy="792395"/>
        </a:xfrm>
        <a:prstGeom prst="rect">
          <a:avLst/>
        </a:prstGeom>
        <a:noFill/>
      </xdr:spPr>
      <xdr:txBody>
        <a:bodyPr wrap="square" lIns="91440" tIns="45720" rIns="91440" bIns="45720">
          <a:noAutofit/>
        </a:bodyPr>
        <a:lstStyle/>
        <a:p>
          <a:pPr algn="ctr"/>
          <a:r>
            <a:rPr lang="en-US" sz="40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40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0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0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oneCellAnchor>
    <xdr:from>
      <xdr:col>0</xdr:col>
      <xdr:colOff>0</xdr:colOff>
      <xdr:row>66</xdr:row>
      <xdr:rowOff>0</xdr:rowOff>
    </xdr:from>
    <xdr:ext cx="8851774" cy="792395"/>
    <xdr:sp macro="" textlink="">
      <xdr:nvSpPr>
        <xdr:cNvPr id="3" name="Прямоугольник 2">
          <a:extLst>
            <a:ext uri="{FF2B5EF4-FFF2-40B4-BE49-F238E27FC236}">
              <a16:creationId xmlns:a16="http://schemas.microsoft.com/office/drawing/2014/main" id="{00000000-0008-0000-0900-000003000000}"/>
            </a:ext>
          </a:extLst>
        </xdr:cNvPr>
        <xdr:cNvSpPr/>
      </xdr:nvSpPr>
      <xdr:spPr>
        <a:xfrm rot="20774683">
          <a:off x="0" y="13096875"/>
          <a:ext cx="8851774" cy="792395"/>
        </a:xfrm>
        <a:prstGeom prst="rect">
          <a:avLst/>
        </a:prstGeom>
        <a:noFill/>
      </xdr:spPr>
      <xdr:txBody>
        <a:bodyPr wrap="square" lIns="91440" tIns="45720" rIns="91440" bIns="45720">
          <a:noAutofit/>
        </a:bodyPr>
        <a:lstStyle/>
        <a:p>
          <a:pPr algn="ctr"/>
          <a:r>
            <a:rPr lang="en-US" sz="40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40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0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0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oneCellAnchor>
    <xdr:from>
      <xdr:col>9</xdr:col>
      <xdr:colOff>0</xdr:colOff>
      <xdr:row>73</xdr:row>
      <xdr:rowOff>0</xdr:rowOff>
    </xdr:from>
    <xdr:ext cx="8851774" cy="792395"/>
    <xdr:sp macro="" textlink="">
      <xdr:nvSpPr>
        <xdr:cNvPr id="4" name="Прямоугольник 3">
          <a:extLst>
            <a:ext uri="{FF2B5EF4-FFF2-40B4-BE49-F238E27FC236}">
              <a16:creationId xmlns:a16="http://schemas.microsoft.com/office/drawing/2014/main" id="{00000000-0008-0000-0900-000004000000}"/>
            </a:ext>
          </a:extLst>
        </xdr:cNvPr>
        <xdr:cNvSpPr/>
      </xdr:nvSpPr>
      <xdr:spPr>
        <a:xfrm rot="20774683">
          <a:off x="9953625" y="14430375"/>
          <a:ext cx="8851774" cy="792395"/>
        </a:xfrm>
        <a:prstGeom prst="rect">
          <a:avLst/>
        </a:prstGeom>
        <a:noFill/>
      </xdr:spPr>
      <xdr:txBody>
        <a:bodyPr wrap="square" lIns="91440" tIns="45720" rIns="91440" bIns="45720">
          <a:noAutofit/>
        </a:bodyPr>
        <a:lstStyle/>
        <a:p>
          <a:pPr algn="ctr"/>
          <a:r>
            <a:rPr lang="en-US" sz="40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40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0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0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oneCellAnchor>
    <xdr:from>
      <xdr:col>0</xdr:col>
      <xdr:colOff>2024063</xdr:colOff>
      <xdr:row>113</xdr:row>
      <xdr:rowOff>142876</xdr:rowOff>
    </xdr:from>
    <xdr:ext cx="8851774" cy="792395"/>
    <xdr:sp macro="" textlink="">
      <xdr:nvSpPr>
        <xdr:cNvPr id="5" name="Прямоугольник 4">
          <a:extLst>
            <a:ext uri="{FF2B5EF4-FFF2-40B4-BE49-F238E27FC236}">
              <a16:creationId xmlns:a16="http://schemas.microsoft.com/office/drawing/2014/main" id="{00000000-0008-0000-0900-000005000000}"/>
            </a:ext>
          </a:extLst>
        </xdr:cNvPr>
        <xdr:cNvSpPr/>
      </xdr:nvSpPr>
      <xdr:spPr>
        <a:xfrm rot="20774683">
          <a:off x="2024063" y="21312189"/>
          <a:ext cx="8851774" cy="792395"/>
        </a:xfrm>
        <a:prstGeom prst="rect">
          <a:avLst/>
        </a:prstGeom>
        <a:noFill/>
      </xdr:spPr>
      <xdr:txBody>
        <a:bodyPr wrap="square" lIns="91440" tIns="45720" rIns="91440" bIns="45720">
          <a:noAutofit/>
        </a:bodyPr>
        <a:lstStyle/>
        <a:p>
          <a:pPr algn="ctr"/>
          <a:r>
            <a:rPr lang="en-US" sz="40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40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0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0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486833</xdr:colOff>
      <xdr:row>5</xdr:row>
      <xdr:rowOff>95250</xdr:rowOff>
    </xdr:from>
    <xdr:ext cx="8851774" cy="792395"/>
    <xdr:sp macro="" textlink="">
      <xdr:nvSpPr>
        <xdr:cNvPr id="2" name="Прямоугольник 1">
          <a:extLst>
            <a:ext uri="{FF2B5EF4-FFF2-40B4-BE49-F238E27FC236}">
              <a16:creationId xmlns:a16="http://schemas.microsoft.com/office/drawing/2014/main" id="{00000000-0008-0000-0A00-000002000000}"/>
            </a:ext>
          </a:extLst>
        </xdr:cNvPr>
        <xdr:cNvSpPr/>
      </xdr:nvSpPr>
      <xdr:spPr>
        <a:xfrm rot="20774683">
          <a:off x="486833" y="1068917"/>
          <a:ext cx="8851774" cy="792395"/>
        </a:xfrm>
        <a:prstGeom prst="rect">
          <a:avLst/>
        </a:prstGeom>
        <a:noFill/>
      </xdr:spPr>
      <xdr:txBody>
        <a:bodyPr wrap="square" lIns="91440" tIns="45720" rIns="91440" bIns="45720">
          <a:noAutofit/>
        </a:bodyPr>
        <a:lstStyle/>
        <a:p>
          <a:pPr algn="ctr"/>
          <a:r>
            <a:rPr lang="en-US" sz="40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40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0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0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5</xdr:row>
      <xdr:rowOff>21166</xdr:rowOff>
    </xdr:from>
    <xdr:ext cx="8851774" cy="792395"/>
    <xdr:sp macro="" textlink="">
      <xdr:nvSpPr>
        <xdr:cNvPr id="2" name="Прямоугольник 1">
          <a:extLst>
            <a:ext uri="{FF2B5EF4-FFF2-40B4-BE49-F238E27FC236}">
              <a16:creationId xmlns:a16="http://schemas.microsoft.com/office/drawing/2014/main" id="{00000000-0008-0000-0B00-000002000000}"/>
            </a:ext>
          </a:extLst>
        </xdr:cNvPr>
        <xdr:cNvSpPr/>
      </xdr:nvSpPr>
      <xdr:spPr>
        <a:xfrm rot="20774683">
          <a:off x="0" y="1280583"/>
          <a:ext cx="8851774" cy="792395"/>
        </a:xfrm>
        <a:prstGeom prst="rect">
          <a:avLst/>
        </a:prstGeom>
        <a:noFill/>
      </xdr:spPr>
      <xdr:txBody>
        <a:bodyPr wrap="square" lIns="91440" tIns="45720" rIns="91440" bIns="45720">
          <a:noAutofit/>
        </a:bodyPr>
        <a:lstStyle/>
        <a:p>
          <a:pPr algn="ctr"/>
          <a:r>
            <a:rPr lang="en-US" sz="40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40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0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0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5</xdr:row>
      <xdr:rowOff>226219</xdr:rowOff>
    </xdr:from>
    <xdr:ext cx="8851774" cy="792395"/>
    <xdr:sp macro="" textlink="">
      <xdr:nvSpPr>
        <xdr:cNvPr id="2" name="Прямоугольник 1">
          <a:extLst>
            <a:ext uri="{FF2B5EF4-FFF2-40B4-BE49-F238E27FC236}">
              <a16:creationId xmlns:a16="http://schemas.microsoft.com/office/drawing/2014/main" id="{00000000-0008-0000-0C00-000002000000}"/>
            </a:ext>
          </a:extLst>
        </xdr:cNvPr>
        <xdr:cNvSpPr/>
      </xdr:nvSpPr>
      <xdr:spPr>
        <a:xfrm rot="20774683">
          <a:off x="0" y="2071688"/>
          <a:ext cx="8851774" cy="792395"/>
        </a:xfrm>
        <a:prstGeom prst="rect">
          <a:avLst/>
        </a:prstGeom>
        <a:noFill/>
      </xdr:spPr>
      <xdr:txBody>
        <a:bodyPr wrap="square" lIns="91440" tIns="45720" rIns="91440" bIns="45720">
          <a:noAutofit/>
        </a:bodyPr>
        <a:lstStyle/>
        <a:p>
          <a:pPr algn="ctr"/>
          <a:r>
            <a:rPr lang="en-US" sz="40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40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0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0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869156</xdr:colOff>
      <xdr:row>13</xdr:row>
      <xdr:rowOff>130969</xdr:rowOff>
    </xdr:from>
    <xdr:ext cx="8851774" cy="792395"/>
    <xdr:sp macro="" textlink="">
      <xdr:nvSpPr>
        <xdr:cNvPr id="2" name="Прямоугольник 1">
          <a:extLst>
            <a:ext uri="{FF2B5EF4-FFF2-40B4-BE49-F238E27FC236}">
              <a16:creationId xmlns:a16="http://schemas.microsoft.com/office/drawing/2014/main" id="{00000000-0008-0000-0D00-000002000000}"/>
            </a:ext>
          </a:extLst>
        </xdr:cNvPr>
        <xdr:cNvSpPr/>
      </xdr:nvSpPr>
      <xdr:spPr>
        <a:xfrm rot="20774683">
          <a:off x="869156" y="2607469"/>
          <a:ext cx="8851774" cy="792395"/>
        </a:xfrm>
        <a:prstGeom prst="rect">
          <a:avLst/>
        </a:prstGeom>
        <a:noFill/>
      </xdr:spPr>
      <xdr:txBody>
        <a:bodyPr wrap="square" lIns="91440" tIns="45720" rIns="91440" bIns="45720">
          <a:noAutofit/>
        </a:bodyPr>
        <a:lstStyle/>
        <a:p>
          <a:pPr algn="ctr"/>
          <a:r>
            <a:rPr lang="en-US" sz="40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40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0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0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oneCellAnchor>
    <xdr:from>
      <xdr:col>0</xdr:col>
      <xdr:colOff>0</xdr:colOff>
      <xdr:row>36</xdr:row>
      <xdr:rowOff>35719</xdr:rowOff>
    </xdr:from>
    <xdr:ext cx="8851774" cy="792395"/>
    <xdr:sp macro="" textlink="">
      <xdr:nvSpPr>
        <xdr:cNvPr id="3" name="Прямоугольник 2">
          <a:extLst>
            <a:ext uri="{FF2B5EF4-FFF2-40B4-BE49-F238E27FC236}">
              <a16:creationId xmlns:a16="http://schemas.microsoft.com/office/drawing/2014/main" id="{00000000-0008-0000-0D00-000003000000}"/>
            </a:ext>
          </a:extLst>
        </xdr:cNvPr>
        <xdr:cNvSpPr/>
      </xdr:nvSpPr>
      <xdr:spPr>
        <a:xfrm rot="20774683">
          <a:off x="0" y="6548438"/>
          <a:ext cx="8851774" cy="792395"/>
        </a:xfrm>
        <a:prstGeom prst="rect">
          <a:avLst/>
        </a:prstGeom>
        <a:noFill/>
      </xdr:spPr>
      <xdr:txBody>
        <a:bodyPr wrap="square" lIns="91440" tIns="45720" rIns="91440" bIns="45720">
          <a:noAutofit/>
        </a:bodyPr>
        <a:lstStyle/>
        <a:p>
          <a:pPr algn="ctr"/>
          <a:r>
            <a:rPr lang="en-US" sz="40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40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0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0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720</xdr:row>
      <xdr:rowOff>0</xdr:rowOff>
    </xdr:from>
    <xdr:to>
      <xdr:col>7</xdr:col>
      <xdr:colOff>666750</xdr:colOff>
      <xdr:row>743</xdr:row>
      <xdr:rowOff>0</xdr:rowOff>
    </xdr:to>
    <xdr:graphicFrame macro="">
      <xdr:nvGraphicFramePr>
        <xdr:cNvPr id="15177118" name="Chart 34">
          <a:extLst>
            <a:ext uri="{FF2B5EF4-FFF2-40B4-BE49-F238E27FC236}">
              <a16:creationId xmlns:a16="http://schemas.microsoft.com/office/drawing/2014/main" id="{00000000-0008-0000-0100-00009E95E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796</xdr:row>
      <xdr:rowOff>0</xdr:rowOff>
    </xdr:from>
    <xdr:to>
      <xdr:col>8</xdr:col>
      <xdr:colOff>9525</xdr:colOff>
      <xdr:row>819</xdr:row>
      <xdr:rowOff>0</xdr:rowOff>
    </xdr:to>
    <xdr:graphicFrame macro="">
      <xdr:nvGraphicFramePr>
        <xdr:cNvPr id="15177119" name="Chart 185">
          <a:extLst>
            <a:ext uri="{FF2B5EF4-FFF2-40B4-BE49-F238E27FC236}">
              <a16:creationId xmlns:a16="http://schemas.microsoft.com/office/drawing/2014/main" id="{00000000-0008-0000-0100-00009F95E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870</xdr:row>
      <xdr:rowOff>0</xdr:rowOff>
    </xdr:from>
    <xdr:to>
      <xdr:col>8</xdr:col>
      <xdr:colOff>0</xdr:colOff>
      <xdr:row>892</xdr:row>
      <xdr:rowOff>133350</xdr:rowOff>
    </xdr:to>
    <xdr:graphicFrame macro="">
      <xdr:nvGraphicFramePr>
        <xdr:cNvPr id="15177120" name="Chart 186">
          <a:extLst>
            <a:ext uri="{FF2B5EF4-FFF2-40B4-BE49-F238E27FC236}">
              <a16:creationId xmlns:a16="http://schemas.microsoft.com/office/drawing/2014/main" id="{00000000-0008-0000-0100-0000A095E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192</xdr:row>
      <xdr:rowOff>0</xdr:rowOff>
    </xdr:from>
    <xdr:to>
      <xdr:col>8</xdr:col>
      <xdr:colOff>0</xdr:colOff>
      <xdr:row>215</xdr:row>
      <xdr:rowOff>0</xdr:rowOff>
    </xdr:to>
    <xdr:graphicFrame macro="">
      <xdr:nvGraphicFramePr>
        <xdr:cNvPr id="15177121" name="Chart 176">
          <a:extLst>
            <a:ext uri="{FF2B5EF4-FFF2-40B4-BE49-F238E27FC236}">
              <a16:creationId xmlns:a16="http://schemas.microsoft.com/office/drawing/2014/main" id="{00000000-0008-0000-0100-0000A195E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217</xdr:row>
      <xdr:rowOff>0</xdr:rowOff>
    </xdr:from>
    <xdr:to>
      <xdr:col>8</xdr:col>
      <xdr:colOff>0</xdr:colOff>
      <xdr:row>240</xdr:row>
      <xdr:rowOff>0</xdr:rowOff>
    </xdr:to>
    <xdr:graphicFrame macro="">
      <xdr:nvGraphicFramePr>
        <xdr:cNvPr id="15177122" name="Chart 177">
          <a:extLst>
            <a:ext uri="{FF2B5EF4-FFF2-40B4-BE49-F238E27FC236}">
              <a16:creationId xmlns:a16="http://schemas.microsoft.com/office/drawing/2014/main" id="{00000000-0008-0000-0100-0000A295E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242</xdr:row>
      <xdr:rowOff>0</xdr:rowOff>
    </xdr:from>
    <xdr:to>
      <xdr:col>7</xdr:col>
      <xdr:colOff>666750</xdr:colOff>
      <xdr:row>265</xdr:row>
      <xdr:rowOff>0</xdr:rowOff>
    </xdr:to>
    <xdr:graphicFrame macro="">
      <xdr:nvGraphicFramePr>
        <xdr:cNvPr id="15177123" name="Chart 177">
          <a:extLst>
            <a:ext uri="{FF2B5EF4-FFF2-40B4-BE49-F238E27FC236}">
              <a16:creationId xmlns:a16="http://schemas.microsoft.com/office/drawing/2014/main" id="{00000000-0008-0000-0100-0000A395E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337</xdr:row>
      <xdr:rowOff>0</xdr:rowOff>
    </xdr:from>
    <xdr:to>
      <xdr:col>7</xdr:col>
      <xdr:colOff>666750</xdr:colOff>
      <xdr:row>359</xdr:row>
      <xdr:rowOff>133350</xdr:rowOff>
    </xdr:to>
    <xdr:graphicFrame macro="">
      <xdr:nvGraphicFramePr>
        <xdr:cNvPr id="15177124" name="Chart 178">
          <a:extLst>
            <a:ext uri="{FF2B5EF4-FFF2-40B4-BE49-F238E27FC236}">
              <a16:creationId xmlns:a16="http://schemas.microsoft.com/office/drawing/2014/main" id="{00000000-0008-0000-0100-0000A495E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362</xdr:row>
      <xdr:rowOff>0</xdr:rowOff>
    </xdr:from>
    <xdr:to>
      <xdr:col>8</xdr:col>
      <xdr:colOff>0</xdr:colOff>
      <xdr:row>385</xdr:row>
      <xdr:rowOff>0</xdr:rowOff>
    </xdr:to>
    <xdr:graphicFrame macro="">
      <xdr:nvGraphicFramePr>
        <xdr:cNvPr id="15177125" name="Chart 179">
          <a:extLst>
            <a:ext uri="{FF2B5EF4-FFF2-40B4-BE49-F238E27FC236}">
              <a16:creationId xmlns:a16="http://schemas.microsoft.com/office/drawing/2014/main" id="{00000000-0008-0000-0100-0000A595E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387</xdr:row>
      <xdr:rowOff>0</xdr:rowOff>
    </xdr:from>
    <xdr:to>
      <xdr:col>8</xdr:col>
      <xdr:colOff>0</xdr:colOff>
      <xdr:row>410</xdr:row>
      <xdr:rowOff>0</xdr:rowOff>
    </xdr:to>
    <xdr:graphicFrame macro="">
      <xdr:nvGraphicFramePr>
        <xdr:cNvPr id="15177126" name="Chart 178">
          <a:extLst>
            <a:ext uri="{FF2B5EF4-FFF2-40B4-BE49-F238E27FC236}">
              <a16:creationId xmlns:a16="http://schemas.microsoft.com/office/drawing/2014/main" id="{00000000-0008-0000-0100-0000A695E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412</xdr:row>
      <xdr:rowOff>0</xdr:rowOff>
    </xdr:from>
    <xdr:to>
      <xdr:col>8</xdr:col>
      <xdr:colOff>0</xdr:colOff>
      <xdr:row>435</xdr:row>
      <xdr:rowOff>0</xdr:rowOff>
    </xdr:to>
    <xdr:graphicFrame macro="">
      <xdr:nvGraphicFramePr>
        <xdr:cNvPr id="15177127" name="Chart 179">
          <a:extLst>
            <a:ext uri="{FF2B5EF4-FFF2-40B4-BE49-F238E27FC236}">
              <a16:creationId xmlns:a16="http://schemas.microsoft.com/office/drawing/2014/main" id="{00000000-0008-0000-0100-0000A795E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516</xdr:row>
      <xdr:rowOff>0</xdr:rowOff>
    </xdr:from>
    <xdr:to>
      <xdr:col>8</xdr:col>
      <xdr:colOff>0</xdr:colOff>
      <xdr:row>539</xdr:row>
      <xdr:rowOff>0</xdr:rowOff>
    </xdr:to>
    <xdr:graphicFrame macro="">
      <xdr:nvGraphicFramePr>
        <xdr:cNvPr id="15177128" name="Chart 179">
          <a:extLst>
            <a:ext uri="{FF2B5EF4-FFF2-40B4-BE49-F238E27FC236}">
              <a16:creationId xmlns:a16="http://schemas.microsoft.com/office/drawing/2014/main" id="{00000000-0008-0000-0100-0000A895E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541</xdr:row>
      <xdr:rowOff>0</xdr:rowOff>
    </xdr:from>
    <xdr:to>
      <xdr:col>8</xdr:col>
      <xdr:colOff>0</xdr:colOff>
      <xdr:row>564</xdr:row>
      <xdr:rowOff>0</xdr:rowOff>
    </xdr:to>
    <xdr:graphicFrame macro="">
      <xdr:nvGraphicFramePr>
        <xdr:cNvPr id="15177129" name="Chart 179">
          <a:extLst>
            <a:ext uri="{FF2B5EF4-FFF2-40B4-BE49-F238E27FC236}">
              <a16:creationId xmlns:a16="http://schemas.microsoft.com/office/drawing/2014/main" id="{00000000-0008-0000-0100-0000A995E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594</xdr:row>
      <xdr:rowOff>0</xdr:rowOff>
    </xdr:from>
    <xdr:to>
      <xdr:col>8</xdr:col>
      <xdr:colOff>0</xdr:colOff>
      <xdr:row>617</xdr:row>
      <xdr:rowOff>0</xdr:rowOff>
    </xdr:to>
    <xdr:graphicFrame macro="">
      <xdr:nvGraphicFramePr>
        <xdr:cNvPr id="15177130" name="Chart 179">
          <a:extLst>
            <a:ext uri="{FF2B5EF4-FFF2-40B4-BE49-F238E27FC236}">
              <a16:creationId xmlns:a16="http://schemas.microsoft.com/office/drawing/2014/main" id="{00000000-0008-0000-0100-0000AA95E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619</xdr:row>
      <xdr:rowOff>0</xdr:rowOff>
    </xdr:from>
    <xdr:to>
      <xdr:col>8</xdr:col>
      <xdr:colOff>0</xdr:colOff>
      <xdr:row>642</xdr:row>
      <xdr:rowOff>0</xdr:rowOff>
    </xdr:to>
    <xdr:graphicFrame macro="">
      <xdr:nvGraphicFramePr>
        <xdr:cNvPr id="15177131" name="Chart 179">
          <a:extLst>
            <a:ext uri="{FF2B5EF4-FFF2-40B4-BE49-F238E27FC236}">
              <a16:creationId xmlns:a16="http://schemas.microsoft.com/office/drawing/2014/main" id="{00000000-0008-0000-0100-0000AB95E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644</xdr:row>
      <xdr:rowOff>0</xdr:rowOff>
    </xdr:from>
    <xdr:to>
      <xdr:col>8</xdr:col>
      <xdr:colOff>0</xdr:colOff>
      <xdr:row>667</xdr:row>
      <xdr:rowOff>0</xdr:rowOff>
    </xdr:to>
    <xdr:graphicFrame macro="">
      <xdr:nvGraphicFramePr>
        <xdr:cNvPr id="15177132" name="Chart 179">
          <a:extLst>
            <a:ext uri="{FF2B5EF4-FFF2-40B4-BE49-F238E27FC236}">
              <a16:creationId xmlns:a16="http://schemas.microsoft.com/office/drawing/2014/main" id="{00000000-0008-0000-0100-0000AC95E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mc:AlternateContent xmlns:mc="http://schemas.openxmlformats.org/markup-compatibility/2006">
    <mc:Choice xmlns:a14="http://schemas.microsoft.com/office/drawing/2010/main" Requires="a14">
      <xdr:twoCellAnchor>
        <xdr:from>
          <xdr:col>0</xdr:col>
          <xdr:colOff>19050</xdr:colOff>
          <xdr:row>16</xdr:row>
          <xdr:rowOff>0</xdr:rowOff>
        </xdr:from>
        <xdr:to>
          <xdr:col>1</xdr:col>
          <xdr:colOff>0</xdr:colOff>
          <xdr:row>17</xdr:row>
          <xdr:rowOff>0</xdr:rowOff>
        </xdr:to>
        <xdr:sp macro="" textlink="">
          <xdr:nvSpPr>
            <xdr:cNvPr id="4097" name="PORT_BTN_3"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800" b="0" i="0" u="none" strike="noStrike" baseline="0">
                  <a:solidFill>
                    <a:srgbClr val="000000"/>
                  </a:solidFill>
                  <a:latin typeface="Arial Cyr"/>
                  <a:cs typeface="Arial Cyr"/>
                </a:rPr>
                <a:t>Обновить данные проектов...</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9525</xdr:colOff>
          <xdr:row>8</xdr:row>
          <xdr:rowOff>0</xdr:rowOff>
        </xdr:from>
        <xdr:to>
          <xdr:col>0</xdr:col>
          <xdr:colOff>1409700</xdr:colOff>
          <xdr:row>9</xdr:row>
          <xdr:rowOff>0</xdr:rowOff>
        </xdr:to>
        <xdr:sp macro="" textlink="">
          <xdr:nvSpPr>
            <xdr:cNvPr id="4098" name="PORT_BTN_1"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800" b="0" i="0" u="none" strike="noStrike" baseline="0">
                  <a:solidFill>
                    <a:srgbClr val="000000"/>
                  </a:solidFill>
                  <a:latin typeface="Arial Cyr"/>
                  <a:cs typeface="Arial Cyr"/>
                </a:rPr>
                <a:t>Добавить проект...</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1543050</xdr:colOff>
          <xdr:row>8</xdr:row>
          <xdr:rowOff>0</xdr:rowOff>
        </xdr:from>
        <xdr:to>
          <xdr:col>0</xdr:col>
          <xdr:colOff>2895600</xdr:colOff>
          <xdr:row>9</xdr:row>
          <xdr:rowOff>0</xdr:rowOff>
        </xdr:to>
        <xdr:sp macro="" textlink="">
          <xdr:nvSpPr>
            <xdr:cNvPr id="4099" name="PORT_BTN_2" hidden="1">
              <a:extLst>
                <a:ext uri="{63B3BB69-23CF-44E3-9099-C40C66FF867C}">
                  <a14:compatExt spid="_x0000_s4099"/>
                </a:ext>
                <a:ext uri="{FF2B5EF4-FFF2-40B4-BE49-F238E27FC236}">
                  <a16:creationId xmlns:a16="http://schemas.microsoft.com/office/drawing/2014/main" id="{00000000-0008-0000-0100-000003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800" b="0" i="0" u="none" strike="noStrike" baseline="0">
                  <a:solidFill>
                    <a:srgbClr val="000000"/>
                  </a:solidFill>
                  <a:latin typeface="Arial Cyr"/>
                  <a:cs typeface="Arial Cyr"/>
                </a:rPr>
                <a:t>Удалить проект...</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3</xdr:row>
          <xdr:rowOff>9525</xdr:rowOff>
        </xdr:from>
        <xdr:to>
          <xdr:col>0</xdr:col>
          <xdr:colOff>219075</xdr:colOff>
          <xdr:row>3</xdr:row>
          <xdr:rowOff>190500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0100-000004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38</xdr:row>
          <xdr:rowOff>9525</xdr:rowOff>
        </xdr:from>
        <xdr:to>
          <xdr:col>0</xdr:col>
          <xdr:colOff>219075</xdr:colOff>
          <xdr:row>38</xdr:row>
          <xdr:rowOff>190500</xdr:rowOff>
        </xdr:to>
        <xdr:sp macro="" textlink="">
          <xdr:nvSpPr>
            <xdr:cNvPr id="4104" name="Button 8" hidden="1">
              <a:extLst>
                <a:ext uri="{63B3BB69-23CF-44E3-9099-C40C66FF867C}">
                  <a14:compatExt spid="_x0000_s4104"/>
                </a:ext>
                <a:ext uri="{FF2B5EF4-FFF2-40B4-BE49-F238E27FC236}">
                  <a16:creationId xmlns:a16="http://schemas.microsoft.com/office/drawing/2014/main" id="{00000000-0008-0000-0100-000008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124</xdr:row>
          <xdr:rowOff>9525</xdr:rowOff>
        </xdr:from>
        <xdr:to>
          <xdr:col>0</xdr:col>
          <xdr:colOff>219075</xdr:colOff>
          <xdr:row>124</xdr:row>
          <xdr:rowOff>190500</xdr:rowOff>
        </xdr:to>
        <xdr:sp macro="" textlink="">
          <xdr:nvSpPr>
            <xdr:cNvPr id="4105" name="Button 9" hidden="1">
              <a:extLst>
                <a:ext uri="{63B3BB69-23CF-44E3-9099-C40C66FF867C}">
                  <a14:compatExt spid="_x0000_s4105"/>
                </a:ext>
                <a:ext uri="{FF2B5EF4-FFF2-40B4-BE49-F238E27FC236}">
                  <a16:creationId xmlns:a16="http://schemas.microsoft.com/office/drawing/2014/main" id="{00000000-0008-0000-0100-000009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267</xdr:row>
          <xdr:rowOff>9525</xdr:rowOff>
        </xdr:from>
        <xdr:to>
          <xdr:col>0</xdr:col>
          <xdr:colOff>219075</xdr:colOff>
          <xdr:row>267</xdr:row>
          <xdr:rowOff>190500</xdr:rowOff>
        </xdr:to>
        <xdr:sp macro="" textlink="">
          <xdr:nvSpPr>
            <xdr:cNvPr id="4106" name="Button 10" hidden="1">
              <a:extLst>
                <a:ext uri="{63B3BB69-23CF-44E3-9099-C40C66FF867C}">
                  <a14:compatExt spid="_x0000_s4106"/>
                </a:ext>
                <a:ext uri="{FF2B5EF4-FFF2-40B4-BE49-F238E27FC236}">
                  <a16:creationId xmlns:a16="http://schemas.microsoft.com/office/drawing/2014/main" id="{00000000-0008-0000-0100-00000A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65</xdr:row>
          <xdr:rowOff>9525</xdr:rowOff>
        </xdr:from>
        <xdr:to>
          <xdr:col>0</xdr:col>
          <xdr:colOff>219075</xdr:colOff>
          <xdr:row>65</xdr:row>
          <xdr:rowOff>190500</xdr:rowOff>
        </xdr:to>
        <xdr:sp macro="" textlink="">
          <xdr:nvSpPr>
            <xdr:cNvPr id="4118" name="Button 22" hidden="1">
              <a:extLst>
                <a:ext uri="{63B3BB69-23CF-44E3-9099-C40C66FF867C}">
                  <a14:compatExt spid="_x0000_s4118"/>
                </a:ext>
                <a:ext uri="{FF2B5EF4-FFF2-40B4-BE49-F238E27FC236}">
                  <a16:creationId xmlns:a16="http://schemas.microsoft.com/office/drawing/2014/main" id="{00000000-0008-0000-0100-000016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437</xdr:row>
          <xdr:rowOff>9525</xdr:rowOff>
        </xdr:from>
        <xdr:to>
          <xdr:col>0</xdr:col>
          <xdr:colOff>219075</xdr:colOff>
          <xdr:row>437</xdr:row>
          <xdr:rowOff>190500</xdr:rowOff>
        </xdr:to>
        <xdr:sp macro="" textlink="">
          <xdr:nvSpPr>
            <xdr:cNvPr id="4122" name="Button 26" hidden="1">
              <a:extLst>
                <a:ext uri="{63B3BB69-23CF-44E3-9099-C40C66FF867C}">
                  <a14:compatExt spid="_x0000_s4122"/>
                </a:ext>
                <a:ext uri="{FF2B5EF4-FFF2-40B4-BE49-F238E27FC236}">
                  <a16:creationId xmlns:a16="http://schemas.microsoft.com/office/drawing/2014/main" id="{00000000-0008-0000-0100-00001A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566</xdr:row>
          <xdr:rowOff>9525</xdr:rowOff>
        </xdr:from>
        <xdr:to>
          <xdr:col>0</xdr:col>
          <xdr:colOff>219075</xdr:colOff>
          <xdr:row>566</xdr:row>
          <xdr:rowOff>190500</xdr:rowOff>
        </xdr:to>
        <xdr:sp macro="" textlink="">
          <xdr:nvSpPr>
            <xdr:cNvPr id="4125" name="Button 29" hidden="1">
              <a:extLst>
                <a:ext uri="{63B3BB69-23CF-44E3-9099-C40C66FF867C}">
                  <a14:compatExt spid="_x0000_s4125"/>
                </a:ext>
                <a:ext uri="{FF2B5EF4-FFF2-40B4-BE49-F238E27FC236}">
                  <a16:creationId xmlns:a16="http://schemas.microsoft.com/office/drawing/2014/main" id="{00000000-0008-0000-0100-00001D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669</xdr:row>
          <xdr:rowOff>0</xdr:rowOff>
        </xdr:from>
        <xdr:to>
          <xdr:col>0</xdr:col>
          <xdr:colOff>219075</xdr:colOff>
          <xdr:row>669</xdr:row>
          <xdr:rowOff>180975</xdr:rowOff>
        </xdr:to>
        <xdr:sp macro="" textlink="">
          <xdr:nvSpPr>
            <xdr:cNvPr id="4127" name="Button 31" hidden="1">
              <a:extLst>
                <a:ext uri="{63B3BB69-23CF-44E3-9099-C40C66FF867C}">
                  <a14:compatExt spid="_x0000_s4127"/>
                </a:ext>
                <a:ext uri="{FF2B5EF4-FFF2-40B4-BE49-F238E27FC236}">
                  <a16:creationId xmlns:a16="http://schemas.microsoft.com/office/drawing/2014/main" id="{00000000-0008-0000-0100-00001F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745</xdr:row>
          <xdr:rowOff>0</xdr:rowOff>
        </xdr:from>
        <xdr:to>
          <xdr:col>0</xdr:col>
          <xdr:colOff>219075</xdr:colOff>
          <xdr:row>745</xdr:row>
          <xdr:rowOff>180975</xdr:rowOff>
        </xdr:to>
        <xdr:sp macro="" textlink="">
          <xdr:nvSpPr>
            <xdr:cNvPr id="4133" name="Button 37" hidden="1">
              <a:extLst>
                <a:ext uri="{63B3BB69-23CF-44E3-9099-C40C66FF867C}">
                  <a14:compatExt spid="_x0000_s4133"/>
                </a:ext>
                <a:ext uri="{FF2B5EF4-FFF2-40B4-BE49-F238E27FC236}">
                  <a16:creationId xmlns:a16="http://schemas.microsoft.com/office/drawing/2014/main" id="{00000000-0008-0000-0100-000025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821</xdr:row>
          <xdr:rowOff>9525</xdr:rowOff>
        </xdr:from>
        <xdr:to>
          <xdr:col>0</xdr:col>
          <xdr:colOff>219075</xdr:colOff>
          <xdr:row>821</xdr:row>
          <xdr:rowOff>190500</xdr:rowOff>
        </xdr:to>
        <xdr:sp macro="" textlink="">
          <xdr:nvSpPr>
            <xdr:cNvPr id="4134" name="Button 38" hidden="1">
              <a:extLst>
                <a:ext uri="{63B3BB69-23CF-44E3-9099-C40C66FF867C}">
                  <a14:compatExt spid="_x0000_s4134"/>
                </a:ext>
                <a:ext uri="{FF2B5EF4-FFF2-40B4-BE49-F238E27FC236}">
                  <a16:creationId xmlns:a16="http://schemas.microsoft.com/office/drawing/2014/main" id="{00000000-0008-0000-0100-000026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895</xdr:row>
          <xdr:rowOff>0</xdr:rowOff>
        </xdr:from>
        <xdr:to>
          <xdr:col>0</xdr:col>
          <xdr:colOff>219075</xdr:colOff>
          <xdr:row>895</xdr:row>
          <xdr:rowOff>180975</xdr:rowOff>
        </xdr:to>
        <xdr:sp macro="" textlink="">
          <xdr:nvSpPr>
            <xdr:cNvPr id="4135" name="Button 39" hidden="1">
              <a:extLst>
                <a:ext uri="{63B3BB69-23CF-44E3-9099-C40C66FF867C}">
                  <a14:compatExt spid="_x0000_s4135"/>
                </a:ext>
                <a:ext uri="{FF2B5EF4-FFF2-40B4-BE49-F238E27FC236}">
                  <a16:creationId xmlns:a16="http://schemas.microsoft.com/office/drawing/2014/main" id="{00000000-0008-0000-0100-000027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923</xdr:row>
          <xdr:rowOff>9525</xdr:rowOff>
        </xdr:from>
        <xdr:to>
          <xdr:col>0</xdr:col>
          <xdr:colOff>219075</xdr:colOff>
          <xdr:row>923</xdr:row>
          <xdr:rowOff>190500</xdr:rowOff>
        </xdr:to>
        <xdr:sp macro="" textlink="">
          <xdr:nvSpPr>
            <xdr:cNvPr id="4138" name="Button 42" hidden="1">
              <a:extLst>
                <a:ext uri="{63B3BB69-23CF-44E3-9099-C40C66FF867C}">
                  <a14:compatExt spid="_x0000_s4138"/>
                </a:ext>
                <a:ext uri="{FF2B5EF4-FFF2-40B4-BE49-F238E27FC236}">
                  <a16:creationId xmlns:a16="http://schemas.microsoft.com/office/drawing/2014/main" id="{00000000-0008-0000-0100-00002A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900" b="0" i="1" u="none" strike="noStrike" baseline="0">
                  <a:solidFill>
                    <a:srgbClr val="800000"/>
                  </a:solidFill>
                  <a:latin typeface="Calibri"/>
                  <a:cs typeface="Calibri"/>
                </a:rPr>
                <a:t>«</a:t>
              </a:r>
            </a:p>
          </xdr:txBody>
        </xdr:sp>
        <xdr:clientData fPrintsWithSheet="0"/>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0.33437</cdr:x>
      <cdr:y>0.56226</cdr:y>
    </cdr:from>
    <cdr:to>
      <cdr:x>0.34201</cdr:x>
      <cdr:y>0.59362</cdr:y>
    </cdr:to>
    <cdr:sp macro="" textlink="">
      <cdr:nvSpPr>
        <cdr:cNvPr id="2898945" name="Text Box 1"/>
        <cdr:cNvSpPr txBox="1">
          <a:spLocks xmlns:a="http://schemas.openxmlformats.org/drawingml/2006/main" noChangeArrowheads="1"/>
        </cdr:cNvSpPr>
      </cdr:nvSpPr>
      <cdr:spPr bwMode="auto">
        <a:xfrm xmlns:a="http://schemas.openxmlformats.org/drawingml/2006/main">
          <a:off x="3481129" y="1651750"/>
          <a:ext cx="80693" cy="16049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lnSpc>
              <a:spcPts val="800"/>
            </a:lnSpc>
            <a:defRPr sz="1000"/>
          </a:pPr>
          <a:r>
            <a:rPr lang="ru-RU" sz="800" b="0" i="0" strike="noStrike">
              <a:solidFill>
                <a:srgbClr val="000000"/>
              </a:solidFill>
              <a:latin typeface="Arial Cyr"/>
            </a:rPr>
            <a:t>  </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217</xdr:row>
      <xdr:rowOff>0</xdr:rowOff>
    </xdr:from>
    <xdr:to>
      <xdr:col>8</xdr:col>
      <xdr:colOff>0</xdr:colOff>
      <xdr:row>240</xdr:row>
      <xdr:rowOff>0</xdr:rowOff>
    </xdr:to>
    <xdr:graphicFrame macro="">
      <xdr:nvGraphicFramePr>
        <xdr:cNvPr id="7" name="Chart 17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243</xdr:row>
      <xdr:rowOff>0</xdr:rowOff>
    </xdr:from>
    <xdr:to>
      <xdr:col>7</xdr:col>
      <xdr:colOff>666750</xdr:colOff>
      <xdr:row>266</xdr:row>
      <xdr:rowOff>0</xdr:rowOff>
    </xdr:to>
    <xdr:graphicFrame macro="">
      <xdr:nvGraphicFramePr>
        <xdr:cNvPr id="8" name="Chart 17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289</xdr:row>
      <xdr:rowOff>0</xdr:rowOff>
    </xdr:from>
    <xdr:to>
      <xdr:col>7</xdr:col>
      <xdr:colOff>666750</xdr:colOff>
      <xdr:row>312</xdr:row>
      <xdr:rowOff>0</xdr:rowOff>
    </xdr:to>
    <xdr:graphicFrame macro="">
      <xdr:nvGraphicFramePr>
        <xdr:cNvPr id="9" name="Chart 177">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356</xdr:row>
      <xdr:rowOff>0</xdr:rowOff>
    </xdr:from>
    <xdr:to>
      <xdr:col>7</xdr:col>
      <xdr:colOff>666750</xdr:colOff>
      <xdr:row>378</xdr:row>
      <xdr:rowOff>133350</xdr:rowOff>
    </xdr:to>
    <xdr:graphicFrame macro="">
      <xdr:nvGraphicFramePr>
        <xdr:cNvPr id="10" name="Chart 178">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382</xdr:row>
      <xdr:rowOff>0</xdr:rowOff>
    </xdr:from>
    <xdr:to>
      <xdr:col>8</xdr:col>
      <xdr:colOff>0</xdr:colOff>
      <xdr:row>405</xdr:row>
      <xdr:rowOff>0</xdr:rowOff>
    </xdr:to>
    <xdr:graphicFrame macro="">
      <xdr:nvGraphicFramePr>
        <xdr:cNvPr id="15" name="Chart 179">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408</xdr:row>
      <xdr:rowOff>0</xdr:rowOff>
    </xdr:from>
    <xdr:to>
      <xdr:col>8</xdr:col>
      <xdr:colOff>0</xdr:colOff>
      <xdr:row>431</xdr:row>
      <xdr:rowOff>0</xdr:rowOff>
    </xdr:to>
    <xdr:graphicFrame macro="">
      <xdr:nvGraphicFramePr>
        <xdr:cNvPr id="16" name="Chart 179">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463</xdr:row>
      <xdr:rowOff>0</xdr:rowOff>
    </xdr:from>
    <xdr:to>
      <xdr:col>8</xdr:col>
      <xdr:colOff>0</xdr:colOff>
      <xdr:row>486</xdr:row>
      <xdr:rowOff>0</xdr:rowOff>
    </xdr:to>
    <xdr:graphicFrame macro="">
      <xdr:nvGraphicFramePr>
        <xdr:cNvPr id="17" name="Chart 179">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489</xdr:row>
      <xdr:rowOff>0</xdr:rowOff>
    </xdr:from>
    <xdr:to>
      <xdr:col>8</xdr:col>
      <xdr:colOff>0</xdr:colOff>
      <xdr:row>512</xdr:row>
      <xdr:rowOff>0</xdr:rowOff>
    </xdr:to>
    <xdr:graphicFrame macro="">
      <xdr:nvGraphicFramePr>
        <xdr:cNvPr id="18" name="Chart 179">
          <a:extLst>
            <a:ext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515</xdr:row>
      <xdr:rowOff>0</xdr:rowOff>
    </xdr:from>
    <xdr:to>
      <xdr:col>8</xdr:col>
      <xdr:colOff>0</xdr:colOff>
      <xdr:row>538</xdr:row>
      <xdr:rowOff>0</xdr:rowOff>
    </xdr:to>
    <xdr:graphicFrame macro="">
      <xdr:nvGraphicFramePr>
        <xdr:cNvPr id="19" name="Chart 179">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9525</xdr:colOff>
      <xdr:row>646</xdr:row>
      <xdr:rowOff>9525</xdr:rowOff>
    </xdr:from>
    <xdr:to>
      <xdr:col>8</xdr:col>
      <xdr:colOff>0</xdr:colOff>
      <xdr:row>668</xdr:row>
      <xdr:rowOff>133350</xdr:rowOff>
    </xdr:to>
    <xdr:graphicFrame macro="">
      <xdr:nvGraphicFramePr>
        <xdr:cNvPr id="20" name="Chart 184">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33</xdr:col>
      <xdr:colOff>507999</xdr:colOff>
      <xdr:row>126</xdr:row>
      <xdr:rowOff>104773</xdr:rowOff>
    </xdr:from>
    <xdr:to>
      <xdr:col>48</xdr:col>
      <xdr:colOff>169333</xdr:colOff>
      <xdr:row>185</xdr:row>
      <xdr:rowOff>42333</xdr:rowOff>
    </xdr:to>
    <xdr:graphicFrame macro="">
      <xdr:nvGraphicFramePr>
        <xdr:cNvPr id="2" name="Диаграмма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0</xdr:col>
      <xdr:colOff>671776</xdr:colOff>
      <xdr:row>34</xdr:row>
      <xdr:rowOff>92314</xdr:rowOff>
    </xdr:from>
    <xdr:ext cx="8851774" cy="792395"/>
    <xdr:sp macro="" textlink="">
      <xdr:nvSpPr>
        <xdr:cNvPr id="13" name="Прямоугольник 12">
          <a:extLst>
            <a:ext uri="{FF2B5EF4-FFF2-40B4-BE49-F238E27FC236}">
              <a16:creationId xmlns:a16="http://schemas.microsoft.com/office/drawing/2014/main" id="{00000000-0008-0000-0200-00000D000000}"/>
            </a:ext>
          </a:extLst>
        </xdr:cNvPr>
        <xdr:cNvSpPr/>
      </xdr:nvSpPr>
      <xdr:spPr>
        <a:xfrm rot="20774683">
          <a:off x="671776" y="2664064"/>
          <a:ext cx="8851774" cy="792395"/>
        </a:xfrm>
        <a:prstGeom prst="rect">
          <a:avLst/>
        </a:prstGeom>
        <a:noFill/>
      </xdr:spPr>
      <xdr:txBody>
        <a:bodyPr wrap="square" lIns="91440" tIns="45720" rIns="91440" bIns="45720">
          <a:noAutofit/>
        </a:bodyPr>
        <a:lstStyle/>
        <a:p>
          <a:pPr algn="ctr"/>
          <a:r>
            <a:rPr lang="en-US" sz="40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40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0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0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oneCellAnchor>
    <xdr:from>
      <xdr:col>0</xdr:col>
      <xdr:colOff>0</xdr:colOff>
      <xdr:row>243</xdr:row>
      <xdr:rowOff>95251</xdr:rowOff>
    </xdr:from>
    <xdr:ext cx="8851774" cy="792395"/>
    <xdr:sp macro="" textlink="">
      <xdr:nvSpPr>
        <xdr:cNvPr id="14" name="Прямоугольник 13">
          <a:extLst>
            <a:ext uri="{FF2B5EF4-FFF2-40B4-BE49-F238E27FC236}">
              <a16:creationId xmlns:a16="http://schemas.microsoft.com/office/drawing/2014/main" id="{00000000-0008-0000-0200-00000E000000}"/>
            </a:ext>
          </a:extLst>
        </xdr:cNvPr>
        <xdr:cNvSpPr/>
      </xdr:nvSpPr>
      <xdr:spPr>
        <a:xfrm rot="20774683">
          <a:off x="0" y="18774834"/>
          <a:ext cx="8851774" cy="792395"/>
        </a:xfrm>
        <a:prstGeom prst="rect">
          <a:avLst/>
        </a:prstGeom>
        <a:noFill/>
      </xdr:spPr>
      <xdr:txBody>
        <a:bodyPr wrap="square" lIns="91440" tIns="45720" rIns="91440" bIns="45720">
          <a:noAutofit/>
        </a:bodyPr>
        <a:lstStyle/>
        <a:p>
          <a:pPr algn="ctr"/>
          <a:r>
            <a:rPr lang="en-US" sz="40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40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0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0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oneCellAnchor>
    <xdr:from>
      <xdr:col>0</xdr:col>
      <xdr:colOff>0</xdr:colOff>
      <xdr:row>371</xdr:row>
      <xdr:rowOff>158750</xdr:rowOff>
    </xdr:from>
    <xdr:ext cx="8851774" cy="792395"/>
    <xdr:sp macro="" textlink="">
      <xdr:nvSpPr>
        <xdr:cNvPr id="21" name="Прямоугольник 20">
          <a:extLst>
            <a:ext uri="{FF2B5EF4-FFF2-40B4-BE49-F238E27FC236}">
              <a16:creationId xmlns:a16="http://schemas.microsoft.com/office/drawing/2014/main" id="{00000000-0008-0000-0200-000015000000}"/>
            </a:ext>
          </a:extLst>
        </xdr:cNvPr>
        <xdr:cNvSpPr/>
      </xdr:nvSpPr>
      <xdr:spPr>
        <a:xfrm rot="20774683">
          <a:off x="0" y="38523333"/>
          <a:ext cx="8851774" cy="792395"/>
        </a:xfrm>
        <a:prstGeom prst="rect">
          <a:avLst/>
        </a:prstGeom>
        <a:noFill/>
      </xdr:spPr>
      <xdr:txBody>
        <a:bodyPr wrap="square" lIns="91440" tIns="45720" rIns="91440" bIns="45720">
          <a:noAutofit/>
        </a:bodyPr>
        <a:lstStyle/>
        <a:p>
          <a:pPr algn="ctr"/>
          <a:r>
            <a:rPr lang="en-US" sz="40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40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0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0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oneCellAnchor>
    <xdr:from>
      <xdr:col>0</xdr:col>
      <xdr:colOff>0</xdr:colOff>
      <xdr:row>638</xdr:row>
      <xdr:rowOff>21166</xdr:rowOff>
    </xdr:from>
    <xdr:ext cx="8851774" cy="792395"/>
    <xdr:sp macro="" textlink="">
      <xdr:nvSpPr>
        <xdr:cNvPr id="22" name="Прямоугольник 21">
          <a:extLst>
            <a:ext uri="{FF2B5EF4-FFF2-40B4-BE49-F238E27FC236}">
              <a16:creationId xmlns:a16="http://schemas.microsoft.com/office/drawing/2014/main" id="{00000000-0008-0000-0200-000016000000}"/>
            </a:ext>
          </a:extLst>
        </xdr:cNvPr>
        <xdr:cNvSpPr/>
      </xdr:nvSpPr>
      <xdr:spPr>
        <a:xfrm rot="20774683">
          <a:off x="0" y="71077666"/>
          <a:ext cx="8851774" cy="792395"/>
        </a:xfrm>
        <a:prstGeom prst="rect">
          <a:avLst/>
        </a:prstGeom>
        <a:noFill/>
      </xdr:spPr>
      <xdr:txBody>
        <a:bodyPr wrap="square" lIns="91440" tIns="45720" rIns="91440" bIns="45720">
          <a:noAutofit/>
        </a:bodyPr>
        <a:lstStyle/>
        <a:p>
          <a:pPr algn="ctr"/>
          <a:r>
            <a:rPr lang="en-US" sz="40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40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0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0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19050</xdr:colOff>
          <xdr:row>22</xdr:row>
          <xdr:rowOff>0</xdr:rowOff>
        </xdr:from>
        <xdr:to>
          <xdr:col>2</xdr:col>
          <xdr:colOff>0</xdr:colOff>
          <xdr:row>23</xdr:row>
          <xdr:rowOff>133350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800" b="0" i="0" u="none" strike="noStrike" baseline="0">
                  <a:solidFill>
                    <a:srgbClr val="000000"/>
                  </a:solidFill>
                  <a:latin typeface="Arial"/>
                  <a:cs typeface="Arial"/>
                </a:rPr>
                <a:t>Собрать дистрибутив!</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190499</xdr:colOff>
      <xdr:row>36</xdr:row>
      <xdr:rowOff>42862</xdr:rowOff>
    </xdr:from>
    <xdr:to>
      <xdr:col>2</xdr:col>
      <xdr:colOff>600075</xdr:colOff>
      <xdr:row>50</xdr:row>
      <xdr:rowOff>119062</xdr:rowOff>
    </xdr:to>
    <xdr:graphicFrame macro="">
      <xdr:nvGraphicFramePr>
        <xdr:cNvPr id="2" name="Диаграмма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56</xdr:row>
      <xdr:rowOff>38100</xdr:rowOff>
    </xdr:from>
    <xdr:to>
      <xdr:col>14</xdr:col>
      <xdr:colOff>171450</xdr:colOff>
      <xdr:row>78</xdr:row>
      <xdr:rowOff>104775</xdr:rowOff>
    </xdr:to>
    <xdr:graphicFrame macro="">
      <xdr:nvGraphicFramePr>
        <xdr:cNvPr id="5" name="Диаграмма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6</xdr:row>
      <xdr:rowOff>0</xdr:rowOff>
    </xdr:from>
    <xdr:ext cx="8851774" cy="792395"/>
    <xdr:sp macro="" textlink="">
      <xdr:nvSpPr>
        <xdr:cNvPr id="4" name="Прямоугольник 3">
          <a:extLst>
            <a:ext uri="{FF2B5EF4-FFF2-40B4-BE49-F238E27FC236}">
              <a16:creationId xmlns:a16="http://schemas.microsoft.com/office/drawing/2014/main" id="{00000000-0008-0000-0500-000004000000}"/>
            </a:ext>
          </a:extLst>
        </xdr:cNvPr>
        <xdr:cNvSpPr/>
      </xdr:nvSpPr>
      <xdr:spPr>
        <a:xfrm rot="20774683">
          <a:off x="0" y="1152525"/>
          <a:ext cx="8851774" cy="792395"/>
        </a:xfrm>
        <a:prstGeom prst="rect">
          <a:avLst/>
        </a:prstGeom>
        <a:noFill/>
      </xdr:spPr>
      <xdr:txBody>
        <a:bodyPr wrap="square" lIns="91440" tIns="45720" rIns="91440" bIns="45720">
          <a:noAutofit/>
        </a:bodyPr>
        <a:lstStyle/>
        <a:p>
          <a:pPr algn="ctr"/>
          <a:r>
            <a:rPr lang="en-US" sz="40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40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0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0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6</xdr:col>
      <xdr:colOff>654844</xdr:colOff>
      <xdr:row>6</xdr:row>
      <xdr:rowOff>51197</xdr:rowOff>
    </xdr:from>
    <xdr:to>
      <xdr:col>12</xdr:col>
      <xdr:colOff>440530</xdr:colOff>
      <xdr:row>30</xdr:row>
      <xdr:rowOff>35719</xdr:rowOff>
    </xdr:to>
    <xdr:graphicFrame macro="">
      <xdr:nvGraphicFramePr>
        <xdr:cNvPr id="2" name="Диаграмма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32</xdr:row>
      <xdr:rowOff>0</xdr:rowOff>
    </xdr:from>
    <xdr:to>
      <xdr:col>12</xdr:col>
      <xdr:colOff>666748</xdr:colOff>
      <xdr:row>56</xdr:row>
      <xdr:rowOff>20241</xdr:rowOff>
    </xdr:to>
    <xdr:graphicFrame macro="">
      <xdr:nvGraphicFramePr>
        <xdr:cNvPr id="4" name="Диаграмма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223660</xdr:colOff>
      <xdr:row>25</xdr:row>
      <xdr:rowOff>36293</xdr:rowOff>
    </xdr:from>
    <xdr:ext cx="9610470" cy="2765176"/>
    <xdr:sp macro="" textlink="">
      <xdr:nvSpPr>
        <xdr:cNvPr id="5" name="Прямоугольник 4">
          <a:extLst>
            <a:ext uri="{FF2B5EF4-FFF2-40B4-BE49-F238E27FC236}">
              <a16:creationId xmlns:a16="http://schemas.microsoft.com/office/drawing/2014/main" id="{00000000-0008-0000-0600-000005000000}"/>
            </a:ext>
          </a:extLst>
        </xdr:cNvPr>
        <xdr:cNvSpPr/>
      </xdr:nvSpPr>
      <xdr:spPr>
        <a:xfrm rot="20774683">
          <a:off x="223660" y="5870356"/>
          <a:ext cx="9610470" cy="2765176"/>
        </a:xfrm>
        <a:prstGeom prst="rect">
          <a:avLst/>
        </a:prstGeom>
        <a:noFill/>
      </xdr:spPr>
      <xdr:txBody>
        <a:bodyPr wrap="square" lIns="91440" tIns="45720" rIns="91440" bIns="45720">
          <a:noAutofit/>
        </a:bodyPr>
        <a:lstStyle/>
        <a:p>
          <a:pPr algn="ctr"/>
          <a:r>
            <a:rPr lang="en-US" sz="44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44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4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4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xdr:col>
      <xdr:colOff>559594</xdr:colOff>
      <xdr:row>86</xdr:row>
      <xdr:rowOff>110727</xdr:rowOff>
    </xdr:from>
    <xdr:to>
      <xdr:col>8</xdr:col>
      <xdr:colOff>583406</xdr:colOff>
      <xdr:row>106</xdr:row>
      <xdr:rowOff>35719</xdr:rowOff>
    </xdr:to>
    <xdr:graphicFrame macro="">
      <xdr:nvGraphicFramePr>
        <xdr:cNvPr id="2" name="Диаграмма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214313</xdr:colOff>
      <xdr:row>109</xdr:row>
      <xdr:rowOff>0</xdr:rowOff>
    </xdr:from>
    <xdr:to>
      <xdr:col>8</xdr:col>
      <xdr:colOff>1012031</xdr:colOff>
      <xdr:row>132</xdr:row>
      <xdr:rowOff>151211</xdr:rowOff>
    </xdr:to>
    <xdr:graphicFrame macro="">
      <xdr:nvGraphicFramePr>
        <xdr:cNvPr id="3" name="Диаграмма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11</xdr:col>
      <xdr:colOff>483962</xdr:colOff>
      <xdr:row>21</xdr:row>
      <xdr:rowOff>70611</xdr:rowOff>
    </xdr:from>
    <xdr:ext cx="10089990" cy="2208382"/>
    <xdr:sp macro="" textlink="">
      <xdr:nvSpPr>
        <xdr:cNvPr id="4" name="Прямоугольник 3">
          <a:extLst>
            <a:ext uri="{FF2B5EF4-FFF2-40B4-BE49-F238E27FC236}">
              <a16:creationId xmlns:a16="http://schemas.microsoft.com/office/drawing/2014/main" id="{00000000-0008-0000-0700-000004000000}"/>
            </a:ext>
          </a:extLst>
        </xdr:cNvPr>
        <xdr:cNvSpPr/>
      </xdr:nvSpPr>
      <xdr:spPr>
        <a:xfrm rot="20774683">
          <a:off x="12283056" y="1237424"/>
          <a:ext cx="10089990" cy="2208382"/>
        </a:xfrm>
        <a:prstGeom prst="rect">
          <a:avLst/>
        </a:prstGeom>
        <a:noFill/>
      </xdr:spPr>
      <xdr:txBody>
        <a:bodyPr wrap="square" lIns="91440" tIns="45720" rIns="91440" bIns="45720">
          <a:noAutofit/>
        </a:bodyPr>
        <a:lstStyle/>
        <a:p>
          <a:pPr algn="ctr"/>
          <a:r>
            <a:rPr lang="en-US" sz="44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44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4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4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8851774" cy="792395"/>
    <xdr:sp macro="" textlink="">
      <xdr:nvSpPr>
        <xdr:cNvPr id="2" name="Прямоугольник 1">
          <a:extLst>
            <a:ext uri="{FF2B5EF4-FFF2-40B4-BE49-F238E27FC236}">
              <a16:creationId xmlns:a16="http://schemas.microsoft.com/office/drawing/2014/main" id="{00000000-0008-0000-0800-000002000000}"/>
            </a:ext>
          </a:extLst>
        </xdr:cNvPr>
        <xdr:cNvSpPr/>
      </xdr:nvSpPr>
      <xdr:spPr>
        <a:xfrm rot="20774683">
          <a:off x="0" y="158750"/>
          <a:ext cx="8851774" cy="792395"/>
        </a:xfrm>
        <a:prstGeom prst="rect">
          <a:avLst/>
        </a:prstGeom>
        <a:noFill/>
      </xdr:spPr>
      <xdr:txBody>
        <a:bodyPr wrap="square" lIns="91440" tIns="45720" rIns="91440" bIns="45720">
          <a:noAutofit/>
        </a:bodyPr>
        <a:lstStyle/>
        <a:p>
          <a:pPr algn="ctr"/>
          <a:r>
            <a:rPr lang="en-US" sz="4000" b="1" cap="none" spc="0">
              <a:ln w="6600">
                <a:solidFill>
                  <a:schemeClr val="accent2"/>
                </a:solidFill>
                <a:prstDash val="solid"/>
              </a:ln>
              <a:solidFill>
                <a:srgbClr val="FF0000"/>
              </a:solidFill>
              <a:effectLst>
                <a:outerShdw dist="38100" dir="2700000" algn="tl" rotWithShape="0">
                  <a:schemeClr val="accent2"/>
                </a:outerShdw>
              </a:effectLst>
            </a:rPr>
            <a:t>©GW®  </a:t>
          </a:r>
          <a:r>
            <a:rPr lang="ru-RU" sz="4000" b="1" cap="none" spc="0">
              <a:ln w="6600">
                <a:solidFill>
                  <a:schemeClr val="accent2"/>
                </a:solidFill>
                <a:prstDash val="solid"/>
              </a:ln>
              <a:solidFill>
                <a:srgbClr val="FF0000"/>
              </a:solidFill>
              <a:effectLst>
                <a:outerShdw dist="38100" dir="2700000" algn="tl" rotWithShape="0">
                  <a:schemeClr val="accent2"/>
                </a:outerShdw>
              </a:effectLst>
            </a:rPr>
            <a:t>Демо  версия, для ознакомления</a:t>
          </a:r>
          <a:r>
            <a:rPr lang="en-US" sz="4000" b="1" cap="none" spc="0">
              <a:ln w="6600">
                <a:solidFill>
                  <a:schemeClr val="accent2"/>
                </a:solidFill>
                <a:prstDash val="solid"/>
              </a:ln>
              <a:solidFill>
                <a:srgbClr val="FF0000"/>
              </a:solidFill>
              <a:effectLst>
                <a:outerShdw dist="38100" dir="2700000" algn="tl" rotWithShape="0">
                  <a:schemeClr val="accent2"/>
                </a:outerShdw>
              </a:effectLst>
            </a:rPr>
            <a:t>!</a:t>
          </a:r>
          <a:endParaRPr lang="ru-RU" sz="4000" b="1" cap="none" spc="0">
            <a:ln w="6600">
              <a:solidFill>
                <a:schemeClr val="accent2"/>
              </a:solidFill>
              <a:prstDash val="solid"/>
            </a:ln>
            <a:solidFill>
              <a:srgbClr val="FF0000"/>
            </a:solidFill>
            <a:effectLst>
              <a:outerShdw dist="38100" dir="2700000" algn="tl" rotWithShape="0">
                <a:schemeClr val="accent2"/>
              </a:outerShdw>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3;&#1086;&#1090;&#107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
      <sheetName val="Портфель"/>
      <sheetName val="Отчет"/>
      <sheetName val="Options"/>
      <sheetName val="Language"/>
      <sheetName val="Лист1"/>
      <sheetName val="продажи"/>
      <sheetName val="Расходы"/>
      <sheetName val="Расходники"/>
      <sheetName val="Инвестиции"/>
      <sheetName val="Персонал"/>
      <sheetName val="Лист4"/>
      <sheetName val="Лист6"/>
    </sheetNames>
    <sheetDataSet>
      <sheetData sheetId="0">
        <row r="77">
          <cell r="B77">
            <v>1</v>
          </cell>
        </row>
      </sheetData>
      <sheetData sheetId="1">
        <row r="27">
          <cell r="A27" t="str">
            <v>Периоды осуществления проектов</v>
          </cell>
        </row>
      </sheetData>
      <sheetData sheetId="2" refreshError="1"/>
      <sheetData sheetId="3">
        <row r="5">
          <cell r="B5" t="str">
            <v>6.1</v>
          </cell>
        </row>
        <row r="7">
          <cell r="B7" t="b">
            <v>0</v>
          </cell>
        </row>
        <row r="8">
          <cell r="B8" t="b">
            <v>0</v>
          </cell>
        </row>
        <row r="10">
          <cell r="B10" t="b">
            <v>1</v>
          </cell>
        </row>
        <row r="11">
          <cell r="B11" t="b">
            <v>0</v>
          </cell>
        </row>
      </sheetData>
      <sheetData sheetId="4">
        <row r="2">
          <cell r="A2">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Тема Office">
  <a:themeElements>
    <a:clrScheme name="ALT invest">
      <a:dk1>
        <a:sysClr val="windowText" lastClr="000000"/>
      </a:dk1>
      <a:lt1>
        <a:sysClr val="window" lastClr="FFFFFF"/>
      </a:lt1>
      <a:dk2>
        <a:srgbClr val="1F497D"/>
      </a:dk2>
      <a:lt2>
        <a:srgbClr val="D7E3BC"/>
      </a:lt2>
      <a:accent1>
        <a:srgbClr val="B8CCE4"/>
      </a:accent1>
      <a:accent2>
        <a:srgbClr val="D8D8D8"/>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omments" Target="../comments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5.xml"/><Relationship Id="rId13" Type="http://schemas.openxmlformats.org/officeDocument/2006/relationships/ctrlProp" Target="../ctrlProps/ctrlProp60.xml"/><Relationship Id="rId18" Type="http://schemas.openxmlformats.org/officeDocument/2006/relationships/ctrlProp" Target="../ctrlProps/ctrlProp65.xml"/><Relationship Id="rId3" Type="http://schemas.openxmlformats.org/officeDocument/2006/relationships/vmlDrawing" Target="../drawings/vmlDrawing2.vml"/><Relationship Id="rId7" Type="http://schemas.openxmlformats.org/officeDocument/2006/relationships/ctrlProp" Target="../ctrlProps/ctrlProp54.xml"/><Relationship Id="rId12" Type="http://schemas.openxmlformats.org/officeDocument/2006/relationships/ctrlProp" Target="../ctrlProps/ctrlProp59.xml"/><Relationship Id="rId17" Type="http://schemas.openxmlformats.org/officeDocument/2006/relationships/ctrlProp" Target="../ctrlProps/ctrlProp64.xml"/><Relationship Id="rId2" Type="http://schemas.openxmlformats.org/officeDocument/2006/relationships/drawing" Target="../drawings/drawing2.xml"/><Relationship Id="rId16" Type="http://schemas.openxmlformats.org/officeDocument/2006/relationships/ctrlProp" Target="../ctrlProps/ctrlProp63.xml"/><Relationship Id="rId1" Type="http://schemas.openxmlformats.org/officeDocument/2006/relationships/printerSettings" Target="../printerSettings/printerSettings2.bin"/><Relationship Id="rId6" Type="http://schemas.openxmlformats.org/officeDocument/2006/relationships/ctrlProp" Target="../ctrlProps/ctrlProp53.xml"/><Relationship Id="rId11" Type="http://schemas.openxmlformats.org/officeDocument/2006/relationships/ctrlProp" Target="../ctrlProps/ctrlProp58.xml"/><Relationship Id="rId5" Type="http://schemas.openxmlformats.org/officeDocument/2006/relationships/ctrlProp" Target="../ctrlProps/ctrlProp52.xml"/><Relationship Id="rId15" Type="http://schemas.openxmlformats.org/officeDocument/2006/relationships/ctrlProp" Target="../ctrlProps/ctrlProp62.xml"/><Relationship Id="rId10" Type="http://schemas.openxmlformats.org/officeDocument/2006/relationships/ctrlProp" Target="../ctrlProps/ctrlProp57.xml"/><Relationship Id="rId4" Type="http://schemas.openxmlformats.org/officeDocument/2006/relationships/ctrlProp" Target="../ctrlProps/ctrlProp51.xml"/><Relationship Id="rId9" Type="http://schemas.openxmlformats.org/officeDocument/2006/relationships/ctrlProp" Target="../ctrlProps/ctrlProp56.xml"/><Relationship Id="rId14" Type="http://schemas.openxmlformats.org/officeDocument/2006/relationships/ctrlProp" Target="../ctrlProps/ctrlProp6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66.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2">
    <outlinePr summaryBelow="0" summaryRight="0"/>
  </sheetPr>
  <dimension ref="A1:AJ2113"/>
  <sheetViews>
    <sheetView tabSelected="1" zoomScaleNormal="100" workbookViewId="0">
      <pane xSplit="5" topLeftCell="W1" activePane="topRight" state="frozen"/>
      <selection pane="topRight" activeCell="A1783" sqref="A1783"/>
    </sheetView>
  </sheetViews>
  <sheetFormatPr defaultRowHeight="11.25" outlineLevelRow="2" x14ac:dyDescent="0.2"/>
  <cols>
    <col min="1" max="1" width="51.83203125" customWidth="1"/>
    <col min="2" max="2" width="13.6640625" customWidth="1"/>
    <col min="3" max="3" width="12.1640625" customWidth="1"/>
    <col min="4" max="4" width="5.1640625" hidden="1" customWidth="1"/>
    <col min="5" max="5" width="4.83203125" hidden="1" customWidth="1"/>
    <col min="6" max="29" width="11.83203125" customWidth="1"/>
    <col min="30" max="30" width="1" customWidth="1"/>
    <col min="31" max="31" width="12.83203125" style="11" customWidth="1"/>
  </cols>
  <sheetData>
    <row r="1" spans="1:31" ht="12.75" x14ac:dyDescent="0.2">
      <c r="A1" s="223" t="str">
        <f ca="1">Language!A3&amp;IF(IS_SUMM,Language!A4,"")&amp;AI_Version&amp;" "&amp;IF(IS_ESTATE,Language!A5,"")&amp;IF(IS_DEMO,Language!A6,"")&amp;IF(IS_TRIAL,Language!A7,"")</f>
        <v xml:space="preserve">АЛЬТ-Инвест™ Сумм 6.1 </v>
      </c>
    </row>
    <row r="2" spans="1:31" s="2" customFormat="1" ht="15.75" x14ac:dyDescent="0.25">
      <c r="A2" s="3" t="str">
        <f ca="1">Language!A13</f>
        <v>Описание проекта</v>
      </c>
      <c r="AE2" s="37"/>
    </row>
    <row r="4" spans="1:31" s="4" customFormat="1" ht="15.95" customHeight="1" thickBot="1" x14ac:dyDescent="0.25">
      <c r="A4" s="165" t="str">
        <f ca="1">Language!A$14</f>
        <v xml:space="preserve">         ПАРАМЕТРЫ ПРОЕКТА</v>
      </c>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6"/>
    </row>
    <row r="5" spans="1:31" ht="12" outlineLevel="1" thickTop="1" x14ac:dyDescent="0.2"/>
    <row r="6" spans="1:31" outlineLevel="1" x14ac:dyDescent="0.2">
      <c r="A6" t="str">
        <f ca="1">Language!A15</f>
        <v>Название проекта:</v>
      </c>
    </row>
    <row r="7" spans="1:31" outlineLevel="1" x14ac:dyDescent="0.2">
      <c r="A7" s="252" t="str">
        <f ca="1">Language!A16</f>
        <v>Проект 1</v>
      </c>
      <c r="B7" s="253"/>
      <c r="C7" s="253"/>
    </row>
    <row r="8" spans="1:31" outlineLevel="1" x14ac:dyDescent="0.2"/>
    <row r="9" spans="1:31" outlineLevel="1" x14ac:dyDescent="0.2">
      <c r="A9" s="183" t="str">
        <f ca="1">Language!A17</f>
        <v>Дата начала проекта</v>
      </c>
      <c r="B9" s="174">
        <f>DATE(PRJ_StartYear,PRJ_StartMon,1)</f>
        <v>42370</v>
      </c>
      <c r="C9" s="175"/>
    </row>
    <row r="10" spans="1:31" outlineLevel="1" x14ac:dyDescent="0.2">
      <c r="A10" s="183" t="str">
        <f ca="1">Language!A18</f>
        <v>Срок жизни проекта</v>
      </c>
      <c r="B10" s="187" t="str">
        <f ca="1">PRJ_Len &amp; " " &amp; OFFSET(Language!A30,PRJ_StepType-1,0)</f>
        <v>24 кв.</v>
      </c>
      <c r="C10" s="175"/>
      <c r="D10">
        <v>24</v>
      </c>
    </row>
    <row r="11" spans="1:31" outlineLevel="1" x14ac:dyDescent="0.2">
      <c r="A11" s="183" t="str">
        <f ca="1">Language!A19</f>
        <v>Шаг планирования</v>
      </c>
      <c r="B11" s="187" t="str">
        <f ca="1">OFFSET(Language!A34,PRJ_StepType-1,0)</f>
        <v>квартал</v>
      </c>
      <c r="C11" s="175"/>
      <c r="D11">
        <v>2</v>
      </c>
      <c r="E11" s="16" t="str">
        <f ca="1">OFFSET(Language!A30,PRJ_StepType-1,0)</f>
        <v>кв.</v>
      </c>
    </row>
    <row r="12" spans="1:31" outlineLevel="1" x14ac:dyDescent="0.2">
      <c r="A12" s="183" t="str">
        <f ca="1">Language!A20</f>
        <v>Длительность шага планирования</v>
      </c>
      <c r="B12" s="187" t="str">
        <f ca="1">TEXT(PRJ_Step,"#") &amp; " "&amp;Language!A38</f>
        <v>90 дн.</v>
      </c>
      <c r="C12" s="175"/>
      <c r="D12" s="16">
        <f>CHOOSE(PRJ_StepType,30,90,180,360)</f>
        <v>90</v>
      </c>
    </row>
    <row r="13" spans="1:31" outlineLevel="1" x14ac:dyDescent="0.2">
      <c r="A13" s="183" t="str">
        <f ca="1">Language!A21</f>
        <v>Основная валюта расчета</v>
      </c>
      <c r="B13" s="187" t="str">
        <f ca="1">OFFSET(Language!A39,CUR_I_Main,0)</f>
        <v>тыс. EUR</v>
      </c>
      <c r="C13" s="175"/>
      <c r="D13">
        <v>10</v>
      </c>
    </row>
    <row r="14" spans="1:31" outlineLevel="1" x14ac:dyDescent="0.2">
      <c r="A14" s="183" t="str">
        <f ca="1">Language!A22</f>
        <v>Иностранная валюта</v>
      </c>
      <c r="B14" s="187" t="str">
        <f ca="1">OFFSET(Language!A39,CUR_I_Foreign,0)</f>
        <v>тыс. EUR</v>
      </c>
      <c r="C14" s="175"/>
      <c r="D14">
        <v>10</v>
      </c>
    </row>
    <row r="15" spans="1:31" outlineLevel="1" x14ac:dyDescent="0.2">
      <c r="A15" s="183" t="str">
        <f ca="1">Language!A23</f>
        <v>Валюта для отображения результатов</v>
      </c>
      <c r="B15" s="187" t="str">
        <f ca="1">CHOOSE(CUR_I_Report,CUR_Main,CUR_Foreign)</f>
        <v>тыс. EUR</v>
      </c>
      <c r="C15" s="175"/>
      <c r="D15">
        <v>1</v>
      </c>
    </row>
    <row r="16" spans="1:31" outlineLevel="1" x14ac:dyDescent="0.2">
      <c r="A16" s="183"/>
      <c r="B16" s="176"/>
      <c r="C16" s="175"/>
    </row>
    <row r="17" spans="1:29" outlineLevel="1" x14ac:dyDescent="0.2">
      <c r="A17" s="183"/>
      <c r="B17" s="183"/>
      <c r="C17" s="175"/>
    </row>
    <row r="18" spans="1:29" outlineLevel="1" x14ac:dyDescent="0.2">
      <c r="A18" s="189"/>
      <c r="B18" s="189"/>
      <c r="C18" s="193"/>
    </row>
    <row r="19" spans="1:29" outlineLevel="1" x14ac:dyDescent="0.2"/>
    <row r="20" spans="1:29" outlineLevel="1" x14ac:dyDescent="0.2">
      <c r="A20" s="183" t="str">
        <f ca="1">Language!A27</f>
        <v>Язык интерфейса и таблиц</v>
      </c>
      <c r="B20" s="186" t="str">
        <f ca="1">Language!A57</f>
        <v>Русский</v>
      </c>
      <c r="C20" s="175"/>
    </row>
    <row r="21" spans="1:29" outlineLevel="1" x14ac:dyDescent="0.2">
      <c r="A21" s="183" t="str">
        <f ca="1">Language!A28</f>
        <v>Защита</v>
      </c>
      <c r="B21" s="186" t="str">
        <f ca="1">IF(PRJ_Protected,Language!A58,Language!A59)</f>
        <v>Выключена</v>
      </c>
      <c r="C21" s="175"/>
      <c r="D21" t="b">
        <v>0</v>
      </c>
    </row>
    <row r="22" spans="1:29" outlineLevel="1" x14ac:dyDescent="0.2">
      <c r="A22" s="183" t="str">
        <f ca="1">Language!A29</f>
        <v>Показывать реальные даты в названиях периодов?</v>
      </c>
      <c r="B22" s="186" t="str">
        <f ca="1">IF(ShowRealDates,Language!A60,Language!A61)</f>
        <v>Да</v>
      </c>
      <c r="C22" s="175"/>
      <c r="D22" t="b">
        <v>1</v>
      </c>
    </row>
    <row r="23" spans="1:29" outlineLevel="1" x14ac:dyDescent="0.2">
      <c r="A23" s="183"/>
      <c r="B23" s="183"/>
      <c r="C23" s="175"/>
    </row>
    <row r="24" spans="1:29" outlineLevel="1" x14ac:dyDescent="0.2">
      <c r="A24" s="183"/>
      <c r="B24" s="183"/>
      <c r="C24" s="175"/>
    </row>
    <row r="25" spans="1:29" outlineLevel="1" collapsed="1" x14ac:dyDescent="0.2">
      <c r="A25" s="189"/>
      <c r="B25" s="189"/>
      <c r="C25" s="193"/>
    </row>
    <row r="26" spans="1:29" hidden="1" outlineLevel="2" x14ac:dyDescent="0.2"/>
    <row r="27" spans="1:29" hidden="1" outlineLevel="2" x14ac:dyDescent="0.2">
      <c r="A27" t="str">
        <f ca="1">Language!A62</f>
        <v>Год начала проекта</v>
      </c>
      <c r="D27" s="16" t="s">
        <v>2710</v>
      </c>
      <c r="F27" s="5">
        <v>2016</v>
      </c>
      <c r="G27" s="5"/>
      <c r="H27" s="5"/>
      <c r="I27" s="5"/>
      <c r="J27" s="5"/>
      <c r="K27" s="5"/>
      <c r="L27" s="5"/>
      <c r="M27" s="5"/>
      <c r="N27" s="5"/>
      <c r="O27" s="5"/>
      <c r="P27" s="5"/>
      <c r="Q27" s="5"/>
      <c r="R27" s="5"/>
      <c r="S27" s="5"/>
      <c r="T27" s="5"/>
      <c r="U27" s="5"/>
      <c r="V27" s="5"/>
      <c r="W27" s="5"/>
      <c r="X27" s="5"/>
      <c r="Y27" s="5"/>
      <c r="Z27" s="5"/>
      <c r="AA27" s="5"/>
      <c r="AB27" s="5"/>
      <c r="AC27" s="5"/>
    </row>
    <row r="28" spans="1:29" hidden="1" outlineLevel="2" x14ac:dyDescent="0.2">
      <c r="A28" t="str">
        <f ca="1">Language!A63</f>
        <v>Месяц начала проекта</v>
      </c>
      <c r="D28" s="16" t="s">
        <v>2710</v>
      </c>
      <c r="F28" s="5">
        <v>1</v>
      </c>
      <c r="G28" s="5"/>
      <c r="H28" s="5"/>
      <c r="I28" s="5"/>
      <c r="J28" s="5"/>
      <c r="K28" s="5"/>
      <c r="L28" s="5"/>
      <c r="M28" s="5"/>
      <c r="N28" s="5"/>
      <c r="O28" s="5"/>
      <c r="P28" s="5"/>
      <c r="Q28" s="5"/>
      <c r="R28" s="5"/>
      <c r="S28" s="5"/>
      <c r="T28" s="5"/>
      <c r="U28" s="5"/>
      <c r="V28" s="5"/>
      <c r="W28" s="5"/>
      <c r="X28" s="5"/>
      <c r="Y28" s="5"/>
      <c r="Z28" s="5"/>
      <c r="AA28" s="5"/>
      <c r="AB28" s="5"/>
      <c r="AC28" s="5"/>
    </row>
    <row r="29" spans="1:29" hidden="1" outlineLevel="2" x14ac:dyDescent="0.2">
      <c r="A29" t="str">
        <f ca="1">Language!A64</f>
        <v>Номера периодов</v>
      </c>
      <c r="D29" s="16" t="s">
        <v>2710</v>
      </c>
      <c r="F29" s="5">
        <v>1</v>
      </c>
      <c r="G29" s="5">
        <f t="shared" ref="G29:AC29" si="0">F29+1</f>
        <v>2</v>
      </c>
      <c r="H29" s="5">
        <f t="shared" si="0"/>
        <v>3</v>
      </c>
      <c r="I29" s="5">
        <f t="shared" si="0"/>
        <v>4</v>
      </c>
      <c r="J29" s="5">
        <f t="shared" si="0"/>
        <v>5</v>
      </c>
      <c r="K29" s="5">
        <f t="shared" si="0"/>
        <v>6</v>
      </c>
      <c r="L29" s="5">
        <f t="shared" si="0"/>
        <v>7</v>
      </c>
      <c r="M29" s="5">
        <f t="shared" si="0"/>
        <v>8</v>
      </c>
      <c r="N29" s="5">
        <f t="shared" si="0"/>
        <v>9</v>
      </c>
      <c r="O29" s="5">
        <f t="shared" si="0"/>
        <v>10</v>
      </c>
      <c r="P29" s="5">
        <f t="shared" si="0"/>
        <v>11</v>
      </c>
      <c r="Q29" s="5">
        <f t="shared" si="0"/>
        <v>12</v>
      </c>
      <c r="R29" s="5">
        <f t="shared" si="0"/>
        <v>13</v>
      </c>
      <c r="S29" s="5">
        <f t="shared" si="0"/>
        <v>14</v>
      </c>
      <c r="T29" s="5">
        <f t="shared" si="0"/>
        <v>15</v>
      </c>
      <c r="U29" s="5">
        <f t="shared" si="0"/>
        <v>16</v>
      </c>
      <c r="V29" s="5">
        <f t="shared" si="0"/>
        <v>17</v>
      </c>
      <c r="W29" s="5">
        <f t="shared" si="0"/>
        <v>18</v>
      </c>
      <c r="X29" s="5">
        <f t="shared" si="0"/>
        <v>19</v>
      </c>
      <c r="Y29" s="5">
        <f t="shared" si="0"/>
        <v>20</v>
      </c>
      <c r="Z29" s="5">
        <f t="shared" si="0"/>
        <v>21</v>
      </c>
      <c r="AA29" s="5">
        <f t="shared" si="0"/>
        <v>22</v>
      </c>
      <c r="AB29" s="5">
        <f t="shared" si="0"/>
        <v>23</v>
      </c>
      <c r="AC29" s="5">
        <f t="shared" si="0"/>
        <v>24</v>
      </c>
    </row>
    <row r="30" spans="1:29" hidden="1" outlineLevel="2" x14ac:dyDescent="0.2">
      <c r="A30" t="str">
        <f ca="1">Language!A65</f>
        <v>Наименования периодов без учета дат</v>
      </c>
      <c r="D30" s="16" t="s">
        <v>2710</v>
      </c>
      <c r="F30" s="17" t="str">
        <f ca="1">TEXT(F29,"#") &amp; " " &amp; OFFSET(Language!$A68,PRJ_StepType-1,0)</f>
        <v>1 кв.</v>
      </c>
      <c r="G30" s="17" t="str">
        <f ca="1">TEXT(G29,"#") &amp; " " &amp; OFFSET(Language!$A68,PRJ_StepType-1,0)</f>
        <v>2 кв.</v>
      </c>
      <c r="H30" s="17" t="str">
        <f ca="1">TEXT(H29,"#") &amp; " " &amp; OFFSET(Language!$A68,PRJ_StepType-1,0)</f>
        <v>3 кв.</v>
      </c>
      <c r="I30" s="17" t="str">
        <f ca="1">TEXT(I29,"#") &amp; " " &amp; OFFSET(Language!$A68,PRJ_StepType-1,0)</f>
        <v>4 кв.</v>
      </c>
      <c r="J30" s="17" t="str">
        <f ca="1">TEXT(J29,"#") &amp; " " &amp; OFFSET(Language!$A68,PRJ_StepType-1,0)</f>
        <v>5 кв.</v>
      </c>
      <c r="K30" s="17" t="str">
        <f ca="1">TEXT(K29,"#") &amp; " " &amp; OFFSET(Language!$A68,PRJ_StepType-1,0)</f>
        <v>6 кв.</v>
      </c>
      <c r="L30" s="17" t="str">
        <f ca="1">TEXT(L29,"#") &amp; " " &amp; OFFSET(Language!$A68,PRJ_StepType-1,0)</f>
        <v>7 кв.</v>
      </c>
      <c r="M30" s="17" t="str">
        <f ca="1">TEXT(M29,"#") &amp; " " &amp; OFFSET(Language!$A68,PRJ_StepType-1,0)</f>
        <v>8 кв.</v>
      </c>
      <c r="N30" s="17" t="str">
        <f ca="1">TEXT(N29,"#") &amp; " " &amp; OFFSET(Language!$A68,PRJ_StepType-1,0)</f>
        <v>9 кв.</v>
      </c>
      <c r="O30" s="17" t="str">
        <f ca="1">TEXT(O29,"#") &amp; " " &amp; OFFSET(Language!$A68,PRJ_StepType-1,0)</f>
        <v>10 кв.</v>
      </c>
      <c r="P30" s="17" t="str">
        <f ca="1">TEXT(P29,"#") &amp; " " &amp; OFFSET(Language!$A68,PRJ_StepType-1,0)</f>
        <v>11 кв.</v>
      </c>
      <c r="Q30" s="17" t="str">
        <f ca="1">TEXT(Q29,"#") &amp; " " &amp; OFFSET(Language!$A68,PRJ_StepType-1,0)</f>
        <v>12 кв.</v>
      </c>
      <c r="R30" s="17" t="str">
        <f ca="1">TEXT(R29,"#") &amp; " " &amp; OFFSET(Language!$A68,PRJ_StepType-1,0)</f>
        <v>13 кв.</v>
      </c>
      <c r="S30" s="17" t="str">
        <f ca="1">TEXT(S29,"#") &amp; " " &amp; OFFSET(Language!$A68,PRJ_StepType-1,0)</f>
        <v>14 кв.</v>
      </c>
      <c r="T30" s="17" t="str">
        <f ca="1">TEXT(T29,"#") &amp; " " &amp; OFFSET(Language!$A68,PRJ_StepType-1,0)</f>
        <v>15 кв.</v>
      </c>
      <c r="U30" s="17" t="str">
        <f ca="1">TEXT(U29,"#") &amp; " " &amp; OFFSET(Language!$A68,PRJ_StepType-1,0)</f>
        <v>16 кв.</v>
      </c>
      <c r="V30" s="17" t="str">
        <f ca="1">TEXT(V29,"#") &amp; " " &amp; OFFSET(Language!$A68,PRJ_StepType-1,0)</f>
        <v>17 кв.</v>
      </c>
      <c r="W30" s="17" t="str">
        <f ca="1">TEXT(W29,"#") &amp; " " &amp; OFFSET(Language!$A68,PRJ_StepType-1,0)</f>
        <v>18 кв.</v>
      </c>
      <c r="X30" s="17" t="str">
        <f ca="1">TEXT(X29,"#") &amp; " " &amp; OFFSET(Language!$A68,PRJ_StepType-1,0)</f>
        <v>19 кв.</v>
      </c>
      <c r="Y30" s="17" t="str">
        <f ca="1">TEXT(Y29,"#") &amp; " " &amp; OFFSET(Language!$A68,PRJ_StepType-1,0)</f>
        <v>20 кв.</v>
      </c>
      <c r="Z30" s="17" t="str">
        <f ca="1">TEXT(Z29,"#") &amp; " " &amp; OFFSET(Language!$A68,PRJ_StepType-1,0)</f>
        <v>21 кв.</v>
      </c>
      <c r="AA30" s="17" t="str">
        <f ca="1">TEXT(AA29,"#") &amp; " " &amp; OFFSET(Language!$A68,PRJ_StepType-1,0)</f>
        <v>22 кв.</v>
      </c>
      <c r="AB30" s="17" t="str">
        <f ca="1">TEXT(AB29,"#") &amp; " " &amp; OFFSET(Language!$A68,PRJ_StepType-1,0)</f>
        <v>23 кв.</v>
      </c>
      <c r="AC30" s="17" t="str">
        <f ca="1">TEXT(AC29,"#") &amp; " " &amp; OFFSET(Language!$A68,PRJ_StepType-1,0)</f>
        <v>24 кв.</v>
      </c>
    </row>
    <row r="31" spans="1:29" hidden="1" outlineLevel="2" x14ac:dyDescent="0.2">
      <c r="A31" t="str">
        <f ca="1">Language!A66</f>
        <v>Дата начала периода</v>
      </c>
      <c r="D31" s="16" t="s">
        <v>2710</v>
      </c>
      <c r="F31" s="18">
        <f>DATE(PRJ_StartYear,PRJ_StartMon,1)</f>
        <v>42370</v>
      </c>
      <c r="G31" s="18">
        <f t="shared" ref="G31:AC31" si="1">DATE(YEAR(F31),MONTH(F31)+PRJ_Step/30,1)</f>
        <v>42461</v>
      </c>
      <c r="H31" s="18">
        <f t="shared" si="1"/>
        <v>42552</v>
      </c>
      <c r="I31" s="18">
        <f t="shared" si="1"/>
        <v>42644</v>
      </c>
      <c r="J31" s="18">
        <f t="shared" si="1"/>
        <v>42736</v>
      </c>
      <c r="K31" s="18">
        <f t="shared" si="1"/>
        <v>42826</v>
      </c>
      <c r="L31" s="18">
        <f t="shared" si="1"/>
        <v>42917</v>
      </c>
      <c r="M31" s="18">
        <f t="shared" si="1"/>
        <v>43009</v>
      </c>
      <c r="N31" s="18">
        <f t="shared" si="1"/>
        <v>43101</v>
      </c>
      <c r="O31" s="18">
        <f t="shared" si="1"/>
        <v>43191</v>
      </c>
      <c r="P31" s="18">
        <f t="shared" si="1"/>
        <v>43282</v>
      </c>
      <c r="Q31" s="18">
        <f t="shared" si="1"/>
        <v>43374</v>
      </c>
      <c r="R31" s="18">
        <f t="shared" si="1"/>
        <v>43466</v>
      </c>
      <c r="S31" s="18">
        <f t="shared" si="1"/>
        <v>43556</v>
      </c>
      <c r="T31" s="18">
        <f t="shared" si="1"/>
        <v>43647</v>
      </c>
      <c r="U31" s="18">
        <f t="shared" si="1"/>
        <v>43739</v>
      </c>
      <c r="V31" s="18">
        <f t="shared" si="1"/>
        <v>43831</v>
      </c>
      <c r="W31" s="18">
        <f t="shared" si="1"/>
        <v>43922</v>
      </c>
      <c r="X31" s="18">
        <f t="shared" si="1"/>
        <v>44013</v>
      </c>
      <c r="Y31" s="18">
        <f t="shared" si="1"/>
        <v>44105</v>
      </c>
      <c r="Z31" s="18">
        <f t="shared" si="1"/>
        <v>44197</v>
      </c>
      <c r="AA31" s="18">
        <f t="shared" si="1"/>
        <v>44287</v>
      </c>
      <c r="AB31" s="18">
        <f t="shared" si="1"/>
        <v>44378</v>
      </c>
      <c r="AC31" s="18">
        <f t="shared" si="1"/>
        <v>44470</v>
      </c>
    </row>
    <row r="32" spans="1:29" hidden="1" outlineLevel="2" x14ac:dyDescent="0.2">
      <c r="A32" t="str">
        <f ca="1">Language!A67</f>
        <v>Наименования периодов с учетом дат</v>
      </c>
      <c r="D32" s="16" t="s">
        <v>2710</v>
      </c>
      <c r="F32" s="50" t="str">
        <f ca="1">CHOOSE(PRJ_StepType,MONTH(F31) &amp; "/",ROUNDUP(MONTH(F31)/3,0) &amp; " " &amp; Language!$A69,ROUNDUP(MONTH(F31)/6,0) &amp; "/","") &amp; " " &amp; YEAR(F31)</f>
        <v>1 кв. 2016</v>
      </c>
      <c r="G32" s="50" t="str">
        <f ca="1">CHOOSE(PRJ_StepType,MONTH(G31) &amp; "/",ROUNDUP(MONTH(G31)/3,0) &amp; " " &amp; Language!$A69,ROUNDUP(MONTH(G31)/6,0) &amp; "/","") &amp; " " &amp; YEAR(G31)</f>
        <v>2 кв. 2016</v>
      </c>
      <c r="H32" s="50" t="str">
        <f ca="1">CHOOSE(PRJ_StepType,MONTH(H31) &amp; "/",ROUNDUP(MONTH(H31)/3,0) &amp; " " &amp; Language!$A69,ROUNDUP(MONTH(H31)/6,0) &amp; "/","") &amp; " " &amp; YEAR(H31)</f>
        <v>3 кв. 2016</v>
      </c>
      <c r="I32" s="50" t="str">
        <f ca="1">CHOOSE(PRJ_StepType,MONTH(I31) &amp; "/",ROUNDUP(MONTH(I31)/3,0) &amp; " " &amp; Language!$A69,ROUNDUP(MONTH(I31)/6,0) &amp; "/","") &amp; " " &amp; YEAR(I31)</f>
        <v>4 кв. 2016</v>
      </c>
      <c r="J32" s="50" t="str">
        <f ca="1">CHOOSE(PRJ_StepType,MONTH(J31) &amp; "/",ROUNDUP(MONTH(J31)/3,0) &amp; " " &amp; Language!$A69,ROUNDUP(MONTH(J31)/6,0) &amp; "/","") &amp; " " &amp; YEAR(J31)</f>
        <v>1 кв. 2017</v>
      </c>
      <c r="K32" s="50" t="str">
        <f ca="1">CHOOSE(PRJ_StepType,MONTH(K31) &amp; "/",ROUNDUP(MONTH(K31)/3,0) &amp; " " &amp; Language!$A69,ROUNDUP(MONTH(K31)/6,0) &amp; "/","") &amp; " " &amp; YEAR(K31)</f>
        <v>2 кв. 2017</v>
      </c>
      <c r="L32" s="50" t="str">
        <f ca="1">CHOOSE(PRJ_StepType,MONTH(L31) &amp; "/",ROUNDUP(MONTH(L31)/3,0) &amp; " " &amp; Language!$A69,ROUNDUP(MONTH(L31)/6,0) &amp; "/","") &amp; " " &amp; YEAR(L31)</f>
        <v>3 кв. 2017</v>
      </c>
      <c r="M32" s="50" t="str">
        <f ca="1">CHOOSE(PRJ_StepType,MONTH(M31) &amp; "/",ROUNDUP(MONTH(M31)/3,0) &amp; " " &amp; Language!$A69,ROUNDUP(MONTH(M31)/6,0) &amp; "/","") &amp; " " &amp; YEAR(M31)</f>
        <v>4 кв. 2017</v>
      </c>
      <c r="N32" s="50" t="str">
        <f ca="1">CHOOSE(PRJ_StepType,MONTH(N31) &amp; "/",ROUNDUP(MONTH(N31)/3,0) &amp; " " &amp; Language!$A69,ROUNDUP(MONTH(N31)/6,0) &amp; "/","") &amp; " " &amp; YEAR(N31)</f>
        <v>1 кв. 2018</v>
      </c>
      <c r="O32" s="50" t="str">
        <f ca="1">CHOOSE(PRJ_StepType,MONTH(O31) &amp; "/",ROUNDUP(MONTH(O31)/3,0) &amp; " " &amp; Language!$A69,ROUNDUP(MONTH(O31)/6,0) &amp; "/","") &amp; " " &amp; YEAR(O31)</f>
        <v>2 кв. 2018</v>
      </c>
      <c r="P32" s="50" t="str">
        <f ca="1">CHOOSE(PRJ_StepType,MONTH(P31) &amp; "/",ROUNDUP(MONTH(P31)/3,0) &amp; " " &amp; Language!$A69,ROUNDUP(MONTH(P31)/6,0) &amp; "/","") &amp; " " &amp; YEAR(P31)</f>
        <v>3 кв. 2018</v>
      </c>
      <c r="Q32" s="50" t="str">
        <f ca="1">CHOOSE(PRJ_StepType,MONTH(Q31) &amp; "/",ROUNDUP(MONTH(Q31)/3,0) &amp; " " &amp; Language!$A69,ROUNDUP(MONTH(Q31)/6,0) &amp; "/","") &amp; " " &amp; YEAR(Q31)</f>
        <v>4 кв. 2018</v>
      </c>
      <c r="R32" s="50" t="str">
        <f ca="1">CHOOSE(PRJ_StepType,MONTH(R31) &amp; "/",ROUNDUP(MONTH(R31)/3,0) &amp; " " &amp; Language!$A69,ROUNDUP(MONTH(R31)/6,0) &amp; "/","") &amp; " " &amp; YEAR(R31)</f>
        <v>1 кв. 2019</v>
      </c>
      <c r="S32" s="50" t="str">
        <f ca="1">CHOOSE(PRJ_StepType,MONTH(S31) &amp; "/",ROUNDUP(MONTH(S31)/3,0) &amp; " " &amp; Language!$A69,ROUNDUP(MONTH(S31)/6,0) &amp; "/","") &amp; " " &amp; YEAR(S31)</f>
        <v>2 кв. 2019</v>
      </c>
      <c r="T32" s="50" t="str">
        <f ca="1">CHOOSE(PRJ_StepType,MONTH(T31) &amp; "/",ROUNDUP(MONTH(T31)/3,0) &amp; " " &amp; Language!$A69,ROUNDUP(MONTH(T31)/6,0) &amp; "/","") &amp; " " &amp; YEAR(T31)</f>
        <v>3 кв. 2019</v>
      </c>
      <c r="U32" s="50" t="str">
        <f ca="1">CHOOSE(PRJ_StepType,MONTH(U31) &amp; "/",ROUNDUP(MONTH(U31)/3,0) &amp; " " &amp; Language!$A69,ROUNDUP(MONTH(U31)/6,0) &amp; "/","") &amp; " " &amp; YEAR(U31)</f>
        <v>4 кв. 2019</v>
      </c>
      <c r="V32" s="50" t="str">
        <f ca="1">CHOOSE(PRJ_StepType,MONTH(V31) &amp; "/",ROUNDUP(MONTH(V31)/3,0) &amp; " " &amp; Language!$A69,ROUNDUP(MONTH(V31)/6,0) &amp; "/","") &amp; " " &amp; YEAR(V31)</f>
        <v>1 кв. 2020</v>
      </c>
      <c r="W32" s="50" t="str">
        <f ca="1">CHOOSE(PRJ_StepType,MONTH(W31) &amp; "/",ROUNDUP(MONTH(W31)/3,0) &amp; " " &amp; Language!$A69,ROUNDUP(MONTH(W31)/6,0) &amp; "/","") &amp; " " &amp; YEAR(W31)</f>
        <v>2 кв. 2020</v>
      </c>
      <c r="X32" s="50" t="str">
        <f ca="1">CHOOSE(PRJ_StepType,MONTH(X31) &amp; "/",ROUNDUP(MONTH(X31)/3,0) &amp; " " &amp; Language!$A69,ROUNDUP(MONTH(X31)/6,0) &amp; "/","") &amp; " " &amp; YEAR(X31)</f>
        <v>3 кв. 2020</v>
      </c>
      <c r="Y32" s="50" t="str">
        <f ca="1">CHOOSE(PRJ_StepType,MONTH(Y31) &amp; "/",ROUNDUP(MONTH(Y31)/3,0) &amp; " " &amp; Language!$A69,ROUNDUP(MONTH(Y31)/6,0) &amp; "/","") &amp; " " &amp; YEAR(Y31)</f>
        <v>4 кв. 2020</v>
      </c>
      <c r="Z32" s="50" t="str">
        <f ca="1">CHOOSE(PRJ_StepType,MONTH(Z31) &amp; "/",ROUNDUP(MONTH(Z31)/3,0) &amp; " " &amp; Language!$A69,ROUNDUP(MONTH(Z31)/6,0) &amp; "/","") &amp; " " &amp; YEAR(Z31)</f>
        <v>1 кв. 2021</v>
      </c>
      <c r="AA32" s="50" t="str">
        <f ca="1">CHOOSE(PRJ_StepType,MONTH(AA31) &amp; "/",ROUNDUP(MONTH(AA31)/3,0) &amp; " " &amp; Language!$A69,ROUNDUP(MONTH(AA31)/6,0) &amp; "/","") &amp; " " &amp; YEAR(AA31)</f>
        <v>2 кв. 2021</v>
      </c>
      <c r="AB32" s="50" t="str">
        <f ca="1">CHOOSE(PRJ_StepType,MONTH(AB31) &amp; "/",ROUNDUP(MONTH(AB31)/3,0) &amp; " " &amp; Language!$A69,ROUNDUP(MONTH(AB31)/6,0) &amp; "/","") &amp; " " &amp; YEAR(AB31)</f>
        <v>3 кв. 2021</v>
      </c>
      <c r="AC32" s="50" t="str">
        <f ca="1">CHOOSE(PRJ_StepType,MONTH(AC31) &amp; "/",ROUNDUP(MONTH(AC31)/3,0) &amp; " " &amp; Language!$A69,ROUNDUP(MONTH(AC31)/6,0) &amp; "/","") &amp; " " &amp; YEAR(AC31)</f>
        <v>4 кв. 2021</v>
      </c>
    </row>
    <row r="33" spans="1:31" hidden="1" outlineLevel="2" x14ac:dyDescent="0.2">
      <c r="A33" s="63"/>
      <c r="B33" s="63"/>
      <c r="C33" s="63"/>
      <c r="D33" s="60"/>
      <c r="E33" s="63"/>
      <c r="F33" s="214"/>
      <c r="G33" s="214"/>
      <c r="H33" s="214"/>
      <c r="I33" s="214"/>
      <c r="J33" s="214"/>
      <c r="K33" s="214"/>
      <c r="L33" s="214"/>
      <c r="M33" s="214"/>
      <c r="N33" s="214"/>
      <c r="O33" s="214"/>
      <c r="P33" s="214"/>
      <c r="Q33" s="214"/>
      <c r="R33" s="214"/>
      <c r="S33" s="214"/>
      <c r="T33" s="214"/>
      <c r="U33" s="214"/>
      <c r="V33" s="214"/>
      <c r="W33" s="214"/>
      <c r="X33" s="214"/>
      <c r="Y33" s="214"/>
      <c r="Z33" s="214"/>
      <c r="AA33" s="214"/>
      <c r="AB33" s="214"/>
      <c r="AC33" s="214"/>
      <c r="AD33" s="63"/>
      <c r="AE33" s="64"/>
    </row>
    <row r="34" spans="1:31" outlineLevel="1" x14ac:dyDescent="0.2">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22"/>
    </row>
    <row r="35" spans="1:31" s="4" customFormat="1" ht="15.95" customHeight="1" collapsed="1" thickBot="1" x14ac:dyDescent="0.25">
      <c r="A35" s="165" t="str">
        <f ca="1">Language!A$72</f>
        <v xml:space="preserve">         СТАРТОВОЕ СОСТОЯНИЕ ПРОЕКТА</v>
      </c>
      <c r="B35" s="165"/>
      <c r="C35" s="165"/>
      <c r="D35" s="165"/>
      <c r="E35" s="165"/>
      <c r="F35" s="112">
        <f>F31</f>
        <v>42370</v>
      </c>
      <c r="G35" s="21"/>
      <c r="H35" s="21"/>
      <c r="I35" s="21"/>
      <c r="J35" s="21"/>
      <c r="K35" s="21"/>
      <c r="L35" s="21"/>
      <c r="M35" s="21"/>
      <c r="N35" s="21"/>
      <c r="O35" s="21"/>
      <c r="P35" s="21"/>
      <c r="Q35" s="21"/>
      <c r="R35" s="21"/>
      <c r="S35" s="21"/>
      <c r="T35" s="21"/>
      <c r="U35" s="21"/>
      <c r="V35" s="21"/>
      <c r="W35" s="21"/>
      <c r="X35" s="21"/>
      <c r="Y35" s="21"/>
      <c r="Z35" s="21"/>
      <c r="AA35" s="21"/>
      <c r="AB35" s="21"/>
      <c r="AC35" s="21"/>
      <c r="AD35" s="21"/>
      <c r="AE35" s="38"/>
    </row>
    <row r="36" spans="1:31" ht="12" hidden="1" outlineLevel="1" thickTop="1" x14ac:dyDescent="0.2">
      <c r="A36" s="11"/>
      <c r="B36" s="36" t="str">
        <f ca="1">Language!A73</f>
        <v>Валюта</v>
      </c>
    </row>
    <row r="37" spans="1:31" hidden="1" outlineLevel="1" x14ac:dyDescent="0.2">
      <c r="A37" s="23" t="str">
        <f ca="1">Language!A74</f>
        <v>Внеоборотные активы</v>
      </c>
      <c r="B37" s="254">
        <v>1</v>
      </c>
      <c r="C37" s="5" t="str">
        <f ca="1">CHOOSE(B$37,CUR_Main,CUR_Foreign)</f>
        <v>тыс. EUR</v>
      </c>
      <c r="D37" s="16" t="str">
        <f>TEXT(B37,"0")&amp;"_01"</f>
        <v>1_01</v>
      </c>
      <c r="F37" s="25">
        <f>SUM(F39:F42)</f>
        <v>0</v>
      </c>
    </row>
    <row r="38" spans="1:31" hidden="1" outlineLevel="1" x14ac:dyDescent="0.2">
      <c r="A38" s="23" t="str">
        <f ca="1">Language!A75</f>
        <v xml:space="preserve">   в том числе</v>
      </c>
      <c r="C38" s="5"/>
      <c r="F38" s="25"/>
    </row>
    <row r="39" spans="1:31" hidden="1" outlineLevel="1" x14ac:dyDescent="0.2">
      <c r="A39" s="23" t="str">
        <f ca="1">Language!A77</f>
        <v xml:space="preserve">   - земельные участки</v>
      </c>
      <c r="C39" s="5" t="str">
        <f ca="1">CHOOSE(B$37,CUR_Main,CUR_Foreign)</f>
        <v>тыс. EUR</v>
      </c>
      <c r="D39" t="str">
        <f>TEXT(B37,"0")&amp;"_03"</f>
        <v>1_03</v>
      </c>
      <c r="F39" s="255">
        <v>0</v>
      </c>
    </row>
    <row r="40" spans="1:31" hidden="1" outlineLevel="1" x14ac:dyDescent="0.2">
      <c r="A40" s="23" t="str">
        <f ca="1">Language!A76</f>
        <v xml:space="preserve">   - здания и сооружения</v>
      </c>
      <c r="C40" s="5" t="str">
        <f ca="1">CHOOSE(B$37,CUR_Main,CUR_Foreign)</f>
        <v>тыс. EUR</v>
      </c>
      <c r="D40" t="str">
        <f>TEXT(B37,"0")&amp;"_02"</f>
        <v>1_02</v>
      </c>
      <c r="F40" s="255">
        <v>0</v>
      </c>
    </row>
    <row r="41" spans="1:31" hidden="1" outlineLevel="1" x14ac:dyDescent="0.2">
      <c r="A41" s="23" t="str">
        <f ca="1">Language!A78</f>
        <v xml:space="preserve">   - нематериальные активы</v>
      </c>
      <c r="C41" s="5" t="str">
        <f ca="1">CHOOSE(B$37,CUR_Main,CUR_Foreign)</f>
        <v>тыс. EUR</v>
      </c>
      <c r="D41" t="str">
        <f>TEXT(B37,"0")&amp;"_04"</f>
        <v>1_04</v>
      </c>
      <c r="F41" s="255">
        <v>0</v>
      </c>
    </row>
    <row r="42" spans="1:31" hidden="1" outlineLevel="1" x14ac:dyDescent="0.2">
      <c r="A42" s="23" t="str">
        <f ca="1">Language!A79</f>
        <v xml:space="preserve">   - оборудование и другие активы</v>
      </c>
      <c r="C42" s="5" t="str">
        <f ca="1">CHOOSE(B$37,CUR_Main,CUR_Foreign)</f>
        <v>тыс. EUR</v>
      </c>
      <c r="D42" t="str">
        <f>TEXT(B37,"0")&amp;"_05"</f>
        <v>1_05</v>
      </c>
      <c r="F42" s="255">
        <v>0</v>
      </c>
    </row>
    <row r="43" spans="1:31" hidden="1" outlineLevel="1" x14ac:dyDescent="0.2">
      <c r="A43" s="23" t="str">
        <f ca="1">Language!A80</f>
        <v>Незавершенные инвестиции</v>
      </c>
      <c r="C43" s="5" t="str">
        <f ca="1">CHOOSE(B$37,CUR_Main,CUR_Foreign)</f>
        <v>тыс. EUR</v>
      </c>
      <c r="D43" t="str">
        <f>TEXT(B37,"0")&amp;"_06"</f>
        <v>1_06</v>
      </c>
      <c r="F43" s="25">
        <f>SUM(F45:F48)</f>
        <v>0</v>
      </c>
    </row>
    <row r="44" spans="1:31" hidden="1" outlineLevel="1" x14ac:dyDescent="0.2">
      <c r="A44" s="23" t="str">
        <f ca="1">Language!A75</f>
        <v xml:space="preserve">   в том числе</v>
      </c>
      <c r="C44" s="5"/>
      <c r="F44" s="25"/>
    </row>
    <row r="45" spans="1:31" hidden="1" outlineLevel="1" x14ac:dyDescent="0.2">
      <c r="A45" s="23" t="str">
        <f ca="1">Language!A77</f>
        <v xml:space="preserve">   - земельные участки</v>
      </c>
      <c r="C45" s="5" t="str">
        <f ca="1">CHOOSE(B$37,CUR_Main,CUR_Foreign)</f>
        <v>тыс. EUR</v>
      </c>
      <c r="D45" t="str">
        <f>TEXT(B37,"0")&amp;"_08"</f>
        <v>1_08</v>
      </c>
      <c r="F45" s="255"/>
    </row>
    <row r="46" spans="1:31" hidden="1" outlineLevel="1" x14ac:dyDescent="0.2">
      <c r="A46" s="23" t="str">
        <f ca="1">Language!A76</f>
        <v xml:space="preserve">   - здания и сооружения</v>
      </c>
      <c r="C46" s="5" t="str">
        <f t="shared" ref="C46:C59" ca="1" si="2">CHOOSE(B$37,CUR_Main,CUR_Foreign)</f>
        <v>тыс. EUR</v>
      </c>
      <c r="D46" t="str">
        <f>TEXT(B37,"0")&amp;"_07"</f>
        <v>1_07</v>
      </c>
      <c r="F46" s="255"/>
    </row>
    <row r="47" spans="1:31" hidden="1" outlineLevel="1" x14ac:dyDescent="0.2">
      <c r="A47" s="23" t="str">
        <f ca="1">Language!A78</f>
        <v xml:space="preserve">   - нематериальные активы</v>
      </c>
      <c r="C47" s="5" t="str">
        <f t="shared" ca="1" si="2"/>
        <v>тыс. EUR</v>
      </c>
      <c r="D47" t="str">
        <f>TEXT(B37,"0")&amp;"_09"</f>
        <v>1_09</v>
      </c>
      <c r="F47" s="255"/>
    </row>
    <row r="48" spans="1:31" hidden="1" outlineLevel="1" x14ac:dyDescent="0.2">
      <c r="A48" s="23" t="str">
        <f ca="1">Language!A79</f>
        <v xml:space="preserve">   - оборудование и другие активы</v>
      </c>
      <c r="C48" s="5" t="str">
        <f t="shared" ca="1" si="2"/>
        <v>тыс. EUR</v>
      </c>
      <c r="D48" t="str">
        <f>TEXT(B37,"0")&amp;"_10"</f>
        <v>1_10</v>
      </c>
      <c r="F48" s="255"/>
    </row>
    <row r="49" spans="1:6" hidden="1" outlineLevel="1" x14ac:dyDescent="0.2">
      <c r="A49" s="23" t="str">
        <f ca="1">Language!A81</f>
        <v>Финансовые вложения</v>
      </c>
      <c r="C49" s="5" t="str">
        <f t="shared" ca="1" si="2"/>
        <v>тыс. EUR</v>
      </c>
      <c r="D49" t="str">
        <f>TEXT(B37,"0")&amp;"_25"</f>
        <v>1_25</v>
      </c>
      <c r="F49" s="255"/>
    </row>
    <row r="50" spans="1:6" hidden="1" outlineLevel="1" x14ac:dyDescent="0.2">
      <c r="A50" s="23" t="str">
        <f ca="1">Language!A82</f>
        <v>Запасы сырья и материалов</v>
      </c>
      <c r="C50" s="5" t="str">
        <f t="shared" ca="1" si="2"/>
        <v>тыс. EUR</v>
      </c>
      <c r="D50" t="str">
        <f>TEXT(B37,"0")&amp;"_11"</f>
        <v>1_11</v>
      </c>
      <c r="F50" s="255"/>
    </row>
    <row r="51" spans="1:6" hidden="1" outlineLevel="1" x14ac:dyDescent="0.2">
      <c r="A51" s="23" t="str">
        <f ca="1">Language!A83</f>
        <v>Незавершенное производство</v>
      </c>
      <c r="C51" s="5" t="str">
        <f t="shared" ca="1" si="2"/>
        <v>тыс. EUR</v>
      </c>
      <c r="D51" t="s">
        <v>2657</v>
      </c>
      <c r="F51" s="255"/>
    </row>
    <row r="52" spans="1:6" hidden="1" outlineLevel="1" x14ac:dyDescent="0.2">
      <c r="A52" s="23" t="str">
        <f ca="1">Language!A84</f>
        <v>Запасы готовой продукции</v>
      </c>
      <c r="C52" s="5" t="str">
        <f t="shared" ca="1" si="2"/>
        <v>тыс. EUR</v>
      </c>
      <c r="D52" t="str">
        <f>TEXT(B37,"0")&amp;"_12"</f>
        <v>1_12</v>
      </c>
      <c r="F52" s="255"/>
    </row>
    <row r="53" spans="1:6" hidden="1" outlineLevel="1" x14ac:dyDescent="0.2">
      <c r="A53" s="23" t="str">
        <f ca="1">Language!A85</f>
        <v>Дебиторская задолженность покупателей</v>
      </c>
      <c r="C53" s="5" t="str">
        <f t="shared" ca="1" si="2"/>
        <v>тыс. EUR</v>
      </c>
      <c r="D53" t="str">
        <f>TEXT(B37,"0")&amp;"_13"</f>
        <v>1_13</v>
      </c>
      <c r="F53" s="255"/>
    </row>
    <row r="54" spans="1:6" hidden="1" outlineLevel="1" x14ac:dyDescent="0.2">
      <c r="A54" s="23" t="str">
        <f ca="1">Language!A86</f>
        <v>Авансы выданные</v>
      </c>
      <c r="C54" s="5" t="str">
        <f t="shared" ca="1" si="2"/>
        <v>тыс. EUR</v>
      </c>
      <c r="D54" t="s">
        <v>2648</v>
      </c>
      <c r="F54" s="255"/>
    </row>
    <row r="55" spans="1:6" hidden="1" outlineLevel="1" x14ac:dyDescent="0.2">
      <c r="A55" s="23" t="str">
        <f ca="1">Language!A87</f>
        <v>Расходы будущих периодов</v>
      </c>
      <c r="C55" s="5" t="str">
        <f t="shared" ca="1" si="2"/>
        <v>тыс. EUR</v>
      </c>
      <c r="D55" t="str">
        <f>TEXT(B37,"0")&amp;"_14"</f>
        <v>1_14</v>
      </c>
      <c r="F55" s="255"/>
    </row>
    <row r="56" spans="1:6" hidden="1" outlineLevel="1" x14ac:dyDescent="0.2">
      <c r="A56" s="23" t="str">
        <f ca="1">Language!A88</f>
        <v>НДС как актив</v>
      </c>
      <c r="C56" s="5" t="str">
        <f t="shared" ca="1" si="2"/>
        <v>тыс. EUR</v>
      </c>
      <c r="D56" t="s">
        <v>2648</v>
      </c>
      <c r="F56" s="255"/>
    </row>
    <row r="57" spans="1:6" hidden="1" outlineLevel="1" x14ac:dyDescent="0.2">
      <c r="A57" s="23" t="str">
        <f ca="1">Language!A90</f>
        <v>Денежные средства</v>
      </c>
      <c r="C57" s="5" t="str">
        <f t="shared" ca="1" si="2"/>
        <v>тыс. EUR</v>
      </c>
      <c r="D57" t="str">
        <f>TEXT(B37,"0")&amp;"_16"</f>
        <v>1_16</v>
      </c>
      <c r="F57" s="255"/>
    </row>
    <row r="58" spans="1:6" hidden="1" outlineLevel="1" x14ac:dyDescent="0.2">
      <c r="A58" t="str">
        <f ca="1">Language!A$779</f>
        <v>Прочие оборотные активы</v>
      </c>
      <c r="C58" s="5" t="str">
        <f ca="1">CHOOSE(B$37,CUR_Main,CUR_Foreign)</f>
        <v>тыс. EUR</v>
      </c>
      <c r="D58" t="str">
        <f>TEXT(B37,"0")&amp;"_15"</f>
        <v>1_15</v>
      </c>
      <c r="F58" s="255"/>
    </row>
    <row r="59" spans="1:6" hidden="1" outlineLevel="1" x14ac:dyDescent="0.2">
      <c r="A59" s="35" t="str">
        <f ca="1">Language!A91</f>
        <v>Итого активы</v>
      </c>
      <c r="C59" s="5" t="str">
        <f t="shared" ca="1" si="2"/>
        <v>тыс. EUR</v>
      </c>
      <c r="F59" s="119">
        <f>F37+F43+F49+F50+F51+F52+F53+F54+F55+F56+F58+F57</f>
        <v>0</v>
      </c>
    </row>
    <row r="60" spans="1:6" hidden="1" outlineLevel="1" x14ac:dyDescent="0.2">
      <c r="F60" s="5"/>
    </row>
    <row r="61" spans="1:6" hidden="1" outlineLevel="1" x14ac:dyDescent="0.2">
      <c r="A61" t="str">
        <f ca="1">Language!A92</f>
        <v>Собственный капитал</v>
      </c>
      <c r="C61" s="5" t="str">
        <f t="shared" ref="C61:C70" ca="1" si="3">CHOOSE(B$37,CUR_Main,CUR_Foreign)</f>
        <v>тыс. EUR</v>
      </c>
      <c r="D61" t="str">
        <f>TEXT(B37,"0")&amp;"_17"</f>
        <v>1_17</v>
      </c>
      <c r="F61" s="255"/>
    </row>
    <row r="62" spans="1:6" hidden="1" outlineLevel="1" x14ac:dyDescent="0.2">
      <c r="A62" t="str">
        <f ca="1">Language!A93</f>
        <v>Нераспределенная прибыль (+) / убыток (-)</v>
      </c>
      <c r="C62" s="5" t="str">
        <f t="shared" ca="1" si="3"/>
        <v>тыс. EUR</v>
      </c>
      <c r="D62" t="str">
        <f>TEXT(B37,"0")&amp;"_24"</f>
        <v>1_24</v>
      </c>
      <c r="F62" s="255"/>
    </row>
    <row r="63" spans="1:6" hidden="1" outlineLevel="1" x14ac:dyDescent="0.2">
      <c r="A63" t="str">
        <f ca="1">Language!A94</f>
        <v>Целевое финансирование</v>
      </c>
      <c r="C63" s="5" t="str">
        <f t="shared" ca="1" si="3"/>
        <v>тыс. EUR</v>
      </c>
      <c r="D63" t="str">
        <f>TEXT(B37,"0")&amp;"_18"</f>
        <v>1_18</v>
      </c>
      <c r="F63" s="255"/>
    </row>
    <row r="64" spans="1:6" hidden="1" outlineLevel="1" x14ac:dyDescent="0.2">
      <c r="A64" t="str">
        <f ca="1">Language!A95</f>
        <v>Кредиты</v>
      </c>
      <c r="C64" s="5" t="str">
        <f t="shared" ca="1" si="3"/>
        <v>тыс. EUR</v>
      </c>
      <c r="D64" t="str">
        <f>TEXT(B37,"0")&amp;"_19"</f>
        <v>1_19</v>
      </c>
      <c r="F64" s="255"/>
    </row>
    <row r="65" spans="1:31" hidden="1" outlineLevel="1" x14ac:dyDescent="0.2">
      <c r="A65" t="str">
        <f ca="1">Language!A96</f>
        <v>Кредиторская задолженность перед поставщиками</v>
      </c>
      <c r="C65" s="5" t="str">
        <f t="shared" ca="1" si="3"/>
        <v>тыс. EUR</v>
      </c>
      <c r="D65" t="str">
        <f>TEXT(B37,"0")&amp;"_20"</f>
        <v>1_20</v>
      </c>
      <c r="F65" s="255"/>
    </row>
    <row r="66" spans="1:31" hidden="1" outlineLevel="1" x14ac:dyDescent="0.2">
      <c r="A66" t="str">
        <f ca="1">Language!A97</f>
        <v>Кредиторская задолженность перед бюджетом</v>
      </c>
      <c r="C66" s="5" t="str">
        <f t="shared" ca="1" si="3"/>
        <v>тыс. EUR</v>
      </c>
      <c r="D66" t="str">
        <f>TEXT(B37,"0")&amp;"_21"</f>
        <v>1_21</v>
      </c>
      <c r="F66" s="255"/>
    </row>
    <row r="67" spans="1:31" hidden="1" outlineLevel="1" x14ac:dyDescent="0.2">
      <c r="A67" t="str">
        <f ca="1">Language!A98</f>
        <v>Кредиторская задолженность перед персоналом</v>
      </c>
      <c r="C67" s="5" t="str">
        <f t="shared" ca="1" si="3"/>
        <v>тыс. EUR</v>
      </c>
      <c r="D67" t="str">
        <f>TEXT(B37,"0")&amp;"_22"</f>
        <v>1_22</v>
      </c>
      <c r="F67" s="255"/>
    </row>
    <row r="68" spans="1:31" hidden="1" outlineLevel="1" x14ac:dyDescent="0.2">
      <c r="A68" t="str">
        <f ca="1">Language!A99</f>
        <v>Авансы полученные</v>
      </c>
      <c r="C68" s="5" t="str">
        <f t="shared" ca="1" si="3"/>
        <v>тыс. EUR</v>
      </c>
      <c r="D68" t="s">
        <v>2660</v>
      </c>
      <c r="F68" s="255"/>
    </row>
    <row r="69" spans="1:31" hidden="1" outlineLevel="1" x14ac:dyDescent="0.2">
      <c r="A69" t="str">
        <f ca="1">Language!A$797</f>
        <v>Прочие краткосрочные обязательства</v>
      </c>
      <c r="C69" s="5" t="str">
        <f t="shared" ca="1" si="3"/>
        <v>тыс. EUR</v>
      </c>
      <c r="D69" t="str">
        <f>TEXT(B37,"0")&amp;"_23"</f>
        <v>1_23</v>
      </c>
      <c r="F69" s="255"/>
    </row>
    <row r="70" spans="1:31" hidden="1" outlineLevel="1" x14ac:dyDescent="0.2">
      <c r="A70" s="35" t="str">
        <f ca="1">Language!A101</f>
        <v>Итого пассивы</v>
      </c>
      <c r="C70" s="5" t="str">
        <f t="shared" ca="1" si="3"/>
        <v>тыс. EUR</v>
      </c>
      <c r="F70" s="119">
        <f>SUM(F61:F69)</f>
        <v>0</v>
      </c>
    </row>
    <row r="71" spans="1:31" hidden="1" outlineLevel="1" x14ac:dyDescent="0.2">
      <c r="A71" s="19"/>
      <c r="B71" s="19"/>
      <c r="C71" s="19"/>
      <c r="D71" s="19"/>
      <c r="E71" s="19"/>
      <c r="F71" s="26"/>
      <c r="G71" s="19"/>
      <c r="H71" s="19"/>
      <c r="I71" s="19"/>
      <c r="J71" s="19"/>
      <c r="K71" s="19"/>
      <c r="L71" s="19"/>
      <c r="M71" s="19"/>
      <c r="N71" s="19"/>
      <c r="O71" s="19"/>
      <c r="P71" s="19"/>
      <c r="Q71" s="19"/>
      <c r="R71" s="19"/>
      <c r="S71" s="19"/>
      <c r="T71" s="19"/>
      <c r="U71" s="19"/>
      <c r="V71" s="19"/>
      <c r="W71" s="19"/>
      <c r="X71" s="19"/>
      <c r="Y71" s="19"/>
      <c r="Z71" s="19"/>
      <c r="AA71" s="19"/>
      <c r="AB71" s="19"/>
      <c r="AC71" s="19"/>
      <c r="AD71" s="19"/>
      <c r="AE71" s="22"/>
    </row>
    <row r="72" spans="1:31" s="11" customFormat="1" hidden="1" outlineLevel="1" x14ac:dyDescent="0.2">
      <c r="A72" s="22" t="str">
        <f ca="1">Language!A102</f>
        <v>Контроль сходимости баланса</v>
      </c>
      <c r="B72" s="69" t="str">
        <f>IF(F72&lt;&gt;0,Language!A1011,"")</f>
        <v/>
      </c>
      <c r="C72" s="22"/>
      <c r="D72" s="22"/>
      <c r="E72" s="22"/>
      <c r="F72" s="70">
        <f>F59-F70</f>
        <v>0</v>
      </c>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row>
    <row r="73" spans="1:31" hidden="1" outlineLevel="1" x14ac:dyDescent="0.2">
      <c r="A73" s="63"/>
      <c r="B73" s="63"/>
      <c r="C73" s="63"/>
      <c r="D73" s="63"/>
      <c r="E73" s="63"/>
      <c r="F73" s="63"/>
    </row>
    <row r="74" spans="1:31" hidden="1" outlineLevel="1" x14ac:dyDescent="0.2"/>
    <row r="75" spans="1:31" s="4" customFormat="1" ht="15.95" customHeight="1" collapsed="1" thickTop="1" thickBot="1" x14ac:dyDescent="0.25">
      <c r="A75" s="165" t="str">
        <f ca="1">Language!A103</f>
        <v xml:space="preserve">         ИНФЛЯЦИЯ И МАКРОЭКОНОМИЧЕСКИЕ ПРОГНОЗЫ</v>
      </c>
      <c r="B75" s="165"/>
      <c r="C75" s="165"/>
      <c r="D75" s="165"/>
      <c r="E75" s="165"/>
      <c r="F75" s="177" t="str">
        <f t="shared" ref="F75:T75" ca="1" si="4">IF(ShowRealDates,F32,F30)</f>
        <v>1 кв. 2016</v>
      </c>
      <c r="G75" s="177" t="str">
        <f t="shared" ca="1" si="4"/>
        <v>2 кв. 2016</v>
      </c>
      <c r="H75" s="177" t="str">
        <f t="shared" ca="1" si="4"/>
        <v>3 кв. 2016</v>
      </c>
      <c r="I75" s="177" t="str">
        <f t="shared" ca="1" si="4"/>
        <v>4 кв. 2016</v>
      </c>
      <c r="J75" s="177" t="str">
        <f t="shared" ca="1" si="4"/>
        <v>1 кв. 2017</v>
      </c>
      <c r="K75" s="177" t="str">
        <f t="shared" ca="1" si="4"/>
        <v>2 кв. 2017</v>
      </c>
      <c r="L75" s="177" t="str">
        <f t="shared" ca="1" si="4"/>
        <v>3 кв. 2017</v>
      </c>
      <c r="M75" s="177" t="str">
        <f t="shared" ca="1" si="4"/>
        <v>4 кв. 2017</v>
      </c>
      <c r="N75" s="177" t="str">
        <f t="shared" ca="1" si="4"/>
        <v>1 кв. 2018</v>
      </c>
      <c r="O75" s="177" t="str">
        <f t="shared" ca="1" si="4"/>
        <v>2 кв. 2018</v>
      </c>
      <c r="P75" s="177" t="str">
        <f t="shared" ca="1" si="4"/>
        <v>3 кв. 2018</v>
      </c>
      <c r="Q75" s="177" t="str">
        <f t="shared" ca="1" si="4"/>
        <v>4 кв. 2018</v>
      </c>
      <c r="R75" s="177" t="str">
        <f t="shared" ca="1" si="4"/>
        <v>1 кв. 2019</v>
      </c>
      <c r="S75" s="177" t="str">
        <f t="shared" ca="1" si="4"/>
        <v>2 кв. 2019</v>
      </c>
      <c r="T75" s="177" t="str">
        <f t="shared" ca="1" si="4"/>
        <v>3 кв. 2019</v>
      </c>
      <c r="U75" s="177" t="str">
        <f t="shared" ref="U75" ca="1" si="5">IF(ShowRealDates,U32,U30)</f>
        <v>4 кв. 2019</v>
      </c>
      <c r="V75" s="177" t="str">
        <f t="shared" ref="V75" ca="1" si="6">IF(ShowRealDates,V32,V30)</f>
        <v>1 кв. 2020</v>
      </c>
      <c r="W75" s="177" t="str">
        <f t="shared" ref="W75" ca="1" si="7">IF(ShowRealDates,W32,W30)</f>
        <v>2 кв. 2020</v>
      </c>
      <c r="X75" s="177" t="str">
        <f t="shared" ref="X75" ca="1" si="8">IF(ShowRealDates,X32,X30)</f>
        <v>3 кв. 2020</v>
      </c>
      <c r="Y75" s="177" t="str">
        <f t="shared" ref="Y75" ca="1" si="9">IF(ShowRealDates,Y32,Y30)</f>
        <v>4 кв. 2020</v>
      </c>
      <c r="Z75" s="177" t="str">
        <f t="shared" ref="Z75" ca="1" si="10">IF(ShowRealDates,Z32,Z30)</f>
        <v>1 кв. 2021</v>
      </c>
      <c r="AA75" s="177" t="str">
        <f t="shared" ref="AA75" ca="1" si="11">IF(ShowRealDates,AA32,AA30)</f>
        <v>2 кв. 2021</v>
      </c>
      <c r="AB75" s="177" t="str">
        <f t="shared" ref="AB75:AC75" ca="1" si="12">IF(ShowRealDates,AB32,AB30)</f>
        <v>3 кв. 2021</v>
      </c>
      <c r="AC75" s="177" t="str">
        <f t="shared" ca="1" si="12"/>
        <v>4 кв. 2021</v>
      </c>
      <c r="AD75" s="165"/>
      <c r="AE75" s="166"/>
    </row>
    <row r="76" spans="1:31" ht="12" hidden="1" outlineLevel="1" thickTop="1" x14ac:dyDescent="0.2"/>
    <row r="77" spans="1:31" hidden="1" outlineLevel="1" x14ac:dyDescent="0.2">
      <c r="A77" s="35" t="str">
        <f ca="1">Language!A24</f>
        <v>Метод расчетов</v>
      </c>
      <c r="B77" s="254">
        <v>1</v>
      </c>
      <c r="D77" s="46" t="s">
        <v>2710</v>
      </c>
      <c r="F77" s="51" t="str">
        <f ca="1">CHOOSE(B77,Language!A25,Language!A26)</f>
        <v>Постоянные цены (без учета инфляции)</v>
      </c>
    </row>
    <row r="78" spans="1:31" hidden="1" outlineLevel="1" x14ac:dyDescent="0.2"/>
    <row r="79" spans="1:31" hidden="1" outlineLevel="1" x14ac:dyDescent="0.2">
      <c r="A79" s="35" t="str">
        <f ca="1">Language!A104</f>
        <v>Предполагаемый темп годового роста цен</v>
      </c>
    </row>
    <row r="80" spans="1:31" hidden="1" outlineLevel="1" collapsed="1" x14ac:dyDescent="0.2">
      <c r="A80" t="str">
        <f ca="1">Language!A105</f>
        <v>для основной валюты</v>
      </c>
      <c r="C80" s="5" t="s">
        <v>2430</v>
      </c>
      <c r="D80" s="16" t="s">
        <v>2429</v>
      </c>
      <c r="F80" s="256">
        <v>0</v>
      </c>
      <c r="G80" s="256">
        <v>0</v>
      </c>
      <c r="H80" s="256">
        <v>0</v>
      </c>
      <c r="I80" s="256">
        <v>0</v>
      </c>
      <c r="J80" s="256">
        <v>0</v>
      </c>
      <c r="K80" s="256">
        <v>0</v>
      </c>
      <c r="L80" s="256">
        <v>0</v>
      </c>
      <c r="M80" s="256">
        <v>0</v>
      </c>
      <c r="N80" s="256">
        <v>0</v>
      </c>
      <c r="O80" s="256">
        <v>0</v>
      </c>
      <c r="P80" s="256">
        <v>0</v>
      </c>
      <c r="Q80" s="256">
        <v>0</v>
      </c>
      <c r="R80" s="256">
        <v>0</v>
      </c>
      <c r="S80" s="256">
        <f t="shared" ref="S80:AC80" si="13">R80</f>
        <v>0</v>
      </c>
      <c r="T80" s="256">
        <f t="shared" si="13"/>
        <v>0</v>
      </c>
      <c r="U80" s="256">
        <f t="shared" si="13"/>
        <v>0</v>
      </c>
      <c r="V80" s="256">
        <f t="shared" si="13"/>
        <v>0</v>
      </c>
      <c r="W80" s="256">
        <f t="shared" si="13"/>
        <v>0</v>
      </c>
      <c r="X80" s="256">
        <f t="shared" si="13"/>
        <v>0</v>
      </c>
      <c r="Y80" s="256">
        <f t="shared" si="13"/>
        <v>0</v>
      </c>
      <c r="Z80" s="256">
        <f t="shared" si="13"/>
        <v>0</v>
      </c>
      <c r="AA80" s="256">
        <f t="shared" si="13"/>
        <v>0</v>
      </c>
      <c r="AB80" s="256">
        <f t="shared" si="13"/>
        <v>0</v>
      </c>
      <c r="AC80" s="256">
        <f t="shared" si="13"/>
        <v>0</v>
      </c>
    </row>
    <row r="81" spans="1:29" hidden="1" outlineLevel="2" x14ac:dyDescent="0.2">
      <c r="A81" t="str">
        <f ca="1">Language!A106</f>
        <v>То же, в пересчете на период, равный шагу проекта</v>
      </c>
      <c r="C81" s="5" t="s">
        <v>2430</v>
      </c>
      <c r="D81" s="16" t="s">
        <v>2429</v>
      </c>
      <c r="F81" s="30">
        <f t="shared" ref="F81:T81" si="14">POWER(1+F80,PRJ_Step/360)-1</f>
        <v>0</v>
      </c>
      <c r="G81" s="30">
        <f t="shared" si="14"/>
        <v>0</v>
      </c>
      <c r="H81" s="30">
        <f t="shared" si="14"/>
        <v>0</v>
      </c>
      <c r="I81" s="30">
        <f t="shared" si="14"/>
        <v>0</v>
      </c>
      <c r="J81" s="30">
        <f t="shared" si="14"/>
        <v>0</v>
      </c>
      <c r="K81" s="30">
        <f t="shared" si="14"/>
        <v>0</v>
      </c>
      <c r="L81" s="30">
        <f t="shared" si="14"/>
        <v>0</v>
      </c>
      <c r="M81" s="30">
        <f t="shared" si="14"/>
        <v>0</v>
      </c>
      <c r="N81" s="30">
        <f t="shared" si="14"/>
        <v>0</v>
      </c>
      <c r="O81" s="30">
        <f t="shared" si="14"/>
        <v>0</v>
      </c>
      <c r="P81" s="30">
        <f t="shared" si="14"/>
        <v>0</v>
      </c>
      <c r="Q81" s="30">
        <f t="shared" si="14"/>
        <v>0</v>
      </c>
      <c r="R81" s="30">
        <f t="shared" si="14"/>
        <v>0</v>
      </c>
      <c r="S81" s="30">
        <f t="shared" si="14"/>
        <v>0</v>
      </c>
      <c r="T81" s="30">
        <f t="shared" si="14"/>
        <v>0</v>
      </c>
      <c r="U81" s="30">
        <f t="shared" ref="U81" si="15">POWER(1+U80,PRJ_Step/360)-1</f>
        <v>0</v>
      </c>
      <c r="V81" s="30">
        <f t="shared" ref="V81" si="16">POWER(1+V80,PRJ_Step/360)-1</f>
        <v>0</v>
      </c>
      <c r="W81" s="30">
        <f t="shared" ref="W81" si="17">POWER(1+W80,PRJ_Step/360)-1</f>
        <v>0</v>
      </c>
      <c r="X81" s="30">
        <f t="shared" ref="X81" si="18">POWER(1+X80,PRJ_Step/360)-1</f>
        <v>0</v>
      </c>
      <c r="Y81" s="30">
        <f t="shared" ref="Y81" si="19">POWER(1+Y80,PRJ_Step/360)-1</f>
        <v>0</v>
      </c>
      <c r="Z81" s="30">
        <f t="shared" ref="Z81" si="20">POWER(1+Z80,PRJ_Step/360)-1</f>
        <v>0</v>
      </c>
      <c r="AA81" s="30">
        <f t="shared" ref="AA81" si="21">POWER(1+AA80,PRJ_Step/360)-1</f>
        <v>0</v>
      </c>
      <c r="AB81" s="30">
        <f t="shared" ref="AB81:AC81" si="22">POWER(1+AB80,PRJ_Step/360)-1</f>
        <v>0</v>
      </c>
      <c r="AC81" s="30">
        <f t="shared" si="22"/>
        <v>0</v>
      </c>
    </row>
    <row r="82" spans="1:29" hidden="1" outlineLevel="2" x14ac:dyDescent="0.2">
      <c r="A82" t="str">
        <f ca="1">Language!A107 &amp; IF(CalcMethod=1,Language!A108,Language!A109)</f>
        <v>Множитель прироста цен для основной валюты  (отключен)</v>
      </c>
      <c r="D82" s="16" t="s">
        <v>2429</v>
      </c>
      <c r="F82" s="31">
        <v>1</v>
      </c>
      <c r="G82" s="32">
        <f t="shared" ref="G82:AC82" si="23">IF(CalcMethod=2,1+F81,1)</f>
        <v>1</v>
      </c>
      <c r="H82" s="32">
        <f t="shared" si="23"/>
        <v>1</v>
      </c>
      <c r="I82" s="32">
        <f t="shared" si="23"/>
        <v>1</v>
      </c>
      <c r="J82" s="32">
        <f t="shared" si="23"/>
        <v>1</v>
      </c>
      <c r="K82" s="32">
        <f t="shared" si="23"/>
        <v>1</v>
      </c>
      <c r="L82" s="32">
        <f t="shared" si="23"/>
        <v>1</v>
      </c>
      <c r="M82" s="32">
        <f t="shared" si="23"/>
        <v>1</v>
      </c>
      <c r="N82" s="32">
        <f t="shared" si="23"/>
        <v>1</v>
      </c>
      <c r="O82" s="32">
        <f t="shared" si="23"/>
        <v>1</v>
      </c>
      <c r="P82" s="32">
        <f t="shared" si="23"/>
        <v>1</v>
      </c>
      <c r="Q82" s="32">
        <f t="shared" si="23"/>
        <v>1</v>
      </c>
      <c r="R82" s="32">
        <f t="shared" si="23"/>
        <v>1</v>
      </c>
      <c r="S82" s="32">
        <f t="shared" si="23"/>
        <v>1</v>
      </c>
      <c r="T82" s="32">
        <f t="shared" si="23"/>
        <v>1</v>
      </c>
      <c r="U82" s="32">
        <f t="shared" si="23"/>
        <v>1</v>
      </c>
      <c r="V82" s="32">
        <f t="shared" si="23"/>
        <v>1</v>
      </c>
      <c r="W82" s="32">
        <f t="shared" si="23"/>
        <v>1</v>
      </c>
      <c r="X82" s="32">
        <f t="shared" si="23"/>
        <v>1</v>
      </c>
      <c r="Y82" s="32">
        <f t="shared" si="23"/>
        <v>1</v>
      </c>
      <c r="Z82" s="32">
        <f t="shared" si="23"/>
        <v>1</v>
      </c>
      <c r="AA82" s="32">
        <f t="shared" si="23"/>
        <v>1</v>
      </c>
      <c r="AB82" s="32">
        <f t="shared" si="23"/>
        <v>1</v>
      </c>
      <c r="AC82" s="32">
        <f t="shared" si="23"/>
        <v>1</v>
      </c>
    </row>
    <row r="83" spans="1:29" hidden="1" outlineLevel="1" x14ac:dyDescent="0.2"/>
    <row r="84" spans="1:29" hidden="1" outlineLevel="1" collapsed="1" x14ac:dyDescent="0.2">
      <c r="A84" s="35" t="str">
        <f ca="1">Language!A110</f>
        <v>Данные для иностранной валюты</v>
      </c>
    </row>
    <row r="85" spans="1:29" hidden="1" outlineLevel="2" x14ac:dyDescent="0.2"/>
    <row r="86" spans="1:29" hidden="1" outlineLevel="2" x14ac:dyDescent="0.2">
      <c r="A86" t="str">
        <f ca="1">Language!A111</f>
        <v>Предполагаемый годовой темп прироста</v>
      </c>
    </row>
    <row r="87" spans="1:29" hidden="1" outlineLevel="2" x14ac:dyDescent="0.2">
      <c r="A87" t="str">
        <f ca="1">Language!A112</f>
        <v>обменного курса иностранной валюты</v>
      </c>
      <c r="C87" s="5" t="s">
        <v>2430</v>
      </c>
      <c r="D87" s="16" t="s">
        <v>2429</v>
      </c>
      <c r="F87" s="256">
        <v>0.03</v>
      </c>
      <c r="G87" s="256">
        <f t="shared" ref="G87:AC87" si="24">F87</f>
        <v>0.03</v>
      </c>
      <c r="H87" s="256">
        <f t="shared" si="24"/>
        <v>0.03</v>
      </c>
      <c r="I87" s="256">
        <f t="shared" si="24"/>
        <v>0.03</v>
      </c>
      <c r="J87" s="256">
        <f t="shared" si="24"/>
        <v>0.03</v>
      </c>
      <c r="K87" s="256">
        <f t="shared" si="24"/>
        <v>0.03</v>
      </c>
      <c r="L87" s="256">
        <f t="shared" si="24"/>
        <v>0.03</v>
      </c>
      <c r="M87" s="256">
        <f t="shared" si="24"/>
        <v>0.03</v>
      </c>
      <c r="N87" s="256">
        <f t="shared" si="24"/>
        <v>0.03</v>
      </c>
      <c r="O87" s="256">
        <f t="shared" si="24"/>
        <v>0.03</v>
      </c>
      <c r="P87" s="256">
        <f t="shared" si="24"/>
        <v>0.03</v>
      </c>
      <c r="Q87" s="256">
        <f t="shared" si="24"/>
        <v>0.03</v>
      </c>
      <c r="R87" s="256">
        <f t="shared" si="24"/>
        <v>0.03</v>
      </c>
      <c r="S87" s="256">
        <f t="shared" si="24"/>
        <v>0.03</v>
      </c>
      <c r="T87" s="256">
        <f t="shared" si="24"/>
        <v>0.03</v>
      </c>
      <c r="U87" s="256">
        <f t="shared" si="24"/>
        <v>0.03</v>
      </c>
      <c r="V87" s="256">
        <f t="shared" si="24"/>
        <v>0.03</v>
      </c>
      <c r="W87" s="256">
        <f t="shared" si="24"/>
        <v>0.03</v>
      </c>
      <c r="X87" s="256">
        <f t="shared" si="24"/>
        <v>0.03</v>
      </c>
      <c r="Y87" s="256">
        <f t="shared" si="24"/>
        <v>0.03</v>
      </c>
      <c r="Z87" s="256">
        <f t="shared" si="24"/>
        <v>0.03</v>
      </c>
      <c r="AA87" s="256">
        <f t="shared" si="24"/>
        <v>0.03</v>
      </c>
      <c r="AB87" s="256">
        <f t="shared" si="24"/>
        <v>0.03</v>
      </c>
      <c r="AC87" s="256">
        <f t="shared" si="24"/>
        <v>0.03</v>
      </c>
    </row>
    <row r="88" spans="1:29" hidden="1" outlineLevel="2" x14ac:dyDescent="0.2">
      <c r="A88" t="str">
        <f ca="1">Language!A113&amp; " (" &amp; OFFSET(Language!A39,CUR_I_Main,0) &amp; " / " &amp; OFFSET(Language!A39,CUR_I_Foreign,0) &amp; " )"</f>
        <v>Курс валюты (тыс. EUR / тыс. EUR )</v>
      </c>
      <c r="D88" s="16" t="s">
        <v>2429</v>
      </c>
      <c r="F88" s="257">
        <v>3.5000000000000003E-2</v>
      </c>
      <c r="G88" s="33">
        <f t="shared" ref="G88:AC88" si="25">IF(CalcMethod=2,F88*POWER(1+F87,PRJ_Step/360),F88)</f>
        <v>3.5000000000000003E-2</v>
      </c>
      <c r="H88" s="33">
        <f t="shared" si="25"/>
        <v>3.5000000000000003E-2</v>
      </c>
      <c r="I88" s="33">
        <f t="shared" si="25"/>
        <v>3.5000000000000003E-2</v>
      </c>
      <c r="J88" s="33">
        <f t="shared" si="25"/>
        <v>3.5000000000000003E-2</v>
      </c>
      <c r="K88" s="33">
        <f t="shared" si="25"/>
        <v>3.5000000000000003E-2</v>
      </c>
      <c r="L88" s="33">
        <f t="shared" si="25"/>
        <v>3.5000000000000003E-2</v>
      </c>
      <c r="M88" s="33">
        <f t="shared" si="25"/>
        <v>3.5000000000000003E-2</v>
      </c>
      <c r="N88" s="33">
        <f t="shared" si="25"/>
        <v>3.5000000000000003E-2</v>
      </c>
      <c r="O88" s="33">
        <f t="shared" si="25"/>
        <v>3.5000000000000003E-2</v>
      </c>
      <c r="P88" s="33">
        <f t="shared" si="25"/>
        <v>3.5000000000000003E-2</v>
      </c>
      <c r="Q88" s="33">
        <f t="shared" si="25"/>
        <v>3.5000000000000003E-2</v>
      </c>
      <c r="R88" s="33">
        <f t="shared" si="25"/>
        <v>3.5000000000000003E-2</v>
      </c>
      <c r="S88" s="33">
        <f t="shared" si="25"/>
        <v>3.5000000000000003E-2</v>
      </c>
      <c r="T88" s="33">
        <f t="shared" si="25"/>
        <v>3.5000000000000003E-2</v>
      </c>
      <c r="U88" s="33">
        <f t="shared" si="25"/>
        <v>3.5000000000000003E-2</v>
      </c>
      <c r="V88" s="33">
        <f t="shared" si="25"/>
        <v>3.5000000000000003E-2</v>
      </c>
      <c r="W88" s="33">
        <f t="shared" si="25"/>
        <v>3.5000000000000003E-2</v>
      </c>
      <c r="X88" s="33">
        <f t="shared" si="25"/>
        <v>3.5000000000000003E-2</v>
      </c>
      <c r="Y88" s="33">
        <f t="shared" si="25"/>
        <v>3.5000000000000003E-2</v>
      </c>
      <c r="Z88" s="33">
        <f t="shared" si="25"/>
        <v>3.5000000000000003E-2</v>
      </c>
      <c r="AA88" s="33">
        <f t="shared" si="25"/>
        <v>3.5000000000000003E-2</v>
      </c>
      <c r="AB88" s="33">
        <f t="shared" si="25"/>
        <v>3.5000000000000003E-2</v>
      </c>
      <c r="AC88" s="33">
        <f t="shared" si="25"/>
        <v>3.5000000000000003E-2</v>
      </c>
    </row>
    <row r="89" spans="1:29" hidden="1" outlineLevel="2" x14ac:dyDescent="0.2"/>
    <row r="90" spans="1:29" hidden="1" outlineLevel="2" x14ac:dyDescent="0.2">
      <c r="A90" t="str">
        <f ca="1">Language!A114</f>
        <v>Предполагаемый темп годового роста цен</v>
      </c>
    </row>
    <row r="91" spans="1:29" hidden="1" outlineLevel="2" x14ac:dyDescent="0.2">
      <c r="A91" t="str">
        <f ca="1">Language!A115</f>
        <v>для иностранной валюты</v>
      </c>
      <c r="C91" s="5" t="s">
        <v>2430</v>
      </c>
      <c r="D91" s="16" t="s">
        <v>2429</v>
      </c>
      <c r="F91" s="256">
        <v>0.05</v>
      </c>
      <c r="G91" s="256">
        <f t="shared" ref="G91:AC91" si="26">F91</f>
        <v>0.05</v>
      </c>
      <c r="H91" s="256">
        <f t="shared" si="26"/>
        <v>0.05</v>
      </c>
      <c r="I91" s="256">
        <f t="shared" si="26"/>
        <v>0.05</v>
      </c>
      <c r="J91" s="256">
        <f t="shared" si="26"/>
        <v>0.05</v>
      </c>
      <c r="K91" s="256">
        <f t="shared" si="26"/>
        <v>0.05</v>
      </c>
      <c r="L91" s="256">
        <f t="shared" si="26"/>
        <v>0.05</v>
      </c>
      <c r="M91" s="256">
        <f t="shared" si="26"/>
        <v>0.05</v>
      </c>
      <c r="N91" s="256">
        <f t="shared" si="26"/>
        <v>0.05</v>
      </c>
      <c r="O91" s="256">
        <f t="shared" si="26"/>
        <v>0.05</v>
      </c>
      <c r="P91" s="256">
        <f t="shared" si="26"/>
        <v>0.05</v>
      </c>
      <c r="Q91" s="256">
        <f t="shared" si="26"/>
        <v>0.05</v>
      </c>
      <c r="R91" s="256">
        <f t="shared" si="26"/>
        <v>0.05</v>
      </c>
      <c r="S91" s="256">
        <f t="shared" si="26"/>
        <v>0.05</v>
      </c>
      <c r="T91" s="256">
        <f t="shared" si="26"/>
        <v>0.05</v>
      </c>
      <c r="U91" s="256">
        <f t="shared" si="26"/>
        <v>0.05</v>
      </c>
      <c r="V91" s="256">
        <f t="shared" si="26"/>
        <v>0.05</v>
      </c>
      <c r="W91" s="256">
        <f t="shared" si="26"/>
        <v>0.05</v>
      </c>
      <c r="X91" s="256">
        <f t="shared" si="26"/>
        <v>0.05</v>
      </c>
      <c r="Y91" s="256">
        <f t="shared" si="26"/>
        <v>0.05</v>
      </c>
      <c r="Z91" s="256">
        <f t="shared" si="26"/>
        <v>0.05</v>
      </c>
      <c r="AA91" s="256">
        <f t="shared" si="26"/>
        <v>0.05</v>
      </c>
      <c r="AB91" s="256">
        <f t="shared" si="26"/>
        <v>0.05</v>
      </c>
      <c r="AC91" s="256">
        <f t="shared" si="26"/>
        <v>0.05</v>
      </c>
    </row>
    <row r="92" spans="1:29" hidden="1" outlineLevel="2" x14ac:dyDescent="0.2">
      <c r="A92" t="str">
        <f ca="1">Language!A116</f>
        <v>То же, в пересчете на период, равный шагу проекта</v>
      </c>
      <c r="C92" s="5" t="s">
        <v>2430</v>
      </c>
      <c r="D92" s="16" t="s">
        <v>2429</v>
      </c>
      <c r="F92" s="30">
        <f t="shared" ref="F92:T92" si="27">POWER(1+F91,PRJ_Step/360)-1</f>
        <v>1.2272234429039353E-2</v>
      </c>
      <c r="G92" s="30">
        <f t="shared" si="27"/>
        <v>1.2272234429039353E-2</v>
      </c>
      <c r="H92" s="30">
        <f t="shared" si="27"/>
        <v>1.2272234429039353E-2</v>
      </c>
      <c r="I92" s="30">
        <f t="shared" si="27"/>
        <v>1.2272234429039353E-2</v>
      </c>
      <c r="J92" s="30">
        <f t="shared" si="27"/>
        <v>1.2272234429039353E-2</v>
      </c>
      <c r="K92" s="30">
        <f t="shared" si="27"/>
        <v>1.2272234429039353E-2</v>
      </c>
      <c r="L92" s="30">
        <f t="shared" si="27"/>
        <v>1.2272234429039353E-2</v>
      </c>
      <c r="M92" s="30">
        <f t="shared" si="27"/>
        <v>1.2272234429039353E-2</v>
      </c>
      <c r="N92" s="30">
        <f t="shared" si="27"/>
        <v>1.2272234429039353E-2</v>
      </c>
      <c r="O92" s="30">
        <f t="shared" si="27"/>
        <v>1.2272234429039353E-2</v>
      </c>
      <c r="P92" s="30">
        <f t="shared" si="27"/>
        <v>1.2272234429039353E-2</v>
      </c>
      <c r="Q92" s="30">
        <f t="shared" si="27"/>
        <v>1.2272234429039353E-2</v>
      </c>
      <c r="R92" s="30">
        <f t="shared" si="27"/>
        <v>1.2272234429039353E-2</v>
      </c>
      <c r="S92" s="30">
        <f t="shared" si="27"/>
        <v>1.2272234429039353E-2</v>
      </c>
      <c r="T92" s="30">
        <f t="shared" si="27"/>
        <v>1.2272234429039353E-2</v>
      </c>
      <c r="U92" s="30">
        <f t="shared" ref="U92" si="28">POWER(1+U91,PRJ_Step/360)-1</f>
        <v>1.2272234429039353E-2</v>
      </c>
      <c r="V92" s="30">
        <f t="shared" ref="V92" si="29">POWER(1+V91,PRJ_Step/360)-1</f>
        <v>1.2272234429039353E-2</v>
      </c>
      <c r="W92" s="30">
        <f t="shared" ref="W92" si="30">POWER(1+W91,PRJ_Step/360)-1</f>
        <v>1.2272234429039353E-2</v>
      </c>
      <c r="X92" s="30">
        <f t="shared" ref="X92" si="31">POWER(1+X91,PRJ_Step/360)-1</f>
        <v>1.2272234429039353E-2</v>
      </c>
      <c r="Y92" s="30">
        <f t="shared" ref="Y92" si="32">POWER(1+Y91,PRJ_Step/360)-1</f>
        <v>1.2272234429039353E-2</v>
      </c>
      <c r="Z92" s="30">
        <f t="shared" ref="Z92" si="33">POWER(1+Z91,PRJ_Step/360)-1</f>
        <v>1.2272234429039353E-2</v>
      </c>
      <c r="AA92" s="30">
        <f t="shared" ref="AA92" si="34">POWER(1+AA91,PRJ_Step/360)-1</f>
        <v>1.2272234429039353E-2</v>
      </c>
      <c r="AB92" s="30">
        <f t="shared" ref="AB92:AC92" si="35">POWER(1+AB91,PRJ_Step/360)-1</f>
        <v>1.2272234429039353E-2</v>
      </c>
      <c r="AC92" s="30">
        <f t="shared" si="35"/>
        <v>1.2272234429039353E-2</v>
      </c>
    </row>
    <row r="93" spans="1:29" hidden="1" outlineLevel="2" x14ac:dyDescent="0.2">
      <c r="A93" t="str">
        <f ca="1">Language!A117&amp; IF(CalcMethod=1,Language!A108,Language!A109)</f>
        <v>Множитель прироста цен для иностранной валюты  (отключен)</v>
      </c>
      <c r="D93" s="16" t="s">
        <v>2429</v>
      </c>
      <c r="F93" s="31">
        <v>1</v>
      </c>
      <c r="G93" s="32">
        <f t="shared" ref="G93:AC93" si="36">IF(CalcMethod=2,1+F92,1)</f>
        <v>1</v>
      </c>
      <c r="H93" s="32">
        <f t="shared" si="36"/>
        <v>1</v>
      </c>
      <c r="I93" s="32">
        <f t="shared" si="36"/>
        <v>1</v>
      </c>
      <c r="J93" s="32">
        <f t="shared" si="36"/>
        <v>1</v>
      </c>
      <c r="K93" s="32">
        <f t="shared" si="36"/>
        <v>1</v>
      </c>
      <c r="L93" s="32">
        <f t="shared" si="36"/>
        <v>1</v>
      </c>
      <c r="M93" s="32">
        <f t="shared" si="36"/>
        <v>1</v>
      </c>
      <c r="N93" s="32">
        <f t="shared" si="36"/>
        <v>1</v>
      </c>
      <c r="O93" s="32">
        <f t="shared" si="36"/>
        <v>1</v>
      </c>
      <c r="P93" s="32">
        <f t="shared" si="36"/>
        <v>1</v>
      </c>
      <c r="Q93" s="32">
        <f t="shared" si="36"/>
        <v>1</v>
      </c>
      <c r="R93" s="32">
        <f t="shared" si="36"/>
        <v>1</v>
      </c>
      <c r="S93" s="32">
        <f t="shared" si="36"/>
        <v>1</v>
      </c>
      <c r="T93" s="32">
        <f t="shared" si="36"/>
        <v>1</v>
      </c>
      <c r="U93" s="32">
        <f t="shared" si="36"/>
        <v>1</v>
      </c>
      <c r="V93" s="32">
        <f t="shared" si="36"/>
        <v>1</v>
      </c>
      <c r="W93" s="32">
        <f t="shared" si="36"/>
        <v>1</v>
      </c>
      <c r="X93" s="32">
        <f t="shared" si="36"/>
        <v>1</v>
      </c>
      <c r="Y93" s="32">
        <f t="shared" si="36"/>
        <v>1</v>
      </c>
      <c r="Z93" s="32">
        <f t="shared" si="36"/>
        <v>1</v>
      </c>
      <c r="AA93" s="32">
        <f t="shared" si="36"/>
        <v>1</v>
      </c>
      <c r="AB93" s="32">
        <f t="shared" si="36"/>
        <v>1</v>
      </c>
      <c r="AC93" s="32">
        <f t="shared" si="36"/>
        <v>1</v>
      </c>
    </row>
    <row r="94" spans="1:29" hidden="1" outlineLevel="1" x14ac:dyDescent="0.2"/>
    <row r="95" spans="1:29" hidden="1" outlineLevel="1" collapsed="1" x14ac:dyDescent="0.2">
      <c r="A95" s="35" t="str">
        <f ca="1">Language!A119</f>
        <v>Ставка рефинансирования ЦБ</v>
      </c>
      <c r="C95" s="5" t="s">
        <v>2430</v>
      </c>
      <c r="D95" s="16" t="s">
        <v>2429</v>
      </c>
      <c r="F95" s="256">
        <v>8.2500000000000004E-2</v>
      </c>
      <c r="G95" s="256">
        <f t="shared" ref="G95:AC95" si="37">F95</f>
        <v>8.2500000000000004E-2</v>
      </c>
      <c r="H95" s="256">
        <f t="shared" si="37"/>
        <v>8.2500000000000004E-2</v>
      </c>
      <c r="I95" s="256">
        <f t="shared" si="37"/>
        <v>8.2500000000000004E-2</v>
      </c>
      <c r="J95" s="256">
        <f t="shared" si="37"/>
        <v>8.2500000000000004E-2</v>
      </c>
      <c r="K95" s="256">
        <f t="shared" si="37"/>
        <v>8.2500000000000004E-2</v>
      </c>
      <c r="L95" s="256">
        <f t="shared" si="37"/>
        <v>8.2500000000000004E-2</v>
      </c>
      <c r="M95" s="256">
        <f t="shared" si="37"/>
        <v>8.2500000000000004E-2</v>
      </c>
      <c r="N95" s="256">
        <f t="shared" si="37"/>
        <v>8.2500000000000004E-2</v>
      </c>
      <c r="O95" s="256">
        <f t="shared" si="37"/>
        <v>8.2500000000000004E-2</v>
      </c>
      <c r="P95" s="256">
        <f t="shared" si="37"/>
        <v>8.2500000000000004E-2</v>
      </c>
      <c r="Q95" s="256">
        <f t="shared" si="37"/>
        <v>8.2500000000000004E-2</v>
      </c>
      <c r="R95" s="256">
        <f t="shared" si="37"/>
        <v>8.2500000000000004E-2</v>
      </c>
      <c r="S95" s="256">
        <f t="shared" si="37"/>
        <v>8.2500000000000004E-2</v>
      </c>
      <c r="T95" s="256">
        <f t="shared" si="37"/>
        <v>8.2500000000000004E-2</v>
      </c>
      <c r="U95" s="256">
        <f t="shared" si="37"/>
        <v>8.2500000000000004E-2</v>
      </c>
      <c r="V95" s="256">
        <f t="shared" si="37"/>
        <v>8.2500000000000004E-2</v>
      </c>
      <c r="W95" s="256">
        <f t="shared" si="37"/>
        <v>8.2500000000000004E-2</v>
      </c>
      <c r="X95" s="256">
        <f t="shared" si="37"/>
        <v>8.2500000000000004E-2</v>
      </c>
      <c r="Y95" s="256">
        <f t="shared" si="37"/>
        <v>8.2500000000000004E-2</v>
      </c>
      <c r="Z95" s="256">
        <f t="shared" si="37"/>
        <v>8.2500000000000004E-2</v>
      </c>
      <c r="AA95" s="256">
        <f t="shared" si="37"/>
        <v>8.2500000000000004E-2</v>
      </c>
      <c r="AB95" s="256">
        <f t="shared" si="37"/>
        <v>8.2500000000000004E-2</v>
      </c>
      <c r="AC95" s="256">
        <f t="shared" si="37"/>
        <v>8.2500000000000004E-2</v>
      </c>
    </row>
    <row r="96" spans="1:29" hidden="1" outlineLevel="2" x14ac:dyDescent="0.2">
      <c r="A96" t="str">
        <f ca="1">Language!A120</f>
        <v>Ставка процентов по кредитам, в пределах которой</v>
      </c>
    </row>
    <row r="97" spans="1:31" hidden="1" outlineLevel="2" x14ac:dyDescent="0.2">
      <c r="A97" t="str">
        <f ca="1">Language!A121</f>
        <v>уменьшается налогооблагаемая прибыль:</v>
      </c>
    </row>
    <row r="98" spans="1:31" hidden="1" outlineLevel="2" x14ac:dyDescent="0.2">
      <c r="A98" s="19" t="str">
        <f ca="1">Language!A122</f>
        <v>основная валюта</v>
      </c>
      <c r="B98" s="19"/>
      <c r="C98" s="26" t="s">
        <v>2430</v>
      </c>
      <c r="D98" s="16" t="s">
        <v>2429</v>
      </c>
      <c r="E98" s="19"/>
      <c r="F98" s="34">
        <f t="shared" ref="F98:T98" si="38">F95*1.1</f>
        <v>9.0750000000000011E-2</v>
      </c>
      <c r="G98" s="34">
        <f t="shared" si="38"/>
        <v>9.0750000000000011E-2</v>
      </c>
      <c r="H98" s="34">
        <f t="shared" si="38"/>
        <v>9.0750000000000011E-2</v>
      </c>
      <c r="I98" s="34">
        <f t="shared" si="38"/>
        <v>9.0750000000000011E-2</v>
      </c>
      <c r="J98" s="34">
        <f t="shared" si="38"/>
        <v>9.0750000000000011E-2</v>
      </c>
      <c r="K98" s="34">
        <f t="shared" si="38"/>
        <v>9.0750000000000011E-2</v>
      </c>
      <c r="L98" s="34">
        <f t="shared" si="38"/>
        <v>9.0750000000000011E-2</v>
      </c>
      <c r="M98" s="34">
        <f t="shared" si="38"/>
        <v>9.0750000000000011E-2</v>
      </c>
      <c r="N98" s="34">
        <f t="shared" si="38"/>
        <v>9.0750000000000011E-2</v>
      </c>
      <c r="O98" s="34">
        <f t="shared" si="38"/>
        <v>9.0750000000000011E-2</v>
      </c>
      <c r="P98" s="34">
        <f t="shared" si="38"/>
        <v>9.0750000000000011E-2</v>
      </c>
      <c r="Q98" s="34">
        <f t="shared" si="38"/>
        <v>9.0750000000000011E-2</v>
      </c>
      <c r="R98" s="34">
        <f t="shared" si="38"/>
        <v>9.0750000000000011E-2</v>
      </c>
      <c r="S98" s="34">
        <f t="shared" si="38"/>
        <v>9.0750000000000011E-2</v>
      </c>
      <c r="T98" s="34">
        <f t="shared" si="38"/>
        <v>9.0750000000000011E-2</v>
      </c>
      <c r="U98" s="34">
        <f t="shared" ref="U98" si="39">U95*1.1</f>
        <v>9.0750000000000011E-2</v>
      </c>
      <c r="V98" s="34">
        <f t="shared" ref="V98" si="40">V95*1.1</f>
        <v>9.0750000000000011E-2</v>
      </c>
      <c r="W98" s="34">
        <f t="shared" ref="W98" si="41">W95*1.1</f>
        <v>9.0750000000000011E-2</v>
      </c>
      <c r="X98" s="34">
        <f t="shared" ref="X98" si="42">X95*1.1</f>
        <v>9.0750000000000011E-2</v>
      </c>
      <c r="Y98" s="34">
        <f t="shared" ref="Y98" si="43">Y95*1.1</f>
        <v>9.0750000000000011E-2</v>
      </c>
      <c r="Z98" s="34">
        <f t="shared" ref="Z98" si="44">Z95*1.1</f>
        <v>9.0750000000000011E-2</v>
      </c>
      <c r="AA98" s="34">
        <f t="shared" ref="AA98" si="45">AA95*1.1</f>
        <v>9.0750000000000011E-2</v>
      </c>
      <c r="AB98" s="34">
        <f t="shared" ref="AB98:AC98" si="46">AB95*1.1</f>
        <v>9.0750000000000011E-2</v>
      </c>
      <c r="AC98" s="34">
        <f t="shared" si="46"/>
        <v>9.0750000000000011E-2</v>
      </c>
      <c r="AD98" s="19"/>
      <c r="AE98" s="22"/>
    </row>
    <row r="99" spans="1:31" hidden="1" outlineLevel="2" x14ac:dyDescent="0.2">
      <c r="A99" s="19" t="str">
        <f ca="1">Language!A123</f>
        <v>иностранная валюта</v>
      </c>
      <c r="B99" s="19"/>
      <c r="C99" s="26" t="s">
        <v>2430</v>
      </c>
      <c r="D99" s="46" t="s">
        <v>2429</v>
      </c>
      <c r="E99" s="19"/>
      <c r="F99" s="256">
        <v>0.15</v>
      </c>
      <c r="G99" s="256">
        <f t="shared" ref="G99:AC99" si="47">F99</f>
        <v>0.15</v>
      </c>
      <c r="H99" s="256">
        <f t="shared" si="47"/>
        <v>0.15</v>
      </c>
      <c r="I99" s="256">
        <f t="shared" si="47"/>
        <v>0.15</v>
      </c>
      <c r="J99" s="256">
        <f t="shared" si="47"/>
        <v>0.15</v>
      </c>
      <c r="K99" s="256">
        <f t="shared" si="47"/>
        <v>0.15</v>
      </c>
      <c r="L99" s="256">
        <f t="shared" si="47"/>
        <v>0.15</v>
      </c>
      <c r="M99" s="256">
        <f t="shared" si="47"/>
        <v>0.15</v>
      </c>
      <c r="N99" s="256">
        <f t="shared" si="47"/>
        <v>0.15</v>
      </c>
      <c r="O99" s="256">
        <f t="shared" si="47"/>
        <v>0.15</v>
      </c>
      <c r="P99" s="256">
        <f t="shared" si="47"/>
        <v>0.15</v>
      </c>
      <c r="Q99" s="256">
        <f t="shared" si="47"/>
        <v>0.15</v>
      </c>
      <c r="R99" s="256">
        <f t="shared" si="47"/>
        <v>0.15</v>
      </c>
      <c r="S99" s="256">
        <f t="shared" si="47"/>
        <v>0.15</v>
      </c>
      <c r="T99" s="256">
        <f t="shared" si="47"/>
        <v>0.15</v>
      </c>
      <c r="U99" s="256">
        <f t="shared" si="47"/>
        <v>0.15</v>
      </c>
      <c r="V99" s="256">
        <f t="shared" si="47"/>
        <v>0.15</v>
      </c>
      <c r="W99" s="256">
        <f t="shared" si="47"/>
        <v>0.15</v>
      </c>
      <c r="X99" s="256">
        <f t="shared" si="47"/>
        <v>0.15</v>
      </c>
      <c r="Y99" s="256">
        <f t="shared" si="47"/>
        <v>0.15</v>
      </c>
      <c r="Z99" s="256">
        <f t="shared" si="47"/>
        <v>0.15</v>
      </c>
      <c r="AA99" s="256">
        <f t="shared" si="47"/>
        <v>0.15</v>
      </c>
      <c r="AB99" s="256">
        <f t="shared" si="47"/>
        <v>0.15</v>
      </c>
      <c r="AC99" s="256">
        <f t="shared" si="47"/>
        <v>0.15</v>
      </c>
      <c r="AD99" s="19"/>
      <c r="AE99" s="22"/>
    </row>
    <row r="100" spans="1:31" hidden="1" outlineLevel="1" x14ac:dyDescent="0.2">
      <c r="A100" s="63"/>
      <c r="B100" s="63"/>
      <c r="C100" s="67"/>
      <c r="D100" s="60"/>
      <c r="E100" s="63"/>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3"/>
      <c r="AE100" s="64"/>
    </row>
    <row r="101" spans="1:31" hidden="1" outlineLevel="1" x14ac:dyDescent="0.2">
      <c r="A101" s="19"/>
      <c r="B101" s="19"/>
      <c r="C101" s="26"/>
      <c r="D101" s="46"/>
      <c r="E101" s="19"/>
      <c r="F101" s="47"/>
      <c r="G101" s="47"/>
      <c r="H101" s="47"/>
      <c r="I101" s="47"/>
      <c r="J101" s="47"/>
      <c r="K101" s="47"/>
      <c r="L101" s="47"/>
      <c r="M101" s="47"/>
      <c r="N101" s="47"/>
      <c r="O101" s="47"/>
      <c r="P101" s="47"/>
      <c r="Q101" s="47"/>
      <c r="R101" s="47"/>
      <c r="S101" s="47"/>
      <c r="T101" s="47"/>
      <c r="U101" s="47"/>
      <c r="V101" s="47"/>
      <c r="W101" s="47"/>
      <c r="X101" s="47"/>
      <c r="Y101" s="47"/>
      <c r="Z101" s="47"/>
      <c r="AA101" s="47"/>
      <c r="AB101" s="47"/>
      <c r="AC101" s="47"/>
      <c r="AD101" s="19"/>
      <c r="AE101" s="22"/>
    </row>
    <row r="102" spans="1:31" s="4" customFormat="1" ht="15.95" customHeight="1" thickTop="1" thickBot="1" x14ac:dyDescent="0.25">
      <c r="A102" s="165" t="str">
        <f ca="1">Language!A124</f>
        <v xml:space="preserve">         НАЛОГИ И ПЛАТЕЖИ В ФОНДЫ</v>
      </c>
      <c r="B102" s="165"/>
      <c r="C102" s="165"/>
      <c r="D102" s="165"/>
      <c r="E102" s="165"/>
      <c r="F102" s="177" t="str">
        <f t="shared" ref="F102:AC102" ca="1" si="48">PeriodTitle</f>
        <v>1 кв. 2016</v>
      </c>
      <c r="G102" s="177" t="str">
        <f t="shared" ca="1" si="48"/>
        <v>2 кв. 2016</v>
      </c>
      <c r="H102" s="177" t="str">
        <f t="shared" ca="1" si="48"/>
        <v>3 кв. 2016</v>
      </c>
      <c r="I102" s="177" t="str">
        <f t="shared" ca="1" si="48"/>
        <v>4 кв. 2016</v>
      </c>
      <c r="J102" s="177" t="str">
        <f t="shared" ca="1" si="48"/>
        <v>1 кв. 2017</v>
      </c>
      <c r="K102" s="177" t="str">
        <f t="shared" ca="1" si="48"/>
        <v>2 кв. 2017</v>
      </c>
      <c r="L102" s="177" t="str">
        <f t="shared" ca="1" si="48"/>
        <v>3 кв. 2017</v>
      </c>
      <c r="M102" s="177" t="str">
        <f t="shared" ca="1" si="48"/>
        <v>4 кв. 2017</v>
      </c>
      <c r="N102" s="177" t="str">
        <f t="shared" ca="1" si="48"/>
        <v>1 кв. 2018</v>
      </c>
      <c r="O102" s="177" t="str">
        <f t="shared" ca="1" si="48"/>
        <v>2 кв. 2018</v>
      </c>
      <c r="P102" s="177" t="str">
        <f t="shared" ca="1" si="48"/>
        <v>3 кв. 2018</v>
      </c>
      <c r="Q102" s="177" t="str">
        <f t="shared" ca="1" si="48"/>
        <v>4 кв. 2018</v>
      </c>
      <c r="R102" s="177" t="str">
        <f t="shared" ca="1" si="48"/>
        <v>1 кв. 2019</v>
      </c>
      <c r="S102" s="177" t="str">
        <f t="shared" ca="1" si="48"/>
        <v>2 кв. 2019</v>
      </c>
      <c r="T102" s="177" t="str">
        <f t="shared" ca="1" si="48"/>
        <v>3 кв. 2019</v>
      </c>
      <c r="U102" s="177" t="str">
        <f t="shared" ca="1" si="48"/>
        <v>4 кв. 2019</v>
      </c>
      <c r="V102" s="177" t="str">
        <f t="shared" ca="1" si="48"/>
        <v>1 кв. 2020</v>
      </c>
      <c r="W102" s="177" t="str">
        <f t="shared" ca="1" si="48"/>
        <v>2 кв. 2020</v>
      </c>
      <c r="X102" s="177" t="str">
        <f t="shared" ca="1" si="48"/>
        <v>3 кв. 2020</v>
      </c>
      <c r="Y102" s="177" t="str">
        <f t="shared" ca="1" si="48"/>
        <v>4 кв. 2020</v>
      </c>
      <c r="Z102" s="177" t="str">
        <f t="shared" ca="1" si="48"/>
        <v>1 кв. 2021</v>
      </c>
      <c r="AA102" s="177" t="str">
        <f t="shared" ca="1" si="48"/>
        <v>2 кв. 2021</v>
      </c>
      <c r="AB102" s="177" t="str">
        <f t="shared" ca="1" si="48"/>
        <v>3 кв. 2021</v>
      </c>
      <c r="AC102" s="177" t="str">
        <f t="shared" ca="1" si="48"/>
        <v>4 кв. 2021</v>
      </c>
      <c r="AD102" s="165"/>
      <c r="AE102" s="194" t="str">
        <f ca="1">Language!A$372</f>
        <v>ИТОГО</v>
      </c>
    </row>
    <row r="103" spans="1:31" ht="12" outlineLevel="1" thickTop="1" x14ac:dyDescent="0.2">
      <c r="A103" s="19"/>
      <c r="B103" s="19"/>
      <c r="C103" s="26"/>
      <c r="D103" s="46"/>
      <c r="E103" s="19"/>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19"/>
      <c r="AE103" s="22"/>
    </row>
    <row r="104" spans="1:31" outlineLevel="1" x14ac:dyDescent="0.2">
      <c r="A104" s="62" t="str">
        <f ca="1">Language!A125</f>
        <v>Система налогообложения</v>
      </c>
      <c r="B104" s="254">
        <v>1</v>
      </c>
      <c r="C104" s="123" t="str">
        <f ca="1">CHOOSE(B104,Language!A126,Language!A127,Language!A128)</f>
        <v>Налог на прибыль (общий налоговый режим)</v>
      </c>
      <c r="D104" s="46"/>
      <c r="E104" s="19"/>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19"/>
      <c r="AE104" s="22"/>
    </row>
    <row r="105" spans="1:31" s="48" customFormat="1" outlineLevel="1" x14ac:dyDescent="0.2">
      <c r="A105" s="124"/>
      <c r="B105" s="73"/>
      <c r="C105" s="125"/>
      <c r="D105" s="74"/>
      <c r="E105" s="45"/>
      <c r="F105" s="126"/>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45"/>
      <c r="AE105" s="77"/>
    </row>
    <row r="106" spans="1:31" outlineLevel="1" x14ac:dyDescent="0.2">
      <c r="A106" s="19"/>
      <c r="B106" s="95" t="str">
        <f ca="1">Language!A223</f>
        <v>Период уплаты</v>
      </c>
      <c r="C106" s="26"/>
      <c r="D106" s="46"/>
      <c r="E106" s="19"/>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19"/>
      <c r="AE106" s="22"/>
    </row>
    <row r="107" spans="1:31" outlineLevel="1" x14ac:dyDescent="0.2">
      <c r="A107" s="19" t="str">
        <f ca="1">Language!A129</f>
        <v>Акцизы и экспортные пошлины</v>
      </c>
      <c r="B107" s="258"/>
      <c r="C107" s="26" t="str">
        <f ca="1">Language!A219</f>
        <v>дней</v>
      </c>
      <c r="D107" s="46"/>
      <c r="E107" s="19"/>
      <c r="F107" s="65">
        <f t="shared" ref="F107:T107" si="49">F716</f>
        <v>0</v>
      </c>
      <c r="G107" s="65">
        <f t="shared" si="49"/>
        <v>0</v>
      </c>
      <c r="H107" s="65">
        <f t="shared" si="49"/>
        <v>0</v>
      </c>
      <c r="I107" s="65">
        <f t="shared" si="49"/>
        <v>0</v>
      </c>
      <c r="J107" s="65">
        <f t="shared" si="49"/>
        <v>0</v>
      </c>
      <c r="K107" s="65">
        <f t="shared" si="49"/>
        <v>0</v>
      </c>
      <c r="L107" s="65">
        <f t="shared" si="49"/>
        <v>0</v>
      </c>
      <c r="M107" s="65">
        <f t="shared" si="49"/>
        <v>0</v>
      </c>
      <c r="N107" s="65">
        <f t="shared" si="49"/>
        <v>0</v>
      </c>
      <c r="O107" s="65">
        <f t="shared" si="49"/>
        <v>0</v>
      </c>
      <c r="P107" s="65">
        <f t="shared" si="49"/>
        <v>0</v>
      </c>
      <c r="Q107" s="65">
        <f t="shared" si="49"/>
        <v>0</v>
      </c>
      <c r="R107" s="65">
        <f t="shared" si="49"/>
        <v>0</v>
      </c>
      <c r="S107" s="65">
        <f t="shared" si="49"/>
        <v>0</v>
      </c>
      <c r="T107" s="65">
        <f t="shared" si="49"/>
        <v>0</v>
      </c>
      <c r="U107" s="65">
        <f t="shared" ref="U107" si="50">U716</f>
        <v>0</v>
      </c>
      <c r="V107" s="65">
        <f t="shared" ref="V107" si="51">V716</f>
        <v>0</v>
      </c>
      <c r="W107" s="65">
        <f t="shared" ref="W107" si="52">W716</f>
        <v>0</v>
      </c>
      <c r="X107" s="65">
        <f t="shared" ref="X107" si="53">X716</f>
        <v>0</v>
      </c>
      <c r="Y107" s="65">
        <f t="shared" ref="Y107" si="54">Y716</f>
        <v>0</v>
      </c>
      <c r="Z107" s="65">
        <f t="shared" ref="Z107" si="55">Z716</f>
        <v>0</v>
      </c>
      <c r="AA107" s="65">
        <f t="shared" ref="AA107" si="56">AA716</f>
        <v>0</v>
      </c>
      <c r="AB107" s="65">
        <f t="shared" ref="AB107:AC107" si="57">AB716</f>
        <v>0</v>
      </c>
      <c r="AC107" s="65">
        <f t="shared" si="57"/>
        <v>0</v>
      </c>
      <c r="AD107" s="19"/>
      <c r="AE107" s="66">
        <f>SUM(F107:AC107)</f>
        <v>0</v>
      </c>
    </row>
    <row r="108" spans="1:31" outlineLevel="1" x14ac:dyDescent="0.2">
      <c r="A108" s="19" t="str">
        <f ca="1">Language!A130</f>
        <v>Импортные пошлины</v>
      </c>
      <c r="B108" s="258"/>
      <c r="C108" s="26" t="str">
        <f ca="1">Language!A219</f>
        <v>дней</v>
      </c>
      <c r="D108" s="46"/>
      <c r="E108" s="19"/>
      <c r="F108" s="101">
        <f t="shared" ref="F108:X108" ca="1" si="58">F806+F582</f>
        <v>0</v>
      </c>
      <c r="G108" s="101">
        <f t="shared" ca="1" si="58"/>
        <v>0</v>
      </c>
      <c r="H108" s="101">
        <f t="shared" ca="1" si="58"/>
        <v>0</v>
      </c>
      <c r="I108" s="101">
        <f t="shared" ca="1" si="58"/>
        <v>0</v>
      </c>
      <c r="J108" s="101">
        <f t="shared" ca="1" si="58"/>
        <v>0</v>
      </c>
      <c r="K108" s="101">
        <f t="shared" ca="1" si="58"/>
        <v>0</v>
      </c>
      <c r="L108" s="101">
        <f t="shared" ca="1" si="58"/>
        <v>0</v>
      </c>
      <c r="M108" s="101">
        <f t="shared" ca="1" si="58"/>
        <v>0</v>
      </c>
      <c r="N108" s="101">
        <f t="shared" ca="1" si="58"/>
        <v>0</v>
      </c>
      <c r="O108" s="101">
        <f t="shared" ca="1" si="58"/>
        <v>0</v>
      </c>
      <c r="P108" s="101">
        <f t="shared" ca="1" si="58"/>
        <v>0</v>
      </c>
      <c r="Q108" s="101">
        <f t="shared" ca="1" si="58"/>
        <v>0</v>
      </c>
      <c r="R108" s="101">
        <f t="shared" ca="1" si="58"/>
        <v>0</v>
      </c>
      <c r="S108" s="101">
        <f t="shared" ca="1" si="58"/>
        <v>0</v>
      </c>
      <c r="T108" s="101">
        <f t="shared" ca="1" si="58"/>
        <v>0</v>
      </c>
      <c r="U108" s="101">
        <f t="shared" ca="1" si="58"/>
        <v>0</v>
      </c>
      <c r="V108" s="101">
        <f t="shared" ca="1" si="58"/>
        <v>0</v>
      </c>
      <c r="W108" s="101">
        <f t="shared" ca="1" si="58"/>
        <v>0</v>
      </c>
      <c r="X108" s="101">
        <f t="shared" ca="1" si="58"/>
        <v>0</v>
      </c>
      <c r="Y108" s="101">
        <f t="shared" ref="Y108" ca="1" si="59">Y806+Y582</f>
        <v>0</v>
      </c>
      <c r="Z108" s="101">
        <f t="shared" ref="Z108" ca="1" si="60">Z806+Z582</f>
        <v>0</v>
      </c>
      <c r="AA108" s="101">
        <f t="shared" ref="AA108" ca="1" si="61">AA806+AA582</f>
        <v>0</v>
      </c>
      <c r="AB108" s="101">
        <f t="shared" ref="AB108:AC108" ca="1" si="62">AB806+AB582</f>
        <v>0</v>
      </c>
      <c r="AC108" s="101">
        <f t="shared" ca="1" si="62"/>
        <v>0</v>
      </c>
      <c r="AD108" s="19"/>
      <c r="AE108" s="66">
        <f ca="1">SUM(F108:AC108)</f>
        <v>0</v>
      </c>
    </row>
    <row r="109" spans="1:31" outlineLevel="1" x14ac:dyDescent="0.2">
      <c r="A109" s="63"/>
      <c r="B109" s="63"/>
      <c r="C109" s="67"/>
      <c r="D109" s="60"/>
      <c r="E109" s="63"/>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3"/>
      <c r="AE109" s="64"/>
    </row>
    <row r="110" spans="1:31" outlineLevel="1" x14ac:dyDescent="0.2">
      <c r="A110" s="62" t="str">
        <f ca="1">Language!A131</f>
        <v xml:space="preserve"> НАЛОГ НА ДОБАВЛЕННУЮ СТОИМОСТЬ</v>
      </c>
      <c r="B110" s="19"/>
      <c r="C110" s="26"/>
      <c r="D110" s="46"/>
      <c r="E110" s="19"/>
      <c r="F110" s="47"/>
      <c r="G110" s="47"/>
      <c r="H110" s="47"/>
      <c r="I110" s="47"/>
      <c r="J110" s="47"/>
      <c r="K110" s="47"/>
      <c r="L110" s="47"/>
      <c r="M110" s="47"/>
      <c r="N110" s="47"/>
      <c r="O110" s="47"/>
      <c r="P110" s="47"/>
      <c r="Q110" s="47"/>
      <c r="R110" s="47"/>
      <c r="S110" s="47"/>
      <c r="T110" s="47"/>
      <c r="U110" s="47"/>
      <c r="V110" s="47"/>
      <c r="W110" s="47"/>
      <c r="X110" s="47"/>
      <c r="Y110" s="47"/>
      <c r="Z110" s="47"/>
      <c r="AA110" s="47"/>
      <c r="AB110" s="47"/>
      <c r="AC110" s="47"/>
      <c r="AD110" s="19"/>
      <c r="AE110" s="22"/>
    </row>
    <row r="111" spans="1:31" outlineLevel="1" x14ac:dyDescent="0.2">
      <c r="A111" s="19" t="str">
        <f ca="1">Language!A132</f>
        <v xml:space="preserve">    ставка</v>
      </c>
      <c r="B111" s="259">
        <v>0.23</v>
      </c>
      <c r="C111" s="26" t="s">
        <v>2430</v>
      </c>
      <c r="D111" s="46"/>
      <c r="E111" s="19"/>
      <c r="F111" s="47"/>
      <c r="G111" s="47"/>
      <c r="H111" s="47"/>
      <c r="I111" s="47"/>
      <c r="J111" s="47"/>
      <c r="K111" s="47"/>
      <c r="L111" s="47"/>
      <c r="M111" s="47"/>
      <c r="N111" s="47"/>
      <c r="O111" s="47"/>
      <c r="P111" s="47"/>
      <c r="Q111" s="47"/>
      <c r="R111" s="47"/>
      <c r="S111" s="47"/>
      <c r="T111" s="47"/>
      <c r="U111" s="47"/>
      <c r="V111" s="47"/>
      <c r="W111" s="47"/>
      <c r="X111" s="47"/>
      <c r="Y111" s="47"/>
      <c r="Z111" s="47"/>
      <c r="AA111" s="47"/>
      <c r="AB111" s="47"/>
      <c r="AC111" s="47"/>
      <c r="AD111" s="19"/>
      <c r="AE111" s="22"/>
    </row>
    <row r="112" spans="1:31" outlineLevel="1" x14ac:dyDescent="0.2">
      <c r="A112" s="19" t="str">
        <f ca="1">Language!A133</f>
        <v xml:space="preserve">    период уплаты</v>
      </c>
      <c r="B112" s="258">
        <f>IF(PRJ_Step=30,30,90)</f>
        <v>90</v>
      </c>
      <c r="C112" s="26" t="str">
        <f ca="1">Language!A219</f>
        <v>дней</v>
      </c>
      <c r="D112" s="46"/>
      <c r="E112" s="19"/>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19"/>
      <c r="AE112" s="22"/>
    </row>
    <row r="113" spans="1:31" outlineLevel="1" x14ac:dyDescent="0.2">
      <c r="A113" s="19" t="str">
        <f ca="1">Language!A134</f>
        <v xml:space="preserve">    способ зачета переплаченного НДС</v>
      </c>
      <c r="B113" s="254">
        <v>2</v>
      </c>
      <c r="C113" s="95" t="str">
        <f ca="1">CHOOSE(B113,Language!A221,Language!A220)</f>
        <v>возвращается из бюджета</v>
      </c>
      <c r="D113" s="46"/>
      <c r="E113" s="19"/>
      <c r="F113" s="47"/>
      <c r="G113" s="47"/>
      <c r="H113" s="47"/>
      <c r="I113" s="47"/>
      <c r="J113" s="47"/>
      <c r="K113" s="47"/>
      <c r="L113" s="47"/>
      <c r="M113" s="47"/>
      <c r="N113" s="47"/>
      <c r="O113" s="47"/>
      <c r="P113" s="47"/>
      <c r="Q113" s="47"/>
      <c r="R113" s="47"/>
      <c r="S113" s="47"/>
      <c r="T113" s="47"/>
      <c r="U113" s="47"/>
      <c r="V113" s="47"/>
      <c r="W113" s="47"/>
      <c r="X113" s="47"/>
      <c r="Y113" s="47"/>
      <c r="Z113" s="47"/>
      <c r="AA113" s="47"/>
      <c r="AB113" s="47"/>
      <c r="AC113" s="47"/>
      <c r="AD113" s="19"/>
      <c r="AE113" s="22"/>
    </row>
    <row r="114" spans="1:31" outlineLevel="1" x14ac:dyDescent="0.2">
      <c r="A114" s="19" t="str">
        <f ca="1">Language!A135</f>
        <v xml:space="preserve">    прямое возмещение налога через</v>
      </c>
      <c r="B114" s="260">
        <v>1</v>
      </c>
      <c r="C114" s="26" t="str">
        <f ca="1">Language!A136</f>
        <v>периодов</v>
      </c>
      <c r="D114" s="46"/>
      <c r="E114" s="19"/>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c r="AD114" s="19"/>
      <c r="AE114" s="22"/>
    </row>
    <row r="115" spans="1:31" outlineLevel="1" x14ac:dyDescent="0.2">
      <c r="A115" s="19" t="str">
        <f ca="1">Language!A137</f>
        <v>НДС полученный</v>
      </c>
      <c r="B115" s="19"/>
      <c r="C115" s="26" t="str">
        <f t="shared" ref="C115:C131" ca="1" si="63">CUR_Main</f>
        <v>тыс. EUR</v>
      </c>
      <c r="D115" s="46"/>
      <c r="E115" s="19"/>
      <c r="F115" s="53">
        <f t="shared" ref="F115:T115" si="64">SUM(F116:F118)</f>
        <v>0</v>
      </c>
      <c r="G115" s="53">
        <f t="shared" si="64"/>
        <v>0</v>
      </c>
      <c r="H115" s="53">
        <f t="shared" si="64"/>
        <v>0</v>
      </c>
      <c r="I115" s="53">
        <f t="shared" si="64"/>
        <v>0</v>
      </c>
      <c r="J115" s="53">
        <f t="shared" si="64"/>
        <v>0</v>
      </c>
      <c r="K115" s="53">
        <f t="shared" si="64"/>
        <v>0</v>
      </c>
      <c r="L115" s="53">
        <f t="shared" si="64"/>
        <v>0</v>
      </c>
      <c r="M115" s="53">
        <f t="shared" si="64"/>
        <v>0</v>
      </c>
      <c r="N115" s="53">
        <f t="shared" si="64"/>
        <v>0</v>
      </c>
      <c r="O115" s="53">
        <f t="shared" si="64"/>
        <v>0</v>
      </c>
      <c r="P115" s="53">
        <f t="shared" si="64"/>
        <v>0</v>
      </c>
      <c r="Q115" s="53">
        <f t="shared" si="64"/>
        <v>0</v>
      </c>
      <c r="R115" s="53">
        <f t="shared" si="64"/>
        <v>0</v>
      </c>
      <c r="S115" s="53">
        <f t="shared" si="64"/>
        <v>0</v>
      </c>
      <c r="T115" s="53">
        <f t="shared" si="64"/>
        <v>0</v>
      </c>
      <c r="U115" s="53">
        <f t="shared" ref="U115" si="65">SUM(U116:U118)</f>
        <v>0</v>
      </c>
      <c r="V115" s="53">
        <f t="shared" ref="V115" si="66">SUM(V116:V118)</f>
        <v>0</v>
      </c>
      <c r="W115" s="53">
        <f t="shared" ref="W115" si="67">SUM(W116:W118)</f>
        <v>0</v>
      </c>
      <c r="X115" s="53">
        <f t="shared" ref="X115" si="68">SUM(X116:X118)</f>
        <v>0</v>
      </c>
      <c r="Y115" s="53">
        <f t="shared" ref="Y115" si="69">SUM(Y116:Y118)</f>
        <v>0</v>
      </c>
      <c r="Z115" s="53">
        <f t="shared" ref="Z115" si="70">SUM(Z116:Z118)</f>
        <v>0</v>
      </c>
      <c r="AA115" s="53">
        <f t="shared" ref="AA115" si="71">SUM(AA116:AA118)</f>
        <v>0</v>
      </c>
      <c r="AB115" s="53">
        <f t="shared" ref="AB115:AC115" si="72">SUM(AB116:AB118)</f>
        <v>0</v>
      </c>
      <c r="AC115" s="53">
        <f t="shared" si="72"/>
        <v>0</v>
      </c>
      <c r="AD115" s="19"/>
      <c r="AE115" s="66">
        <f>SUM(F115:AC115)</f>
        <v>0</v>
      </c>
    </row>
    <row r="116" spans="1:31" outlineLevel="2" x14ac:dyDescent="0.2">
      <c r="A116" s="19" t="str">
        <f ca="1">Language!A138</f>
        <v xml:space="preserve">    от продажи товаров (работ, услуг)</v>
      </c>
      <c r="B116" s="19"/>
      <c r="C116" s="26" t="str">
        <f t="shared" ca="1" si="63"/>
        <v>тыс. EUR</v>
      </c>
      <c r="D116" s="46"/>
      <c r="E116" s="19"/>
      <c r="F116" s="65">
        <f>F717+F1033/(1+VAT)*VAT</f>
        <v>0</v>
      </c>
      <c r="G116" s="65">
        <f t="shared" ref="G116:AC116" si="73">G717+(G1033-F1033)/(1+VAT)*VAT</f>
        <v>0</v>
      </c>
      <c r="H116" s="65">
        <f t="shared" si="73"/>
        <v>0</v>
      </c>
      <c r="I116" s="65">
        <f t="shared" si="73"/>
        <v>0</v>
      </c>
      <c r="J116" s="65">
        <f t="shared" si="73"/>
        <v>0</v>
      </c>
      <c r="K116" s="65">
        <f t="shared" si="73"/>
        <v>0</v>
      </c>
      <c r="L116" s="65">
        <f t="shared" si="73"/>
        <v>0</v>
      </c>
      <c r="M116" s="65">
        <f t="shared" si="73"/>
        <v>0</v>
      </c>
      <c r="N116" s="65">
        <f t="shared" si="73"/>
        <v>0</v>
      </c>
      <c r="O116" s="65">
        <f t="shared" si="73"/>
        <v>0</v>
      </c>
      <c r="P116" s="65">
        <f t="shared" si="73"/>
        <v>0</v>
      </c>
      <c r="Q116" s="65">
        <f t="shared" si="73"/>
        <v>0</v>
      </c>
      <c r="R116" s="65">
        <f t="shared" si="73"/>
        <v>0</v>
      </c>
      <c r="S116" s="65">
        <f t="shared" si="73"/>
        <v>0</v>
      </c>
      <c r="T116" s="65">
        <f t="shared" si="73"/>
        <v>0</v>
      </c>
      <c r="U116" s="65">
        <f t="shared" si="73"/>
        <v>0</v>
      </c>
      <c r="V116" s="65">
        <f t="shared" si="73"/>
        <v>0</v>
      </c>
      <c r="W116" s="65">
        <f t="shared" si="73"/>
        <v>0</v>
      </c>
      <c r="X116" s="65">
        <f t="shared" si="73"/>
        <v>0</v>
      </c>
      <c r="Y116" s="65">
        <f t="shared" si="73"/>
        <v>0</v>
      </c>
      <c r="Z116" s="65">
        <f t="shared" si="73"/>
        <v>0</v>
      </c>
      <c r="AA116" s="65">
        <f t="shared" si="73"/>
        <v>0</v>
      </c>
      <c r="AB116" s="65">
        <f t="shared" si="73"/>
        <v>0</v>
      </c>
      <c r="AC116" s="65">
        <f t="shared" si="73"/>
        <v>0</v>
      </c>
      <c r="AD116" s="19"/>
      <c r="AE116" s="66">
        <f t="shared" ref="AE116:AE130" si="74">SUM(F116:AC116)</f>
        <v>0</v>
      </c>
    </row>
    <row r="117" spans="1:31" outlineLevel="2" x14ac:dyDescent="0.2">
      <c r="A117" s="19" t="str">
        <f ca="1">Language!A139</f>
        <v xml:space="preserve">    от продажи активов</v>
      </c>
      <c r="B117" s="19"/>
      <c r="C117" s="26" t="str">
        <f t="shared" ca="1" si="63"/>
        <v>тыс. EUR</v>
      </c>
      <c r="D117" s="46"/>
      <c r="E117" s="19"/>
      <c r="F117" s="53">
        <f t="shared" ref="F117:T117" si="75">F572+F597+F608+F585+F245+F236+F254+F263+F276</f>
        <v>0</v>
      </c>
      <c r="G117" s="53">
        <f t="shared" si="75"/>
        <v>0</v>
      </c>
      <c r="H117" s="53">
        <f t="shared" si="75"/>
        <v>0</v>
      </c>
      <c r="I117" s="53">
        <f t="shared" si="75"/>
        <v>0</v>
      </c>
      <c r="J117" s="53">
        <f t="shared" si="75"/>
        <v>0</v>
      </c>
      <c r="K117" s="53">
        <f t="shared" si="75"/>
        <v>0</v>
      </c>
      <c r="L117" s="53">
        <f t="shared" si="75"/>
        <v>0</v>
      </c>
      <c r="M117" s="53">
        <f t="shared" si="75"/>
        <v>0</v>
      </c>
      <c r="N117" s="53">
        <f t="shared" si="75"/>
        <v>0</v>
      </c>
      <c r="O117" s="53">
        <f t="shared" si="75"/>
        <v>0</v>
      </c>
      <c r="P117" s="53">
        <f t="shared" si="75"/>
        <v>0</v>
      </c>
      <c r="Q117" s="53">
        <f t="shared" si="75"/>
        <v>0</v>
      </c>
      <c r="R117" s="53">
        <f t="shared" si="75"/>
        <v>0</v>
      </c>
      <c r="S117" s="53">
        <f t="shared" si="75"/>
        <v>0</v>
      </c>
      <c r="T117" s="53">
        <f t="shared" si="75"/>
        <v>0</v>
      </c>
      <c r="U117" s="53">
        <f t="shared" ref="U117" si="76">U572+U597+U608+U585+U245+U236+U254+U263+U276</f>
        <v>0</v>
      </c>
      <c r="V117" s="53">
        <f t="shared" ref="V117" si="77">V572+V597+V608+V585+V245+V236+V254+V263+V276</f>
        <v>0</v>
      </c>
      <c r="W117" s="53">
        <f t="shared" ref="W117" si="78">W572+W597+W608+W585+W245+W236+W254+W263+W276</f>
        <v>0</v>
      </c>
      <c r="X117" s="53">
        <f t="shared" ref="X117" si="79">X572+X597+X608+X585+X245+X236+X254+X263+X276</f>
        <v>0</v>
      </c>
      <c r="Y117" s="53">
        <f t="shared" ref="Y117" si="80">Y572+Y597+Y608+Y585+Y245+Y236+Y254+Y263+Y276</f>
        <v>0</v>
      </c>
      <c r="Z117" s="53">
        <f t="shared" ref="Z117" si="81">Z572+Z597+Z608+Z585+Z245+Z236+Z254+Z263+Z276</f>
        <v>0</v>
      </c>
      <c r="AA117" s="53">
        <f t="shared" ref="AA117" si="82">AA572+AA597+AA608+AA585+AA245+AA236+AA254+AA263+AA276</f>
        <v>0</v>
      </c>
      <c r="AB117" s="53">
        <f t="shared" ref="AB117:AC117" si="83">AB572+AB597+AB608+AB585+AB245+AB236+AB254+AB263+AB276</f>
        <v>0</v>
      </c>
      <c r="AC117" s="53">
        <f t="shared" si="83"/>
        <v>0</v>
      </c>
      <c r="AD117" s="19"/>
      <c r="AE117" s="66">
        <f t="shared" si="74"/>
        <v>0</v>
      </c>
    </row>
    <row r="118" spans="1:31" outlineLevel="2" x14ac:dyDescent="0.2">
      <c r="A118" s="19" t="str">
        <f ca="1">Language!A140</f>
        <v xml:space="preserve">    от прочей деятельности</v>
      </c>
      <c r="B118" s="19"/>
      <c r="C118" s="26" t="str">
        <f t="shared" ca="1" si="63"/>
        <v>тыс. EUR</v>
      </c>
      <c r="D118" s="46"/>
      <c r="E118" s="19"/>
      <c r="F118" s="53">
        <f t="shared" ref="F118:X118" si="84">F1278*CHOOSE($B1277,1,F$88)</f>
        <v>0</v>
      </c>
      <c r="G118" s="53">
        <f t="shared" si="84"/>
        <v>0</v>
      </c>
      <c r="H118" s="53">
        <f t="shared" si="84"/>
        <v>0</v>
      </c>
      <c r="I118" s="53">
        <f t="shared" si="84"/>
        <v>0</v>
      </c>
      <c r="J118" s="53">
        <f t="shared" si="84"/>
        <v>0</v>
      </c>
      <c r="K118" s="53">
        <f t="shared" si="84"/>
        <v>0</v>
      </c>
      <c r="L118" s="53">
        <f t="shared" si="84"/>
        <v>0</v>
      </c>
      <c r="M118" s="53">
        <f t="shared" si="84"/>
        <v>0</v>
      </c>
      <c r="N118" s="53">
        <f t="shared" si="84"/>
        <v>0</v>
      </c>
      <c r="O118" s="53">
        <f t="shared" si="84"/>
        <v>0</v>
      </c>
      <c r="P118" s="53">
        <f t="shared" si="84"/>
        <v>0</v>
      </c>
      <c r="Q118" s="53">
        <f t="shared" si="84"/>
        <v>0</v>
      </c>
      <c r="R118" s="53">
        <f t="shared" si="84"/>
        <v>0</v>
      </c>
      <c r="S118" s="53">
        <f t="shared" si="84"/>
        <v>0</v>
      </c>
      <c r="T118" s="53">
        <f t="shared" si="84"/>
        <v>0</v>
      </c>
      <c r="U118" s="53">
        <f t="shared" si="84"/>
        <v>0</v>
      </c>
      <c r="V118" s="53">
        <f t="shared" si="84"/>
        <v>0</v>
      </c>
      <c r="W118" s="53">
        <f t="shared" si="84"/>
        <v>0</v>
      </c>
      <c r="X118" s="53">
        <f t="shared" si="84"/>
        <v>0</v>
      </c>
      <c r="Y118" s="53">
        <f t="shared" ref="Y118" si="85">Y1278*CHOOSE($B1277,1,Y$88)</f>
        <v>0</v>
      </c>
      <c r="Z118" s="53">
        <f t="shared" ref="Z118" si="86">Z1278*CHOOSE($B1277,1,Z$88)</f>
        <v>0</v>
      </c>
      <c r="AA118" s="53">
        <f t="shared" ref="AA118" si="87">AA1278*CHOOSE($B1277,1,AA$88)</f>
        <v>0</v>
      </c>
      <c r="AB118" s="53">
        <f t="shared" ref="AB118:AC118" si="88">AB1278*CHOOSE($B1277,1,AB$88)</f>
        <v>0</v>
      </c>
      <c r="AC118" s="53">
        <f t="shared" si="88"/>
        <v>0</v>
      </c>
      <c r="AD118" s="19"/>
      <c r="AE118" s="66">
        <f t="shared" si="74"/>
        <v>0</v>
      </c>
    </row>
    <row r="119" spans="1:31" outlineLevel="1" x14ac:dyDescent="0.2">
      <c r="A119" s="19" t="str">
        <f ca="1">Language!A141</f>
        <v>НДС уплаченный</v>
      </c>
      <c r="B119" s="19"/>
      <c r="C119" s="26" t="str">
        <f t="shared" ca="1" si="63"/>
        <v>тыс. EUR</v>
      </c>
      <c r="D119" s="46"/>
      <c r="E119" s="19"/>
      <c r="F119" s="53">
        <f t="shared" ref="F119:T119" ca="1" si="89">SUM(F120:F125)</f>
        <v>0</v>
      </c>
      <c r="G119" s="53">
        <f t="shared" ca="1" si="89"/>
        <v>0</v>
      </c>
      <c r="H119" s="53">
        <f t="shared" ca="1" si="89"/>
        <v>1027.5924207268845</v>
      </c>
      <c r="I119" s="53">
        <f t="shared" ca="1" si="89"/>
        <v>284.14536585365857</v>
      </c>
      <c r="J119" s="53">
        <f t="shared" ca="1" si="89"/>
        <v>1313.5971669522364</v>
      </c>
      <c r="K119" s="53">
        <f t="shared" ca="1" si="89"/>
        <v>671.5417666757437</v>
      </c>
      <c r="L119" s="53">
        <f t="shared" ca="1" si="89"/>
        <v>444.37168401096687</v>
      </c>
      <c r="M119" s="53">
        <f t="shared" ca="1" si="89"/>
        <v>713.79832522173251</v>
      </c>
      <c r="N119" s="53">
        <f t="shared" ca="1" si="89"/>
        <v>1019.1054708427394</v>
      </c>
      <c r="O119" s="53">
        <f t="shared" ca="1" si="89"/>
        <v>1230.2623495590497</v>
      </c>
      <c r="P119" s="53">
        <f t="shared" ca="1" si="89"/>
        <v>1230.2623495590497</v>
      </c>
      <c r="Q119" s="53">
        <f t="shared" ca="1" si="89"/>
        <v>1230.2623495590497</v>
      </c>
      <c r="R119" s="53">
        <f t="shared" ca="1" si="89"/>
        <v>1230.2623495590497</v>
      </c>
      <c r="S119" s="53">
        <f t="shared" ca="1" si="89"/>
        <v>1230.2623495590497</v>
      </c>
      <c r="T119" s="53">
        <f t="shared" ca="1" si="89"/>
        <v>1230.2623495590497</v>
      </c>
      <c r="U119" s="53">
        <f t="shared" ref="U119" ca="1" si="90">SUM(U120:U125)</f>
        <v>1230.2623495590497</v>
      </c>
      <c r="V119" s="53">
        <f t="shared" ref="V119" ca="1" si="91">SUM(V120:V125)</f>
        <v>1230.2623495590497</v>
      </c>
      <c r="W119" s="53">
        <f t="shared" ref="W119" ca="1" si="92">SUM(W120:W125)</f>
        <v>1230.2623495590497</v>
      </c>
      <c r="X119" s="53">
        <f t="shared" ref="X119" ca="1" si="93">SUM(X120:X125)</f>
        <v>1230.2623495590497</v>
      </c>
      <c r="Y119" s="53">
        <f t="shared" ref="Y119" ca="1" si="94">SUM(Y120:Y125)</f>
        <v>1230.2623495590497</v>
      </c>
      <c r="Z119" s="53">
        <f t="shared" ref="Z119" ca="1" si="95">SUM(Z120:Z125)</f>
        <v>1230.2623495590497</v>
      </c>
      <c r="AA119" s="53">
        <f t="shared" ref="AA119" ca="1" si="96">SUM(AA120:AA125)</f>
        <v>1230.2623495590497</v>
      </c>
      <c r="AB119" s="53">
        <f t="shared" ref="AB119:AC119" ca="1" si="97">SUM(AB120:AB125)</f>
        <v>1230.2623495590497</v>
      </c>
      <c r="AC119" s="53">
        <f t="shared" ca="1" si="97"/>
        <v>1230.2623495590497</v>
      </c>
      <c r="AD119" s="19"/>
      <c r="AE119" s="66">
        <f ca="1">SUM(F119:AC119)</f>
        <v>23928.087443669698</v>
      </c>
    </row>
    <row r="120" spans="1:31" outlineLevel="2" x14ac:dyDescent="0.2">
      <c r="A120" s="19" t="str">
        <f ca="1">Language!A142</f>
        <v xml:space="preserve">    при оплате материалов и комплектующих</v>
      </c>
      <c r="B120" s="19"/>
      <c r="C120" s="26" t="str">
        <f t="shared" ca="1" si="63"/>
        <v>тыс. EUR</v>
      </c>
      <c r="D120" s="46"/>
      <c r="E120" s="19"/>
      <c r="F120" s="53">
        <f t="shared" ref="F120:T120" ca="1" si="98">F808</f>
        <v>0</v>
      </c>
      <c r="G120" s="53">
        <f t="shared" ca="1" si="98"/>
        <v>0</v>
      </c>
      <c r="H120" s="53">
        <f t="shared" ca="1" si="98"/>
        <v>0</v>
      </c>
      <c r="I120" s="53">
        <f t="shared" ca="1" si="98"/>
        <v>0</v>
      </c>
      <c r="J120" s="53">
        <f t="shared" ca="1" si="98"/>
        <v>0</v>
      </c>
      <c r="K120" s="53">
        <f t="shared" ca="1" si="98"/>
        <v>108.827638062505</v>
      </c>
      <c r="L120" s="53">
        <f t="shared" ca="1" si="98"/>
        <v>424.82952582310406</v>
      </c>
      <c r="M120" s="53">
        <f t="shared" ca="1" si="98"/>
        <v>682.40757669381696</v>
      </c>
      <c r="N120" s="53">
        <f t="shared" ca="1" si="98"/>
        <v>974.28821304277187</v>
      </c>
      <c r="O120" s="53">
        <f t="shared" ca="1" si="98"/>
        <v>1176.1590339952672</v>
      </c>
      <c r="P120" s="53">
        <f t="shared" ca="1" si="98"/>
        <v>1176.1590339952672</v>
      </c>
      <c r="Q120" s="53">
        <f t="shared" ca="1" si="98"/>
        <v>1176.1590339952672</v>
      </c>
      <c r="R120" s="53">
        <f t="shared" ca="1" si="98"/>
        <v>1176.1590339952672</v>
      </c>
      <c r="S120" s="53">
        <f t="shared" ca="1" si="98"/>
        <v>1176.1590339952672</v>
      </c>
      <c r="T120" s="53">
        <f t="shared" ca="1" si="98"/>
        <v>1176.1590339952672</v>
      </c>
      <c r="U120" s="53">
        <f t="shared" ref="U120" ca="1" si="99">U808</f>
        <v>1176.1590339952672</v>
      </c>
      <c r="V120" s="53">
        <f t="shared" ref="V120" ca="1" si="100">V808</f>
        <v>1176.1590339952672</v>
      </c>
      <c r="W120" s="53">
        <f t="shared" ref="W120" ca="1" si="101">W808</f>
        <v>1176.1590339952672</v>
      </c>
      <c r="X120" s="53">
        <f t="shared" ref="X120" ca="1" si="102">X808</f>
        <v>1176.1590339952672</v>
      </c>
      <c r="Y120" s="53">
        <f t="shared" ref="Y120" ca="1" si="103">Y808</f>
        <v>1176.1590339952672</v>
      </c>
      <c r="Z120" s="53">
        <f t="shared" ref="Z120" ca="1" si="104">Z808</f>
        <v>1176.1590339952672</v>
      </c>
      <c r="AA120" s="53">
        <f t="shared" ref="AA120" ca="1" si="105">AA808</f>
        <v>1176.1590339952672</v>
      </c>
      <c r="AB120" s="53">
        <f t="shared" ref="AB120:AC120" ca="1" si="106">AB808</f>
        <v>1176.1590339952672</v>
      </c>
      <c r="AC120" s="53">
        <f t="shared" ca="1" si="106"/>
        <v>1176.1590339952672</v>
      </c>
      <c r="AD120" s="19"/>
      <c r="AE120" s="66">
        <f t="shared" ca="1" si="74"/>
        <v>19832.738463551206</v>
      </c>
    </row>
    <row r="121" spans="1:31" outlineLevel="2" x14ac:dyDescent="0.2">
      <c r="A121" s="19" t="str">
        <f ca="1">Language!A143</f>
        <v xml:space="preserve">    при оплате текущих затрат</v>
      </c>
      <c r="B121" s="19"/>
      <c r="C121" s="26" t="str">
        <f t="shared" ca="1" si="63"/>
        <v>тыс. EUR</v>
      </c>
      <c r="D121" s="46"/>
      <c r="E121" s="19"/>
      <c r="F121" s="53">
        <f t="shared" ref="F121:T121" ca="1" si="107">F856+F999+F1002+F1005</f>
        <v>0</v>
      </c>
      <c r="G121" s="53">
        <f t="shared" ca="1" si="107"/>
        <v>0</v>
      </c>
      <c r="H121" s="53">
        <f t="shared" ca="1" si="107"/>
        <v>0</v>
      </c>
      <c r="I121" s="53">
        <f t="shared" ca="1" si="107"/>
        <v>0</v>
      </c>
      <c r="J121" s="53">
        <f t="shared" ca="1" si="107"/>
        <v>0</v>
      </c>
      <c r="K121" s="53">
        <f t="shared" ca="1" si="107"/>
        <v>5.0060713508752297</v>
      </c>
      <c r="L121" s="53">
        <f t="shared" ca="1" si="107"/>
        <v>19.542158187862789</v>
      </c>
      <c r="M121" s="53">
        <f t="shared" ca="1" si="107"/>
        <v>31.390748527915576</v>
      </c>
      <c r="N121" s="53">
        <f t="shared" ca="1" si="107"/>
        <v>44.817257799967514</v>
      </c>
      <c r="O121" s="53">
        <f t="shared" ca="1" si="107"/>
        <v>54.103315563782303</v>
      </c>
      <c r="P121" s="53">
        <f t="shared" ca="1" si="107"/>
        <v>54.103315563782303</v>
      </c>
      <c r="Q121" s="53">
        <f t="shared" ca="1" si="107"/>
        <v>54.103315563782303</v>
      </c>
      <c r="R121" s="53">
        <f t="shared" ca="1" si="107"/>
        <v>54.103315563782303</v>
      </c>
      <c r="S121" s="53">
        <f t="shared" ca="1" si="107"/>
        <v>54.103315563782303</v>
      </c>
      <c r="T121" s="53">
        <f t="shared" ca="1" si="107"/>
        <v>54.103315563782303</v>
      </c>
      <c r="U121" s="53">
        <f t="shared" ref="U121" ca="1" si="108">U856+U999+U1002+U1005</f>
        <v>54.103315563782303</v>
      </c>
      <c r="V121" s="53">
        <f t="shared" ref="V121" ca="1" si="109">V856+V999+V1002+V1005</f>
        <v>54.103315563782303</v>
      </c>
      <c r="W121" s="53">
        <f t="shared" ref="W121" ca="1" si="110">W856+W999+W1002+W1005</f>
        <v>54.103315563782303</v>
      </c>
      <c r="X121" s="53">
        <f t="shared" ref="X121" ca="1" si="111">X856+X999+X1002+X1005</f>
        <v>54.103315563782303</v>
      </c>
      <c r="Y121" s="53">
        <f t="shared" ref="Y121" ca="1" si="112">Y856+Y999+Y1002+Y1005</f>
        <v>54.103315563782303</v>
      </c>
      <c r="Z121" s="53">
        <f t="shared" ref="Z121" ca="1" si="113">Z856+Z999+Z1002+Z1005</f>
        <v>54.103315563782303</v>
      </c>
      <c r="AA121" s="53">
        <f t="shared" ref="AA121" ca="1" si="114">AA856+AA999+AA1002+AA1005</f>
        <v>54.103315563782303</v>
      </c>
      <c r="AB121" s="53">
        <f t="shared" ref="AB121:AC121" ca="1" si="115">AB856+AB999+AB1002+AB1005</f>
        <v>54.103315563782303</v>
      </c>
      <c r="AC121" s="53">
        <f t="shared" ca="1" si="115"/>
        <v>54.103315563782303</v>
      </c>
      <c r="AD121" s="19"/>
      <c r="AE121" s="66">
        <f t="shared" ca="1" si="74"/>
        <v>912.30596932335573</v>
      </c>
    </row>
    <row r="122" spans="1:31" outlineLevel="2" x14ac:dyDescent="0.2">
      <c r="A122" s="19" t="str">
        <f ca="1">Language!A144</f>
        <v xml:space="preserve">    при оплате прочих расходов</v>
      </c>
      <c r="B122" s="19"/>
      <c r="C122" s="26" t="str">
        <f t="shared" ca="1" si="63"/>
        <v>тыс. EUR</v>
      </c>
      <c r="D122" s="46"/>
      <c r="E122" s="19"/>
      <c r="F122" s="53">
        <f t="shared" ref="F122:X122" si="116">F1280*CHOOSE($B1279,1,F$88)</f>
        <v>0</v>
      </c>
      <c r="G122" s="53">
        <f t="shared" si="116"/>
        <v>0</v>
      </c>
      <c r="H122" s="53">
        <f t="shared" si="116"/>
        <v>0</v>
      </c>
      <c r="I122" s="53">
        <f t="shared" si="116"/>
        <v>0</v>
      </c>
      <c r="J122" s="53">
        <f t="shared" si="116"/>
        <v>0</v>
      </c>
      <c r="K122" s="53">
        <f t="shared" si="116"/>
        <v>0</v>
      </c>
      <c r="L122" s="53">
        <f t="shared" si="116"/>
        <v>0</v>
      </c>
      <c r="M122" s="53">
        <f t="shared" si="116"/>
        <v>0</v>
      </c>
      <c r="N122" s="53">
        <f t="shared" si="116"/>
        <v>0</v>
      </c>
      <c r="O122" s="53">
        <f t="shared" si="116"/>
        <v>0</v>
      </c>
      <c r="P122" s="53">
        <f t="shared" si="116"/>
        <v>0</v>
      </c>
      <c r="Q122" s="53">
        <f t="shared" si="116"/>
        <v>0</v>
      </c>
      <c r="R122" s="53">
        <f t="shared" si="116"/>
        <v>0</v>
      </c>
      <c r="S122" s="53">
        <f t="shared" si="116"/>
        <v>0</v>
      </c>
      <c r="T122" s="53">
        <f t="shared" si="116"/>
        <v>0</v>
      </c>
      <c r="U122" s="53">
        <f t="shared" si="116"/>
        <v>0</v>
      </c>
      <c r="V122" s="53">
        <f t="shared" si="116"/>
        <v>0</v>
      </c>
      <c r="W122" s="53">
        <f t="shared" si="116"/>
        <v>0</v>
      </c>
      <c r="X122" s="53">
        <f t="shared" si="116"/>
        <v>0</v>
      </c>
      <c r="Y122" s="53">
        <f t="shared" ref="Y122" si="117">Y1280*CHOOSE($B1279,1,Y$88)</f>
        <v>0</v>
      </c>
      <c r="Z122" s="53">
        <f t="shared" ref="Z122" si="118">Z1280*CHOOSE($B1279,1,Z$88)</f>
        <v>0</v>
      </c>
      <c r="AA122" s="53">
        <f t="shared" ref="AA122" si="119">AA1280*CHOOSE($B1279,1,AA$88)</f>
        <v>0</v>
      </c>
      <c r="AB122" s="53">
        <f t="shared" ref="AB122:AC122" si="120">AB1280*CHOOSE($B1279,1,AB$88)</f>
        <v>0</v>
      </c>
      <c r="AC122" s="53">
        <f t="shared" si="120"/>
        <v>0</v>
      </c>
      <c r="AD122" s="19"/>
      <c r="AE122" s="66"/>
    </row>
    <row r="123" spans="1:31" outlineLevel="2" x14ac:dyDescent="0.2">
      <c r="A123" s="19" t="str">
        <f ca="1">Language!A145</f>
        <v xml:space="preserve">    при оплате лизинга</v>
      </c>
      <c r="B123" s="19"/>
      <c r="C123" s="26" t="str">
        <f t="shared" ca="1" si="63"/>
        <v>тыс. EUR</v>
      </c>
      <c r="D123" s="46"/>
      <c r="E123" s="19"/>
      <c r="F123" s="53">
        <f t="shared" ref="F123:T123" ca="1" si="121">F651</f>
        <v>0</v>
      </c>
      <c r="G123" s="53">
        <f t="shared" ca="1" si="121"/>
        <v>0</v>
      </c>
      <c r="H123" s="53">
        <f t="shared" ca="1" si="121"/>
        <v>0</v>
      </c>
      <c r="I123" s="53">
        <f t="shared" ca="1" si="121"/>
        <v>0</v>
      </c>
      <c r="J123" s="53">
        <f t="shared" ca="1" si="121"/>
        <v>0</v>
      </c>
      <c r="K123" s="53">
        <f t="shared" ca="1" si="121"/>
        <v>0</v>
      </c>
      <c r="L123" s="53">
        <f t="shared" ca="1" si="121"/>
        <v>0</v>
      </c>
      <c r="M123" s="53">
        <f t="shared" ca="1" si="121"/>
        <v>0</v>
      </c>
      <c r="N123" s="53">
        <f t="shared" ca="1" si="121"/>
        <v>0</v>
      </c>
      <c r="O123" s="53">
        <f t="shared" ca="1" si="121"/>
        <v>0</v>
      </c>
      <c r="P123" s="53">
        <f t="shared" ca="1" si="121"/>
        <v>0</v>
      </c>
      <c r="Q123" s="53">
        <f t="shared" ca="1" si="121"/>
        <v>0</v>
      </c>
      <c r="R123" s="53">
        <f t="shared" ca="1" si="121"/>
        <v>0</v>
      </c>
      <c r="S123" s="53">
        <f t="shared" ca="1" si="121"/>
        <v>0</v>
      </c>
      <c r="T123" s="53">
        <f t="shared" ca="1" si="121"/>
        <v>0</v>
      </c>
      <c r="U123" s="53">
        <f t="shared" ref="U123" ca="1" si="122">U651</f>
        <v>0</v>
      </c>
      <c r="V123" s="53">
        <f t="shared" ref="V123" ca="1" si="123">V651</f>
        <v>0</v>
      </c>
      <c r="W123" s="53">
        <f t="shared" ref="W123" ca="1" si="124">W651</f>
        <v>0</v>
      </c>
      <c r="X123" s="53">
        <f t="shared" ref="X123" ca="1" si="125">X651</f>
        <v>0</v>
      </c>
      <c r="Y123" s="53">
        <f t="shared" ref="Y123" ca="1" si="126">Y651</f>
        <v>0</v>
      </c>
      <c r="Z123" s="53">
        <f t="shared" ref="Z123" ca="1" si="127">Z651</f>
        <v>0</v>
      </c>
      <c r="AA123" s="53">
        <f t="shared" ref="AA123" ca="1" si="128">AA651</f>
        <v>0</v>
      </c>
      <c r="AB123" s="53">
        <f t="shared" ref="AB123:AC123" ca="1" si="129">AB651</f>
        <v>0</v>
      </c>
      <c r="AC123" s="53">
        <f t="shared" ca="1" si="129"/>
        <v>0</v>
      </c>
      <c r="AD123" s="19"/>
      <c r="AE123" s="66">
        <f ca="1">SUM(F123:AC123)</f>
        <v>0</v>
      </c>
    </row>
    <row r="124" spans="1:31" outlineLevel="2" x14ac:dyDescent="0.2">
      <c r="A124" s="19" t="str">
        <f ca="1">Language!A146</f>
        <v xml:space="preserve">    при выкупе арендованных активов</v>
      </c>
      <c r="B124" s="19"/>
      <c r="C124" s="26" t="str">
        <f t="shared" ca="1" si="63"/>
        <v>тыс. EUR</v>
      </c>
      <c r="D124" s="46"/>
      <c r="E124" s="19"/>
      <c r="F124" s="53">
        <f t="shared" ref="F124:T124" si="130">F652</f>
        <v>0</v>
      </c>
      <c r="G124" s="53">
        <f t="shared" si="130"/>
        <v>0</v>
      </c>
      <c r="H124" s="53">
        <f t="shared" si="130"/>
        <v>0</v>
      </c>
      <c r="I124" s="53">
        <f t="shared" si="130"/>
        <v>0</v>
      </c>
      <c r="J124" s="53">
        <f t="shared" si="130"/>
        <v>0</v>
      </c>
      <c r="K124" s="53">
        <f t="shared" si="130"/>
        <v>0</v>
      </c>
      <c r="L124" s="53">
        <f t="shared" si="130"/>
        <v>0</v>
      </c>
      <c r="M124" s="53">
        <f t="shared" si="130"/>
        <v>0</v>
      </c>
      <c r="N124" s="53">
        <f t="shared" si="130"/>
        <v>0</v>
      </c>
      <c r="O124" s="53">
        <f t="shared" si="130"/>
        <v>0</v>
      </c>
      <c r="P124" s="53">
        <f t="shared" si="130"/>
        <v>0</v>
      </c>
      <c r="Q124" s="53">
        <f t="shared" si="130"/>
        <v>0</v>
      </c>
      <c r="R124" s="53">
        <f t="shared" si="130"/>
        <v>0</v>
      </c>
      <c r="S124" s="53">
        <f t="shared" si="130"/>
        <v>0</v>
      </c>
      <c r="T124" s="53">
        <f t="shared" si="130"/>
        <v>0</v>
      </c>
      <c r="U124" s="53">
        <f t="shared" ref="U124" si="131">U652</f>
        <v>0</v>
      </c>
      <c r="V124" s="53">
        <f t="shared" ref="V124" si="132">V652</f>
        <v>0</v>
      </c>
      <c r="W124" s="53">
        <f t="shared" ref="W124" si="133">W652</f>
        <v>0</v>
      </c>
      <c r="X124" s="53">
        <f t="shared" ref="X124" si="134">X652</f>
        <v>0</v>
      </c>
      <c r="Y124" s="53">
        <f t="shared" ref="Y124" si="135">Y652</f>
        <v>0</v>
      </c>
      <c r="Z124" s="53">
        <f t="shared" ref="Z124" si="136">Z652</f>
        <v>0</v>
      </c>
      <c r="AA124" s="53">
        <f t="shared" ref="AA124" si="137">AA652</f>
        <v>0</v>
      </c>
      <c r="AB124" s="53">
        <f t="shared" ref="AB124:AC124" si="138">AB652</f>
        <v>0</v>
      </c>
      <c r="AC124" s="53">
        <f t="shared" si="138"/>
        <v>0</v>
      </c>
      <c r="AD124" s="19"/>
      <c r="AE124" s="66"/>
    </row>
    <row r="125" spans="1:31" outlineLevel="2" x14ac:dyDescent="0.2">
      <c r="A125" s="19" t="str">
        <f ca="1">Language!A147</f>
        <v xml:space="preserve">    при оплате инвестиционных вложений</v>
      </c>
      <c r="B125" s="19"/>
      <c r="C125" s="26" t="str">
        <f t="shared" ca="1" si="63"/>
        <v>тыс. EUR</v>
      </c>
      <c r="D125" s="46"/>
      <c r="E125" s="19"/>
      <c r="F125" s="53">
        <f t="shared" ref="F125:T125" si="139">F567+F593+F604+F580+F616</f>
        <v>0</v>
      </c>
      <c r="G125" s="53">
        <f t="shared" si="139"/>
        <v>0</v>
      </c>
      <c r="H125" s="53">
        <f t="shared" si="139"/>
        <v>1027.5924207268845</v>
      </c>
      <c r="I125" s="53">
        <f t="shared" si="139"/>
        <v>284.14536585365857</v>
      </c>
      <c r="J125" s="53">
        <f t="shared" ca="1" si="139"/>
        <v>1313.5971669522364</v>
      </c>
      <c r="K125" s="53">
        <f t="shared" si="139"/>
        <v>557.70805726236347</v>
      </c>
      <c r="L125" s="53">
        <f t="shared" si="139"/>
        <v>0</v>
      </c>
      <c r="M125" s="53">
        <f t="shared" si="139"/>
        <v>0</v>
      </c>
      <c r="N125" s="53">
        <f t="shared" si="139"/>
        <v>0</v>
      </c>
      <c r="O125" s="53">
        <f t="shared" si="139"/>
        <v>0</v>
      </c>
      <c r="P125" s="53">
        <f t="shared" si="139"/>
        <v>0</v>
      </c>
      <c r="Q125" s="53">
        <f t="shared" si="139"/>
        <v>0</v>
      </c>
      <c r="R125" s="53">
        <f t="shared" si="139"/>
        <v>0</v>
      </c>
      <c r="S125" s="53">
        <f t="shared" si="139"/>
        <v>0</v>
      </c>
      <c r="T125" s="53">
        <f t="shared" si="139"/>
        <v>0</v>
      </c>
      <c r="U125" s="53">
        <f t="shared" ref="U125" si="140">U567+U593+U604+U580+U616</f>
        <v>0</v>
      </c>
      <c r="V125" s="53">
        <f t="shared" ref="V125" si="141">V567+V593+V604+V580+V616</f>
        <v>0</v>
      </c>
      <c r="W125" s="53">
        <f t="shared" ref="W125" si="142">W567+W593+W604+W580+W616</f>
        <v>0</v>
      </c>
      <c r="X125" s="53">
        <f t="shared" ref="X125" si="143">X567+X593+X604+X580+X616</f>
        <v>0</v>
      </c>
      <c r="Y125" s="53">
        <f t="shared" ref="Y125" si="144">Y567+Y593+Y604+Y580+Y616</f>
        <v>0</v>
      </c>
      <c r="Z125" s="53">
        <f t="shared" ref="Z125" si="145">Z567+Z593+Z604+Z580+Z616</f>
        <v>0</v>
      </c>
      <c r="AA125" s="53">
        <f t="shared" ref="AA125" si="146">AA567+AA593+AA604+AA580+AA616</f>
        <v>0</v>
      </c>
      <c r="AB125" s="53">
        <f t="shared" ref="AB125:AC125" si="147">AB567+AB593+AB604+AB580+AB616</f>
        <v>0</v>
      </c>
      <c r="AC125" s="53">
        <f t="shared" si="147"/>
        <v>0</v>
      </c>
      <c r="AD125" s="19"/>
      <c r="AE125" s="66">
        <f t="shared" ca="1" si="74"/>
        <v>3183.0430107951433</v>
      </c>
    </row>
    <row r="126" spans="1:31" outlineLevel="1" collapsed="1" x14ac:dyDescent="0.2">
      <c r="A126" s="62" t="str">
        <f ca="1">Language!A148</f>
        <v>Платежи НДС в бюджет (или возврат из бюджета)</v>
      </c>
      <c r="B126" s="19"/>
      <c r="C126" s="26" t="str">
        <f t="shared" ca="1" si="63"/>
        <v>тыс. EUR</v>
      </c>
      <c r="D126" s="46"/>
      <c r="E126" s="19"/>
      <c r="F126" s="56">
        <f t="shared" ref="F126:AC126" ca="1" si="148">IF(VAT_Repay=1,MAX(F129-E131,0),MAX(0,F129)+IF(F29&gt;=$B114,MIN(0,OFFSET(F129,0,-$B114)),0))</f>
        <v>0</v>
      </c>
      <c r="G126" s="56">
        <f t="shared" ca="1" si="148"/>
        <v>0</v>
      </c>
      <c r="H126" s="56">
        <f t="shared" ca="1" si="148"/>
        <v>0</v>
      </c>
      <c r="I126" s="56">
        <f t="shared" ca="1" si="148"/>
        <v>0</v>
      </c>
      <c r="J126" s="56">
        <f t="shared" ca="1" si="148"/>
        <v>0</v>
      </c>
      <c r="K126" s="56">
        <f t="shared" ca="1" si="148"/>
        <v>-3075.8519073682655</v>
      </c>
      <c r="L126" s="56">
        <f t="shared" ca="1" si="148"/>
        <v>-113.83370941338023</v>
      </c>
      <c r="M126" s="56">
        <f t="shared" ca="1" si="148"/>
        <v>-551.56278743784446</v>
      </c>
      <c r="N126" s="56">
        <f t="shared" ca="1" si="148"/>
        <v>-713.79832522173251</v>
      </c>
      <c r="O126" s="56">
        <f t="shared" ca="1" si="148"/>
        <v>-1019.1054708427394</v>
      </c>
      <c r="P126" s="56">
        <f t="shared" ca="1" si="148"/>
        <v>-1230.2623495590497</v>
      </c>
      <c r="Q126" s="56">
        <f t="shared" ca="1" si="148"/>
        <v>-1230.2623495590497</v>
      </c>
      <c r="R126" s="56">
        <f t="shared" ca="1" si="148"/>
        <v>-1230.2623495590497</v>
      </c>
      <c r="S126" s="56">
        <f t="shared" ca="1" si="148"/>
        <v>-1230.2623495590497</v>
      </c>
      <c r="T126" s="56">
        <f t="shared" ca="1" si="148"/>
        <v>-1230.2623495590497</v>
      </c>
      <c r="U126" s="56">
        <f t="shared" ca="1" si="148"/>
        <v>-1230.2623495590497</v>
      </c>
      <c r="V126" s="56">
        <f t="shared" ca="1" si="148"/>
        <v>-1230.2623495590497</v>
      </c>
      <c r="W126" s="56">
        <f t="shared" ca="1" si="148"/>
        <v>-1230.2623495590497</v>
      </c>
      <c r="X126" s="56">
        <f t="shared" ca="1" si="148"/>
        <v>-1230.2623495590497</v>
      </c>
      <c r="Y126" s="56">
        <f t="shared" ca="1" si="148"/>
        <v>-1230.2623495590497</v>
      </c>
      <c r="Z126" s="56">
        <f t="shared" ca="1" si="148"/>
        <v>-1230.2623495590497</v>
      </c>
      <c r="AA126" s="56">
        <f t="shared" ca="1" si="148"/>
        <v>-1230.2623495590497</v>
      </c>
      <c r="AB126" s="56">
        <f t="shared" ca="1" si="148"/>
        <v>-1230.2623495590497</v>
      </c>
      <c r="AC126" s="56">
        <f t="shared" ca="1" si="148"/>
        <v>-1230.2623495590497</v>
      </c>
      <c r="AD126" s="19"/>
      <c r="AE126" s="96">
        <f t="shared" ca="1" si="74"/>
        <v>-22697.825094110649</v>
      </c>
    </row>
    <row r="127" spans="1:31" hidden="1" outlineLevel="2" x14ac:dyDescent="0.2">
      <c r="A127" s="19" t="str">
        <f ca="1">Language!A149</f>
        <v xml:space="preserve">    зачтенный НДС на инвестиционные вложения</v>
      </c>
      <c r="B127" s="19"/>
      <c r="C127" s="26" t="str">
        <f t="shared" ca="1" si="63"/>
        <v>тыс. EUR</v>
      </c>
      <c r="D127" s="46"/>
      <c r="E127" s="19"/>
      <c r="F127" s="84">
        <f ca="1">F568+F594+F605+F581+F617+F124+B547</f>
        <v>0</v>
      </c>
      <c r="G127" s="84">
        <f t="shared" ref="G127:T127" ca="1" si="149">G568+G594+G605+G581+G617+G124</f>
        <v>0</v>
      </c>
      <c r="H127" s="84">
        <f ca="1">H568+H594+H605+H581+H617+H124</f>
        <v>0</v>
      </c>
      <c r="I127" s="84">
        <f t="shared" ca="1" si="149"/>
        <v>0</v>
      </c>
      <c r="J127" s="84">
        <f t="shared" ca="1" si="149"/>
        <v>3075.8519073682655</v>
      </c>
      <c r="K127" s="84">
        <f t="shared" ca="1" si="149"/>
        <v>0</v>
      </c>
      <c r="L127" s="84">
        <f t="shared" ca="1" si="149"/>
        <v>107.19110342687765</v>
      </c>
      <c r="M127" s="84">
        <f t="shared" ca="1" si="149"/>
        <v>0</v>
      </c>
      <c r="N127" s="84">
        <f t="shared" ca="1" si="149"/>
        <v>0</v>
      </c>
      <c r="O127" s="84">
        <f t="shared" ca="1" si="149"/>
        <v>0</v>
      </c>
      <c r="P127" s="84">
        <f t="shared" ca="1" si="149"/>
        <v>0</v>
      </c>
      <c r="Q127" s="84">
        <f t="shared" ca="1" si="149"/>
        <v>0</v>
      </c>
      <c r="R127" s="84">
        <f t="shared" ca="1" si="149"/>
        <v>0</v>
      </c>
      <c r="S127" s="84">
        <f t="shared" ca="1" si="149"/>
        <v>0</v>
      </c>
      <c r="T127" s="84">
        <f t="shared" ca="1" si="149"/>
        <v>0</v>
      </c>
      <c r="U127" s="84">
        <f t="shared" ref="U127" ca="1" si="150">U568+U594+U605+U581+U617+U124</f>
        <v>0</v>
      </c>
      <c r="V127" s="84">
        <f t="shared" ref="V127" ca="1" si="151">V568+V594+V605+V581+V617+V124</f>
        <v>0</v>
      </c>
      <c r="W127" s="84">
        <f t="shared" ref="W127" ca="1" si="152">W568+W594+W605+W581+W617+W124</f>
        <v>0</v>
      </c>
      <c r="X127" s="84">
        <f t="shared" ref="X127" ca="1" si="153">X568+X594+X605+X581+X617+X124</f>
        <v>0</v>
      </c>
      <c r="Y127" s="84">
        <f t="shared" ref="Y127" ca="1" si="154">Y568+Y594+Y605+Y581+Y617+Y124</f>
        <v>0</v>
      </c>
      <c r="Z127" s="84">
        <f t="shared" ref="Z127" ca="1" si="155">Z568+Z594+Z605+Z581+Z617+Z124</f>
        <v>0</v>
      </c>
      <c r="AA127" s="84">
        <f t="shared" ref="AA127" ca="1" si="156">AA568+AA594+AA605+AA581+AA617+AA124</f>
        <v>0</v>
      </c>
      <c r="AB127" s="84">
        <f t="shared" ref="AB127:AC127" ca="1" si="157">AB568+AB594+AB605+AB581+AB617+AB124</f>
        <v>0</v>
      </c>
      <c r="AC127" s="84">
        <f t="shared" ca="1" si="157"/>
        <v>0</v>
      </c>
      <c r="AD127" s="19"/>
      <c r="AE127" s="66">
        <f t="shared" ca="1" si="74"/>
        <v>3183.0430107951433</v>
      </c>
    </row>
    <row r="128" spans="1:31" hidden="1" outlineLevel="2" x14ac:dyDescent="0.2">
      <c r="A128" s="19" t="str">
        <f ca="1">Language!A150</f>
        <v xml:space="preserve">    выплаченный, но еще не зачтенный НДС</v>
      </c>
      <c r="B128" s="19"/>
      <c r="C128" s="26" t="str">
        <f t="shared" ca="1" si="63"/>
        <v>тыс. EUR</v>
      </c>
      <c r="D128" s="16" t="s">
        <v>2594</v>
      </c>
      <c r="E128" s="19"/>
      <c r="F128" s="84">
        <f ca="1">SUM($E125:F125)+SUM($E124:F124)-SUM($E127:F127)+$B545+$B547</f>
        <v>0</v>
      </c>
      <c r="G128" s="84">
        <f ca="1">SUM($E125:G125)+SUM($E124:G124)-SUM($E127:G127)+$B545+$B547</f>
        <v>0</v>
      </c>
      <c r="H128" s="84">
        <f ca="1">SUM($E125:H125)+SUM($E124:H124)-SUM($E127:H127)+$B545+$B547</f>
        <v>1027.5924207268845</v>
      </c>
      <c r="I128" s="84">
        <f ca="1">SUM($E125:I125)+SUM($E124:I124)-SUM($E127:I127)+$B545+$B547</f>
        <v>1311.7377865805431</v>
      </c>
      <c r="J128" s="84">
        <f ca="1">SUM($E125:J125)+SUM($E124:J124)-SUM($E127:J127)+$B545+$B547</f>
        <v>-450.51695383548577</v>
      </c>
      <c r="K128" s="84">
        <f ca="1">SUM($E125:K125)+SUM($E124:K124)-SUM($E127:K127)+$B545+$B547</f>
        <v>107.19110342687782</v>
      </c>
      <c r="L128" s="84">
        <f ca="1">SUM($E125:L125)+SUM($E124:L124)-SUM($E127:L127)+$B545+$B547</f>
        <v>0</v>
      </c>
      <c r="M128" s="84">
        <f ca="1">SUM($E125:M125)+SUM($E124:M124)-SUM($E127:M127)+$B545+$B547</f>
        <v>0</v>
      </c>
      <c r="N128" s="84">
        <f ca="1">SUM($E125:N125)+SUM($E124:N124)-SUM($E127:N127)+$B545+$B547</f>
        <v>0</v>
      </c>
      <c r="O128" s="84">
        <f ca="1">SUM($E125:O125)+SUM($E124:O124)-SUM($E127:O127)+$B545+$B547</f>
        <v>0</v>
      </c>
      <c r="P128" s="84">
        <f ca="1">SUM($E125:P125)+SUM($E124:P124)-SUM($E127:P127)+$B545+$B547</f>
        <v>0</v>
      </c>
      <c r="Q128" s="84">
        <f ca="1">SUM($E125:Q125)+SUM($E124:Q124)-SUM($E127:Q127)+$B545+$B547</f>
        <v>0</v>
      </c>
      <c r="R128" s="84">
        <f ca="1">SUM($E125:R125)+SUM($E124:R124)-SUM($E127:R127)+$B545+$B547</f>
        <v>0</v>
      </c>
      <c r="S128" s="84">
        <f ca="1">SUM($E125:S125)+SUM($E124:S124)-SUM($E127:S127)+$B545+$B547</f>
        <v>0</v>
      </c>
      <c r="T128" s="84">
        <f ca="1">SUM($E125:T125)+SUM($E124:T124)-SUM($E127:T127)+$B545+$B547</f>
        <v>0</v>
      </c>
      <c r="U128" s="84">
        <f ca="1">SUM($E125:U125)+SUM($E124:U124)-SUM($E127:U127)+$B545+$B547</f>
        <v>0</v>
      </c>
      <c r="V128" s="84">
        <f ca="1">SUM($E125:V125)+SUM($E124:V124)-SUM($E127:V127)+$B545+$B547</f>
        <v>0</v>
      </c>
      <c r="W128" s="84">
        <f ca="1">SUM($E125:W125)+SUM($E124:W124)-SUM($E127:W127)+$B545+$B547</f>
        <v>0</v>
      </c>
      <c r="X128" s="84">
        <f ca="1">SUM($E125:X125)+SUM($E124:X124)-SUM($E127:X127)+$B545+$B547</f>
        <v>0</v>
      </c>
      <c r="Y128" s="84">
        <f ca="1">SUM($E125:Y125)+SUM($E124:Y124)-SUM($E127:Y127)+$B545+$B547</f>
        <v>0</v>
      </c>
      <c r="Z128" s="84">
        <f ca="1">SUM($E125:Z125)+SUM($E124:Z124)-SUM($E127:Z127)+$B545+$B547</f>
        <v>0</v>
      </c>
      <c r="AA128" s="84">
        <f ca="1">SUM($E125:AA125)+SUM($E124:AA124)-SUM($E127:AA127)+$B545+$B547</f>
        <v>0</v>
      </c>
      <c r="AB128" s="84">
        <f ca="1">SUM($E125:AB125)+SUM($E124:AB124)-SUM($E127:AB127)+$B545+$B547</f>
        <v>0</v>
      </c>
      <c r="AC128" s="84">
        <f ca="1">SUM($E125:AC125)+SUM($E124:AC124)-SUM($E127:AC127)+$B545+$B547</f>
        <v>0</v>
      </c>
      <c r="AD128" s="19"/>
      <c r="AE128" s="66"/>
    </row>
    <row r="129" spans="1:31" hidden="1" outlineLevel="2" x14ac:dyDescent="0.2">
      <c r="A129" s="19" t="str">
        <f ca="1">Language!A151</f>
        <v xml:space="preserve">    НДС к уплате в бюджет (или к возврату из бюджета)</v>
      </c>
      <c r="B129" s="19"/>
      <c r="C129" s="26" t="str">
        <f t="shared" ca="1" si="63"/>
        <v>тыс. EUR</v>
      </c>
      <c r="D129" s="46"/>
      <c r="E129" s="19"/>
      <c r="F129" s="84">
        <f t="shared" ref="F129:T129" ca="1" si="158">F115-F120-F121-F122-F123-F127</f>
        <v>0</v>
      </c>
      <c r="G129" s="84">
        <f t="shared" ca="1" si="158"/>
        <v>0</v>
      </c>
      <c r="H129" s="84">
        <f ca="1">H115-H120-H121-H122-H123-H127</f>
        <v>0</v>
      </c>
      <c r="I129" s="84">
        <f t="shared" ca="1" si="158"/>
        <v>0</v>
      </c>
      <c r="J129" s="84">
        <f t="shared" ca="1" si="158"/>
        <v>-3075.8519073682655</v>
      </c>
      <c r="K129" s="84">
        <f t="shared" ca="1" si="158"/>
        <v>-113.83370941338023</v>
      </c>
      <c r="L129" s="84">
        <f t="shared" ca="1" si="158"/>
        <v>-551.56278743784446</v>
      </c>
      <c r="M129" s="84">
        <f t="shared" ca="1" si="158"/>
        <v>-713.79832522173251</v>
      </c>
      <c r="N129" s="84">
        <f t="shared" ca="1" si="158"/>
        <v>-1019.1054708427394</v>
      </c>
      <c r="O129" s="84">
        <f t="shared" ca="1" si="158"/>
        <v>-1230.2623495590497</v>
      </c>
      <c r="P129" s="84">
        <f t="shared" ca="1" si="158"/>
        <v>-1230.2623495590497</v>
      </c>
      <c r="Q129" s="84">
        <f t="shared" ca="1" si="158"/>
        <v>-1230.2623495590497</v>
      </c>
      <c r="R129" s="84">
        <f t="shared" ca="1" si="158"/>
        <v>-1230.2623495590497</v>
      </c>
      <c r="S129" s="84">
        <f t="shared" ca="1" si="158"/>
        <v>-1230.2623495590497</v>
      </c>
      <c r="T129" s="84">
        <f t="shared" ca="1" si="158"/>
        <v>-1230.2623495590497</v>
      </c>
      <c r="U129" s="84">
        <f t="shared" ref="U129" ca="1" si="159">U115-U120-U121-U122-U123-U127</f>
        <v>-1230.2623495590497</v>
      </c>
      <c r="V129" s="84">
        <f t="shared" ref="V129" ca="1" si="160">V115-V120-V121-V122-V123-V127</f>
        <v>-1230.2623495590497</v>
      </c>
      <c r="W129" s="84">
        <f t="shared" ref="W129" ca="1" si="161">W115-W120-W121-W122-W123-W127</f>
        <v>-1230.2623495590497</v>
      </c>
      <c r="X129" s="84">
        <f t="shared" ref="X129" ca="1" si="162">X115-X120-X121-X122-X123-X127</f>
        <v>-1230.2623495590497</v>
      </c>
      <c r="Y129" s="84">
        <f t="shared" ref="Y129" ca="1" si="163">Y115-Y120-Y121-Y122-Y123-Y127</f>
        <v>-1230.2623495590497</v>
      </c>
      <c r="Z129" s="84">
        <f t="shared" ref="Z129" ca="1" si="164">Z115-Z120-Z121-Z122-Z123-Z127</f>
        <v>-1230.2623495590497</v>
      </c>
      <c r="AA129" s="84">
        <f t="shared" ref="AA129" ca="1" si="165">AA115-AA120-AA121-AA122-AA123-AA127</f>
        <v>-1230.2623495590497</v>
      </c>
      <c r="AB129" s="84">
        <f t="shared" ref="AB129:AC129" ca="1" si="166">AB115-AB120-AB121-AB122-AB123-AB127</f>
        <v>-1230.2623495590497</v>
      </c>
      <c r="AC129" s="84">
        <f t="shared" ca="1" si="166"/>
        <v>-1230.2623495590497</v>
      </c>
      <c r="AD129" s="19"/>
      <c r="AE129" s="66">
        <f t="shared" ca="1" si="74"/>
        <v>-23928.087443669698</v>
      </c>
    </row>
    <row r="130" spans="1:31" hidden="1" outlineLevel="2" x14ac:dyDescent="0.2">
      <c r="A130" s="19" t="str">
        <f ca="1">Language!A152</f>
        <v xml:space="preserve">    прямое возмещение НДС из бюджета</v>
      </c>
      <c r="B130" s="19"/>
      <c r="C130" s="26" t="str">
        <f t="shared" ca="1" si="63"/>
        <v>тыс. EUR</v>
      </c>
      <c r="D130" s="46"/>
      <c r="E130" s="19"/>
      <c r="F130" s="53">
        <f t="shared" ref="F130:T130" ca="1" si="167">IF(VAT_Repay=1,0,IF(F29&gt;=$B114,MIN(0,OFFSET(F129,0,-$B114)),0))</f>
        <v>0</v>
      </c>
      <c r="G130" s="53">
        <f t="shared" ca="1" si="167"/>
        <v>0</v>
      </c>
      <c r="H130" s="53">
        <f ca="1">IF(VAT_Repay=1,0,IF(H29&gt;=$B114,MIN(0,OFFSET(H129,0,-$B114)),0))</f>
        <v>0</v>
      </c>
      <c r="I130" s="53">
        <f t="shared" ca="1" si="167"/>
        <v>0</v>
      </c>
      <c r="J130" s="53">
        <f t="shared" ca="1" si="167"/>
        <v>0</v>
      </c>
      <c r="K130" s="53">
        <f t="shared" ca="1" si="167"/>
        <v>-3075.8519073682655</v>
      </c>
      <c r="L130" s="53">
        <f t="shared" ca="1" si="167"/>
        <v>-113.83370941338023</v>
      </c>
      <c r="M130" s="53">
        <f t="shared" ca="1" si="167"/>
        <v>-551.56278743784446</v>
      </c>
      <c r="N130" s="53">
        <f t="shared" ca="1" si="167"/>
        <v>-713.79832522173251</v>
      </c>
      <c r="O130" s="53">
        <f t="shared" ca="1" si="167"/>
        <v>-1019.1054708427394</v>
      </c>
      <c r="P130" s="53">
        <f t="shared" ca="1" si="167"/>
        <v>-1230.2623495590497</v>
      </c>
      <c r="Q130" s="53">
        <f t="shared" ca="1" si="167"/>
        <v>-1230.2623495590497</v>
      </c>
      <c r="R130" s="53">
        <f t="shared" ca="1" si="167"/>
        <v>-1230.2623495590497</v>
      </c>
      <c r="S130" s="53">
        <f t="shared" ca="1" si="167"/>
        <v>-1230.2623495590497</v>
      </c>
      <c r="T130" s="53">
        <f t="shared" ca="1" si="167"/>
        <v>-1230.2623495590497</v>
      </c>
      <c r="U130" s="53">
        <f t="shared" ref="U130" ca="1" si="168">IF(VAT_Repay=1,0,IF(U29&gt;=$B114,MIN(0,OFFSET(U129,0,-$B114)),0))</f>
        <v>-1230.2623495590497</v>
      </c>
      <c r="V130" s="53">
        <f t="shared" ref="V130" ca="1" si="169">IF(VAT_Repay=1,0,IF(V29&gt;=$B114,MIN(0,OFFSET(V129,0,-$B114)),0))</f>
        <v>-1230.2623495590497</v>
      </c>
      <c r="W130" s="53">
        <f t="shared" ref="W130" ca="1" si="170">IF(VAT_Repay=1,0,IF(W29&gt;=$B114,MIN(0,OFFSET(W129,0,-$B114)),0))</f>
        <v>-1230.2623495590497</v>
      </c>
      <c r="X130" s="53">
        <f t="shared" ref="X130" ca="1" si="171">IF(VAT_Repay=1,0,IF(X29&gt;=$B114,MIN(0,OFFSET(X129,0,-$B114)),0))</f>
        <v>-1230.2623495590497</v>
      </c>
      <c r="Y130" s="53">
        <f t="shared" ref="Y130" ca="1" si="172">IF(VAT_Repay=1,0,IF(Y29&gt;=$B114,MIN(0,OFFSET(Y129,0,-$B114)),0))</f>
        <v>-1230.2623495590497</v>
      </c>
      <c r="Z130" s="53">
        <f t="shared" ref="Z130" ca="1" si="173">IF(VAT_Repay=1,0,IF(Z29&gt;=$B114,MIN(0,OFFSET(Z129,0,-$B114)),0))</f>
        <v>-1230.2623495590497</v>
      </c>
      <c r="AA130" s="53">
        <f t="shared" ref="AA130" ca="1" si="174">IF(VAT_Repay=1,0,IF(AA29&gt;=$B114,MIN(0,OFFSET(AA129,0,-$B114)),0))</f>
        <v>-1230.2623495590497</v>
      </c>
      <c r="AB130" s="53">
        <f t="shared" ref="AB130:AC130" ca="1" si="175">IF(VAT_Repay=1,0,IF(AB29&gt;=$B114,MIN(0,OFFSET(AB129,0,-$B114)),0))</f>
        <v>-1230.2623495590497</v>
      </c>
      <c r="AC130" s="53">
        <f t="shared" ca="1" si="175"/>
        <v>-1230.2623495590497</v>
      </c>
      <c r="AD130" s="19"/>
      <c r="AE130" s="66">
        <f t="shared" ca="1" si="74"/>
        <v>-22697.825094110649</v>
      </c>
    </row>
    <row r="131" spans="1:31" hidden="1" outlineLevel="2" x14ac:dyDescent="0.2">
      <c r="A131" s="19" t="str">
        <f ca="1">Language!A153</f>
        <v xml:space="preserve">    отложенный возврат НДС из бюджета</v>
      </c>
      <c r="B131" s="19"/>
      <c r="C131" s="26" t="str">
        <f t="shared" ca="1" si="63"/>
        <v>тыс. EUR</v>
      </c>
      <c r="D131" s="16" t="s">
        <v>2594</v>
      </c>
      <c r="E131" s="19"/>
      <c r="F131" s="53">
        <f t="shared" ref="F131:AC131" ca="1" si="176">IF(VAT_Repay=2,E131-MIN(F129,0)+F130,MAX(E131-F129,0))</f>
        <v>0</v>
      </c>
      <c r="G131" s="53">
        <f t="shared" ca="1" si="176"/>
        <v>0</v>
      </c>
      <c r="H131" s="53">
        <f t="shared" ca="1" si="176"/>
        <v>0</v>
      </c>
      <c r="I131" s="53">
        <f t="shared" ca="1" si="176"/>
        <v>0</v>
      </c>
      <c r="J131" s="53">
        <f t="shared" ca="1" si="176"/>
        <v>3075.8519073682655</v>
      </c>
      <c r="K131" s="53">
        <f t="shared" ca="1" si="176"/>
        <v>113.83370941338035</v>
      </c>
      <c r="L131" s="53">
        <f t="shared" ca="1" si="176"/>
        <v>551.56278743784458</v>
      </c>
      <c r="M131" s="53">
        <f t="shared" ca="1" si="176"/>
        <v>713.79832522173251</v>
      </c>
      <c r="N131" s="53">
        <f t="shared" ca="1" si="176"/>
        <v>1019.1054708427394</v>
      </c>
      <c r="O131" s="53">
        <f t="shared" ca="1" si="176"/>
        <v>1230.2623495590494</v>
      </c>
      <c r="P131" s="53">
        <f t="shared" ca="1" si="176"/>
        <v>1230.2623495590497</v>
      </c>
      <c r="Q131" s="53">
        <f t="shared" ca="1" si="176"/>
        <v>1230.2623495590497</v>
      </c>
      <c r="R131" s="53">
        <f t="shared" ca="1" si="176"/>
        <v>1230.2623495590497</v>
      </c>
      <c r="S131" s="53">
        <f t="shared" ca="1" si="176"/>
        <v>1230.2623495590497</v>
      </c>
      <c r="T131" s="53">
        <f t="shared" ca="1" si="176"/>
        <v>1230.2623495590497</v>
      </c>
      <c r="U131" s="53">
        <f t="shared" ca="1" si="176"/>
        <v>1230.2623495590497</v>
      </c>
      <c r="V131" s="53">
        <f t="shared" ca="1" si="176"/>
        <v>1230.2623495590497</v>
      </c>
      <c r="W131" s="53">
        <f t="shared" ca="1" si="176"/>
        <v>1230.2623495590497</v>
      </c>
      <c r="X131" s="53">
        <f t="shared" ca="1" si="176"/>
        <v>1230.2623495590497</v>
      </c>
      <c r="Y131" s="53">
        <f t="shared" ca="1" si="176"/>
        <v>1230.2623495590497</v>
      </c>
      <c r="Z131" s="53">
        <f t="shared" ca="1" si="176"/>
        <v>1230.2623495590497</v>
      </c>
      <c r="AA131" s="53">
        <f t="shared" ca="1" si="176"/>
        <v>1230.2623495590497</v>
      </c>
      <c r="AB131" s="53">
        <f t="shared" ca="1" si="176"/>
        <v>1230.2623495590497</v>
      </c>
      <c r="AC131" s="53">
        <f t="shared" ca="1" si="176"/>
        <v>1230.2623495590497</v>
      </c>
      <c r="AD131" s="19"/>
      <c r="AE131" s="66"/>
    </row>
    <row r="132" spans="1:31" outlineLevel="1" x14ac:dyDescent="0.2">
      <c r="A132" s="19"/>
      <c r="B132" s="19"/>
      <c r="C132" s="26"/>
      <c r="D132" s="46"/>
      <c r="E132" s="19"/>
      <c r="F132" s="47"/>
      <c r="G132" s="47"/>
      <c r="H132" s="47"/>
      <c r="I132" s="47"/>
      <c r="J132" s="47"/>
      <c r="K132" s="47"/>
      <c r="L132" s="47"/>
      <c r="M132" s="47"/>
      <c r="N132" s="47"/>
      <c r="O132" s="47"/>
      <c r="P132" s="47"/>
      <c r="Q132" s="47"/>
      <c r="R132" s="47"/>
      <c r="S132" s="47"/>
      <c r="T132" s="47"/>
      <c r="U132" s="47"/>
      <c r="V132" s="47"/>
      <c r="W132" s="47"/>
      <c r="X132" s="47"/>
      <c r="Y132" s="47"/>
      <c r="Z132" s="47"/>
      <c r="AA132" s="47"/>
      <c r="AB132" s="47"/>
      <c r="AC132" s="47"/>
      <c r="AD132" s="19"/>
      <c r="AE132" s="22"/>
    </row>
    <row r="133" spans="1:31" outlineLevel="1" x14ac:dyDescent="0.2">
      <c r="A133" s="63"/>
      <c r="B133" s="63"/>
      <c r="C133" s="67"/>
      <c r="D133" s="60"/>
      <c r="E133" s="63"/>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3"/>
      <c r="AE133" s="64"/>
    </row>
    <row r="134" spans="1:31" outlineLevel="1" x14ac:dyDescent="0.2">
      <c r="A134" s="62" t="str">
        <f ca="1">Language!A154</f>
        <v>ПРОЧИЕ НАЛОГИ</v>
      </c>
      <c r="B134" s="19"/>
      <c r="C134" s="26"/>
      <c r="D134" s="46"/>
      <c r="E134" s="19"/>
      <c r="F134" s="47"/>
      <c r="G134" s="47"/>
      <c r="H134" s="47"/>
      <c r="I134" s="47"/>
      <c r="J134" s="47"/>
      <c r="K134" s="47"/>
      <c r="L134" s="47"/>
      <c r="M134" s="47"/>
      <c r="N134" s="47"/>
      <c r="O134" s="47"/>
      <c r="P134" s="47"/>
      <c r="Q134" s="47"/>
      <c r="R134" s="47"/>
      <c r="S134" s="47"/>
      <c r="T134" s="47"/>
      <c r="U134" s="47"/>
      <c r="V134" s="47"/>
      <c r="W134" s="47"/>
      <c r="X134" s="47"/>
      <c r="Y134" s="47"/>
      <c r="Z134" s="47"/>
      <c r="AA134" s="47"/>
      <c r="AB134" s="47"/>
      <c r="AC134" s="47"/>
      <c r="AD134" s="19"/>
      <c r="AE134" s="22"/>
    </row>
    <row r="135" spans="1:31" outlineLevel="1" x14ac:dyDescent="0.2">
      <c r="A135" s="19"/>
      <c r="B135" s="19"/>
      <c r="C135" s="26"/>
      <c r="D135" s="46"/>
      <c r="E135" s="19"/>
      <c r="F135" s="47"/>
      <c r="G135" s="47"/>
      <c r="H135" s="47"/>
      <c r="I135" s="47"/>
      <c r="J135" s="47"/>
      <c r="K135" s="47"/>
      <c r="L135" s="47"/>
      <c r="M135" s="47"/>
      <c r="N135" s="47"/>
      <c r="O135" s="47"/>
      <c r="P135" s="47"/>
      <c r="Q135" s="47"/>
      <c r="R135" s="47"/>
      <c r="S135" s="47"/>
      <c r="T135" s="47"/>
      <c r="U135" s="47"/>
      <c r="V135" s="47"/>
      <c r="W135" s="47"/>
      <c r="X135" s="47"/>
      <c r="Y135" s="47"/>
      <c r="Z135" s="47"/>
      <c r="AA135" s="47"/>
      <c r="AB135" s="47"/>
      <c r="AC135" s="47"/>
      <c r="AD135" s="19"/>
      <c r="AE135" s="22"/>
    </row>
    <row r="136" spans="1:31" outlineLevel="1" collapsed="1" x14ac:dyDescent="0.2">
      <c r="A136" s="24" t="str">
        <f ca="1">Language!A155</f>
        <v>Начисления на заработную плату</v>
      </c>
      <c r="B136" s="259">
        <f>19.52%/2+6.5%+3.86%</f>
        <v>0.20119999999999999</v>
      </c>
      <c r="C136" s="26" t="str">
        <f ca="1">CUR_Main</f>
        <v>тыс. EUR</v>
      </c>
      <c r="D136" s="46"/>
      <c r="E136" s="19"/>
      <c r="F136" s="98">
        <f t="shared" ref="F136:X136" si="177">IF($B104=1,F995,0)</f>
        <v>0</v>
      </c>
      <c r="G136" s="98">
        <f t="shared" si="177"/>
        <v>0</v>
      </c>
      <c r="H136" s="98">
        <f t="shared" si="177"/>
        <v>0</v>
      </c>
      <c r="I136" s="98">
        <f t="shared" si="177"/>
        <v>0</v>
      </c>
      <c r="J136" s="98">
        <f t="shared" si="177"/>
        <v>0</v>
      </c>
      <c r="K136" s="98">
        <f t="shared" si="177"/>
        <v>73.66937999999999</v>
      </c>
      <c r="L136" s="98">
        <f t="shared" si="177"/>
        <v>73.66937999999999</v>
      </c>
      <c r="M136" s="98">
        <f t="shared" si="177"/>
        <v>73.66937999999999</v>
      </c>
      <c r="N136" s="98">
        <f t="shared" si="177"/>
        <v>73.66937999999999</v>
      </c>
      <c r="O136" s="98">
        <f t="shared" si="177"/>
        <v>73.66937999999999</v>
      </c>
      <c r="P136" s="98">
        <f t="shared" si="177"/>
        <v>73.66937999999999</v>
      </c>
      <c r="Q136" s="98">
        <f t="shared" si="177"/>
        <v>73.66937999999999</v>
      </c>
      <c r="R136" s="98">
        <f t="shared" si="177"/>
        <v>73.66937999999999</v>
      </c>
      <c r="S136" s="98">
        <f t="shared" si="177"/>
        <v>73.66937999999999</v>
      </c>
      <c r="T136" s="98">
        <f t="shared" si="177"/>
        <v>73.66937999999999</v>
      </c>
      <c r="U136" s="98">
        <f t="shared" si="177"/>
        <v>73.66937999999999</v>
      </c>
      <c r="V136" s="98">
        <f t="shared" si="177"/>
        <v>73.66937999999999</v>
      </c>
      <c r="W136" s="98">
        <f t="shared" si="177"/>
        <v>73.66937999999999</v>
      </c>
      <c r="X136" s="98">
        <f t="shared" si="177"/>
        <v>73.66937999999999</v>
      </c>
      <c r="Y136" s="98">
        <f t="shared" ref="Y136" si="178">IF($B104=1,Y995,0)</f>
        <v>73.66937999999999</v>
      </c>
      <c r="Z136" s="98">
        <f t="shared" ref="Z136" si="179">IF($B104=1,Z995,0)</f>
        <v>73.66937999999999</v>
      </c>
      <c r="AA136" s="98">
        <f t="shared" ref="AA136" si="180">IF($B104=1,AA995,0)</f>
        <v>73.66937999999999</v>
      </c>
      <c r="AB136" s="98">
        <f t="shared" ref="AB136:AC136" si="181">IF($B104=1,AB995,0)</f>
        <v>73.66937999999999</v>
      </c>
      <c r="AC136" s="98">
        <f t="shared" si="181"/>
        <v>73.66937999999999</v>
      </c>
      <c r="AD136" s="19"/>
      <c r="AE136" s="96">
        <f>SUM(F136:AC136)</f>
        <v>1399.7182200000004</v>
      </c>
    </row>
    <row r="137" spans="1:31" hidden="1" outlineLevel="2" x14ac:dyDescent="0.2">
      <c r="A137" s="19" t="str">
        <f ca="1">Language!A156</f>
        <v xml:space="preserve">    Страховые взносы в социальные фонды</v>
      </c>
      <c r="B137" s="19"/>
      <c r="C137" s="26"/>
      <c r="D137" s="46"/>
      <c r="E137" s="19"/>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19"/>
      <c r="AE137" s="22"/>
    </row>
    <row r="138" spans="1:31" hidden="1" outlineLevel="2" x14ac:dyDescent="0.2">
      <c r="A138" s="19" t="str">
        <f ca="1">Language!A157</f>
        <v xml:space="preserve">        ставка</v>
      </c>
      <c r="B138" s="323">
        <f>B136</f>
        <v>0.20119999999999999</v>
      </c>
      <c r="C138" s="26" t="s">
        <v>2430</v>
      </c>
      <c r="D138" s="16" t="s">
        <v>2429</v>
      </c>
      <c r="E138" s="19"/>
      <c r="F138" s="47">
        <f>B138</f>
        <v>0.20119999999999999</v>
      </c>
      <c r="G138" s="47">
        <f t="shared" ref="G138:AC138" si="182">F138</f>
        <v>0.20119999999999999</v>
      </c>
      <c r="H138" s="47">
        <f t="shared" si="182"/>
        <v>0.20119999999999999</v>
      </c>
      <c r="I138" s="47">
        <f t="shared" si="182"/>
        <v>0.20119999999999999</v>
      </c>
      <c r="J138" s="47">
        <f t="shared" si="182"/>
        <v>0.20119999999999999</v>
      </c>
      <c r="K138" s="47">
        <f t="shared" si="182"/>
        <v>0.20119999999999999</v>
      </c>
      <c r="L138" s="47">
        <f t="shared" si="182"/>
        <v>0.20119999999999999</v>
      </c>
      <c r="M138" s="47">
        <f t="shared" si="182"/>
        <v>0.20119999999999999</v>
      </c>
      <c r="N138" s="47">
        <f t="shared" si="182"/>
        <v>0.20119999999999999</v>
      </c>
      <c r="O138" s="47">
        <f t="shared" si="182"/>
        <v>0.20119999999999999</v>
      </c>
      <c r="P138" s="47">
        <f t="shared" si="182"/>
        <v>0.20119999999999999</v>
      </c>
      <c r="Q138" s="47">
        <f t="shared" si="182"/>
        <v>0.20119999999999999</v>
      </c>
      <c r="R138" s="47">
        <f t="shared" si="182"/>
        <v>0.20119999999999999</v>
      </c>
      <c r="S138" s="47">
        <f t="shared" si="182"/>
        <v>0.20119999999999999</v>
      </c>
      <c r="T138" s="47">
        <f t="shared" si="182"/>
        <v>0.20119999999999999</v>
      </c>
      <c r="U138" s="47">
        <f t="shared" si="182"/>
        <v>0.20119999999999999</v>
      </c>
      <c r="V138" s="47">
        <f t="shared" si="182"/>
        <v>0.20119999999999999</v>
      </c>
      <c r="W138" s="47">
        <f t="shared" si="182"/>
        <v>0.20119999999999999</v>
      </c>
      <c r="X138" s="47">
        <f t="shared" si="182"/>
        <v>0.20119999999999999</v>
      </c>
      <c r="Y138" s="47">
        <f t="shared" si="182"/>
        <v>0.20119999999999999</v>
      </c>
      <c r="Z138" s="47">
        <f t="shared" si="182"/>
        <v>0.20119999999999999</v>
      </c>
      <c r="AA138" s="47">
        <f t="shared" si="182"/>
        <v>0.20119999999999999</v>
      </c>
      <c r="AB138" s="47">
        <f t="shared" si="182"/>
        <v>0.20119999999999999</v>
      </c>
      <c r="AC138" s="47">
        <f t="shared" si="182"/>
        <v>0.20119999999999999</v>
      </c>
      <c r="AD138" s="19"/>
      <c r="AE138" s="22"/>
    </row>
    <row r="139" spans="1:31" hidden="1" outlineLevel="2" x14ac:dyDescent="0.2">
      <c r="A139" s="19" t="str">
        <f ca="1">Language!A158</f>
        <v xml:space="preserve">        период уплаты</v>
      </c>
      <c r="B139" s="258">
        <v>30</v>
      </c>
      <c r="C139" s="26" t="str">
        <f ca="1">Language!A219</f>
        <v>дней</v>
      </c>
      <c r="D139" s="16"/>
      <c r="E139" s="19"/>
      <c r="F139" s="97"/>
      <c r="G139" s="97"/>
      <c r="H139" s="97"/>
      <c r="I139" s="97"/>
      <c r="J139" s="97"/>
      <c r="K139" s="97"/>
      <c r="L139" s="97"/>
      <c r="M139" s="97"/>
      <c r="N139" s="97"/>
      <c r="O139" s="97"/>
      <c r="P139" s="97"/>
      <c r="Q139" s="97"/>
      <c r="R139" s="97"/>
      <c r="S139" s="97"/>
      <c r="T139" s="97"/>
      <c r="U139" s="97"/>
      <c r="V139" s="97"/>
      <c r="W139" s="97"/>
      <c r="X139" s="97"/>
      <c r="Y139" s="97"/>
      <c r="Z139" s="97"/>
      <c r="AA139" s="97"/>
      <c r="AB139" s="97"/>
      <c r="AC139" s="97"/>
      <c r="AD139" s="19"/>
      <c r="AE139" s="22"/>
    </row>
    <row r="140" spans="1:31" hidden="1" outlineLevel="2" x14ac:dyDescent="0.2">
      <c r="A140" s="19" t="str">
        <f ca="1">Language!A159</f>
        <v xml:space="preserve">    Страхование</v>
      </c>
      <c r="B140" s="19"/>
      <c r="C140" s="26"/>
      <c r="D140" s="16"/>
      <c r="E140" s="19"/>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c r="AD140" s="19"/>
      <c r="AE140" s="22"/>
    </row>
    <row r="141" spans="1:31" hidden="1" outlineLevel="2" x14ac:dyDescent="0.2">
      <c r="A141" s="19" t="str">
        <f ca="1">Language!A160</f>
        <v xml:space="preserve">        ставка</v>
      </c>
      <c r="B141" s="259">
        <v>0</v>
      </c>
      <c r="C141" s="26" t="s">
        <v>2430</v>
      </c>
      <c r="D141" s="16" t="s">
        <v>2429</v>
      </c>
      <c r="E141" s="19"/>
      <c r="F141" s="47">
        <f>B141</f>
        <v>0</v>
      </c>
      <c r="G141" s="47">
        <f t="shared" ref="G141:AC141" si="183">F141</f>
        <v>0</v>
      </c>
      <c r="H141" s="47">
        <f t="shared" si="183"/>
        <v>0</v>
      </c>
      <c r="I141" s="47">
        <f t="shared" si="183"/>
        <v>0</v>
      </c>
      <c r="J141" s="47">
        <f t="shared" si="183"/>
        <v>0</v>
      </c>
      <c r="K141" s="47">
        <f t="shared" si="183"/>
        <v>0</v>
      </c>
      <c r="L141" s="47">
        <f t="shared" si="183"/>
        <v>0</v>
      </c>
      <c r="M141" s="47">
        <f t="shared" si="183"/>
        <v>0</v>
      </c>
      <c r="N141" s="47">
        <f t="shared" si="183"/>
        <v>0</v>
      </c>
      <c r="O141" s="47">
        <f t="shared" si="183"/>
        <v>0</v>
      </c>
      <c r="P141" s="47">
        <f t="shared" si="183"/>
        <v>0</v>
      </c>
      <c r="Q141" s="47">
        <f t="shared" si="183"/>
        <v>0</v>
      </c>
      <c r="R141" s="47">
        <f t="shared" si="183"/>
        <v>0</v>
      </c>
      <c r="S141" s="47">
        <f t="shared" si="183"/>
        <v>0</v>
      </c>
      <c r="T141" s="47">
        <f t="shared" si="183"/>
        <v>0</v>
      </c>
      <c r="U141" s="47">
        <f t="shared" si="183"/>
        <v>0</v>
      </c>
      <c r="V141" s="47">
        <f t="shared" si="183"/>
        <v>0</v>
      </c>
      <c r="W141" s="47">
        <f t="shared" si="183"/>
        <v>0</v>
      </c>
      <c r="X141" s="47">
        <f t="shared" si="183"/>
        <v>0</v>
      </c>
      <c r="Y141" s="47">
        <f t="shared" si="183"/>
        <v>0</v>
      </c>
      <c r="Z141" s="47">
        <f t="shared" si="183"/>
        <v>0</v>
      </c>
      <c r="AA141" s="47">
        <f t="shared" si="183"/>
        <v>0</v>
      </c>
      <c r="AB141" s="47">
        <f t="shared" si="183"/>
        <v>0</v>
      </c>
      <c r="AC141" s="47">
        <f t="shared" si="183"/>
        <v>0</v>
      </c>
      <c r="AD141" s="19"/>
      <c r="AE141" s="22"/>
    </row>
    <row r="142" spans="1:31" hidden="1" outlineLevel="2" x14ac:dyDescent="0.2">
      <c r="A142" s="19" t="str">
        <f ca="1">Language!A161</f>
        <v xml:space="preserve">        период уплаты</v>
      </c>
      <c r="B142" s="258">
        <v>30</v>
      </c>
      <c r="C142" s="26" t="str">
        <f ca="1">Language!A219</f>
        <v>дней</v>
      </c>
      <c r="D142" s="16"/>
      <c r="E142" s="19"/>
      <c r="F142" s="97"/>
      <c r="G142" s="97"/>
      <c r="H142" s="97"/>
      <c r="I142" s="97"/>
      <c r="J142" s="97"/>
      <c r="K142" s="97"/>
      <c r="L142" s="97"/>
      <c r="M142" s="97"/>
      <c r="N142" s="97"/>
      <c r="O142" s="97"/>
      <c r="P142" s="97"/>
      <c r="Q142" s="97"/>
      <c r="R142" s="97"/>
      <c r="S142" s="97"/>
      <c r="T142" s="97"/>
      <c r="U142" s="97"/>
      <c r="V142" s="97"/>
      <c r="W142" s="97"/>
      <c r="X142" s="97"/>
      <c r="Y142" s="97"/>
      <c r="Z142" s="97"/>
      <c r="AA142" s="97"/>
      <c r="AB142" s="97"/>
      <c r="AC142" s="97"/>
      <c r="AD142" s="19"/>
      <c r="AE142" s="22"/>
    </row>
    <row r="143" spans="1:31" outlineLevel="1" x14ac:dyDescent="0.2">
      <c r="A143" s="24" t="str">
        <f ca="1">Language!A162</f>
        <v>Земельный налог</v>
      </c>
      <c r="B143" s="19"/>
      <c r="C143" s="26" t="str">
        <f ca="1">CUR_Main</f>
        <v>тыс. EUR</v>
      </c>
      <c r="D143" s="59"/>
      <c r="E143" s="19"/>
      <c r="F143" s="98">
        <v>0</v>
      </c>
      <c r="G143" s="98">
        <v>0</v>
      </c>
      <c r="H143" s="98">
        <v>0</v>
      </c>
      <c r="I143" s="98">
        <v>0</v>
      </c>
      <c r="J143" s="98">
        <v>0</v>
      </c>
      <c r="K143" s="98">
        <f t="shared" ref="K143:T143" si="184">K144*K145</f>
        <v>1.0348837209302326</v>
      </c>
      <c r="L143" s="98">
        <f t="shared" si="184"/>
        <v>1.0348837209302326</v>
      </c>
      <c r="M143" s="98">
        <f t="shared" si="184"/>
        <v>1.0348837209302326</v>
      </c>
      <c r="N143" s="98">
        <f t="shared" si="184"/>
        <v>1.0348837209302326</v>
      </c>
      <c r="O143" s="98">
        <f t="shared" si="184"/>
        <v>1.0348837209302326</v>
      </c>
      <c r="P143" s="98">
        <f t="shared" si="184"/>
        <v>1.0348837209302326</v>
      </c>
      <c r="Q143" s="98">
        <f t="shared" si="184"/>
        <v>1.0348837209302326</v>
      </c>
      <c r="R143" s="98">
        <f t="shared" si="184"/>
        <v>1.0348837209302326</v>
      </c>
      <c r="S143" s="98">
        <f t="shared" si="184"/>
        <v>1.0348837209302326</v>
      </c>
      <c r="T143" s="98">
        <f t="shared" si="184"/>
        <v>1.0348837209302326</v>
      </c>
      <c r="U143" s="98">
        <f t="shared" ref="U143" si="185">U144*U145</f>
        <v>1.0348837209302326</v>
      </c>
      <c r="V143" s="98">
        <f t="shared" ref="V143" si="186">V144*V145</f>
        <v>1.0348837209302326</v>
      </c>
      <c r="W143" s="98">
        <f t="shared" ref="W143" si="187">W144*W145</f>
        <v>1.0348837209302326</v>
      </c>
      <c r="X143" s="98">
        <f t="shared" ref="X143" si="188">X144*X145</f>
        <v>1.0348837209302326</v>
      </c>
      <c r="Y143" s="98">
        <f t="shared" ref="Y143" si="189">Y144*Y145</f>
        <v>1.0348837209302326</v>
      </c>
      <c r="Z143" s="98">
        <f t="shared" ref="Z143" si="190">Z144*Z145</f>
        <v>1.0348837209302326</v>
      </c>
      <c r="AA143" s="98">
        <f t="shared" ref="AA143" si="191">AA144*AA145</f>
        <v>1.0348837209302326</v>
      </c>
      <c r="AB143" s="98">
        <f t="shared" ref="AB143:AC143" si="192">AB144*AB145</f>
        <v>1.0348837209302326</v>
      </c>
      <c r="AC143" s="98">
        <f t="shared" si="192"/>
        <v>1.0348837209302326</v>
      </c>
      <c r="AD143" s="19"/>
      <c r="AE143" s="96">
        <f>SUM(F143:AC143)</f>
        <v>19.66279069767441</v>
      </c>
    </row>
    <row r="144" spans="1:31" outlineLevel="2" x14ac:dyDescent="0.2">
      <c r="A144" s="19" t="str">
        <f ca="1">Language!A163</f>
        <v xml:space="preserve">    ставка (на тыс. кв. м )</v>
      </c>
      <c r="B144" s="666">
        <f>0.89/Расходы!B7/4</f>
        <v>5.1744186046511632E-2</v>
      </c>
      <c r="C144" s="26" t="str">
        <f ca="1">CUR_Main</f>
        <v>тыс. EUR</v>
      </c>
      <c r="D144" s="16" t="s">
        <v>2429</v>
      </c>
      <c r="E144" s="19"/>
      <c r="F144" s="65">
        <f>B144</f>
        <v>5.1744186046511632E-2</v>
      </c>
      <c r="G144" s="65">
        <f t="shared" ref="G144:J145" si="193">F144</f>
        <v>5.1744186046511632E-2</v>
      </c>
      <c r="H144" s="65">
        <f t="shared" si="193"/>
        <v>5.1744186046511632E-2</v>
      </c>
      <c r="I144" s="65">
        <f t="shared" si="193"/>
        <v>5.1744186046511632E-2</v>
      </c>
      <c r="J144" s="65">
        <f t="shared" si="193"/>
        <v>5.1744186046511632E-2</v>
      </c>
      <c r="K144" s="65">
        <f t="shared" ref="K144:AC144" si="194">J144</f>
        <v>5.1744186046511632E-2</v>
      </c>
      <c r="L144" s="65">
        <f t="shared" si="194"/>
        <v>5.1744186046511632E-2</v>
      </c>
      <c r="M144" s="65">
        <f t="shared" si="194"/>
        <v>5.1744186046511632E-2</v>
      </c>
      <c r="N144" s="65">
        <f t="shared" si="194"/>
        <v>5.1744186046511632E-2</v>
      </c>
      <c r="O144" s="65">
        <f t="shared" si="194"/>
        <v>5.1744186046511632E-2</v>
      </c>
      <c r="P144" s="65">
        <f t="shared" si="194"/>
        <v>5.1744186046511632E-2</v>
      </c>
      <c r="Q144" s="65">
        <f t="shared" si="194"/>
        <v>5.1744186046511632E-2</v>
      </c>
      <c r="R144" s="65">
        <f t="shared" si="194"/>
        <v>5.1744186046511632E-2</v>
      </c>
      <c r="S144" s="65">
        <f t="shared" si="194"/>
        <v>5.1744186046511632E-2</v>
      </c>
      <c r="T144" s="65">
        <f t="shared" si="194"/>
        <v>5.1744186046511632E-2</v>
      </c>
      <c r="U144" s="65">
        <f t="shared" si="194"/>
        <v>5.1744186046511632E-2</v>
      </c>
      <c r="V144" s="65">
        <f t="shared" si="194"/>
        <v>5.1744186046511632E-2</v>
      </c>
      <c r="W144" s="65">
        <f t="shared" si="194"/>
        <v>5.1744186046511632E-2</v>
      </c>
      <c r="X144" s="65">
        <f t="shared" si="194"/>
        <v>5.1744186046511632E-2</v>
      </c>
      <c r="Y144" s="65">
        <f t="shared" si="194"/>
        <v>5.1744186046511632E-2</v>
      </c>
      <c r="Z144" s="65">
        <f t="shared" si="194"/>
        <v>5.1744186046511632E-2</v>
      </c>
      <c r="AA144" s="65">
        <f t="shared" si="194"/>
        <v>5.1744186046511632E-2</v>
      </c>
      <c r="AB144" s="65">
        <f t="shared" si="194"/>
        <v>5.1744186046511632E-2</v>
      </c>
      <c r="AC144" s="65">
        <f t="shared" si="194"/>
        <v>5.1744186046511632E-2</v>
      </c>
      <c r="AD144" s="19"/>
      <c r="AE144" s="96"/>
    </row>
    <row r="145" spans="1:31" outlineLevel="2" x14ac:dyDescent="0.2">
      <c r="A145" s="19" t="str">
        <f ca="1">Language!A164</f>
        <v xml:space="preserve">    площадь к налогообложению</v>
      </c>
      <c r="B145" s="261">
        <v>20</v>
      </c>
      <c r="C145" s="26" t="str">
        <f ca="1">Language!A224</f>
        <v>тыс. кв. м</v>
      </c>
      <c r="D145" s="16" t="s">
        <v>2429</v>
      </c>
      <c r="E145" s="19"/>
      <c r="F145" s="65">
        <f>B145</f>
        <v>20</v>
      </c>
      <c r="G145" s="65">
        <f t="shared" si="193"/>
        <v>20</v>
      </c>
      <c r="H145" s="65">
        <f t="shared" si="193"/>
        <v>20</v>
      </c>
      <c r="I145" s="65">
        <f t="shared" si="193"/>
        <v>20</v>
      </c>
      <c r="J145" s="65">
        <f t="shared" si="193"/>
        <v>20</v>
      </c>
      <c r="K145" s="65">
        <f t="shared" ref="K145:AC145" si="195">J145</f>
        <v>20</v>
      </c>
      <c r="L145" s="65">
        <f t="shared" si="195"/>
        <v>20</v>
      </c>
      <c r="M145" s="65">
        <f t="shared" si="195"/>
        <v>20</v>
      </c>
      <c r="N145" s="65">
        <f t="shared" si="195"/>
        <v>20</v>
      </c>
      <c r="O145" s="65">
        <f t="shared" si="195"/>
        <v>20</v>
      </c>
      <c r="P145" s="65">
        <f t="shared" si="195"/>
        <v>20</v>
      </c>
      <c r="Q145" s="65">
        <f t="shared" si="195"/>
        <v>20</v>
      </c>
      <c r="R145" s="65">
        <f t="shared" si="195"/>
        <v>20</v>
      </c>
      <c r="S145" s="65">
        <f t="shared" si="195"/>
        <v>20</v>
      </c>
      <c r="T145" s="65">
        <f t="shared" si="195"/>
        <v>20</v>
      </c>
      <c r="U145" s="65">
        <f t="shared" si="195"/>
        <v>20</v>
      </c>
      <c r="V145" s="65">
        <f t="shared" si="195"/>
        <v>20</v>
      </c>
      <c r="W145" s="65">
        <f t="shared" si="195"/>
        <v>20</v>
      </c>
      <c r="X145" s="65">
        <f t="shared" si="195"/>
        <v>20</v>
      </c>
      <c r="Y145" s="65">
        <f t="shared" si="195"/>
        <v>20</v>
      </c>
      <c r="Z145" s="65">
        <f t="shared" si="195"/>
        <v>20</v>
      </c>
      <c r="AA145" s="65">
        <f t="shared" si="195"/>
        <v>20</v>
      </c>
      <c r="AB145" s="65">
        <f t="shared" si="195"/>
        <v>20</v>
      </c>
      <c r="AC145" s="65">
        <f t="shared" si="195"/>
        <v>20</v>
      </c>
      <c r="AD145" s="19"/>
      <c r="AE145" s="22"/>
    </row>
    <row r="146" spans="1:31" outlineLevel="2" x14ac:dyDescent="0.2">
      <c r="A146" s="19" t="str">
        <f ca="1">Language!A165</f>
        <v xml:space="preserve">    период уплаты</v>
      </c>
      <c r="B146" s="258">
        <f>IF(PRJ_Step=30,30,90)</f>
        <v>90</v>
      </c>
      <c r="C146" s="26" t="str">
        <f ca="1">Language!A219</f>
        <v>дней</v>
      </c>
      <c r="D146" s="16"/>
      <c r="E146" s="19"/>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19"/>
      <c r="AE146" s="22"/>
    </row>
    <row r="147" spans="1:31" outlineLevel="1" collapsed="1" x14ac:dyDescent="0.2">
      <c r="A147" s="24" t="str">
        <f ca="1">Language!A166</f>
        <v>Другие налоги, относимые на текущие затраты</v>
      </c>
      <c r="B147" s="19"/>
      <c r="C147" s="26" t="str">
        <f ca="1">CUR_Main</f>
        <v>тыс. EUR</v>
      </c>
      <c r="D147" s="59"/>
      <c r="E147" s="19"/>
      <c r="F147" s="56">
        <f t="shared" ref="F147:T147" si="196">F148+SUMIF($D148:$D156,"1_01",F148:F156)</f>
        <v>0</v>
      </c>
      <c r="G147" s="56">
        <f t="shared" si="196"/>
        <v>0</v>
      </c>
      <c r="H147" s="56">
        <f t="shared" si="196"/>
        <v>0</v>
      </c>
      <c r="I147" s="56">
        <f t="shared" si="196"/>
        <v>0</v>
      </c>
      <c r="J147" s="56">
        <f t="shared" si="196"/>
        <v>0</v>
      </c>
      <c r="K147" s="56">
        <f t="shared" si="196"/>
        <v>0</v>
      </c>
      <c r="L147" s="56">
        <f t="shared" si="196"/>
        <v>0</v>
      </c>
      <c r="M147" s="56">
        <f t="shared" si="196"/>
        <v>0</v>
      </c>
      <c r="N147" s="56">
        <f t="shared" si="196"/>
        <v>0</v>
      </c>
      <c r="O147" s="56">
        <f t="shared" si="196"/>
        <v>0</v>
      </c>
      <c r="P147" s="56">
        <f t="shared" si="196"/>
        <v>0</v>
      </c>
      <c r="Q147" s="56">
        <f t="shared" si="196"/>
        <v>0</v>
      </c>
      <c r="R147" s="56">
        <f t="shared" si="196"/>
        <v>0</v>
      </c>
      <c r="S147" s="56">
        <f t="shared" si="196"/>
        <v>0</v>
      </c>
      <c r="T147" s="56">
        <f t="shared" si="196"/>
        <v>0</v>
      </c>
      <c r="U147" s="56">
        <f t="shared" ref="U147" si="197">U148+SUMIF($D148:$D156,"1_01",U148:U156)</f>
        <v>0</v>
      </c>
      <c r="V147" s="56">
        <f t="shared" ref="V147" si="198">V148+SUMIF($D148:$D156,"1_01",V148:V156)</f>
        <v>0</v>
      </c>
      <c r="W147" s="56">
        <f t="shared" ref="W147" si="199">W148+SUMIF($D148:$D156,"1_01",W148:W156)</f>
        <v>0</v>
      </c>
      <c r="X147" s="56">
        <f t="shared" ref="X147" si="200">X148+SUMIF($D148:$D156,"1_01",X148:X156)</f>
        <v>0</v>
      </c>
      <c r="Y147" s="56">
        <f t="shared" ref="Y147" si="201">Y148+SUMIF($D148:$D156,"1_01",Y148:Y156)</f>
        <v>0</v>
      </c>
      <c r="Z147" s="56">
        <f t="shared" ref="Z147" si="202">Z148+SUMIF($D148:$D156,"1_01",Z148:Z156)</f>
        <v>0</v>
      </c>
      <c r="AA147" s="56">
        <f t="shared" ref="AA147" si="203">AA148+SUMIF($D148:$D156,"1_01",AA148:AA156)</f>
        <v>0</v>
      </c>
      <c r="AB147" s="56">
        <f t="shared" ref="AB147:AC147" si="204">AB148+SUMIF($D148:$D156,"1_01",AB148:AB156)</f>
        <v>0</v>
      </c>
      <c r="AC147" s="56">
        <f t="shared" si="204"/>
        <v>0</v>
      </c>
      <c r="AD147" s="19"/>
      <c r="AE147" s="104">
        <f>SUM(F147:AC147)</f>
        <v>0</v>
      </c>
    </row>
    <row r="148" spans="1:31" hidden="1" outlineLevel="2" x14ac:dyDescent="0.2">
      <c r="A148" s="19" t="str">
        <f ca="1">Language!A167</f>
        <v>Другие налоги с продаж</v>
      </c>
      <c r="B148" s="19"/>
      <c r="C148" s="26"/>
      <c r="D148" s="16"/>
      <c r="E148" s="19"/>
      <c r="F148" s="65">
        <f t="shared" ref="F148:T148" si="205">F149*F715</f>
        <v>0</v>
      </c>
      <c r="G148" s="65">
        <f t="shared" si="205"/>
        <v>0</v>
      </c>
      <c r="H148" s="65">
        <f t="shared" si="205"/>
        <v>0</v>
      </c>
      <c r="I148" s="65">
        <f t="shared" si="205"/>
        <v>0</v>
      </c>
      <c r="J148" s="65">
        <f t="shared" si="205"/>
        <v>0</v>
      </c>
      <c r="K148" s="65">
        <f t="shared" si="205"/>
        <v>0</v>
      </c>
      <c r="L148" s="65">
        <f t="shared" si="205"/>
        <v>0</v>
      </c>
      <c r="M148" s="65">
        <f t="shared" si="205"/>
        <v>0</v>
      </c>
      <c r="N148" s="65">
        <f t="shared" si="205"/>
        <v>0</v>
      </c>
      <c r="O148" s="65">
        <f t="shared" si="205"/>
        <v>0</v>
      </c>
      <c r="P148" s="65">
        <f t="shared" si="205"/>
        <v>0</v>
      </c>
      <c r="Q148" s="65">
        <f t="shared" si="205"/>
        <v>0</v>
      </c>
      <c r="R148" s="65">
        <f t="shared" si="205"/>
        <v>0</v>
      </c>
      <c r="S148" s="65">
        <f t="shared" si="205"/>
        <v>0</v>
      </c>
      <c r="T148" s="65">
        <f t="shared" si="205"/>
        <v>0</v>
      </c>
      <c r="U148" s="65">
        <f t="shared" ref="U148" si="206">U149*U715</f>
        <v>0</v>
      </c>
      <c r="V148" s="65">
        <f t="shared" ref="V148" si="207">V149*V715</f>
        <v>0</v>
      </c>
      <c r="W148" s="65">
        <f t="shared" ref="W148" si="208">W149*W715</f>
        <v>0</v>
      </c>
      <c r="X148" s="65">
        <f t="shared" ref="X148" si="209">X149*X715</f>
        <v>0</v>
      </c>
      <c r="Y148" s="65">
        <f t="shared" ref="Y148" si="210">Y149*Y715</f>
        <v>0</v>
      </c>
      <c r="Z148" s="65">
        <f t="shared" ref="Z148" si="211">Z149*Z715</f>
        <v>0</v>
      </c>
      <c r="AA148" s="65">
        <f t="shared" ref="AA148" si="212">AA149*AA715</f>
        <v>0</v>
      </c>
      <c r="AB148" s="65">
        <f t="shared" ref="AB148:AC148" si="213">AB149*AB715</f>
        <v>0</v>
      </c>
      <c r="AC148" s="65">
        <f t="shared" si="213"/>
        <v>0</v>
      </c>
      <c r="AD148" s="19"/>
      <c r="AE148" s="103">
        <f>SUM(F148:AC148)</f>
        <v>0</v>
      </c>
    </row>
    <row r="149" spans="1:31" hidden="1" outlineLevel="2" x14ac:dyDescent="0.2">
      <c r="A149" s="19" t="str">
        <f ca="1">Language!A168</f>
        <v xml:space="preserve">    ставка</v>
      </c>
      <c r="B149" s="259">
        <v>0</v>
      </c>
      <c r="C149" s="26" t="s">
        <v>2430</v>
      </c>
      <c r="D149" s="16" t="s">
        <v>2429</v>
      </c>
      <c r="E149" s="19"/>
      <c r="F149" s="47">
        <f>B149</f>
        <v>0</v>
      </c>
      <c r="G149" s="47">
        <f t="shared" ref="G149:AC149" si="214">F149</f>
        <v>0</v>
      </c>
      <c r="H149" s="47">
        <f t="shared" si="214"/>
        <v>0</v>
      </c>
      <c r="I149" s="47">
        <f t="shared" si="214"/>
        <v>0</v>
      </c>
      <c r="J149" s="47">
        <f t="shared" si="214"/>
        <v>0</v>
      </c>
      <c r="K149" s="47">
        <f t="shared" si="214"/>
        <v>0</v>
      </c>
      <c r="L149" s="47">
        <f t="shared" si="214"/>
        <v>0</v>
      </c>
      <c r="M149" s="47">
        <f t="shared" si="214"/>
        <v>0</v>
      </c>
      <c r="N149" s="47">
        <f t="shared" si="214"/>
        <v>0</v>
      </c>
      <c r="O149" s="47">
        <f t="shared" si="214"/>
        <v>0</v>
      </c>
      <c r="P149" s="47">
        <f t="shared" si="214"/>
        <v>0</v>
      </c>
      <c r="Q149" s="47">
        <f t="shared" si="214"/>
        <v>0</v>
      </c>
      <c r="R149" s="47">
        <f t="shared" si="214"/>
        <v>0</v>
      </c>
      <c r="S149" s="47">
        <f t="shared" si="214"/>
        <v>0</v>
      </c>
      <c r="T149" s="47">
        <f t="shared" si="214"/>
        <v>0</v>
      </c>
      <c r="U149" s="47">
        <f t="shared" si="214"/>
        <v>0</v>
      </c>
      <c r="V149" s="47">
        <f t="shared" si="214"/>
        <v>0</v>
      </c>
      <c r="W149" s="47">
        <f t="shared" si="214"/>
        <v>0</v>
      </c>
      <c r="X149" s="47">
        <f t="shared" si="214"/>
        <v>0</v>
      </c>
      <c r="Y149" s="47">
        <f t="shared" si="214"/>
        <v>0</v>
      </c>
      <c r="Z149" s="47">
        <f t="shared" si="214"/>
        <v>0</v>
      </c>
      <c r="AA149" s="47">
        <f t="shared" si="214"/>
        <v>0</v>
      </c>
      <c r="AB149" s="47">
        <f t="shared" si="214"/>
        <v>0</v>
      </c>
      <c r="AC149" s="47">
        <f t="shared" si="214"/>
        <v>0</v>
      </c>
      <c r="AD149" s="19"/>
      <c r="AE149" s="22"/>
    </row>
    <row r="150" spans="1:31" hidden="1" outlineLevel="2" x14ac:dyDescent="0.2">
      <c r="A150" s="19" t="str">
        <f ca="1">Language!A169</f>
        <v xml:space="preserve">    период уплаты</v>
      </c>
      <c r="B150" s="258">
        <f>IF(PRJ_Step=30,30,90)</f>
        <v>90</v>
      </c>
      <c r="C150" s="26" t="str">
        <f ca="1">Language!A$219</f>
        <v>дней</v>
      </c>
      <c r="D150" s="16">
        <v>1</v>
      </c>
      <c r="E150" s="19">
        <v>5</v>
      </c>
      <c r="F150" s="97"/>
      <c r="G150" s="97"/>
      <c r="H150" s="97"/>
      <c r="I150" s="97"/>
      <c r="J150" s="97"/>
      <c r="K150" s="97"/>
      <c r="L150" s="97"/>
      <c r="M150" s="97"/>
      <c r="N150" s="97"/>
      <c r="O150" s="97"/>
      <c r="P150" s="97"/>
      <c r="Q150" s="97"/>
      <c r="R150" s="97"/>
      <c r="S150" s="97"/>
      <c r="T150" s="97"/>
      <c r="U150" s="97"/>
      <c r="V150" s="97"/>
      <c r="W150" s="97"/>
      <c r="X150" s="97"/>
      <c r="Y150" s="97"/>
      <c r="Z150" s="97"/>
      <c r="AA150" s="97"/>
      <c r="AB150" s="97"/>
      <c r="AC150" s="97"/>
      <c r="AD150" s="19"/>
      <c r="AE150" s="22"/>
    </row>
    <row r="151" spans="1:31" s="48" customFormat="1" hidden="1" outlineLevel="2" x14ac:dyDescent="0.2">
      <c r="A151" s="262" t="str">
        <f ca="1">Language!A$225</f>
        <v>Наименование налога</v>
      </c>
      <c r="B151" s="50"/>
      <c r="C151" s="26" t="str">
        <f ca="1">CUR_Main</f>
        <v>тыс. EUR</v>
      </c>
      <c r="D151" s="16" t="s">
        <v>2441</v>
      </c>
      <c r="E151" s="45"/>
      <c r="F151" s="65">
        <f t="shared" ref="F151:T151" si="215">F152*F153</f>
        <v>0</v>
      </c>
      <c r="G151" s="65">
        <f t="shared" si="215"/>
        <v>0</v>
      </c>
      <c r="H151" s="65">
        <f t="shared" si="215"/>
        <v>0</v>
      </c>
      <c r="I151" s="65">
        <f t="shared" si="215"/>
        <v>0</v>
      </c>
      <c r="J151" s="65">
        <f t="shared" si="215"/>
        <v>0</v>
      </c>
      <c r="K151" s="65">
        <f t="shared" si="215"/>
        <v>0</v>
      </c>
      <c r="L151" s="65">
        <f t="shared" si="215"/>
        <v>0</v>
      </c>
      <c r="M151" s="65">
        <f t="shared" si="215"/>
        <v>0</v>
      </c>
      <c r="N151" s="65">
        <f t="shared" si="215"/>
        <v>0</v>
      </c>
      <c r="O151" s="65">
        <f t="shared" si="215"/>
        <v>0</v>
      </c>
      <c r="P151" s="65">
        <f t="shared" si="215"/>
        <v>0</v>
      </c>
      <c r="Q151" s="65">
        <f t="shared" si="215"/>
        <v>0</v>
      </c>
      <c r="R151" s="65">
        <f t="shared" si="215"/>
        <v>0</v>
      </c>
      <c r="S151" s="65">
        <f t="shared" si="215"/>
        <v>0</v>
      </c>
      <c r="T151" s="65">
        <f t="shared" si="215"/>
        <v>0</v>
      </c>
      <c r="U151" s="65">
        <f t="shared" ref="U151" si="216">U152*U153</f>
        <v>0</v>
      </c>
      <c r="V151" s="65">
        <f t="shared" ref="V151" si="217">V152*V153</f>
        <v>0</v>
      </c>
      <c r="W151" s="65">
        <f t="shared" ref="W151" si="218">W152*W153</f>
        <v>0</v>
      </c>
      <c r="X151" s="65">
        <f t="shared" ref="X151" si="219">X152*X153</f>
        <v>0</v>
      </c>
      <c r="Y151" s="65">
        <f t="shared" ref="Y151" si="220">Y152*Y153</f>
        <v>0</v>
      </c>
      <c r="Z151" s="65">
        <f t="shared" ref="Z151" si="221">Z152*Z153</f>
        <v>0</v>
      </c>
      <c r="AA151" s="65">
        <f t="shared" ref="AA151" si="222">AA152*AA153</f>
        <v>0</v>
      </c>
      <c r="AB151" s="65">
        <f t="shared" ref="AB151:AC151" si="223">AB152*AB153</f>
        <v>0</v>
      </c>
      <c r="AC151" s="65">
        <f t="shared" si="223"/>
        <v>0</v>
      </c>
      <c r="AD151" s="45"/>
      <c r="AE151" s="103">
        <f>SUM(F151:AC151)</f>
        <v>0</v>
      </c>
    </row>
    <row r="152" spans="1:31" hidden="1" outlineLevel="2" x14ac:dyDescent="0.2">
      <c r="A152" s="19" t="str">
        <f ca="1">Language!A$170</f>
        <v xml:space="preserve">    налогооблагаемая база</v>
      </c>
      <c r="B152" s="19"/>
      <c r="C152" s="26" t="str">
        <f ca="1">CUR_Main</f>
        <v>тыс. EUR</v>
      </c>
      <c r="E152" s="19"/>
      <c r="F152" s="263">
        <v>0</v>
      </c>
      <c r="G152" s="263">
        <f t="shared" ref="G152:J153" si="224">F152</f>
        <v>0</v>
      </c>
      <c r="H152" s="263">
        <f t="shared" si="224"/>
        <v>0</v>
      </c>
      <c r="I152" s="263">
        <f t="shared" si="224"/>
        <v>0</v>
      </c>
      <c r="J152" s="263">
        <f t="shared" si="224"/>
        <v>0</v>
      </c>
      <c r="K152" s="263">
        <f t="shared" ref="K152:AC152" si="225">J152</f>
        <v>0</v>
      </c>
      <c r="L152" s="263">
        <f t="shared" si="225"/>
        <v>0</v>
      </c>
      <c r="M152" s="263">
        <f t="shared" si="225"/>
        <v>0</v>
      </c>
      <c r="N152" s="263">
        <f t="shared" si="225"/>
        <v>0</v>
      </c>
      <c r="O152" s="263">
        <f t="shared" si="225"/>
        <v>0</v>
      </c>
      <c r="P152" s="263">
        <f t="shared" si="225"/>
        <v>0</v>
      </c>
      <c r="Q152" s="263">
        <f t="shared" si="225"/>
        <v>0</v>
      </c>
      <c r="R152" s="263">
        <f t="shared" si="225"/>
        <v>0</v>
      </c>
      <c r="S152" s="263">
        <f t="shared" si="225"/>
        <v>0</v>
      </c>
      <c r="T152" s="263">
        <f t="shared" si="225"/>
        <v>0</v>
      </c>
      <c r="U152" s="263">
        <f t="shared" si="225"/>
        <v>0</v>
      </c>
      <c r="V152" s="263">
        <f t="shared" si="225"/>
        <v>0</v>
      </c>
      <c r="W152" s="263">
        <f t="shared" si="225"/>
        <v>0</v>
      </c>
      <c r="X152" s="263">
        <f t="shared" si="225"/>
        <v>0</v>
      </c>
      <c r="Y152" s="263">
        <f t="shared" si="225"/>
        <v>0</v>
      </c>
      <c r="Z152" s="263">
        <f t="shared" si="225"/>
        <v>0</v>
      </c>
      <c r="AA152" s="263">
        <f t="shared" si="225"/>
        <v>0</v>
      </c>
      <c r="AB152" s="263">
        <f t="shared" si="225"/>
        <v>0</v>
      </c>
      <c r="AC152" s="263">
        <f t="shared" si="225"/>
        <v>0</v>
      </c>
      <c r="AD152" s="19"/>
      <c r="AE152" s="22"/>
    </row>
    <row r="153" spans="1:31" hidden="1" outlineLevel="2" x14ac:dyDescent="0.2">
      <c r="A153" s="19" t="str">
        <f ca="1">Language!A$171</f>
        <v xml:space="preserve">    ставка</v>
      </c>
      <c r="B153" s="259">
        <v>0</v>
      </c>
      <c r="C153" s="26" t="s">
        <v>2430</v>
      </c>
      <c r="D153" s="16" t="s">
        <v>2429</v>
      </c>
      <c r="E153" s="19"/>
      <c r="F153" s="47">
        <f>B153</f>
        <v>0</v>
      </c>
      <c r="G153" s="47">
        <f t="shared" si="224"/>
        <v>0</v>
      </c>
      <c r="H153" s="47">
        <f t="shared" si="224"/>
        <v>0</v>
      </c>
      <c r="I153" s="47">
        <f t="shared" si="224"/>
        <v>0</v>
      </c>
      <c r="J153" s="47">
        <f t="shared" si="224"/>
        <v>0</v>
      </c>
      <c r="K153" s="47">
        <f t="shared" ref="K153:AC153" si="226">J153</f>
        <v>0</v>
      </c>
      <c r="L153" s="47">
        <f t="shared" si="226"/>
        <v>0</v>
      </c>
      <c r="M153" s="47">
        <f t="shared" si="226"/>
        <v>0</v>
      </c>
      <c r="N153" s="47">
        <f t="shared" si="226"/>
        <v>0</v>
      </c>
      <c r="O153" s="47">
        <f t="shared" si="226"/>
        <v>0</v>
      </c>
      <c r="P153" s="47">
        <f t="shared" si="226"/>
        <v>0</v>
      </c>
      <c r="Q153" s="47">
        <f t="shared" si="226"/>
        <v>0</v>
      </c>
      <c r="R153" s="47">
        <f t="shared" si="226"/>
        <v>0</v>
      </c>
      <c r="S153" s="47">
        <f t="shared" si="226"/>
        <v>0</v>
      </c>
      <c r="T153" s="47">
        <f t="shared" si="226"/>
        <v>0</v>
      </c>
      <c r="U153" s="47">
        <f t="shared" si="226"/>
        <v>0</v>
      </c>
      <c r="V153" s="47">
        <f t="shared" si="226"/>
        <v>0</v>
      </c>
      <c r="W153" s="47">
        <f t="shared" si="226"/>
        <v>0</v>
      </c>
      <c r="X153" s="47">
        <f t="shared" si="226"/>
        <v>0</v>
      </c>
      <c r="Y153" s="47">
        <f t="shared" si="226"/>
        <v>0</v>
      </c>
      <c r="Z153" s="47">
        <f t="shared" si="226"/>
        <v>0</v>
      </c>
      <c r="AA153" s="47">
        <f t="shared" si="226"/>
        <v>0</v>
      </c>
      <c r="AB153" s="47">
        <f t="shared" si="226"/>
        <v>0</v>
      </c>
      <c r="AC153" s="47">
        <f t="shared" si="226"/>
        <v>0</v>
      </c>
      <c r="AD153" s="19"/>
      <c r="AE153" s="22"/>
    </row>
    <row r="154" spans="1:31" hidden="1" outlineLevel="2" x14ac:dyDescent="0.2">
      <c r="A154" s="19" t="str">
        <f ca="1">Language!A$172</f>
        <v xml:space="preserve">    период уплаты</v>
      </c>
      <c r="B154" s="258">
        <f>IF(PRJ_Step=30,30,90)</f>
        <v>90</v>
      </c>
      <c r="C154" s="26" t="str">
        <f ca="1">Language!A$219</f>
        <v>дней</v>
      </c>
      <c r="D154" s="16"/>
      <c r="E154" s="19"/>
      <c r="F154" s="97"/>
      <c r="G154" s="97"/>
      <c r="H154" s="97"/>
      <c r="I154" s="97"/>
      <c r="J154" s="97"/>
      <c r="K154" s="97"/>
      <c r="L154" s="97"/>
      <c r="M154" s="97"/>
      <c r="N154" s="97"/>
      <c r="O154" s="97"/>
      <c r="P154" s="97"/>
      <c r="Q154" s="97"/>
      <c r="R154" s="97"/>
      <c r="S154" s="97"/>
      <c r="T154" s="97"/>
      <c r="U154" s="97"/>
      <c r="V154" s="97"/>
      <c r="W154" s="97"/>
      <c r="X154" s="97"/>
      <c r="Y154" s="97"/>
      <c r="Z154" s="97"/>
      <c r="AA154" s="97"/>
      <c r="AB154" s="97"/>
      <c r="AC154" s="97"/>
      <c r="AD154" s="19"/>
      <c r="AE154" s="22"/>
    </row>
    <row r="155" spans="1:31" s="48" customFormat="1" hidden="1" outlineLevel="2" x14ac:dyDescent="0.2">
      <c r="A155" s="19" t="str">
        <f ca="1">Language!A$173</f>
        <v xml:space="preserve">   задолженность перед бюджетом</v>
      </c>
      <c r="B155" s="50"/>
      <c r="C155" s="26" t="str">
        <f ca="1">CUR_Main</f>
        <v>тыс. EUR</v>
      </c>
      <c r="D155" s="100" t="s">
        <v>1370</v>
      </c>
      <c r="E155" s="45"/>
      <c r="F155" s="102">
        <v>0</v>
      </c>
      <c r="G155" s="102">
        <f t="shared" ref="G155:AC155" si="227">F151*$B154/PRJ_Step</f>
        <v>0</v>
      </c>
      <c r="H155" s="102">
        <f t="shared" si="227"/>
        <v>0</v>
      </c>
      <c r="I155" s="102">
        <f t="shared" si="227"/>
        <v>0</v>
      </c>
      <c r="J155" s="102">
        <f t="shared" si="227"/>
        <v>0</v>
      </c>
      <c r="K155" s="102">
        <f t="shared" si="227"/>
        <v>0</v>
      </c>
      <c r="L155" s="102">
        <f t="shared" si="227"/>
        <v>0</v>
      </c>
      <c r="M155" s="102">
        <f t="shared" si="227"/>
        <v>0</v>
      </c>
      <c r="N155" s="102">
        <f t="shared" si="227"/>
        <v>0</v>
      </c>
      <c r="O155" s="102">
        <f t="shared" si="227"/>
        <v>0</v>
      </c>
      <c r="P155" s="102">
        <f t="shared" si="227"/>
        <v>0</v>
      </c>
      <c r="Q155" s="102">
        <f t="shared" si="227"/>
        <v>0</v>
      </c>
      <c r="R155" s="102">
        <f t="shared" si="227"/>
        <v>0</v>
      </c>
      <c r="S155" s="102">
        <f t="shared" si="227"/>
        <v>0</v>
      </c>
      <c r="T155" s="102">
        <f t="shared" si="227"/>
        <v>0</v>
      </c>
      <c r="U155" s="102">
        <f t="shared" si="227"/>
        <v>0</v>
      </c>
      <c r="V155" s="102">
        <f t="shared" si="227"/>
        <v>0</v>
      </c>
      <c r="W155" s="102">
        <f t="shared" si="227"/>
        <v>0</v>
      </c>
      <c r="X155" s="102">
        <f t="shared" si="227"/>
        <v>0</v>
      </c>
      <c r="Y155" s="102">
        <f t="shared" si="227"/>
        <v>0</v>
      </c>
      <c r="Z155" s="102">
        <f t="shared" si="227"/>
        <v>0</v>
      </c>
      <c r="AA155" s="102">
        <f t="shared" si="227"/>
        <v>0</v>
      </c>
      <c r="AB155" s="102">
        <f t="shared" si="227"/>
        <v>0</v>
      </c>
      <c r="AC155" s="102">
        <f t="shared" si="227"/>
        <v>0</v>
      </c>
      <c r="AD155" s="45"/>
      <c r="AE155" s="77"/>
    </row>
    <row r="156" spans="1:31" outlineLevel="1" x14ac:dyDescent="0.2">
      <c r="A156" s="19"/>
      <c r="B156" s="19"/>
      <c r="C156" s="26"/>
      <c r="D156" s="46"/>
      <c r="E156" s="19"/>
      <c r="F156" s="47"/>
      <c r="G156" s="47"/>
      <c r="H156" s="47"/>
      <c r="I156" s="47"/>
      <c r="J156" s="47"/>
      <c r="K156" s="47"/>
      <c r="L156" s="47"/>
      <c r="M156" s="47"/>
      <c r="N156" s="47"/>
      <c r="O156" s="47"/>
      <c r="P156" s="47"/>
      <c r="Q156" s="47"/>
      <c r="R156" s="47"/>
      <c r="S156" s="47"/>
      <c r="T156" s="47"/>
      <c r="U156" s="47"/>
      <c r="V156" s="47"/>
      <c r="W156" s="47"/>
      <c r="X156" s="47"/>
      <c r="Y156" s="47"/>
      <c r="Z156" s="47"/>
      <c r="AA156" s="47"/>
      <c r="AB156" s="47"/>
      <c r="AC156" s="47"/>
      <c r="AD156" s="19"/>
      <c r="AE156" s="22"/>
    </row>
    <row r="157" spans="1:31" outlineLevel="1" x14ac:dyDescent="0.2">
      <c r="A157" s="24" t="str">
        <f ca="1">Language!A175</f>
        <v>Налог на имущество</v>
      </c>
      <c r="B157" s="259">
        <v>0</v>
      </c>
      <c r="C157" s="26" t="str">
        <f ca="1">CUR_Main</f>
        <v>тыс. EUR</v>
      </c>
      <c r="D157" s="46"/>
      <c r="E157" s="19"/>
      <c r="F157" s="56">
        <v>0</v>
      </c>
      <c r="G157" s="56">
        <v>0</v>
      </c>
      <c r="H157" s="56">
        <v>0</v>
      </c>
      <c r="I157" s="56">
        <v>0</v>
      </c>
      <c r="J157" s="56">
        <v>0</v>
      </c>
      <c r="K157" s="56">
        <f>Расходы!B16*23.03/Расходы!B7/1000/4</f>
        <v>12.146986046511628</v>
      </c>
      <c r="L157" s="56">
        <f>K157</f>
        <v>12.146986046511628</v>
      </c>
      <c r="M157" s="56">
        <f t="shared" ref="M157:AC157" si="228">L157</f>
        <v>12.146986046511628</v>
      </c>
      <c r="N157" s="56">
        <f t="shared" si="228"/>
        <v>12.146986046511628</v>
      </c>
      <c r="O157" s="56">
        <f t="shared" si="228"/>
        <v>12.146986046511628</v>
      </c>
      <c r="P157" s="56">
        <f t="shared" si="228"/>
        <v>12.146986046511628</v>
      </c>
      <c r="Q157" s="56">
        <f t="shared" si="228"/>
        <v>12.146986046511628</v>
      </c>
      <c r="R157" s="56">
        <f t="shared" si="228"/>
        <v>12.146986046511628</v>
      </c>
      <c r="S157" s="56">
        <f t="shared" si="228"/>
        <v>12.146986046511628</v>
      </c>
      <c r="T157" s="56">
        <f t="shared" si="228"/>
        <v>12.146986046511628</v>
      </c>
      <c r="U157" s="56">
        <f t="shared" si="228"/>
        <v>12.146986046511628</v>
      </c>
      <c r="V157" s="56">
        <f t="shared" si="228"/>
        <v>12.146986046511628</v>
      </c>
      <c r="W157" s="56">
        <f t="shared" si="228"/>
        <v>12.146986046511628</v>
      </c>
      <c r="X157" s="56">
        <f t="shared" si="228"/>
        <v>12.146986046511628</v>
      </c>
      <c r="Y157" s="56">
        <f t="shared" si="228"/>
        <v>12.146986046511628</v>
      </c>
      <c r="Z157" s="56">
        <f t="shared" si="228"/>
        <v>12.146986046511628</v>
      </c>
      <c r="AA157" s="56">
        <f t="shared" si="228"/>
        <v>12.146986046511628</v>
      </c>
      <c r="AB157" s="56">
        <f t="shared" si="228"/>
        <v>12.146986046511628</v>
      </c>
      <c r="AC157" s="56">
        <f t="shared" si="228"/>
        <v>12.146986046511628</v>
      </c>
      <c r="AD157" s="19"/>
      <c r="AE157" s="104">
        <f>SUM(F157:AC157)</f>
        <v>230.79273488372104</v>
      </c>
    </row>
    <row r="158" spans="1:31" outlineLevel="2" x14ac:dyDescent="0.2">
      <c r="A158" s="19" t="str">
        <f ca="1">Language!A176</f>
        <v xml:space="preserve">    средняя стоимость имущества за период</v>
      </c>
      <c r="B158" s="19"/>
      <c r="C158" s="26" t="str">
        <f ca="1">CUR_Main</f>
        <v>тыс. EUR</v>
      </c>
      <c r="D158" s="16" t="s">
        <v>2429</v>
      </c>
      <c r="E158" s="19"/>
      <c r="F158" s="84">
        <f t="shared" ref="F158:AC158" ca="1" si="229">(E566+E579+E655+E239+E257+F566+F579+F655+F239+F257)/2</f>
        <v>0</v>
      </c>
      <c r="G158" s="84">
        <f t="shared" ca="1" si="229"/>
        <v>0</v>
      </c>
      <c r="H158" s="84">
        <f t="shared" ca="1" si="229"/>
        <v>0</v>
      </c>
      <c r="I158" s="84">
        <f t="shared" ca="1" si="229"/>
        <v>0</v>
      </c>
      <c r="J158" s="84">
        <f t="shared" ca="1" si="229"/>
        <v>6491.3079183769114</v>
      </c>
      <c r="K158" s="84">
        <f t="shared" ca="1" si="229"/>
        <v>12827.939580399441</v>
      </c>
      <c r="L158" s="84">
        <f t="shared" ca="1" si="229"/>
        <v>12518.587067690678</v>
      </c>
      <c r="M158" s="84">
        <f t="shared" ca="1" si="229"/>
        <v>12209.234554981915</v>
      </c>
      <c r="N158" s="84">
        <f t="shared" ca="1" si="229"/>
        <v>11899.882042273151</v>
      </c>
      <c r="O158" s="84">
        <f t="shared" ca="1" si="229"/>
        <v>11590.529529564386</v>
      </c>
      <c r="P158" s="84">
        <f t="shared" ca="1" si="229"/>
        <v>11281.177016855621</v>
      </c>
      <c r="Q158" s="84">
        <f t="shared" ca="1" si="229"/>
        <v>10971.824504146858</v>
      </c>
      <c r="R158" s="84">
        <f t="shared" ca="1" si="229"/>
        <v>10662.471991438095</v>
      </c>
      <c r="S158" s="84">
        <f t="shared" ca="1" si="229"/>
        <v>10353.119478729332</v>
      </c>
      <c r="T158" s="84">
        <f t="shared" ca="1" si="229"/>
        <v>10043.766966020568</v>
      </c>
      <c r="U158" s="84">
        <f t="shared" ca="1" si="229"/>
        <v>9734.4144533118033</v>
      </c>
      <c r="V158" s="84">
        <f t="shared" ca="1" si="229"/>
        <v>9425.0619406030401</v>
      </c>
      <c r="W158" s="84">
        <f t="shared" ca="1" si="229"/>
        <v>9115.709427894275</v>
      </c>
      <c r="X158" s="84">
        <f t="shared" ca="1" si="229"/>
        <v>8806.3569151855118</v>
      </c>
      <c r="Y158" s="84">
        <f t="shared" ca="1" si="229"/>
        <v>8497.0044024767485</v>
      </c>
      <c r="Z158" s="84">
        <f t="shared" ca="1" si="229"/>
        <v>8187.6518897679853</v>
      </c>
      <c r="AA158" s="84">
        <f t="shared" ca="1" si="229"/>
        <v>7878.2993770592202</v>
      </c>
      <c r="AB158" s="84">
        <f t="shared" ca="1" si="229"/>
        <v>7568.9468643504561</v>
      </c>
      <c r="AC158" s="84">
        <f t="shared" ca="1" si="229"/>
        <v>7259.5943516416919</v>
      </c>
      <c r="AD158" s="19"/>
      <c r="AE158" s="22"/>
    </row>
    <row r="159" spans="1:31" outlineLevel="2" x14ac:dyDescent="0.2">
      <c r="A159" s="19" t="str">
        <f ca="1">Language!A177</f>
        <v xml:space="preserve">    стоимость имущества, освобождаемого от налога</v>
      </c>
      <c r="B159" s="19"/>
      <c r="C159" s="26" t="str">
        <f ca="1">CUR_Main</f>
        <v>тыс. EUR</v>
      </c>
      <c r="D159" s="16" t="s">
        <v>2429</v>
      </c>
      <c r="E159" s="19"/>
      <c r="F159" s="263">
        <v>0</v>
      </c>
      <c r="G159" s="263">
        <v>0</v>
      </c>
      <c r="H159" s="263">
        <v>0</v>
      </c>
      <c r="I159" s="263">
        <v>0</v>
      </c>
      <c r="J159" s="263">
        <v>0</v>
      </c>
      <c r="K159" s="263">
        <v>0</v>
      </c>
      <c r="L159" s="263">
        <v>0</v>
      </c>
      <c r="M159" s="263">
        <v>0</v>
      </c>
      <c r="N159" s="263">
        <v>0</v>
      </c>
      <c r="O159" s="263">
        <v>0</v>
      </c>
      <c r="P159" s="263">
        <v>0</v>
      </c>
      <c r="Q159" s="263">
        <v>0</v>
      </c>
      <c r="R159" s="263">
        <v>0</v>
      </c>
      <c r="S159" s="263">
        <v>0</v>
      </c>
      <c r="T159" s="263">
        <v>0</v>
      </c>
      <c r="U159" s="263">
        <v>0</v>
      </c>
      <c r="V159" s="263">
        <v>0</v>
      </c>
      <c r="W159" s="263">
        <v>0</v>
      </c>
      <c r="X159" s="263">
        <v>0</v>
      </c>
      <c r="Y159" s="263">
        <v>0</v>
      </c>
      <c r="Z159" s="263">
        <v>0</v>
      </c>
      <c r="AA159" s="263">
        <v>0</v>
      </c>
      <c r="AB159" s="263">
        <v>0</v>
      </c>
      <c r="AC159" s="263">
        <v>0</v>
      </c>
      <c r="AD159" s="19"/>
      <c r="AE159" s="22"/>
    </row>
    <row r="160" spans="1:31" outlineLevel="2" x14ac:dyDescent="0.2">
      <c r="A160" s="19" t="str">
        <f ca="1">Language!A178</f>
        <v xml:space="preserve">    ставка</v>
      </c>
      <c r="C160" s="26" t="s">
        <v>2430</v>
      </c>
      <c r="D160" s="16" t="s">
        <v>2429</v>
      </c>
      <c r="E160" s="19"/>
      <c r="F160" s="34">
        <f>B157</f>
        <v>0</v>
      </c>
      <c r="G160" s="34">
        <f t="shared" ref="G160:AC160" si="230">F160</f>
        <v>0</v>
      </c>
      <c r="H160" s="34">
        <f t="shared" si="230"/>
        <v>0</v>
      </c>
      <c r="I160" s="34">
        <f t="shared" si="230"/>
        <v>0</v>
      </c>
      <c r="J160" s="34">
        <f t="shared" si="230"/>
        <v>0</v>
      </c>
      <c r="K160" s="34">
        <f t="shared" si="230"/>
        <v>0</v>
      </c>
      <c r="L160" s="34">
        <f t="shared" si="230"/>
        <v>0</v>
      </c>
      <c r="M160" s="34">
        <f t="shared" si="230"/>
        <v>0</v>
      </c>
      <c r="N160" s="34">
        <f t="shared" si="230"/>
        <v>0</v>
      </c>
      <c r="O160" s="34">
        <f t="shared" si="230"/>
        <v>0</v>
      </c>
      <c r="P160" s="34">
        <f t="shared" si="230"/>
        <v>0</v>
      </c>
      <c r="Q160" s="34">
        <f t="shared" si="230"/>
        <v>0</v>
      </c>
      <c r="R160" s="34">
        <f t="shared" si="230"/>
        <v>0</v>
      </c>
      <c r="S160" s="34">
        <f t="shared" si="230"/>
        <v>0</v>
      </c>
      <c r="T160" s="34">
        <f t="shared" si="230"/>
        <v>0</v>
      </c>
      <c r="U160" s="34">
        <f t="shared" si="230"/>
        <v>0</v>
      </c>
      <c r="V160" s="34">
        <f t="shared" si="230"/>
        <v>0</v>
      </c>
      <c r="W160" s="34">
        <f t="shared" si="230"/>
        <v>0</v>
      </c>
      <c r="X160" s="34">
        <f t="shared" si="230"/>
        <v>0</v>
      </c>
      <c r="Y160" s="34">
        <f t="shared" si="230"/>
        <v>0</v>
      </c>
      <c r="Z160" s="34">
        <f t="shared" si="230"/>
        <v>0</v>
      </c>
      <c r="AA160" s="34">
        <f t="shared" si="230"/>
        <v>0</v>
      </c>
      <c r="AB160" s="34">
        <f t="shared" si="230"/>
        <v>0</v>
      </c>
      <c r="AC160" s="34">
        <f t="shared" si="230"/>
        <v>0</v>
      </c>
      <c r="AD160" s="19"/>
      <c r="AE160" s="22"/>
    </row>
    <row r="161" spans="1:31" ht="12" customHeight="1" outlineLevel="2" x14ac:dyDescent="0.2">
      <c r="A161" s="19" t="str">
        <f ca="1">Language!A179</f>
        <v xml:space="preserve">    период уплаты</v>
      </c>
      <c r="B161" s="258">
        <f>IF(PRJ_Step=30,30,90)</f>
        <v>90</v>
      </c>
      <c r="C161" s="26" t="str">
        <f ca="1">Language!A219</f>
        <v>дней</v>
      </c>
      <c r="D161" s="16"/>
      <c r="E161" s="19"/>
      <c r="F161" s="97"/>
      <c r="G161" s="97"/>
      <c r="H161" s="97"/>
      <c r="I161" s="97"/>
      <c r="J161" s="97"/>
      <c r="K161" s="97"/>
      <c r="L161" s="97"/>
      <c r="M161" s="97"/>
      <c r="N161" s="97"/>
      <c r="O161" s="97"/>
      <c r="P161" s="97"/>
      <c r="Q161" s="97"/>
      <c r="R161" s="97"/>
      <c r="S161" s="97"/>
      <c r="T161" s="97"/>
      <c r="U161" s="97"/>
      <c r="V161" s="97"/>
      <c r="W161" s="97"/>
      <c r="X161" s="97"/>
      <c r="Y161" s="97"/>
      <c r="Z161" s="97"/>
      <c r="AA161" s="97"/>
      <c r="AB161" s="97"/>
      <c r="AC161" s="97"/>
      <c r="AD161" s="19"/>
      <c r="AE161" s="22"/>
    </row>
    <row r="162" spans="1:31" outlineLevel="1" collapsed="1" x14ac:dyDescent="0.2">
      <c r="A162" s="24" t="str">
        <f ca="1">Language!A180</f>
        <v>Другие налоги, относимые на финансовые результаты</v>
      </c>
      <c r="B162" s="19"/>
      <c r="C162" s="26" t="str">
        <f ca="1">CUR_Main</f>
        <v>тыс. EUR</v>
      </c>
      <c r="D162" s="46">
        <v>1</v>
      </c>
      <c r="E162" s="19">
        <v>5</v>
      </c>
      <c r="F162" s="56">
        <f t="shared" ref="F162:T162" si="231">SUMIF($D163:$D168,"1_01",F163:F168)</f>
        <v>0</v>
      </c>
      <c r="G162" s="56">
        <f t="shared" si="231"/>
        <v>0</v>
      </c>
      <c r="H162" s="56">
        <f t="shared" si="231"/>
        <v>0</v>
      </c>
      <c r="I162" s="56">
        <f t="shared" si="231"/>
        <v>0</v>
      </c>
      <c r="J162" s="56">
        <f t="shared" si="231"/>
        <v>0</v>
      </c>
      <c r="K162" s="56">
        <f t="shared" si="231"/>
        <v>0</v>
      </c>
      <c r="L162" s="56">
        <f t="shared" si="231"/>
        <v>0</v>
      </c>
      <c r="M162" s="56">
        <f t="shared" si="231"/>
        <v>0</v>
      </c>
      <c r="N162" s="56">
        <f t="shared" si="231"/>
        <v>0</v>
      </c>
      <c r="O162" s="56">
        <f t="shared" si="231"/>
        <v>0</v>
      </c>
      <c r="P162" s="56">
        <f t="shared" si="231"/>
        <v>0</v>
      </c>
      <c r="Q162" s="56">
        <f t="shared" si="231"/>
        <v>0</v>
      </c>
      <c r="R162" s="56">
        <f t="shared" si="231"/>
        <v>0</v>
      </c>
      <c r="S162" s="56">
        <f t="shared" si="231"/>
        <v>0</v>
      </c>
      <c r="T162" s="56">
        <f t="shared" si="231"/>
        <v>0</v>
      </c>
      <c r="U162" s="56">
        <f t="shared" ref="U162" si="232">SUMIF($D163:$D168,"1_01",U163:U168)</f>
        <v>0</v>
      </c>
      <c r="V162" s="56">
        <f t="shared" ref="V162" si="233">SUMIF($D163:$D168,"1_01",V163:V168)</f>
        <v>0</v>
      </c>
      <c r="W162" s="56">
        <f t="shared" ref="W162" si="234">SUMIF($D163:$D168,"1_01",W163:W168)</f>
        <v>0</v>
      </c>
      <c r="X162" s="56">
        <f t="shared" ref="X162" si="235">SUMIF($D163:$D168,"1_01",X163:X168)</f>
        <v>0</v>
      </c>
      <c r="Y162" s="56">
        <f t="shared" ref="Y162" si="236">SUMIF($D163:$D168,"1_01",Y163:Y168)</f>
        <v>0</v>
      </c>
      <c r="Z162" s="56">
        <f t="shared" ref="Z162" si="237">SUMIF($D163:$D168,"1_01",Z163:Z168)</f>
        <v>0</v>
      </c>
      <c r="AA162" s="56">
        <f t="shared" ref="AA162" si="238">SUMIF($D163:$D168,"1_01",AA163:AA168)</f>
        <v>0</v>
      </c>
      <c r="AB162" s="56">
        <f t="shared" ref="AB162:AC162" si="239">SUMIF($D163:$D168,"1_01",AB163:AB168)</f>
        <v>0</v>
      </c>
      <c r="AC162" s="56">
        <f t="shared" si="239"/>
        <v>0</v>
      </c>
      <c r="AD162" s="19"/>
      <c r="AE162" s="96">
        <f>SUM(F162:AC162)</f>
        <v>0</v>
      </c>
    </row>
    <row r="163" spans="1:31" hidden="1" outlineLevel="2" x14ac:dyDescent="0.2">
      <c r="A163" s="262" t="str">
        <f ca="1">Language!A$225</f>
        <v>Наименование налога</v>
      </c>
      <c r="B163" s="19"/>
      <c r="C163" s="26" t="str">
        <f ca="1">CUR_Main</f>
        <v>тыс. EUR</v>
      </c>
      <c r="D163" s="46" t="s">
        <v>2441</v>
      </c>
      <c r="E163" s="19"/>
      <c r="F163" s="65">
        <f t="shared" ref="F163:T163" si="240">F164*F165</f>
        <v>0</v>
      </c>
      <c r="G163" s="65">
        <f t="shared" si="240"/>
        <v>0</v>
      </c>
      <c r="H163" s="65">
        <f t="shared" si="240"/>
        <v>0</v>
      </c>
      <c r="I163" s="65">
        <f t="shared" si="240"/>
        <v>0</v>
      </c>
      <c r="J163" s="65">
        <f t="shared" si="240"/>
        <v>0</v>
      </c>
      <c r="K163" s="65">
        <f t="shared" si="240"/>
        <v>0</v>
      </c>
      <c r="L163" s="65">
        <f t="shared" si="240"/>
        <v>0</v>
      </c>
      <c r="M163" s="65">
        <f t="shared" si="240"/>
        <v>0</v>
      </c>
      <c r="N163" s="65">
        <f t="shared" si="240"/>
        <v>0</v>
      </c>
      <c r="O163" s="65">
        <f t="shared" si="240"/>
        <v>0</v>
      </c>
      <c r="P163" s="65">
        <f t="shared" si="240"/>
        <v>0</v>
      </c>
      <c r="Q163" s="65">
        <f t="shared" si="240"/>
        <v>0</v>
      </c>
      <c r="R163" s="65">
        <f t="shared" si="240"/>
        <v>0</v>
      </c>
      <c r="S163" s="65">
        <f t="shared" si="240"/>
        <v>0</v>
      </c>
      <c r="T163" s="65">
        <f t="shared" si="240"/>
        <v>0</v>
      </c>
      <c r="U163" s="65">
        <f t="shared" ref="U163" si="241">U164*U165</f>
        <v>0</v>
      </c>
      <c r="V163" s="65">
        <f t="shared" ref="V163" si="242">V164*V165</f>
        <v>0</v>
      </c>
      <c r="W163" s="65">
        <f t="shared" ref="W163" si="243">W164*W165</f>
        <v>0</v>
      </c>
      <c r="X163" s="65">
        <f t="shared" ref="X163" si="244">X164*X165</f>
        <v>0</v>
      </c>
      <c r="Y163" s="65">
        <f t="shared" ref="Y163" si="245">Y164*Y165</f>
        <v>0</v>
      </c>
      <c r="Z163" s="65">
        <f t="shared" ref="Z163" si="246">Z164*Z165</f>
        <v>0</v>
      </c>
      <c r="AA163" s="65">
        <f t="shared" ref="AA163" si="247">AA164*AA165</f>
        <v>0</v>
      </c>
      <c r="AB163" s="65">
        <f t="shared" ref="AB163:AC163" si="248">AB164*AB165</f>
        <v>0</v>
      </c>
      <c r="AC163" s="65">
        <f t="shared" si="248"/>
        <v>0</v>
      </c>
      <c r="AD163" s="19"/>
      <c r="AE163" s="66">
        <f>SUM(F163:AC163)</f>
        <v>0</v>
      </c>
    </row>
    <row r="164" spans="1:31" hidden="1" outlineLevel="2" x14ac:dyDescent="0.2">
      <c r="A164" s="19" t="str">
        <f ca="1">Language!A$181</f>
        <v xml:space="preserve">    налогооблагаемая база</v>
      </c>
      <c r="B164" s="19"/>
      <c r="C164" s="26" t="str">
        <f ca="1">CUR_Main</f>
        <v>тыс. EUR</v>
      </c>
      <c r="D164" s="46"/>
      <c r="E164" s="19"/>
      <c r="F164" s="263">
        <v>0</v>
      </c>
      <c r="G164" s="263">
        <f t="shared" ref="G164:J165" si="249">F164</f>
        <v>0</v>
      </c>
      <c r="H164" s="263">
        <f t="shared" si="249"/>
        <v>0</v>
      </c>
      <c r="I164" s="263">
        <f t="shared" si="249"/>
        <v>0</v>
      </c>
      <c r="J164" s="263">
        <f t="shared" si="249"/>
        <v>0</v>
      </c>
      <c r="K164" s="263">
        <f t="shared" ref="K164:AC164" si="250">J164</f>
        <v>0</v>
      </c>
      <c r="L164" s="263">
        <f t="shared" si="250"/>
        <v>0</v>
      </c>
      <c r="M164" s="263">
        <f t="shared" si="250"/>
        <v>0</v>
      </c>
      <c r="N164" s="263">
        <f t="shared" si="250"/>
        <v>0</v>
      </c>
      <c r="O164" s="263">
        <f t="shared" si="250"/>
        <v>0</v>
      </c>
      <c r="P164" s="263">
        <f t="shared" si="250"/>
        <v>0</v>
      </c>
      <c r="Q164" s="263">
        <f t="shared" si="250"/>
        <v>0</v>
      </c>
      <c r="R164" s="263">
        <f t="shared" si="250"/>
        <v>0</v>
      </c>
      <c r="S164" s="263">
        <f t="shared" si="250"/>
        <v>0</v>
      </c>
      <c r="T164" s="263">
        <f t="shared" si="250"/>
        <v>0</v>
      </c>
      <c r="U164" s="263">
        <f t="shared" si="250"/>
        <v>0</v>
      </c>
      <c r="V164" s="263">
        <f t="shared" si="250"/>
        <v>0</v>
      </c>
      <c r="W164" s="263">
        <f t="shared" si="250"/>
        <v>0</v>
      </c>
      <c r="X164" s="263">
        <f t="shared" si="250"/>
        <v>0</v>
      </c>
      <c r="Y164" s="263">
        <f t="shared" si="250"/>
        <v>0</v>
      </c>
      <c r="Z164" s="263">
        <f t="shared" si="250"/>
        <v>0</v>
      </c>
      <c r="AA164" s="263">
        <f t="shared" si="250"/>
        <v>0</v>
      </c>
      <c r="AB164" s="263">
        <f t="shared" si="250"/>
        <v>0</v>
      </c>
      <c r="AC164" s="263">
        <f t="shared" si="250"/>
        <v>0</v>
      </c>
      <c r="AD164" s="19"/>
      <c r="AE164" s="22"/>
    </row>
    <row r="165" spans="1:31" hidden="1" outlineLevel="2" x14ac:dyDescent="0.2">
      <c r="A165" s="19" t="str">
        <f ca="1">Language!A$182</f>
        <v xml:space="preserve">    ставка</v>
      </c>
      <c r="B165" s="259">
        <v>0</v>
      </c>
      <c r="C165" s="26" t="s">
        <v>2430</v>
      </c>
      <c r="D165" s="16" t="s">
        <v>2429</v>
      </c>
      <c r="E165" s="19"/>
      <c r="F165" s="34">
        <f>B165</f>
        <v>0</v>
      </c>
      <c r="G165" s="34">
        <f t="shared" si="249"/>
        <v>0</v>
      </c>
      <c r="H165" s="34">
        <f t="shared" si="249"/>
        <v>0</v>
      </c>
      <c r="I165" s="34">
        <f t="shared" si="249"/>
        <v>0</v>
      </c>
      <c r="J165" s="34">
        <f t="shared" si="249"/>
        <v>0</v>
      </c>
      <c r="K165" s="34">
        <f t="shared" ref="K165:AC165" si="251">J165</f>
        <v>0</v>
      </c>
      <c r="L165" s="34">
        <f t="shared" si="251"/>
        <v>0</v>
      </c>
      <c r="M165" s="34">
        <f t="shared" si="251"/>
        <v>0</v>
      </c>
      <c r="N165" s="34">
        <f t="shared" si="251"/>
        <v>0</v>
      </c>
      <c r="O165" s="34">
        <f t="shared" si="251"/>
        <v>0</v>
      </c>
      <c r="P165" s="34">
        <f t="shared" si="251"/>
        <v>0</v>
      </c>
      <c r="Q165" s="34">
        <f t="shared" si="251"/>
        <v>0</v>
      </c>
      <c r="R165" s="34">
        <f t="shared" si="251"/>
        <v>0</v>
      </c>
      <c r="S165" s="34">
        <f t="shared" si="251"/>
        <v>0</v>
      </c>
      <c r="T165" s="34">
        <f t="shared" si="251"/>
        <v>0</v>
      </c>
      <c r="U165" s="34">
        <f t="shared" si="251"/>
        <v>0</v>
      </c>
      <c r="V165" s="34">
        <f t="shared" si="251"/>
        <v>0</v>
      </c>
      <c r="W165" s="34">
        <f t="shared" si="251"/>
        <v>0</v>
      </c>
      <c r="X165" s="34">
        <f t="shared" si="251"/>
        <v>0</v>
      </c>
      <c r="Y165" s="34">
        <f t="shared" si="251"/>
        <v>0</v>
      </c>
      <c r="Z165" s="34">
        <f t="shared" si="251"/>
        <v>0</v>
      </c>
      <c r="AA165" s="34">
        <f t="shared" si="251"/>
        <v>0</v>
      </c>
      <c r="AB165" s="34">
        <f t="shared" si="251"/>
        <v>0</v>
      </c>
      <c r="AC165" s="34">
        <f t="shared" si="251"/>
        <v>0</v>
      </c>
      <c r="AD165" s="19"/>
      <c r="AE165" s="22"/>
    </row>
    <row r="166" spans="1:31" hidden="1" outlineLevel="2" x14ac:dyDescent="0.2">
      <c r="A166" s="19" t="str">
        <f ca="1">Language!A$183</f>
        <v xml:space="preserve">    период уплаты</v>
      </c>
      <c r="B166" s="258">
        <f>IF(PRJ_Step=30,30,90)</f>
        <v>90</v>
      </c>
      <c r="C166" s="26" t="str">
        <f ca="1">Language!A$219</f>
        <v>дней</v>
      </c>
      <c r="D166" s="16" t="s">
        <v>2429</v>
      </c>
      <c r="E166" s="19"/>
      <c r="F166" s="97"/>
      <c r="G166" s="97"/>
      <c r="H166" s="97"/>
      <c r="I166" s="97"/>
      <c r="J166" s="97"/>
      <c r="K166" s="97"/>
      <c r="L166" s="97"/>
      <c r="M166" s="97"/>
      <c r="N166" s="97"/>
      <c r="O166" s="97"/>
      <c r="P166" s="97"/>
      <c r="Q166" s="97"/>
      <c r="R166" s="97"/>
      <c r="S166" s="97"/>
      <c r="T166" s="97"/>
      <c r="U166" s="97"/>
      <c r="V166" s="97"/>
      <c r="W166" s="97"/>
      <c r="X166" s="97"/>
      <c r="Y166" s="97"/>
      <c r="Z166" s="97"/>
      <c r="AA166" s="97"/>
      <c r="AB166" s="97"/>
      <c r="AC166" s="97"/>
      <c r="AD166" s="19"/>
      <c r="AE166" s="22"/>
    </row>
    <row r="167" spans="1:31" s="48" customFormat="1" hidden="1" outlineLevel="2" x14ac:dyDescent="0.2">
      <c r="A167" s="19" t="str">
        <f ca="1">Language!A$173</f>
        <v xml:space="preserve">   задолженность перед бюджетом</v>
      </c>
      <c r="B167" s="50"/>
      <c r="C167" s="26" t="str">
        <f ca="1">CUR_Main</f>
        <v>тыс. EUR</v>
      </c>
      <c r="D167" s="100" t="s">
        <v>1370</v>
      </c>
      <c r="E167" s="45"/>
      <c r="F167" s="102">
        <v>0</v>
      </c>
      <c r="G167" s="102">
        <f t="shared" ref="G167:AC167" si="252">F163*$B166/PRJ_Step</f>
        <v>0</v>
      </c>
      <c r="H167" s="102">
        <f t="shared" si="252"/>
        <v>0</v>
      </c>
      <c r="I167" s="102">
        <f t="shared" si="252"/>
        <v>0</v>
      </c>
      <c r="J167" s="102">
        <f t="shared" si="252"/>
        <v>0</v>
      </c>
      <c r="K167" s="102">
        <f t="shared" si="252"/>
        <v>0</v>
      </c>
      <c r="L167" s="102">
        <f t="shared" si="252"/>
        <v>0</v>
      </c>
      <c r="M167" s="102">
        <f t="shared" si="252"/>
        <v>0</v>
      </c>
      <c r="N167" s="102">
        <f t="shared" si="252"/>
        <v>0</v>
      </c>
      <c r="O167" s="102">
        <f t="shared" si="252"/>
        <v>0</v>
      </c>
      <c r="P167" s="102">
        <f t="shared" si="252"/>
        <v>0</v>
      </c>
      <c r="Q167" s="102">
        <f t="shared" si="252"/>
        <v>0</v>
      </c>
      <c r="R167" s="102">
        <f t="shared" si="252"/>
        <v>0</v>
      </c>
      <c r="S167" s="102">
        <f t="shared" si="252"/>
        <v>0</v>
      </c>
      <c r="T167" s="102">
        <f t="shared" si="252"/>
        <v>0</v>
      </c>
      <c r="U167" s="102">
        <f t="shared" si="252"/>
        <v>0</v>
      </c>
      <c r="V167" s="102">
        <f t="shared" si="252"/>
        <v>0</v>
      </c>
      <c r="W167" s="102">
        <f t="shared" si="252"/>
        <v>0</v>
      </c>
      <c r="X167" s="102">
        <f t="shared" si="252"/>
        <v>0</v>
      </c>
      <c r="Y167" s="102">
        <f t="shared" si="252"/>
        <v>0</v>
      </c>
      <c r="Z167" s="102">
        <f t="shared" si="252"/>
        <v>0</v>
      </c>
      <c r="AA167" s="102">
        <f t="shared" si="252"/>
        <v>0</v>
      </c>
      <c r="AB167" s="102">
        <f t="shared" si="252"/>
        <v>0</v>
      </c>
      <c r="AC167" s="102">
        <f t="shared" si="252"/>
        <v>0</v>
      </c>
      <c r="AD167" s="45"/>
      <c r="AE167" s="77"/>
    </row>
    <row r="168" spans="1:31" outlineLevel="1" x14ac:dyDescent="0.2">
      <c r="A168" s="19"/>
      <c r="B168" s="19"/>
      <c r="C168" s="26"/>
      <c r="D168" s="46"/>
      <c r="E168" s="19"/>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19"/>
      <c r="AE168" s="22"/>
    </row>
    <row r="169" spans="1:31" outlineLevel="1" x14ac:dyDescent="0.2">
      <c r="A169" s="63"/>
      <c r="B169" s="63"/>
      <c r="C169" s="67"/>
      <c r="D169" s="60"/>
      <c r="E169" s="63"/>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c r="AD169" s="63"/>
      <c r="AE169" s="64"/>
    </row>
    <row r="170" spans="1:31" outlineLevel="1" x14ac:dyDescent="0.2">
      <c r="A170" s="62" t="str">
        <f ca="1">Language!A184</f>
        <v>НАЛОГ НА ПРИБЫЛЬ</v>
      </c>
      <c r="B170" s="19"/>
      <c r="C170" s="26"/>
      <c r="D170" s="46"/>
      <c r="E170" s="19"/>
      <c r="F170" s="47"/>
      <c r="G170" s="47"/>
      <c r="H170" s="47"/>
      <c r="I170" s="47"/>
      <c r="J170" s="47"/>
      <c r="K170" s="47"/>
      <c r="L170" s="47"/>
      <c r="M170" s="47"/>
      <c r="N170" s="47"/>
      <c r="O170" s="47"/>
      <c r="P170" s="47"/>
      <c r="Q170" s="47"/>
      <c r="R170" s="47"/>
      <c r="S170" s="47"/>
      <c r="T170" s="47"/>
      <c r="U170" s="47"/>
      <c r="V170" s="47"/>
      <c r="W170" s="47"/>
      <c r="X170" s="47"/>
      <c r="Y170" s="47"/>
      <c r="Z170" s="47"/>
      <c r="AA170" s="47"/>
      <c r="AB170" s="47"/>
      <c r="AC170" s="47"/>
      <c r="AD170" s="19"/>
      <c r="AE170" s="22"/>
    </row>
    <row r="171" spans="1:31" outlineLevel="1" x14ac:dyDescent="0.2">
      <c r="A171" s="19" t="str">
        <f ca="1">Language!A185</f>
        <v xml:space="preserve">    ставка</v>
      </c>
      <c r="B171" s="259">
        <v>0.19</v>
      </c>
      <c r="C171" s="26" t="s">
        <v>2430</v>
      </c>
      <c r="D171" s="16" t="s">
        <v>2429</v>
      </c>
      <c r="E171" s="19"/>
      <c r="F171" s="47">
        <f>B171</f>
        <v>0.19</v>
      </c>
      <c r="G171" s="47">
        <f t="shared" ref="G171:AC171" si="253">F171</f>
        <v>0.19</v>
      </c>
      <c r="H171" s="47">
        <f t="shared" si="253"/>
        <v>0.19</v>
      </c>
      <c r="I171" s="47">
        <f t="shared" si="253"/>
        <v>0.19</v>
      </c>
      <c r="J171" s="47">
        <f t="shared" si="253"/>
        <v>0.19</v>
      </c>
      <c r="K171" s="47">
        <f t="shared" si="253"/>
        <v>0.19</v>
      </c>
      <c r="L171" s="47">
        <f t="shared" si="253"/>
        <v>0.19</v>
      </c>
      <c r="M171" s="47">
        <f t="shared" si="253"/>
        <v>0.19</v>
      </c>
      <c r="N171" s="47">
        <f t="shared" si="253"/>
        <v>0.19</v>
      </c>
      <c r="O171" s="47">
        <f t="shared" si="253"/>
        <v>0.19</v>
      </c>
      <c r="P171" s="47">
        <f t="shared" si="253"/>
        <v>0.19</v>
      </c>
      <c r="Q171" s="47">
        <f t="shared" si="253"/>
        <v>0.19</v>
      </c>
      <c r="R171" s="47">
        <f t="shared" si="253"/>
        <v>0.19</v>
      </c>
      <c r="S171" s="47">
        <f t="shared" si="253"/>
        <v>0.19</v>
      </c>
      <c r="T171" s="47">
        <f t="shared" si="253"/>
        <v>0.19</v>
      </c>
      <c r="U171" s="47">
        <f t="shared" si="253"/>
        <v>0.19</v>
      </c>
      <c r="V171" s="47">
        <f t="shared" si="253"/>
        <v>0.19</v>
      </c>
      <c r="W171" s="47">
        <f t="shared" si="253"/>
        <v>0.19</v>
      </c>
      <c r="X171" s="47">
        <f t="shared" si="253"/>
        <v>0.19</v>
      </c>
      <c r="Y171" s="47">
        <f t="shared" si="253"/>
        <v>0.19</v>
      </c>
      <c r="Z171" s="47">
        <f t="shared" si="253"/>
        <v>0.19</v>
      </c>
      <c r="AA171" s="47">
        <f t="shared" si="253"/>
        <v>0.19</v>
      </c>
      <c r="AB171" s="47">
        <f t="shared" si="253"/>
        <v>0.19</v>
      </c>
      <c r="AC171" s="47">
        <f t="shared" si="253"/>
        <v>0.19</v>
      </c>
      <c r="AD171" s="19"/>
      <c r="AE171" s="22"/>
    </row>
    <row r="172" spans="1:31" outlineLevel="1" x14ac:dyDescent="0.2">
      <c r="A172" s="19" t="str">
        <f ca="1">Language!A186</f>
        <v xml:space="preserve">    период уплаты</v>
      </c>
      <c r="B172" s="258">
        <v>30</v>
      </c>
      <c r="C172" s="26" t="str">
        <f ca="1">Language!A219</f>
        <v>дней</v>
      </c>
      <c r="D172" s="16"/>
      <c r="E172" s="19"/>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19"/>
      <c r="AE172" s="22"/>
    </row>
    <row r="173" spans="1:31" outlineLevel="1" x14ac:dyDescent="0.2">
      <c r="A173" s="62" t="str">
        <f ca="1">Language!A187</f>
        <v>Начисленный налог на прибыль</v>
      </c>
      <c r="B173" s="19"/>
      <c r="C173" s="26" t="str">
        <f t="shared" ref="C173:C186" ca="1" si="254">CUR_Main</f>
        <v>тыс. EUR</v>
      </c>
      <c r="D173" s="46"/>
      <c r="E173" s="19"/>
      <c r="F173" s="56">
        <f t="shared" ref="F173:T173" ca="1" si="255">F186*F171</f>
        <v>0</v>
      </c>
      <c r="G173" s="56">
        <f t="shared" ca="1" si="255"/>
        <v>0</v>
      </c>
      <c r="H173" s="56">
        <f t="shared" ca="1" si="255"/>
        <v>0</v>
      </c>
      <c r="I173" s="56">
        <f t="shared" ca="1" si="255"/>
        <v>0</v>
      </c>
      <c r="J173" s="56">
        <f t="shared" ca="1" si="255"/>
        <v>0</v>
      </c>
      <c r="K173" s="56">
        <f t="shared" ca="1" si="255"/>
        <v>0</v>
      </c>
      <c r="L173" s="56">
        <f t="shared" ca="1" si="255"/>
        <v>0</v>
      </c>
      <c r="M173" s="56">
        <f t="shared" ca="1" si="255"/>
        <v>0</v>
      </c>
      <c r="N173" s="56">
        <f t="shared" ca="1" si="255"/>
        <v>143.71291226357724</v>
      </c>
      <c r="O173" s="56">
        <f t="shared" ca="1" si="255"/>
        <v>268.67927601067663</v>
      </c>
      <c r="P173" s="56">
        <f t="shared" ca="1" si="255"/>
        <v>268.67927601067663</v>
      </c>
      <c r="Q173" s="56">
        <f t="shared" ca="1" si="255"/>
        <v>268.67927601067663</v>
      </c>
      <c r="R173" s="56">
        <f t="shared" ca="1" si="255"/>
        <v>268.67927601067663</v>
      </c>
      <c r="S173" s="56">
        <f t="shared" ca="1" si="255"/>
        <v>268.67927601067663</v>
      </c>
      <c r="T173" s="56">
        <f t="shared" ca="1" si="255"/>
        <v>268.67927601067663</v>
      </c>
      <c r="U173" s="56">
        <f t="shared" ref="U173" ca="1" si="256">U186*U171</f>
        <v>268.67927601067663</v>
      </c>
      <c r="V173" s="56">
        <f t="shared" ref="V173" ca="1" si="257">V186*V171</f>
        <v>268.67927601067663</v>
      </c>
      <c r="W173" s="56">
        <f t="shared" ref="W173" ca="1" si="258">W186*W171</f>
        <v>268.67927601067663</v>
      </c>
      <c r="X173" s="56">
        <f t="shared" ref="X173" ca="1" si="259">X186*X171</f>
        <v>268.67927601067663</v>
      </c>
      <c r="Y173" s="56">
        <f t="shared" ref="Y173" ca="1" si="260">Y186*Y171</f>
        <v>268.67927601067663</v>
      </c>
      <c r="Z173" s="56">
        <f t="shared" ref="Z173" ca="1" si="261">Z186*Z171</f>
        <v>268.67927601067663</v>
      </c>
      <c r="AA173" s="56">
        <f t="shared" ref="AA173" ca="1" si="262">AA186*AA171</f>
        <v>268.67927601067663</v>
      </c>
      <c r="AB173" s="56">
        <f t="shared" ref="AB173:AC173" ca="1" si="263">AB186*AB171</f>
        <v>268.67927601067663</v>
      </c>
      <c r="AC173" s="56">
        <f t="shared" ca="1" si="263"/>
        <v>268.67927601067663</v>
      </c>
      <c r="AD173" s="19"/>
      <c r="AE173" s="96">
        <f t="shared" ref="AE173:AE181" ca="1" si="264">SUM(F173:AC173)</f>
        <v>4173.9020524237249</v>
      </c>
    </row>
    <row r="174" spans="1:31" outlineLevel="1" collapsed="1" x14ac:dyDescent="0.2">
      <c r="A174" s="24" t="str">
        <f ca="1">Language!A188</f>
        <v xml:space="preserve">         то же, в итоговой валюте</v>
      </c>
      <c r="B174" s="19"/>
      <c r="C174" s="5" t="str">
        <f ca="1">CUR_Report</f>
        <v>тыс. EUR</v>
      </c>
      <c r="D174" s="46"/>
      <c r="E174" s="19"/>
      <c r="F174" s="53">
        <f t="shared" ref="F174:T174" ca="1" si="265">F173/IF(CUR_I_Report=2,F$88,1)</f>
        <v>0</v>
      </c>
      <c r="G174" s="53">
        <f t="shared" ca="1" si="265"/>
        <v>0</v>
      </c>
      <c r="H174" s="53">
        <f t="shared" ca="1" si="265"/>
        <v>0</v>
      </c>
      <c r="I174" s="53">
        <f t="shared" ca="1" si="265"/>
        <v>0</v>
      </c>
      <c r="J174" s="53">
        <f t="shared" ca="1" si="265"/>
        <v>0</v>
      </c>
      <c r="K174" s="53">
        <f t="shared" ca="1" si="265"/>
        <v>0</v>
      </c>
      <c r="L174" s="53">
        <f t="shared" ca="1" si="265"/>
        <v>0</v>
      </c>
      <c r="M174" s="53">
        <f t="shared" ca="1" si="265"/>
        <v>0</v>
      </c>
      <c r="N174" s="53">
        <f t="shared" ca="1" si="265"/>
        <v>143.71291226357724</v>
      </c>
      <c r="O174" s="53">
        <f t="shared" ca="1" si="265"/>
        <v>268.67927601067663</v>
      </c>
      <c r="P174" s="53">
        <f t="shared" ca="1" si="265"/>
        <v>268.67927601067663</v>
      </c>
      <c r="Q174" s="53">
        <f t="shared" ca="1" si="265"/>
        <v>268.67927601067663</v>
      </c>
      <c r="R174" s="53">
        <f t="shared" ca="1" si="265"/>
        <v>268.67927601067663</v>
      </c>
      <c r="S174" s="53">
        <f t="shared" ca="1" si="265"/>
        <v>268.67927601067663</v>
      </c>
      <c r="T174" s="53">
        <f t="shared" ca="1" si="265"/>
        <v>268.67927601067663</v>
      </c>
      <c r="U174" s="53">
        <f t="shared" ref="U174" ca="1" si="266">U173/IF(CUR_I_Report=2,U$88,1)</f>
        <v>268.67927601067663</v>
      </c>
      <c r="V174" s="53">
        <f t="shared" ref="V174" ca="1" si="267">V173/IF(CUR_I_Report=2,V$88,1)</f>
        <v>268.67927601067663</v>
      </c>
      <c r="W174" s="53">
        <f t="shared" ref="W174" ca="1" si="268">W173/IF(CUR_I_Report=2,W$88,1)</f>
        <v>268.67927601067663</v>
      </c>
      <c r="X174" s="53">
        <f t="shared" ref="X174" ca="1" si="269">X173/IF(CUR_I_Report=2,X$88,1)</f>
        <v>268.67927601067663</v>
      </c>
      <c r="Y174" s="53">
        <f t="shared" ref="Y174" ca="1" si="270">Y173/IF(CUR_I_Report=2,Y$88,1)</f>
        <v>268.67927601067663</v>
      </c>
      <c r="Z174" s="53">
        <f t="shared" ref="Z174" ca="1" si="271">Z173/IF(CUR_I_Report=2,Z$88,1)</f>
        <v>268.67927601067663</v>
      </c>
      <c r="AA174" s="53">
        <f t="shared" ref="AA174" ca="1" si="272">AA173/IF(CUR_I_Report=2,AA$88,1)</f>
        <v>268.67927601067663</v>
      </c>
      <c r="AB174" s="53">
        <f t="shared" ref="AB174:AC174" ca="1" si="273">AB173/IF(CUR_I_Report=2,AB$88,1)</f>
        <v>268.67927601067663</v>
      </c>
      <c r="AC174" s="53">
        <f t="shared" ca="1" si="273"/>
        <v>268.67927601067663</v>
      </c>
      <c r="AD174" s="19"/>
      <c r="AE174" s="66">
        <f t="shared" ca="1" si="264"/>
        <v>4173.9020524237249</v>
      </c>
    </row>
    <row r="175" spans="1:31" hidden="1" outlineLevel="2" x14ac:dyDescent="0.2">
      <c r="A175" s="24" t="str">
        <f ca="1">Language!A1046</f>
        <v xml:space="preserve">                нарастающим итогом</v>
      </c>
      <c r="B175" s="19"/>
      <c r="C175" s="5" t="str">
        <f ca="1">CUR_Report</f>
        <v>тыс. EUR</v>
      </c>
      <c r="D175" s="16" t="s">
        <v>2594</v>
      </c>
      <c r="E175" s="19"/>
      <c r="F175" s="53">
        <f ca="1">SUM($F174:F174)</f>
        <v>0</v>
      </c>
      <c r="G175" s="53">
        <f ca="1">SUM($F174:G174)</f>
        <v>0</v>
      </c>
      <c r="H175" s="53">
        <f ca="1">SUM($F174:H174)</f>
        <v>0</v>
      </c>
      <c r="I175" s="53">
        <f ca="1">SUM($F174:I174)</f>
        <v>0</v>
      </c>
      <c r="J175" s="53">
        <f ca="1">SUM($F174:J174)</f>
        <v>0</v>
      </c>
      <c r="K175" s="53">
        <f ca="1">SUM($F174:K174)</f>
        <v>0</v>
      </c>
      <c r="L175" s="53">
        <f ca="1">SUM($F174:L174)</f>
        <v>0</v>
      </c>
      <c r="M175" s="53">
        <f ca="1">SUM($F174:M174)</f>
        <v>0</v>
      </c>
      <c r="N175" s="53">
        <f ca="1">SUM($F174:N174)</f>
        <v>143.71291226357724</v>
      </c>
      <c r="O175" s="53">
        <f ca="1">SUM($F174:O174)</f>
        <v>412.39218827425384</v>
      </c>
      <c r="P175" s="53">
        <f ca="1">SUM($F174:P174)</f>
        <v>681.07146428493047</v>
      </c>
      <c r="Q175" s="53">
        <f ca="1">SUM($F174:Q174)</f>
        <v>949.7507402956071</v>
      </c>
      <c r="R175" s="53">
        <f ca="1">SUM($F174:R174)</f>
        <v>1218.4300163062837</v>
      </c>
      <c r="S175" s="53">
        <f ca="1">SUM($F174:S174)</f>
        <v>1487.1092923169604</v>
      </c>
      <c r="T175" s="53">
        <f ca="1">SUM($F174:T174)</f>
        <v>1755.788568327637</v>
      </c>
      <c r="U175" s="53">
        <f ca="1">SUM($F174:U174)</f>
        <v>2024.4678443383136</v>
      </c>
      <c r="V175" s="53">
        <f ca="1">SUM($F174:V174)</f>
        <v>2293.14712034899</v>
      </c>
      <c r="W175" s="53">
        <f ca="1">SUM($F174:W174)</f>
        <v>2561.8263963596664</v>
      </c>
      <c r="X175" s="53">
        <f ca="1">SUM($F174:X174)</f>
        <v>2830.5056723703428</v>
      </c>
      <c r="Y175" s="53">
        <f ca="1">SUM($F174:Y174)</f>
        <v>3099.1849483810192</v>
      </c>
      <c r="Z175" s="53">
        <f ca="1">SUM($F174:Z174)</f>
        <v>3367.8642243916956</v>
      </c>
      <c r="AA175" s="53">
        <f ca="1">SUM($F174:AA174)</f>
        <v>3636.543500402372</v>
      </c>
      <c r="AB175" s="53">
        <f ca="1">SUM($F174:AB174)</f>
        <v>3905.2227764130485</v>
      </c>
      <c r="AC175" s="53">
        <f ca="1">SUM($F174:AC174)</f>
        <v>4173.9020524237249</v>
      </c>
      <c r="AD175" s="19"/>
      <c r="AE175" s="66"/>
    </row>
    <row r="176" spans="1:31" hidden="1" outlineLevel="2" x14ac:dyDescent="0.2">
      <c r="A176" s="19" t="str">
        <f ca="1">Language!A189</f>
        <v xml:space="preserve">    прибыль до налогообложения</v>
      </c>
      <c r="B176" s="19"/>
      <c r="C176" s="26" t="str">
        <f t="shared" ca="1" si="254"/>
        <v>тыс. EUR</v>
      </c>
      <c r="D176" s="46"/>
      <c r="E176" s="19"/>
      <c r="F176" s="53">
        <f t="shared" ref="F176:X176" ca="1" si="274">F1220*IF(CUR_I_Report=2,F$88,1)-F526</f>
        <v>0</v>
      </c>
      <c r="G176" s="53">
        <f t="shared" ca="1" si="274"/>
        <v>0</v>
      </c>
      <c r="H176" s="53">
        <f t="shared" ca="1" si="274"/>
        <v>0</v>
      </c>
      <c r="I176" s="53">
        <f t="shared" ca="1" si="274"/>
        <v>0</v>
      </c>
      <c r="J176" s="53">
        <f t="shared" ca="1" si="274"/>
        <v>-309.35251270876392</v>
      </c>
      <c r="K176" s="53">
        <f t="shared" ca="1" si="274"/>
        <v>-542.72200914744883</v>
      </c>
      <c r="L176" s="53">
        <f t="shared" ca="1" si="274"/>
        <v>36.808723789765239</v>
      </c>
      <c r="M176" s="53">
        <f t="shared" ca="1" si="274"/>
        <v>515.87606298127139</v>
      </c>
      <c r="N176" s="53">
        <f t="shared" ca="1" si="274"/>
        <v>1055.7734838408458</v>
      </c>
      <c r="O176" s="53">
        <f t="shared" ca="1" si="274"/>
        <v>1414.1014526877718</v>
      </c>
      <c r="P176" s="53">
        <f t="shared" ca="1" si="274"/>
        <v>1414.1014526877718</v>
      </c>
      <c r="Q176" s="53">
        <f t="shared" ca="1" si="274"/>
        <v>1414.1014526877718</v>
      </c>
      <c r="R176" s="53">
        <f t="shared" ca="1" si="274"/>
        <v>1414.1014526877718</v>
      </c>
      <c r="S176" s="53">
        <f t="shared" ca="1" si="274"/>
        <v>1414.1014526877718</v>
      </c>
      <c r="T176" s="53">
        <f t="shared" ca="1" si="274"/>
        <v>1414.1014526877718</v>
      </c>
      <c r="U176" s="53">
        <f t="shared" ca="1" si="274"/>
        <v>1414.1014526877718</v>
      </c>
      <c r="V176" s="53">
        <f t="shared" ca="1" si="274"/>
        <v>1414.1014526877718</v>
      </c>
      <c r="W176" s="53">
        <f t="shared" ca="1" si="274"/>
        <v>1414.1014526877718</v>
      </c>
      <c r="X176" s="53">
        <f t="shared" ca="1" si="274"/>
        <v>1414.1014526877718</v>
      </c>
      <c r="Y176" s="53">
        <f t="shared" ref="Y176" ca="1" si="275">Y1220*IF(CUR_I_Report=2,Y$88,1)-Y526</f>
        <v>1414.1014526877718</v>
      </c>
      <c r="Z176" s="53">
        <f t="shared" ref="Z176" ca="1" si="276">Z1220*IF(CUR_I_Report=2,Z$88,1)-Z526</f>
        <v>1414.1014526877718</v>
      </c>
      <c r="AA176" s="53">
        <f t="shared" ref="AA176" ca="1" si="277">AA1220*IF(CUR_I_Report=2,AA$88,1)-AA526</f>
        <v>1414.1014526877718</v>
      </c>
      <c r="AB176" s="53">
        <f t="shared" ref="AB176:AC176" ca="1" si="278">AB1220*IF(CUR_I_Report=2,AB$88,1)-AB526</f>
        <v>1414.1014526877718</v>
      </c>
      <c r="AC176" s="53">
        <f t="shared" ca="1" si="278"/>
        <v>1414.1014526877718</v>
      </c>
      <c r="AD176" s="19"/>
      <c r="AE176" s="66">
        <f t="shared" ca="1" si="264"/>
        <v>21967.90553907225</v>
      </c>
    </row>
    <row r="177" spans="1:31" hidden="1" outlineLevel="2" x14ac:dyDescent="0.2">
      <c r="A177" s="19" t="str">
        <f ca="1">Language!A188</f>
        <v xml:space="preserve">         то же, в итоговой валюте</v>
      </c>
      <c r="B177" s="19"/>
      <c r="C177" s="5" t="str">
        <f ca="1">CUR_Report</f>
        <v>тыс. EUR</v>
      </c>
      <c r="D177" s="46"/>
      <c r="E177" s="19"/>
      <c r="F177" s="53">
        <f t="shared" ref="F177:T177" ca="1" si="279">F176/IF(CUR_I_Report=2,F$88,1)</f>
        <v>0</v>
      </c>
      <c r="G177" s="53">
        <f t="shared" ca="1" si="279"/>
        <v>0</v>
      </c>
      <c r="H177" s="53">
        <f t="shared" ca="1" si="279"/>
        <v>0</v>
      </c>
      <c r="I177" s="53">
        <f t="shared" ca="1" si="279"/>
        <v>0</v>
      </c>
      <c r="J177" s="53">
        <f t="shared" ca="1" si="279"/>
        <v>-309.35251270876392</v>
      </c>
      <c r="K177" s="53">
        <f t="shared" ca="1" si="279"/>
        <v>-542.72200914744883</v>
      </c>
      <c r="L177" s="53">
        <f t="shared" ca="1" si="279"/>
        <v>36.808723789765239</v>
      </c>
      <c r="M177" s="53">
        <f t="shared" ca="1" si="279"/>
        <v>515.87606298127139</v>
      </c>
      <c r="N177" s="53">
        <f t="shared" ca="1" si="279"/>
        <v>1055.7734838408458</v>
      </c>
      <c r="O177" s="53">
        <f t="shared" ca="1" si="279"/>
        <v>1414.1014526877718</v>
      </c>
      <c r="P177" s="53">
        <f t="shared" ca="1" si="279"/>
        <v>1414.1014526877718</v>
      </c>
      <c r="Q177" s="53">
        <f t="shared" ca="1" si="279"/>
        <v>1414.1014526877718</v>
      </c>
      <c r="R177" s="53">
        <f t="shared" ca="1" si="279"/>
        <v>1414.1014526877718</v>
      </c>
      <c r="S177" s="53">
        <f t="shared" ca="1" si="279"/>
        <v>1414.1014526877718</v>
      </c>
      <c r="T177" s="53">
        <f t="shared" ca="1" si="279"/>
        <v>1414.1014526877718</v>
      </c>
      <c r="U177" s="53">
        <f t="shared" ref="U177" ca="1" si="280">U176/IF(CUR_I_Report=2,U$88,1)</f>
        <v>1414.1014526877718</v>
      </c>
      <c r="V177" s="53">
        <f t="shared" ref="V177" ca="1" si="281">V176/IF(CUR_I_Report=2,V$88,1)</f>
        <v>1414.1014526877718</v>
      </c>
      <c r="W177" s="53">
        <f t="shared" ref="W177" ca="1" si="282">W176/IF(CUR_I_Report=2,W$88,1)</f>
        <v>1414.1014526877718</v>
      </c>
      <c r="X177" s="53">
        <f t="shared" ref="X177" ca="1" si="283">X176/IF(CUR_I_Report=2,X$88,1)</f>
        <v>1414.1014526877718</v>
      </c>
      <c r="Y177" s="53">
        <f t="shared" ref="Y177" ca="1" si="284">Y176/IF(CUR_I_Report=2,Y$88,1)</f>
        <v>1414.1014526877718</v>
      </c>
      <c r="Z177" s="53">
        <f t="shared" ref="Z177" ca="1" si="285">Z176/IF(CUR_I_Report=2,Z$88,1)</f>
        <v>1414.1014526877718</v>
      </c>
      <c r="AA177" s="53">
        <f t="shared" ref="AA177" ca="1" si="286">AA176/IF(CUR_I_Report=2,AA$88,1)</f>
        <v>1414.1014526877718</v>
      </c>
      <c r="AB177" s="53">
        <f t="shared" ref="AB177:AC177" ca="1" si="287">AB176/IF(CUR_I_Report=2,AB$88,1)</f>
        <v>1414.1014526877718</v>
      </c>
      <c r="AC177" s="53">
        <f t="shared" ca="1" si="287"/>
        <v>1414.1014526877718</v>
      </c>
      <c r="AD177" s="19"/>
      <c r="AE177" s="66">
        <f t="shared" ca="1" si="264"/>
        <v>21967.90553907225</v>
      </c>
    </row>
    <row r="178" spans="1:31" hidden="1" outlineLevel="2" x14ac:dyDescent="0.2">
      <c r="A178" s="19" t="str">
        <f ca="1">Language!A190</f>
        <v xml:space="preserve">    проценты по кредиту, выплачиваемые из прибыли</v>
      </c>
      <c r="B178" s="19"/>
      <c r="C178" s="26" t="str">
        <f t="shared" ca="1" si="254"/>
        <v>тыс. EUR</v>
      </c>
      <c r="D178" s="46"/>
      <c r="E178" s="19"/>
      <c r="F178" s="53">
        <f t="shared" ref="F178:T178" si="288">F1125</f>
        <v>0</v>
      </c>
      <c r="G178" s="53">
        <f t="shared" si="288"/>
        <v>0</v>
      </c>
      <c r="H178" s="53">
        <f t="shared" si="288"/>
        <v>0</v>
      </c>
      <c r="I178" s="53">
        <f t="shared" si="288"/>
        <v>0</v>
      </c>
      <c r="J178" s="53">
        <f t="shared" si="288"/>
        <v>0</v>
      </c>
      <c r="K178" s="53">
        <f t="shared" si="288"/>
        <v>0</v>
      </c>
      <c r="L178" s="53">
        <f t="shared" si="288"/>
        <v>0</v>
      </c>
      <c r="M178" s="53">
        <f t="shared" si="288"/>
        <v>0</v>
      </c>
      <c r="N178" s="53">
        <f t="shared" si="288"/>
        <v>0</v>
      </c>
      <c r="O178" s="53">
        <f t="shared" si="288"/>
        <v>0</v>
      </c>
      <c r="P178" s="53">
        <f t="shared" si="288"/>
        <v>0</v>
      </c>
      <c r="Q178" s="53">
        <f t="shared" si="288"/>
        <v>0</v>
      </c>
      <c r="R178" s="53">
        <f t="shared" si="288"/>
        <v>0</v>
      </c>
      <c r="S178" s="53">
        <f t="shared" si="288"/>
        <v>0</v>
      </c>
      <c r="T178" s="53">
        <f t="shared" si="288"/>
        <v>0</v>
      </c>
      <c r="U178" s="53">
        <f t="shared" ref="U178" si="289">U1125</f>
        <v>0</v>
      </c>
      <c r="V178" s="53">
        <f t="shared" ref="V178" si="290">V1125</f>
        <v>0</v>
      </c>
      <c r="W178" s="53">
        <f t="shared" ref="W178" si="291">W1125</f>
        <v>0</v>
      </c>
      <c r="X178" s="53">
        <f t="shared" ref="X178" si="292">X1125</f>
        <v>0</v>
      </c>
      <c r="Y178" s="53">
        <f t="shared" ref="Y178" si="293">Y1125</f>
        <v>0</v>
      </c>
      <c r="Z178" s="53">
        <f t="shared" ref="Z178" si="294">Z1125</f>
        <v>0</v>
      </c>
      <c r="AA178" s="53">
        <f t="shared" ref="AA178" si="295">AA1125</f>
        <v>0</v>
      </c>
      <c r="AB178" s="53">
        <f t="shared" ref="AB178:AC178" si="296">AB1125</f>
        <v>0</v>
      </c>
      <c r="AC178" s="53">
        <f t="shared" si="296"/>
        <v>0</v>
      </c>
      <c r="AD178" s="19"/>
      <c r="AE178" s="66">
        <f t="shared" si="264"/>
        <v>0</v>
      </c>
    </row>
    <row r="179" spans="1:31" hidden="1" outlineLevel="2" x14ac:dyDescent="0.2">
      <c r="A179" s="19" t="str">
        <f ca="1">Language!A188</f>
        <v xml:space="preserve">         то же, в итоговой валюте</v>
      </c>
      <c r="B179" s="19"/>
      <c r="C179" s="5" t="str">
        <f ca="1">CUR_Report</f>
        <v>тыс. EUR</v>
      </c>
      <c r="D179" s="46"/>
      <c r="E179" s="19"/>
      <c r="F179" s="53">
        <f t="shared" ref="F179:T179" si="297">F178/IF(CUR_I_Report=2,F$88,1)</f>
        <v>0</v>
      </c>
      <c r="G179" s="53">
        <f t="shared" si="297"/>
        <v>0</v>
      </c>
      <c r="H179" s="53">
        <f t="shared" si="297"/>
        <v>0</v>
      </c>
      <c r="I179" s="53">
        <f t="shared" si="297"/>
        <v>0</v>
      </c>
      <c r="J179" s="53">
        <f t="shared" si="297"/>
        <v>0</v>
      </c>
      <c r="K179" s="53">
        <f t="shared" si="297"/>
        <v>0</v>
      </c>
      <c r="L179" s="53">
        <f t="shared" si="297"/>
        <v>0</v>
      </c>
      <c r="M179" s="53">
        <f t="shared" si="297"/>
        <v>0</v>
      </c>
      <c r="N179" s="53">
        <f t="shared" si="297"/>
        <v>0</v>
      </c>
      <c r="O179" s="53">
        <f t="shared" si="297"/>
        <v>0</v>
      </c>
      <c r="P179" s="53">
        <f t="shared" si="297"/>
        <v>0</v>
      </c>
      <c r="Q179" s="53">
        <f t="shared" si="297"/>
        <v>0</v>
      </c>
      <c r="R179" s="53">
        <f t="shared" si="297"/>
        <v>0</v>
      </c>
      <c r="S179" s="53">
        <f t="shared" si="297"/>
        <v>0</v>
      </c>
      <c r="T179" s="53">
        <f t="shared" si="297"/>
        <v>0</v>
      </c>
      <c r="U179" s="53">
        <f t="shared" ref="U179" si="298">U178/IF(CUR_I_Report=2,U$88,1)</f>
        <v>0</v>
      </c>
      <c r="V179" s="53">
        <f t="shared" ref="V179" si="299">V178/IF(CUR_I_Report=2,V$88,1)</f>
        <v>0</v>
      </c>
      <c r="W179" s="53">
        <f t="shared" ref="W179" si="300">W178/IF(CUR_I_Report=2,W$88,1)</f>
        <v>0</v>
      </c>
      <c r="X179" s="53">
        <f t="shared" ref="X179" si="301">X178/IF(CUR_I_Report=2,X$88,1)</f>
        <v>0</v>
      </c>
      <c r="Y179" s="53">
        <f t="shared" ref="Y179" si="302">Y178/IF(CUR_I_Report=2,Y$88,1)</f>
        <v>0</v>
      </c>
      <c r="Z179" s="53">
        <f t="shared" ref="Z179" si="303">Z178/IF(CUR_I_Report=2,Z$88,1)</f>
        <v>0</v>
      </c>
      <c r="AA179" s="53">
        <f t="shared" ref="AA179" si="304">AA178/IF(CUR_I_Report=2,AA$88,1)</f>
        <v>0</v>
      </c>
      <c r="AB179" s="53">
        <f t="shared" ref="AB179:AC179" si="305">AB178/IF(CUR_I_Report=2,AB$88,1)</f>
        <v>0</v>
      </c>
      <c r="AC179" s="53">
        <f t="shared" si="305"/>
        <v>0</v>
      </c>
      <c r="AD179" s="19"/>
      <c r="AE179" s="66">
        <f t="shared" si="264"/>
        <v>0</v>
      </c>
    </row>
    <row r="180" spans="1:31" hidden="1" outlineLevel="2" x14ac:dyDescent="0.2">
      <c r="A180" s="19" t="str">
        <f ca="1">Language!A191</f>
        <v xml:space="preserve">    льготы по налогу на прибыль</v>
      </c>
      <c r="B180" s="19"/>
      <c r="C180" s="26" t="str">
        <f t="shared" ca="1" si="254"/>
        <v>тыс. EUR</v>
      </c>
      <c r="D180" s="46"/>
      <c r="E180" s="19"/>
      <c r="F180" s="263">
        <v>0</v>
      </c>
      <c r="G180" s="263">
        <v>0</v>
      </c>
      <c r="H180" s="263">
        <v>0</v>
      </c>
      <c r="I180" s="263">
        <v>0</v>
      </c>
      <c r="J180" s="263">
        <v>0</v>
      </c>
      <c r="K180" s="263">
        <v>0</v>
      </c>
      <c r="L180" s="263">
        <v>0</v>
      </c>
      <c r="M180" s="263">
        <v>0</v>
      </c>
      <c r="N180" s="263">
        <v>0</v>
      </c>
      <c r="O180" s="263">
        <v>0</v>
      </c>
      <c r="P180" s="263">
        <v>0</v>
      </c>
      <c r="Q180" s="263">
        <v>0</v>
      </c>
      <c r="R180" s="263">
        <v>0</v>
      </c>
      <c r="S180" s="263">
        <v>0</v>
      </c>
      <c r="T180" s="263">
        <v>0</v>
      </c>
      <c r="U180" s="263">
        <v>0</v>
      </c>
      <c r="V180" s="263">
        <v>0</v>
      </c>
      <c r="W180" s="263">
        <v>0</v>
      </c>
      <c r="X180" s="263">
        <v>0</v>
      </c>
      <c r="Y180" s="263">
        <v>0</v>
      </c>
      <c r="Z180" s="263">
        <v>0</v>
      </c>
      <c r="AA180" s="263">
        <v>0</v>
      </c>
      <c r="AB180" s="263">
        <v>0</v>
      </c>
      <c r="AC180" s="263">
        <v>0</v>
      </c>
      <c r="AD180" s="19"/>
      <c r="AE180" s="66">
        <f t="shared" si="264"/>
        <v>0</v>
      </c>
    </row>
    <row r="181" spans="1:31" hidden="1" outlineLevel="2" x14ac:dyDescent="0.2">
      <c r="A181" s="19" t="str">
        <f ca="1">Language!A188</f>
        <v xml:space="preserve">         то же, в итоговой валюте</v>
      </c>
      <c r="B181" s="19"/>
      <c r="C181" s="5" t="str">
        <f ca="1">CUR_Report</f>
        <v>тыс. EUR</v>
      </c>
      <c r="D181" s="46"/>
      <c r="E181" s="19"/>
      <c r="F181" s="101">
        <f t="shared" ref="F181:T181" si="306">F180/IF(CUR_I_Report=2,F$88,1)</f>
        <v>0</v>
      </c>
      <c r="G181" s="101">
        <f t="shared" si="306"/>
        <v>0</v>
      </c>
      <c r="H181" s="101">
        <f t="shared" si="306"/>
        <v>0</v>
      </c>
      <c r="I181" s="101">
        <f t="shared" si="306"/>
        <v>0</v>
      </c>
      <c r="J181" s="101">
        <f t="shared" si="306"/>
        <v>0</v>
      </c>
      <c r="K181" s="101">
        <f t="shared" si="306"/>
        <v>0</v>
      </c>
      <c r="L181" s="101">
        <f t="shared" si="306"/>
        <v>0</v>
      </c>
      <c r="M181" s="101">
        <f t="shared" si="306"/>
        <v>0</v>
      </c>
      <c r="N181" s="101">
        <f t="shared" si="306"/>
        <v>0</v>
      </c>
      <c r="O181" s="101">
        <f t="shared" si="306"/>
        <v>0</v>
      </c>
      <c r="P181" s="101">
        <f t="shared" si="306"/>
        <v>0</v>
      </c>
      <c r="Q181" s="101">
        <f t="shared" si="306"/>
        <v>0</v>
      </c>
      <c r="R181" s="101">
        <f t="shared" si="306"/>
        <v>0</v>
      </c>
      <c r="S181" s="101">
        <f t="shared" si="306"/>
        <v>0</v>
      </c>
      <c r="T181" s="101">
        <f t="shared" si="306"/>
        <v>0</v>
      </c>
      <c r="U181" s="101">
        <f t="shared" ref="U181" si="307">U180/IF(CUR_I_Report=2,U$88,1)</f>
        <v>0</v>
      </c>
      <c r="V181" s="101">
        <f t="shared" ref="V181" si="308">V180/IF(CUR_I_Report=2,V$88,1)</f>
        <v>0</v>
      </c>
      <c r="W181" s="101">
        <f t="shared" ref="W181" si="309">W180/IF(CUR_I_Report=2,W$88,1)</f>
        <v>0</v>
      </c>
      <c r="X181" s="101">
        <f t="shared" ref="X181" si="310">X180/IF(CUR_I_Report=2,X$88,1)</f>
        <v>0</v>
      </c>
      <c r="Y181" s="101">
        <f t="shared" ref="Y181" si="311">Y180/IF(CUR_I_Report=2,Y$88,1)</f>
        <v>0</v>
      </c>
      <c r="Z181" s="101">
        <f t="shared" ref="Z181" si="312">Z180/IF(CUR_I_Report=2,Z$88,1)</f>
        <v>0</v>
      </c>
      <c r="AA181" s="101">
        <f t="shared" ref="AA181" si="313">AA180/IF(CUR_I_Report=2,AA$88,1)</f>
        <v>0</v>
      </c>
      <c r="AB181" s="101">
        <f t="shared" ref="AB181:AC181" si="314">AB180/IF(CUR_I_Report=2,AB$88,1)</f>
        <v>0</v>
      </c>
      <c r="AC181" s="101">
        <f t="shared" si="314"/>
        <v>0</v>
      </c>
      <c r="AD181" s="19"/>
      <c r="AE181" s="66">
        <f t="shared" si="264"/>
        <v>0</v>
      </c>
    </row>
    <row r="182" spans="1:31" hidden="1" outlineLevel="2" x14ac:dyDescent="0.2">
      <c r="A182" s="19" t="str">
        <f ca="1">Language!A193</f>
        <v xml:space="preserve">    убытки предыдущих периодов</v>
      </c>
      <c r="B182" s="19"/>
      <c r="C182" s="26" t="str">
        <f t="shared" ca="1" si="254"/>
        <v>тыс. EUR</v>
      </c>
      <c r="D182" s="16" t="s">
        <v>2594</v>
      </c>
      <c r="E182" s="19"/>
      <c r="F182" s="53">
        <f t="shared" ref="F182:AC182" si="315">MIN(E176+E178-E180,0)+E182-E184</f>
        <v>0</v>
      </c>
      <c r="G182" s="53">
        <f t="shared" ca="1" si="315"/>
        <v>0</v>
      </c>
      <c r="H182" s="53">
        <f t="shared" ca="1" si="315"/>
        <v>0</v>
      </c>
      <c r="I182" s="53">
        <f t="shared" ca="1" si="315"/>
        <v>0</v>
      </c>
      <c r="J182" s="53">
        <f t="shared" ca="1" si="315"/>
        <v>0</v>
      </c>
      <c r="K182" s="53">
        <f t="shared" ca="1" si="315"/>
        <v>-309.35251270876392</v>
      </c>
      <c r="L182" s="53">
        <f t="shared" ca="1" si="315"/>
        <v>-852.07452185621275</v>
      </c>
      <c r="M182" s="53">
        <f t="shared" ca="1" si="315"/>
        <v>-815.26579806644747</v>
      </c>
      <c r="N182" s="53">
        <f t="shared" ca="1" si="315"/>
        <v>-299.38973508517608</v>
      </c>
      <c r="O182" s="53">
        <f t="shared" ca="1" si="315"/>
        <v>0</v>
      </c>
      <c r="P182" s="53">
        <f t="shared" ca="1" si="315"/>
        <v>0</v>
      </c>
      <c r="Q182" s="53">
        <f t="shared" ca="1" si="315"/>
        <v>0</v>
      </c>
      <c r="R182" s="53">
        <f t="shared" ca="1" si="315"/>
        <v>0</v>
      </c>
      <c r="S182" s="53">
        <f t="shared" ca="1" si="315"/>
        <v>0</v>
      </c>
      <c r="T182" s="53">
        <f t="shared" ca="1" si="315"/>
        <v>0</v>
      </c>
      <c r="U182" s="53">
        <f t="shared" ca="1" si="315"/>
        <v>0</v>
      </c>
      <c r="V182" s="53">
        <f t="shared" ca="1" si="315"/>
        <v>0</v>
      </c>
      <c r="W182" s="53">
        <f t="shared" ca="1" si="315"/>
        <v>0</v>
      </c>
      <c r="X182" s="53">
        <f t="shared" ca="1" si="315"/>
        <v>0</v>
      </c>
      <c r="Y182" s="53">
        <f t="shared" ca="1" si="315"/>
        <v>0</v>
      </c>
      <c r="Z182" s="53">
        <f t="shared" ca="1" si="315"/>
        <v>0</v>
      </c>
      <c r="AA182" s="53">
        <f t="shared" ca="1" si="315"/>
        <v>0</v>
      </c>
      <c r="AB182" s="53">
        <f t="shared" ca="1" si="315"/>
        <v>0</v>
      </c>
      <c r="AC182" s="53">
        <f t="shared" ca="1" si="315"/>
        <v>0</v>
      </c>
      <c r="AD182" s="19"/>
      <c r="AE182" s="22"/>
    </row>
    <row r="183" spans="1:31" hidden="1" outlineLevel="2" x14ac:dyDescent="0.2">
      <c r="A183" s="19" t="str">
        <f ca="1">Language!A188</f>
        <v xml:space="preserve">         то же, в итоговой валюте</v>
      </c>
      <c r="B183" s="19"/>
      <c r="C183" s="5" t="str">
        <f ca="1">CUR_Report</f>
        <v>тыс. EUR</v>
      </c>
      <c r="D183" s="16" t="s">
        <v>2594</v>
      </c>
      <c r="E183" s="19"/>
      <c r="F183" s="53">
        <f t="shared" ref="F183:T183" si="316">F182/IF(CUR_I_Report=2,F$88,1)</f>
        <v>0</v>
      </c>
      <c r="G183" s="53">
        <f t="shared" ca="1" si="316"/>
        <v>0</v>
      </c>
      <c r="H183" s="53">
        <f t="shared" ca="1" si="316"/>
        <v>0</v>
      </c>
      <c r="I183" s="53">
        <f t="shared" ca="1" si="316"/>
        <v>0</v>
      </c>
      <c r="J183" s="53">
        <f t="shared" ca="1" si="316"/>
        <v>0</v>
      </c>
      <c r="K183" s="53">
        <f t="shared" ca="1" si="316"/>
        <v>-309.35251270876392</v>
      </c>
      <c r="L183" s="53">
        <f t="shared" ca="1" si="316"/>
        <v>-852.07452185621275</v>
      </c>
      <c r="M183" s="53">
        <f t="shared" ca="1" si="316"/>
        <v>-815.26579806644747</v>
      </c>
      <c r="N183" s="53">
        <f t="shared" ca="1" si="316"/>
        <v>-299.38973508517608</v>
      </c>
      <c r="O183" s="53">
        <f t="shared" ca="1" si="316"/>
        <v>0</v>
      </c>
      <c r="P183" s="53">
        <f t="shared" ca="1" si="316"/>
        <v>0</v>
      </c>
      <c r="Q183" s="53">
        <f t="shared" ca="1" si="316"/>
        <v>0</v>
      </c>
      <c r="R183" s="53">
        <f t="shared" ca="1" si="316"/>
        <v>0</v>
      </c>
      <c r="S183" s="53">
        <f t="shared" ca="1" si="316"/>
        <v>0</v>
      </c>
      <c r="T183" s="53">
        <f t="shared" ca="1" si="316"/>
        <v>0</v>
      </c>
      <c r="U183" s="53">
        <f t="shared" ref="U183" ca="1" si="317">U182/IF(CUR_I_Report=2,U$88,1)</f>
        <v>0</v>
      </c>
      <c r="V183" s="53">
        <f t="shared" ref="V183" ca="1" si="318">V182/IF(CUR_I_Report=2,V$88,1)</f>
        <v>0</v>
      </c>
      <c r="W183" s="53">
        <f t="shared" ref="W183" ca="1" si="319">W182/IF(CUR_I_Report=2,W$88,1)</f>
        <v>0</v>
      </c>
      <c r="X183" s="53">
        <f t="shared" ref="X183" ca="1" si="320">X182/IF(CUR_I_Report=2,X$88,1)</f>
        <v>0</v>
      </c>
      <c r="Y183" s="53">
        <f t="shared" ref="Y183" ca="1" si="321">Y182/IF(CUR_I_Report=2,Y$88,1)</f>
        <v>0</v>
      </c>
      <c r="Z183" s="53">
        <f t="shared" ref="Z183" ca="1" si="322">Z182/IF(CUR_I_Report=2,Z$88,1)</f>
        <v>0</v>
      </c>
      <c r="AA183" s="53">
        <f t="shared" ref="AA183" ca="1" si="323">AA182/IF(CUR_I_Report=2,AA$88,1)</f>
        <v>0</v>
      </c>
      <c r="AB183" s="53">
        <f t="shared" ref="AB183:AC183" ca="1" si="324">AB182/IF(CUR_I_Report=2,AB$88,1)</f>
        <v>0</v>
      </c>
      <c r="AC183" s="53">
        <f t="shared" ca="1" si="324"/>
        <v>0</v>
      </c>
      <c r="AD183" s="19"/>
      <c r="AE183" s="22"/>
    </row>
    <row r="184" spans="1:31" hidden="1" outlineLevel="2" x14ac:dyDescent="0.2">
      <c r="A184" s="19" t="str">
        <f ca="1">Language!A194</f>
        <v xml:space="preserve">    списано убытков предыдущих лет</v>
      </c>
      <c r="B184" s="19"/>
      <c r="C184" s="26" t="str">
        <f t="shared" ca="1" si="254"/>
        <v>тыс. EUR</v>
      </c>
      <c r="D184" s="46"/>
      <c r="E184" s="19"/>
      <c r="F184" s="53">
        <f t="shared" ref="F184:T184" ca="1" si="325">-IF(F176+F178-F180&gt;0,MIN(-F182,F176+F178-F180),0)</f>
        <v>0</v>
      </c>
      <c r="G184" s="53">
        <f t="shared" ca="1" si="325"/>
        <v>0</v>
      </c>
      <c r="H184" s="53">
        <f t="shared" ca="1" si="325"/>
        <v>0</v>
      </c>
      <c r="I184" s="53">
        <f t="shared" ca="1" si="325"/>
        <v>0</v>
      </c>
      <c r="J184" s="53">
        <f t="shared" ca="1" si="325"/>
        <v>0</v>
      </c>
      <c r="K184" s="53">
        <f t="shared" ca="1" si="325"/>
        <v>0</v>
      </c>
      <c r="L184" s="53">
        <f t="shared" ca="1" si="325"/>
        <v>-36.808723789765239</v>
      </c>
      <c r="M184" s="53">
        <f t="shared" ca="1" si="325"/>
        <v>-515.87606298127139</v>
      </c>
      <c r="N184" s="53">
        <f t="shared" ca="1" si="325"/>
        <v>-299.38973508517608</v>
      </c>
      <c r="O184" s="53">
        <f t="shared" ca="1" si="325"/>
        <v>0</v>
      </c>
      <c r="P184" s="53">
        <f t="shared" ca="1" si="325"/>
        <v>0</v>
      </c>
      <c r="Q184" s="53">
        <f t="shared" ca="1" si="325"/>
        <v>0</v>
      </c>
      <c r="R184" s="53">
        <f t="shared" ca="1" si="325"/>
        <v>0</v>
      </c>
      <c r="S184" s="53">
        <f t="shared" ca="1" si="325"/>
        <v>0</v>
      </c>
      <c r="T184" s="53">
        <f t="shared" ca="1" si="325"/>
        <v>0</v>
      </c>
      <c r="U184" s="53">
        <f t="shared" ref="U184" ca="1" si="326">-IF(U176+U178-U180&gt;0,MIN(-U182,U176+U178-U180),0)</f>
        <v>0</v>
      </c>
      <c r="V184" s="53">
        <f t="shared" ref="V184" ca="1" si="327">-IF(V176+V178-V180&gt;0,MIN(-V182,V176+V178-V180),0)</f>
        <v>0</v>
      </c>
      <c r="W184" s="53">
        <f t="shared" ref="W184" ca="1" si="328">-IF(W176+W178-W180&gt;0,MIN(-W182,W176+W178-W180),0)</f>
        <v>0</v>
      </c>
      <c r="X184" s="53">
        <f t="shared" ref="X184" ca="1" si="329">-IF(X176+X178-X180&gt;0,MIN(-X182,X176+X178-X180),0)</f>
        <v>0</v>
      </c>
      <c r="Y184" s="53">
        <f t="shared" ref="Y184" ca="1" si="330">-IF(Y176+Y178-Y180&gt;0,MIN(-Y182,Y176+Y178-Y180),0)</f>
        <v>0</v>
      </c>
      <c r="Z184" s="53">
        <f t="shared" ref="Z184" ca="1" si="331">-IF(Z176+Z178-Z180&gt;0,MIN(-Z182,Z176+Z178-Z180),0)</f>
        <v>0</v>
      </c>
      <c r="AA184" s="53">
        <f t="shared" ref="AA184" ca="1" si="332">-IF(AA176+AA178-AA180&gt;0,MIN(-AA182,AA176+AA178-AA180),0)</f>
        <v>0</v>
      </c>
      <c r="AB184" s="53">
        <f t="shared" ref="AB184:AC184" ca="1" si="333">-IF(AB176+AB178-AB180&gt;0,MIN(-AB182,AB176+AB178-AB180),0)</f>
        <v>0</v>
      </c>
      <c r="AC184" s="53">
        <f t="shared" ca="1" si="333"/>
        <v>0</v>
      </c>
      <c r="AD184" s="19"/>
      <c r="AE184" s="22"/>
    </row>
    <row r="185" spans="1:31" hidden="1" outlineLevel="2" x14ac:dyDescent="0.2">
      <c r="A185" s="19" t="str">
        <f ca="1">Language!A188</f>
        <v xml:space="preserve">         то же, в итоговой валюте</v>
      </c>
      <c r="B185" s="19"/>
      <c r="C185" s="5" t="str">
        <f ca="1">CUR_Report</f>
        <v>тыс. EUR</v>
      </c>
      <c r="D185" s="46"/>
      <c r="E185" s="19"/>
      <c r="F185" s="53">
        <f t="shared" ref="F185:T185" ca="1" si="334">F184/IF(CUR_I_Report=2,F$88,1)</f>
        <v>0</v>
      </c>
      <c r="G185" s="53">
        <f t="shared" ca="1" si="334"/>
        <v>0</v>
      </c>
      <c r="H185" s="53">
        <f t="shared" ca="1" si="334"/>
        <v>0</v>
      </c>
      <c r="I185" s="53">
        <f t="shared" ca="1" si="334"/>
        <v>0</v>
      </c>
      <c r="J185" s="53">
        <f t="shared" ca="1" si="334"/>
        <v>0</v>
      </c>
      <c r="K185" s="53">
        <f t="shared" ca="1" si="334"/>
        <v>0</v>
      </c>
      <c r="L185" s="53">
        <f t="shared" ca="1" si="334"/>
        <v>-36.808723789765239</v>
      </c>
      <c r="M185" s="53">
        <f t="shared" ca="1" si="334"/>
        <v>-515.87606298127139</v>
      </c>
      <c r="N185" s="53">
        <f t="shared" ca="1" si="334"/>
        <v>-299.38973508517608</v>
      </c>
      <c r="O185" s="53">
        <f t="shared" ca="1" si="334"/>
        <v>0</v>
      </c>
      <c r="P185" s="53">
        <f t="shared" ca="1" si="334"/>
        <v>0</v>
      </c>
      <c r="Q185" s="53">
        <f t="shared" ca="1" si="334"/>
        <v>0</v>
      </c>
      <c r="R185" s="53">
        <f t="shared" ca="1" si="334"/>
        <v>0</v>
      </c>
      <c r="S185" s="53">
        <f t="shared" ca="1" si="334"/>
        <v>0</v>
      </c>
      <c r="T185" s="53">
        <f t="shared" ca="1" si="334"/>
        <v>0</v>
      </c>
      <c r="U185" s="53">
        <f t="shared" ref="U185" ca="1" si="335">U184/IF(CUR_I_Report=2,U$88,1)</f>
        <v>0</v>
      </c>
      <c r="V185" s="53">
        <f t="shared" ref="V185" ca="1" si="336">V184/IF(CUR_I_Report=2,V$88,1)</f>
        <v>0</v>
      </c>
      <c r="W185" s="53">
        <f t="shared" ref="W185" ca="1" si="337">W184/IF(CUR_I_Report=2,W$88,1)</f>
        <v>0</v>
      </c>
      <c r="X185" s="53">
        <f t="shared" ref="X185" ca="1" si="338">X184/IF(CUR_I_Report=2,X$88,1)</f>
        <v>0</v>
      </c>
      <c r="Y185" s="53">
        <f t="shared" ref="Y185" ca="1" si="339">Y184/IF(CUR_I_Report=2,Y$88,1)</f>
        <v>0</v>
      </c>
      <c r="Z185" s="53">
        <f t="shared" ref="Z185" ca="1" si="340">Z184/IF(CUR_I_Report=2,Z$88,1)</f>
        <v>0</v>
      </c>
      <c r="AA185" s="53">
        <f t="shared" ref="AA185" ca="1" si="341">AA184/IF(CUR_I_Report=2,AA$88,1)</f>
        <v>0</v>
      </c>
      <c r="AB185" s="53">
        <f t="shared" ref="AB185:AC185" ca="1" si="342">AB184/IF(CUR_I_Report=2,AB$88,1)</f>
        <v>0</v>
      </c>
      <c r="AC185" s="53">
        <f t="shared" ca="1" si="342"/>
        <v>0</v>
      </c>
      <c r="AD185" s="19"/>
      <c r="AE185" s="22"/>
    </row>
    <row r="186" spans="1:31" hidden="1" outlineLevel="2" x14ac:dyDescent="0.2">
      <c r="A186" s="19" t="str">
        <f ca="1">Language!A195</f>
        <v xml:space="preserve">    прибыль, на которую начисляется налог</v>
      </c>
      <c r="B186" s="19"/>
      <c r="C186" s="26" t="str">
        <f t="shared" ca="1" si="254"/>
        <v>тыс. EUR</v>
      </c>
      <c r="D186" s="46"/>
      <c r="E186" s="19"/>
      <c r="F186" s="53">
        <f t="shared" ref="F186:T186" ca="1" si="343">MAX(F176+F178-F180+F184,0)</f>
        <v>0</v>
      </c>
      <c r="G186" s="53">
        <f t="shared" ca="1" si="343"/>
        <v>0</v>
      </c>
      <c r="H186" s="53">
        <f t="shared" ca="1" si="343"/>
        <v>0</v>
      </c>
      <c r="I186" s="53">
        <f t="shared" ca="1" si="343"/>
        <v>0</v>
      </c>
      <c r="J186" s="53">
        <f t="shared" ca="1" si="343"/>
        <v>0</v>
      </c>
      <c r="K186" s="53">
        <f t="shared" ca="1" si="343"/>
        <v>0</v>
      </c>
      <c r="L186" s="53">
        <f t="shared" ca="1" si="343"/>
        <v>0</v>
      </c>
      <c r="M186" s="53">
        <f t="shared" ca="1" si="343"/>
        <v>0</v>
      </c>
      <c r="N186" s="53">
        <f t="shared" ca="1" si="343"/>
        <v>756.38374875566967</v>
      </c>
      <c r="O186" s="53">
        <f t="shared" ca="1" si="343"/>
        <v>1414.1014526877718</v>
      </c>
      <c r="P186" s="53">
        <f t="shared" ca="1" si="343"/>
        <v>1414.1014526877718</v>
      </c>
      <c r="Q186" s="53">
        <f t="shared" ca="1" si="343"/>
        <v>1414.1014526877718</v>
      </c>
      <c r="R186" s="53">
        <f t="shared" ca="1" si="343"/>
        <v>1414.1014526877718</v>
      </c>
      <c r="S186" s="53">
        <f t="shared" ca="1" si="343"/>
        <v>1414.1014526877718</v>
      </c>
      <c r="T186" s="53">
        <f t="shared" ca="1" si="343"/>
        <v>1414.1014526877718</v>
      </c>
      <c r="U186" s="53">
        <f t="shared" ref="U186" ca="1" si="344">MAX(U176+U178-U180+U184,0)</f>
        <v>1414.1014526877718</v>
      </c>
      <c r="V186" s="53">
        <f t="shared" ref="V186" ca="1" si="345">MAX(V176+V178-V180+V184,0)</f>
        <v>1414.1014526877718</v>
      </c>
      <c r="W186" s="53">
        <f t="shared" ref="W186" ca="1" si="346">MAX(W176+W178-W180+W184,0)</f>
        <v>1414.1014526877718</v>
      </c>
      <c r="X186" s="53">
        <f t="shared" ref="X186" ca="1" si="347">MAX(X176+X178-X180+X184,0)</f>
        <v>1414.1014526877718</v>
      </c>
      <c r="Y186" s="53">
        <f t="shared" ref="Y186" ca="1" si="348">MAX(Y176+Y178-Y180+Y184,0)</f>
        <v>1414.1014526877718</v>
      </c>
      <c r="Z186" s="53">
        <f t="shared" ref="Z186" ca="1" si="349">MAX(Z176+Z178-Z180+Z184,0)</f>
        <v>1414.1014526877718</v>
      </c>
      <c r="AA186" s="53">
        <f t="shared" ref="AA186" ca="1" si="350">MAX(AA176+AA178-AA180+AA184,0)</f>
        <v>1414.1014526877718</v>
      </c>
      <c r="AB186" s="53">
        <f t="shared" ref="AB186:AC186" ca="1" si="351">MAX(AB176+AB178-AB180+AB184,0)</f>
        <v>1414.1014526877718</v>
      </c>
      <c r="AC186" s="53">
        <f t="shared" ca="1" si="351"/>
        <v>1414.1014526877718</v>
      </c>
      <c r="AD186" s="19"/>
      <c r="AE186" s="22"/>
    </row>
    <row r="187" spans="1:31" hidden="1" outlineLevel="2" x14ac:dyDescent="0.2">
      <c r="A187" s="19" t="str">
        <f ca="1">Language!A188</f>
        <v xml:space="preserve">         то же, в итоговой валюте</v>
      </c>
      <c r="B187" s="19"/>
      <c r="C187" s="5" t="str">
        <f ca="1">CUR_Report</f>
        <v>тыс. EUR</v>
      </c>
      <c r="D187" s="46"/>
      <c r="E187" s="19"/>
      <c r="F187" s="53">
        <f t="shared" ref="F187:T187" ca="1" si="352">F186/IF(CUR_I_Report=2,F$88,1)</f>
        <v>0</v>
      </c>
      <c r="G187" s="53">
        <f t="shared" ca="1" si="352"/>
        <v>0</v>
      </c>
      <c r="H187" s="53">
        <f t="shared" ca="1" si="352"/>
        <v>0</v>
      </c>
      <c r="I187" s="53">
        <f t="shared" ca="1" si="352"/>
        <v>0</v>
      </c>
      <c r="J187" s="53">
        <f t="shared" ca="1" si="352"/>
        <v>0</v>
      </c>
      <c r="K187" s="53">
        <f t="shared" ca="1" si="352"/>
        <v>0</v>
      </c>
      <c r="L187" s="53">
        <f t="shared" ca="1" si="352"/>
        <v>0</v>
      </c>
      <c r="M187" s="53">
        <f t="shared" ca="1" si="352"/>
        <v>0</v>
      </c>
      <c r="N187" s="53">
        <f t="shared" ca="1" si="352"/>
        <v>756.38374875566967</v>
      </c>
      <c r="O187" s="53">
        <f t="shared" ca="1" si="352"/>
        <v>1414.1014526877718</v>
      </c>
      <c r="P187" s="53">
        <f t="shared" ca="1" si="352"/>
        <v>1414.1014526877718</v>
      </c>
      <c r="Q187" s="53">
        <f t="shared" ca="1" si="352"/>
        <v>1414.1014526877718</v>
      </c>
      <c r="R187" s="53">
        <f t="shared" ca="1" si="352"/>
        <v>1414.1014526877718</v>
      </c>
      <c r="S187" s="53">
        <f t="shared" ca="1" si="352"/>
        <v>1414.1014526877718</v>
      </c>
      <c r="T187" s="53">
        <f t="shared" ca="1" si="352"/>
        <v>1414.1014526877718</v>
      </c>
      <c r="U187" s="53">
        <f t="shared" ref="U187" ca="1" si="353">U186/IF(CUR_I_Report=2,U$88,1)</f>
        <v>1414.1014526877718</v>
      </c>
      <c r="V187" s="53">
        <f t="shared" ref="V187" ca="1" si="354">V186/IF(CUR_I_Report=2,V$88,1)</f>
        <v>1414.1014526877718</v>
      </c>
      <c r="W187" s="53">
        <f t="shared" ref="W187" ca="1" si="355">W186/IF(CUR_I_Report=2,W$88,1)</f>
        <v>1414.1014526877718</v>
      </c>
      <c r="X187" s="53">
        <f t="shared" ref="X187" ca="1" si="356">X186/IF(CUR_I_Report=2,X$88,1)</f>
        <v>1414.1014526877718</v>
      </c>
      <c r="Y187" s="53">
        <f t="shared" ref="Y187" ca="1" si="357">Y186/IF(CUR_I_Report=2,Y$88,1)</f>
        <v>1414.1014526877718</v>
      </c>
      <c r="Z187" s="53">
        <f t="shared" ref="Z187" ca="1" si="358">Z186/IF(CUR_I_Report=2,Z$88,1)</f>
        <v>1414.1014526877718</v>
      </c>
      <c r="AA187" s="53">
        <f t="shared" ref="AA187" ca="1" si="359">AA186/IF(CUR_I_Report=2,AA$88,1)</f>
        <v>1414.1014526877718</v>
      </c>
      <c r="AB187" s="53">
        <f t="shared" ref="AB187:AC187" ca="1" si="360">AB186/IF(CUR_I_Report=2,AB$88,1)</f>
        <v>1414.1014526877718</v>
      </c>
      <c r="AC187" s="53">
        <f t="shared" ca="1" si="360"/>
        <v>1414.1014526877718</v>
      </c>
      <c r="AD187" s="19"/>
      <c r="AE187" s="22"/>
    </row>
    <row r="188" spans="1:31" outlineLevel="1" x14ac:dyDescent="0.2">
      <c r="A188" s="19"/>
      <c r="B188" s="19"/>
      <c r="C188" s="26"/>
      <c r="D188" s="46"/>
      <c r="E188" s="19"/>
      <c r="F188" s="47"/>
      <c r="G188" s="47"/>
      <c r="H188" s="47"/>
      <c r="I188" s="47"/>
      <c r="J188" s="47"/>
      <c r="K188" s="47"/>
      <c r="L188" s="47"/>
      <c r="M188" s="47"/>
      <c r="N188" s="47"/>
      <c r="O188" s="47"/>
      <c r="P188" s="47"/>
      <c r="Q188" s="47"/>
      <c r="R188" s="47"/>
      <c r="S188" s="47"/>
      <c r="T188" s="47"/>
      <c r="U188" s="47"/>
      <c r="V188" s="47"/>
      <c r="W188" s="47"/>
      <c r="X188" s="47"/>
      <c r="Y188" s="47"/>
      <c r="Z188" s="47"/>
      <c r="AA188" s="47"/>
      <c r="AB188" s="47"/>
      <c r="AC188" s="47"/>
      <c r="AD188" s="19"/>
      <c r="AE188" s="22"/>
    </row>
    <row r="189" spans="1:31" outlineLevel="1" x14ac:dyDescent="0.2">
      <c r="A189" s="63"/>
      <c r="B189" s="63"/>
      <c r="C189" s="67"/>
      <c r="D189" s="60"/>
      <c r="E189" s="63"/>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3"/>
      <c r="AE189" s="64"/>
    </row>
    <row r="190" spans="1:31" outlineLevel="1" collapsed="1" x14ac:dyDescent="0.2">
      <c r="A190" s="24" t="str">
        <f ca="1">Language!A196</f>
        <v>СПЕЦИАЛЬНЫЕ РЕЖИМЫ НАЛОГООБЛОЖЕНИЯ</v>
      </c>
      <c r="B190" s="19"/>
      <c r="C190" s="26"/>
      <c r="D190" s="46"/>
      <c r="E190" s="19"/>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19"/>
      <c r="AE190" s="22"/>
    </row>
    <row r="191" spans="1:31" hidden="1" outlineLevel="2" x14ac:dyDescent="0.2">
      <c r="A191" s="63"/>
      <c r="B191" s="63"/>
      <c r="C191" s="67"/>
      <c r="D191" s="60"/>
      <c r="E191" s="63"/>
      <c r="F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c r="AD191" s="63"/>
      <c r="AE191" s="64"/>
    </row>
    <row r="192" spans="1:31" hidden="1" outlineLevel="2" x14ac:dyDescent="0.2">
      <c r="A192" s="62" t="str">
        <f ca="1">Language!A197</f>
        <v>ЕДИНЫЙ НАЛОГ НА ВМЕНЕННЫЙ ДОХОД</v>
      </c>
      <c r="B192" s="19"/>
      <c r="C192" s="26"/>
      <c r="D192" s="46"/>
      <c r="E192" s="19"/>
      <c r="F192" s="47"/>
      <c r="G192" s="47"/>
      <c r="H192" s="47"/>
      <c r="I192" s="47"/>
      <c r="J192" s="47"/>
      <c r="K192" s="47"/>
      <c r="L192" s="47"/>
      <c r="M192" s="47"/>
      <c r="N192" s="47"/>
      <c r="O192" s="47"/>
      <c r="P192" s="47"/>
      <c r="Q192" s="47"/>
      <c r="R192" s="47"/>
      <c r="S192" s="47"/>
      <c r="T192" s="47"/>
      <c r="U192" s="47"/>
      <c r="V192" s="47"/>
      <c r="W192" s="47"/>
      <c r="X192" s="47"/>
      <c r="Y192" s="47"/>
      <c r="Z192" s="47"/>
      <c r="AA192" s="47"/>
      <c r="AB192" s="47"/>
      <c r="AC192" s="47"/>
      <c r="AD192" s="19"/>
      <c r="AE192" s="22"/>
    </row>
    <row r="193" spans="1:31" hidden="1" outlineLevel="2" x14ac:dyDescent="0.2">
      <c r="A193" s="19"/>
      <c r="B193" s="19"/>
      <c r="C193" s="26"/>
      <c r="D193" s="46"/>
      <c r="E193" s="19"/>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19"/>
      <c r="AE193" s="22"/>
    </row>
    <row r="194" spans="1:31" s="48" customFormat="1" hidden="1" outlineLevel="2" x14ac:dyDescent="0.2">
      <c r="A194" s="45" t="str">
        <f ca="1">Language!A185</f>
        <v xml:space="preserve">    ставка</v>
      </c>
      <c r="B194" s="259">
        <f>IF(B104=2,15%,0%)</f>
        <v>0</v>
      </c>
      <c r="C194" s="26" t="s">
        <v>2430</v>
      </c>
      <c r="D194" s="16" t="s">
        <v>2429</v>
      </c>
      <c r="E194" s="19"/>
      <c r="F194" s="47">
        <f>B194</f>
        <v>0</v>
      </c>
      <c r="G194" s="47">
        <f t="shared" ref="G194:AC194" si="361">F194</f>
        <v>0</v>
      </c>
      <c r="H194" s="47">
        <f t="shared" si="361"/>
        <v>0</v>
      </c>
      <c r="I194" s="47">
        <f t="shared" si="361"/>
        <v>0</v>
      </c>
      <c r="J194" s="47">
        <f t="shared" si="361"/>
        <v>0</v>
      </c>
      <c r="K194" s="47">
        <f t="shared" si="361"/>
        <v>0</v>
      </c>
      <c r="L194" s="47">
        <f t="shared" si="361"/>
        <v>0</v>
      </c>
      <c r="M194" s="47">
        <f t="shared" si="361"/>
        <v>0</v>
      </c>
      <c r="N194" s="47">
        <f t="shared" si="361"/>
        <v>0</v>
      </c>
      <c r="O194" s="47">
        <f t="shared" si="361"/>
        <v>0</v>
      </c>
      <c r="P194" s="47">
        <f t="shared" si="361"/>
        <v>0</v>
      </c>
      <c r="Q194" s="47">
        <f t="shared" si="361"/>
        <v>0</v>
      </c>
      <c r="R194" s="47">
        <f t="shared" si="361"/>
        <v>0</v>
      </c>
      <c r="S194" s="47">
        <f t="shared" si="361"/>
        <v>0</v>
      </c>
      <c r="T194" s="47">
        <f t="shared" si="361"/>
        <v>0</v>
      </c>
      <c r="U194" s="47">
        <f t="shared" si="361"/>
        <v>0</v>
      </c>
      <c r="V194" s="47">
        <f t="shared" si="361"/>
        <v>0</v>
      </c>
      <c r="W194" s="47">
        <f t="shared" si="361"/>
        <v>0</v>
      </c>
      <c r="X194" s="47">
        <f t="shared" si="361"/>
        <v>0</v>
      </c>
      <c r="Y194" s="47">
        <f t="shared" si="361"/>
        <v>0</v>
      </c>
      <c r="Z194" s="47">
        <f t="shared" si="361"/>
        <v>0</v>
      </c>
      <c r="AA194" s="47">
        <f t="shared" si="361"/>
        <v>0</v>
      </c>
      <c r="AB194" s="47">
        <f t="shared" si="361"/>
        <v>0</v>
      </c>
      <c r="AC194" s="47">
        <f t="shared" si="361"/>
        <v>0</v>
      </c>
      <c r="AD194" s="45"/>
      <c r="AE194" s="77"/>
    </row>
    <row r="195" spans="1:31" s="48" customFormat="1" hidden="1" outlineLevel="2" x14ac:dyDescent="0.2">
      <c r="A195" s="45" t="str">
        <f ca="1">Language!A186</f>
        <v xml:space="preserve">    период уплаты</v>
      </c>
      <c r="B195" s="258">
        <f>IF(PRJ_Step=30,30,90)</f>
        <v>90</v>
      </c>
      <c r="C195" s="26" t="str">
        <f ca="1">Language!A219</f>
        <v>дней</v>
      </c>
      <c r="D195" s="16"/>
      <c r="E195" s="19"/>
      <c r="F195" s="47"/>
      <c r="G195" s="47"/>
      <c r="H195" s="47"/>
      <c r="I195" s="47"/>
      <c r="J195" s="47"/>
      <c r="K195" s="47"/>
      <c r="L195" s="47"/>
      <c r="M195" s="47"/>
      <c r="N195" s="47"/>
      <c r="O195" s="47"/>
      <c r="P195" s="47"/>
      <c r="Q195" s="47"/>
      <c r="R195" s="47"/>
      <c r="S195" s="47"/>
      <c r="T195" s="47"/>
      <c r="U195" s="47"/>
      <c r="V195" s="47"/>
      <c r="W195" s="47"/>
      <c r="X195" s="47"/>
      <c r="Y195" s="47"/>
      <c r="Z195" s="47"/>
      <c r="AA195" s="47"/>
      <c r="AB195" s="47"/>
      <c r="AC195" s="47"/>
      <c r="AD195" s="45"/>
      <c r="AE195" s="77"/>
    </row>
    <row r="196" spans="1:31" hidden="1" outlineLevel="2" x14ac:dyDescent="0.2">
      <c r="A196" s="19" t="str">
        <f ca="1">Language!A200</f>
        <v>Физический показатель доходности</v>
      </c>
      <c r="B196" s="264">
        <v>0</v>
      </c>
      <c r="C196" s="260" t="str">
        <f ca="1">Language!A530</f>
        <v>ед.</v>
      </c>
      <c r="D196" s="46"/>
      <c r="E196" s="19"/>
      <c r="F196" s="263">
        <f>B196</f>
        <v>0</v>
      </c>
      <c r="G196" s="263">
        <f>F196</f>
        <v>0</v>
      </c>
      <c r="H196" s="263">
        <f t="shared" ref="H196:J199" si="362">G196</f>
        <v>0</v>
      </c>
      <c r="I196" s="263">
        <f t="shared" si="362"/>
        <v>0</v>
      </c>
      <c r="J196" s="263">
        <f t="shared" si="362"/>
        <v>0</v>
      </c>
      <c r="K196" s="263">
        <f t="shared" ref="K196:AC196" si="363">J196</f>
        <v>0</v>
      </c>
      <c r="L196" s="263">
        <f t="shared" si="363"/>
        <v>0</v>
      </c>
      <c r="M196" s="263">
        <f t="shared" si="363"/>
        <v>0</v>
      </c>
      <c r="N196" s="263">
        <f t="shared" si="363"/>
        <v>0</v>
      </c>
      <c r="O196" s="263">
        <f t="shared" si="363"/>
        <v>0</v>
      </c>
      <c r="P196" s="263">
        <f t="shared" si="363"/>
        <v>0</v>
      </c>
      <c r="Q196" s="263">
        <f t="shared" si="363"/>
        <v>0</v>
      </c>
      <c r="R196" s="263">
        <f t="shared" si="363"/>
        <v>0</v>
      </c>
      <c r="S196" s="263">
        <f t="shared" si="363"/>
        <v>0</v>
      </c>
      <c r="T196" s="263">
        <f t="shared" si="363"/>
        <v>0</v>
      </c>
      <c r="U196" s="263">
        <f t="shared" si="363"/>
        <v>0</v>
      </c>
      <c r="V196" s="263">
        <f t="shared" si="363"/>
        <v>0</v>
      </c>
      <c r="W196" s="263">
        <f t="shared" si="363"/>
        <v>0</v>
      </c>
      <c r="X196" s="263">
        <f t="shared" si="363"/>
        <v>0</v>
      </c>
      <c r="Y196" s="263">
        <f t="shared" si="363"/>
        <v>0</v>
      </c>
      <c r="Z196" s="263">
        <f t="shared" si="363"/>
        <v>0</v>
      </c>
      <c r="AA196" s="263">
        <f t="shared" si="363"/>
        <v>0</v>
      </c>
      <c r="AB196" s="263">
        <f t="shared" si="363"/>
        <v>0</v>
      </c>
      <c r="AC196" s="263">
        <f t="shared" si="363"/>
        <v>0</v>
      </c>
      <c r="AD196" s="19"/>
      <c r="AE196" s="22"/>
    </row>
    <row r="197" spans="1:31" hidden="1" outlineLevel="2" x14ac:dyDescent="0.2">
      <c r="A197" s="19" t="str">
        <f ca="1">Language!A201</f>
        <v>Базовая доходность</v>
      </c>
      <c r="B197" s="264">
        <v>0</v>
      </c>
      <c r="C197" s="26" t="str">
        <f ca="1">CUR_Main&amp;" / "&amp;C196</f>
        <v>тыс. EUR / ед.</v>
      </c>
      <c r="D197" s="46"/>
      <c r="E197" s="19"/>
      <c r="F197" s="101">
        <f>B197</f>
        <v>0</v>
      </c>
      <c r="G197" s="101">
        <f>F197</f>
        <v>0</v>
      </c>
      <c r="H197" s="101">
        <f t="shared" si="362"/>
        <v>0</v>
      </c>
      <c r="I197" s="101">
        <f t="shared" si="362"/>
        <v>0</v>
      </c>
      <c r="J197" s="101">
        <f t="shared" si="362"/>
        <v>0</v>
      </c>
      <c r="K197" s="101">
        <f t="shared" ref="K197:AC197" si="364">J197</f>
        <v>0</v>
      </c>
      <c r="L197" s="101">
        <f t="shared" si="364"/>
        <v>0</v>
      </c>
      <c r="M197" s="101">
        <f t="shared" si="364"/>
        <v>0</v>
      </c>
      <c r="N197" s="101">
        <f t="shared" si="364"/>
        <v>0</v>
      </c>
      <c r="O197" s="101">
        <f t="shared" si="364"/>
        <v>0</v>
      </c>
      <c r="P197" s="101">
        <f t="shared" si="364"/>
        <v>0</v>
      </c>
      <c r="Q197" s="101">
        <f t="shared" si="364"/>
        <v>0</v>
      </c>
      <c r="R197" s="101">
        <f t="shared" si="364"/>
        <v>0</v>
      </c>
      <c r="S197" s="101">
        <f t="shared" si="364"/>
        <v>0</v>
      </c>
      <c r="T197" s="101">
        <f t="shared" si="364"/>
        <v>0</v>
      </c>
      <c r="U197" s="101">
        <f t="shared" si="364"/>
        <v>0</v>
      </c>
      <c r="V197" s="101">
        <f t="shared" si="364"/>
        <v>0</v>
      </c>
      <c r="W197" s="101">
        <f t="shared" si="364"/>
        <v>0</v>
      </c>
      <c r="X197" s="101">
        <f t="shared" si="364"/>
        <v>0</v>
      </c>
      <c r="Y197" s="101">
        <f t="shared" si="364"/>
        <v>0</v>
      </c>
      <c r="Z197" s="101">
        <f t="shared" si="364"/>
        <v>0</v>
      </c>
      <c r="AA197" s="101">
        <f t="shared" si="364"/>
        <v>0</v>
      </c>
      <c r="AB197" s="101">
        <f t="shared" si="364"/>
        <v>0</v>
      </c>
      <c r="AC197" s="101">
        <f t="shared" si="364"/>
        <v>0</v>
      </c>
      <c r="AD197" s="19"/>
      <c r="AE197" s="22"/>
    </row>
    <row r="198" spans="1:31" hidden="1" outlineLevel="2" x14ac:dyDescent="0.2">
      <c r="A198" s="19" t="str">
        <f ca="1">Language!A202</f>
        <v>Коэффициент-дефлятор К1</v>
      </c>
      <c r="B198" s="265">
        <v>1</v>
      </c>
      <c r="C198" s="26" t="str">
        <f ca="1">Language!A198</f>
        <v>разы</v>
      </c>
      <c r="D198" s="46"/>
      <c r="E198" s="19"/>
      <c r="F198" s="266">
        <f>B198</f>
        <v>1</v>
      </c>
      <c r="G198" s="266">
        <f>F198</f>
        <v>1</v>
      </c>
      <c r="H198" s="266">
        <f t="shared" si="362"/>
        <v>1</v>
      </c>
      <c r="I198" s="266">
        <f t="shared" si="362"/>
        <v>1</v>
      </c>
      <c r="J198" s="266">
        <f t="shared" si="362"/>
        <v>1</v>
      </c>
      <c r="K198" s="266">
        <f t="shared" ref="K198:AC198" si="365">J198</f>
        <v>1</v>
      </c>
      <c r="L198" s="266">
        <f t="shared" si="365"/>
        <v>1</v>
      </c>
      <c r="M198" s="266">
        <f t="shared" si="365"/>
        <v>1</v>
      </c>
      <c r="N198" s="266">
        <f t="shared" si="365"/>
        <v>1</v>
      </c>
      <c r="O198" s="266">
        <f t="shared" si="365"/>
        <v>1</v>
      </c>
      <c r="P198" s="266">
        <f t="shared" si="365"/>
        <v>1</v>
      </c>
      <c r="Q198" s="266">
        <f t="shared" si="365"/>
        <v>1</v>
      </c>
      <c r="R198" s="266">
        <f t="shared" si="365"/>
        <v>1</v>
      </c>
      <c r="S198" s="266">
        <f t="shared" si="365"/>
        <v>1</v>
      </c>
      <c r="T198" s="266">
        <f t="shared" si="365"/>
        <v>1</v>
      </c>
      <c r="U198" s="266">
        <f t="shared" si="365"/>
        <v>1</v>
      </c>
      <c r="V198" s="266">
        <f t="shared" si="365"/>
        <v>1</v>
      </c>
      <c r="W198" s="266">
        <f t="shared" si="365"/>
        <v>1</v>
      </c>
      <c r="X198" s="266">
        <f t="shared" si="365"/>
        <v>1</v>
      </c>
      <c r="Y198" s="266">
        <f t="shared" si="365"/>
        <v>1</v>
      </c>
      <c r="Z198" s="266">
        <f t="shared" si="365"/>
        <v>1</v>
      </c>
      <c r="AA198" s="266">
        <f t="shared" si="365"/>
        <v>1</v>
      </c>
      <c r="AB198" s="266">
        <f t="shared" si="365"/>
        <v>1</v>
      </c>
      <c r="AC198" s="266">
        <f t="shared" si="365"/>
        <v>1</v>
      </c>
      <c r="AD198" s="19"/>
      <c r="AE198" s="22"/>
    </row>
    <row r="199" spans="1:31" hidden="1" outlineLevel="2" x14ac:dyDescent="0.2">
      <c r="A199" s="19" t="str">
        <f ca="1">Language!A203</f>
        <v>Корректирующий коэффициент К2</v>
      </c>
      <c r="B199" s="265">
        <v>1</v>
      </c>
      <c r="C199" s="26" t="str">
        <f ca="1">Language!A198</f>
        <v>разы</v>
      </c>
      <c r="D199" s="46"/>
      <c r="E199" s="19"/>
      <c r="F199" s="266">
        <f>B199</f>
        <v>1</v>
      </c>
      <c r="G199" s="266">
        <f>F199</f>
        <v>1</v>
      </c>
      <c r="H199" s="266">
        <f t="shared" si="362"/>
        <v>1</v>
      </c>
      <c r="I199" s="266">
        <f t="shared" si="362"/>
        <v>1</v>
      </c>
      <c r="J199" s="266">
        <f t="shared" si="362"/>
        <v>1</v>
      </c>
      <c r="K199" s="266">
        <f t="shared" ref="K199:AC199" si="366">J199</f>
        <v>1</v>
      </c>
      <c r="L199" s="266">
        <f t="shared" si="366"/>
        <v>1</v>
      </c>
      <c r="M199" s="266">
        <f t="shared" si="366"/>
        <v>1</v>
      </c>
      <c r="N199" s="266">
        <f t="shared" si="366"/>
        <v>1</v>
      </c>
      <c r="O199" s="266">
        <f t="shared" si="366"/>
        <v>1</v>
      </c>
      <c r="P199" s="266">
        <f t="shared" si="366"/>
        <v>1</v>
      </c>
      <c r="Q199" s="266">
        <f t="shared" si="366"/>
        <v>1</v>
      </c>
      <c r="R199" s="266">
        <f t="shared" si="366"/>
        <v>1</v>
      </c>
      <c r="S199" s="266">
        <f t="shared" si="366"/>
        <v>1</v>
      </c>
      <c r="T199" s="266">
        <f t="shared" si="366"/>
        <v>1</v>
      </c>
      <c r="U199" s="266">
        <f t="shared" si="366"/>
        <v>1</v>
      </c>
      <c r="V199" s="266">
        <f t="shared" si="366"/>
        <v>1</v>
      </c>
      <c r="W199" s="266">
        <f t="shared" si="366"/>
        <v>1</v>
      </c>
      <c r="X199" s="266">
        <f t="shared" si="366"/>
        <v>1</v>
      </c>
      <c r="Y199" s="266">
        <f t="shared" si="366"/>
        <v>1</v>
      </c>
      <c r="Z199" s="266">
        <f t="shared" si="366"/>
        <v>1</v>
      </c>
      <c r="AA199" s="266">
        <f t="shared" si="366"/>
        <v>1</v>
      </c>
      <c r="AB199" s="266">
        <f t="shared" si="366"/>
        <v>1</v>
      </c>
      <c r="AC199" s="266">
        <f t="shared" si="366"/>
        <v>1</v>
      </c>
      <c r="AD199" s="19"/>
      <c r="AE199" s="22"/>
    </row>
    <row r="200" spans="1:31" hidden="1" outlineLevel="2" x14ac:dyDescent="0.2">
      <c r="A200" s="124" t="str">
        <f ca="1">Language!A199</f>
        <v>Начисленный налог на вмененный доход</v>
      </c>
      <c r="B200" s="19"/>
      <c r="C200" s="26" t="str">
        <f ca="1">CUR_Main</f>
        <v>тыс. EUR</v>
      </c>
      <c r="D200" s="46"/>
      <c r="E200" s="19"/>
      <c r="F200" s="98">
        <f t="shared" ref="F200:T200" si="367">F202*F194-MIN(F203,50%*F202*F194)</f>
        <v>0</v>
      </c>
      <c r="G200" s="98">
        <f t="shared" si="367"/>
        <v>0</v>
      </c>
      <c r="H200" s="98">
        <f t="shared" si="367"/>
        <v>0</v>
      </c>
      <c r="I200" s="98">
        <f t="shared" si="367"/>
        <v>0</v>
      </c>
      <c r="J200" s="98">
        <f t="shared" si="367"/>
        <v>0</v>
      </c>
      <c r="K200" s="98">
        <f t="shared" si="367"/>
        <v>0</v>
      </c>
      <c r="L200" s="98">
        <f t="shared" si="367"/>
        <v>0</v>
      </c>
      <c r="M200" s="98">
        <f t="shared" si="367"/>
        <v>0</v>
      </c>
      <c r="N200" s="98">
        <f t="shared" si="367"/>
        <v>0</v>
      </c>
      <c r="O200" s="98">
        <f t="shared" si="367"/>
        <v>0</v>
      </c>
      <c r="P200" s="98">
        <f t="shared" si="367"/>
        <v>0</v>
      </c>
      <c r="Q200" s="98">
        <f t="shared" si="367"/>
        <v>0</v>
      </c>
      <c r="R200" s="98">
        <f t="shared" si="367"/>
        <v>0</v>
      </c>
      <c r="S200" s="98">
        <f t="shared" si="367"/>
        <v>0</v>
      </c>
      <c r="T200" s="98">
        <f t="shared" si="367"/>
        <v>0</v>
      </c>
      <c r="U200" s="98">
        <f t="shared" ref="U200" si="368">U202*U194-MIN(U203,50%*U202*U194)</f>
        <v>0</v>
      </c>
      <c r="V200" s="98">
        <f t="shared" ref="V200" si="369">V202*V194-MIN(V203,50%*V202*V194)</f>
        <v>0</v>
      </c>
      <c r="W200" s="98">
        <f t="shared" ref="W200" si="370">W202*W194-MIN(W203,50%*W202*W194)</f>
        <v>0</v>
      </c>
      <c r="X200" s="98">
        <f t="shared" ref="X200" si="371">X202*X194-MIN(X203,50%*X202*X194)</f>
        <v>0</v>
      </c>
      <c r="Y200" s="98">
        <f t="shared" ref="Y200" si="372">Y202*Y194-MIN(Y203,50%*Y202*Y194)</f>
        <v>0</v>
      </c>
      <c r="Z200" s="98">
        <f t="shared" ref="Z200" si="373">Z202*Z194-MIN(Z203,50%*Z202*Z194)</f>
        <v>0</v>
      </c>
      <c r="AA200" s="98">
        <f t="shared" ref="AA200" si="374">AA202*AA194-MIN(AA203,50%*AA202*AA194)</f>
        <v>0</v>
      </c>
      <c r="AB200" s="98">
        <f t="shared" ref="AB200:AC200" si="375">AB202*AB194-MIN(AB203,50%*AB202*AB194)</f>
        <v>0</v>
      </c>
      <c r="AC200" s="98">
        <f t="shared" si="375"/>
        <v>0</v>
      </c>
      <c r="AD200" s="19"/>
      <c r="AE200" s="96">
        <f>SUM(F200:AC200)</f>
        <v>0</v>
      </c>
    </row>
    <row r="201" spans="1:31" hidden="1" outlineLevel="2" x14ac:dyDescent="0.2">
      <c r="A201" s="24" t="str">
        <f ca="1">Language!A188</f>
        <v xml:space="preserve">         то же, в итоговой валюте</v>
      </c>
      <c r="B201" s="19"/>
      <c r="C201" s="5" t="str">
        <f ca="1">CUR_Report</f>
        <v>тыс. EUR</v>
      </c>
      <c r="D201" s="46"/>
      <c r="E201" s="19"/>
      <c r="F201" s="53">
        <f t="shared" ref="F201:T201" si="376">F200/IF(CUR_I_Report=2,F$88,1)</f>
        <v>0</v>
      </c>
      <c r="G201" s="53">
        <f t="shared" si="376"/>
        <v>0</v>
      </c>
      <c r="H201" s="53">
        <f t="shared" si="376"/>
        <v>0</v>
      </c>
      <c r="I201" s="53">
        <f t="shared" si="376"/>
        <v>0</v>
      </c>
      <c r="J201" s="53">
        <f t="shared" si="376"/>
        <v>0</v>
      </c>
      <c r="K201" s="53">
        <f t="shared" si="376"/>
        <v>0</v>
      </c>
      <c r="L201" s="53">
        <f t="shared" si="376"/>
        <v>0</v>
      </c>
      <c r="M201" s="53">
        <f t="shared" si="376"/>
        <v>0</v>
      </c>
      <c r="N201" s="53">
        <f t="shared" si="376"/>
        <v>0</v>
      </c>
      <c r="O201" s="53">
        <f t="shared" si="376"/>
        <v>0</v>
      </c>
      <c r="P201" s="53">
        <f t="shared" si="376"/>
        <v>0</v>
      </c>
      <c r="Q201" s="53">
        <f t="shared" si="376"/>
        <v>0</v>
      </c>
      <c r="R201" s="53">
        <f t="shared" si="376"/>
        <v>0</v>
      </c>
      <c r="S201" s="53">
        <f t="shared" si="376"/>
        <v>0</v>
      </c>
      <c r="T201" s="53">
        <f t="shared" si="376"/>
        <v>0</v>
      </c>
      <c r="U201" s="53">
        <f t="shared" ref="U201" si="377">U200/IF(CUR_I_Report=2,U$88,1)</f>
        <v>0</v>
      </c>
      <c r="V201" s="53">
        <f t="shared" ref="V201" si="378">V200/IF(CUR_I_Report=2,V$88,1)</f>
        <v>0</v>
      </c>
      <c r="W201" s="53">
        <f t="shared" ref="W201" si="379">W200/IF(CUR_I_Report=2,W$88,1)</f>
        <v>0</v>
      </c>
      <c r="X201" s="53">
        <f t="shared" ref="X201" si="380">X200/IF(CUR_I_Report=2,X$88,1)</f>
        <v>0</v>
      </c>
      <c r="Y201" s="53">
        <f t="shared" ref="Y201" si="381">Y200/IF(CUR_I_Report=2,Y$88,1)</f>
        <v>0</v>
      </c>
      <c r="Z201" s="53">
        <f t="shared" ref="Z201" si="382">Z200/IF(CUR_I_Report=2,Z$88,1)</f>
        <v>0</v>
      </c>
      <c r="AA201" s="53">
        <f t="shared" ref="AA201" si="383">AA200/IF(CUR_I_Report=2,AA$88,1)</f>
        <v>0</v>
      </c>
      <c r="AB201" s="53">
        <f t="shared" ref="AB201:AC201" si="384">AB200/IF(CUR_I_Report=2,AB$88,1)</f>
        <v>0</v>
      </c>
      <c r="AC201" s="53">
        <f t="shared" si="384"/>
        <v>0</v>
      </c>
      <c r="AD201" s="19"/>
      <c r="AE201" s="66">
        <f>SUM(F201:AC201)</f>
        <v>0</v>
      </c>
    </row>
    <row r="202" spans="1:31" hidden="1" outlineLevel="2" x14ac:dyDescent="0.2">
      <c r="A202" s="19" t="str">
        <f ca="1">Language!A204</f>
        <v>Величина вмененного дохода</v>
      </c>
      <c r="B202" s="19"/>
      <c r="C202" s="26" t="str">
        <f ca="1">CUR_Main</f>
        <v>тыс. EUR</v>
      </c>
      <c r="D202" s="46"/>
      <c r="E202" s="19"/>
      <c r="F202" s="65">
        <f t="shared" ref="F202:T202" si="385">F196*F197*F198*F199</f>
        <v>0</v>
      </c>
      <c r="G202" s="65">
        <f t="shared" si="385"/>
        <v>0</v>
      </c>
      <c r="H202" s="65">
        <f t="shared" si="385"/>
        <v>0</v>
      </c>
      <c r="I202" s="65">
        <f t="shared" si="385"/>
        <v>0</v>
      </c>
      <c r="J202" s="65">
        <f t="shared" si="385"/>
        <v>0</v>
      </c>
      <c r="K202" s="65">
        <f t="shared" si="385"/>
        <v>0</v>
      </c>
      <c r="L202" s="65">
        <f t="shared" si="385"/>
        <v>0</v>
      </c>
      <c r="M202" s="65">
        <f t="shared" si="385"/>
        <v>0</v>
      </c>
      <c r="N202" s="65">
        <f t="shared" si="385"/>
        <v>0</v>
      </c>
      <c r="O202" s="65">
        <f t="shared" si="385"/>
        <v>0</v>
      </c>
      <c r="P202" s="65">
        <f t="shared" si="385"/>
        <v>0</v>
      </c>
      <c r="Q202" s="65">
        <f t="shared" si="385"/>
        <v>0</v>
      </c>
      <c r="R202" s="65">
        <f t="shared" si="385"/>
        <v>0</v>
      </c>
      <c r="S202" s="65">
        <f t="shared" si="385"/>
        <v>0</v>
      </c>
      <c r="T202" s="65">
        <f t="shared" si="385"/>
        <v>0</v>
      </c>
      <c r="U202" s="65">
        <f t="shared" ref="U202" si="386">U196*U197*U198*U199</f>
        <v>0</v>
      </c>
      <c r="V202" s="65">
        <f t="shared" ref="V202" si="387">V196*V197*V198*V199</f>
        <v>0</v>
      </c>
      <c r="W202" s="65">
        <f t="shared" ref="W202" si="388">W196*W197*W198*W199</f>
        <v>0</v>
      </c>
      <c r="X202" s="65">
        <f t="shared" ref="X202" si="389">X196*X197*X198*X199</f>
        <v>0</v>
      </c>
      <c r="Y202" s="65">
        <f t="shared" ref="Y202" si="390">Y196*Y197*Y198*Y199</f>
        <v>0</v>
      </c>
      <c r="Z202" s="65">
        <f t="shared" ref="Z202" si="391">Z196*Z197*Z198*Z199</f>
        <v>0</v>
      </c>
      <c r="AA202" s="65">
        <f t="shared" ref="AA202" si="392">AA196*AA197*AA198*AA199</f>
        <v>0</v>
      </c>
      <c r="AB202" s="65">
        <f t="shared" ref="AB202:AC202" si="393">AB196*AB197*AB198*AB199</f>
        <v>0</v>
      </c>
      <c r="AC202" s="65">
        <f t="shared" si="393"/>
        <v>0</v>
      </c>
      <c r="AD202" s="19"/>
      <c r="AE202" s="66">
        <f>SUM(F202:AC202)</f>
        <v>0</v>
      </c>
    </row>
    <row r="203" spans="1:31" hidden="1" outlineLevel="2" x14ac:dyDescent="0.2">
      <c r="A203" s="62" t="str">
        <f ca="1">Language!A205</f>
        <v>Взносы на обязательное пенсионное страхование</v>
      </c>
      <c r="B203" s="19"/>
      <c r="C203" s="26" t="str">
        <f ca="1">CUR_Main</f>
        <v>тыс. EUR</v>
      </c>
      <c r="D203" s="46"/>
      <c r="E203" s="19"/>
      <c r="F203" s="98">
        <f t="shared" ref="F203:T203" si="394">F204*F206</f>
        <v>0</v>
      </c>
      <c r="G203" s="98">
        <f t="shared" si="394"/>
        <v>0</v>
      </c>
      <c r="H203" s="98">
        <f t="shared" si="394"/>
        <v>0</v>
      </c>
      <c r="I203" s="98">
        <f t="shared" si="394"/>
        <v>0</v>
      </c>
      <c r="J203" s="98">
        <f t="shared" si="394"/>
        <v>0</v>
      </c>
      <c r="K203" s="98">
        <f t="shared" si="394"/>
        <v>0</v>
      </c>
      <c r="L203" s="98">
        <f t="shared" si="394"/>
        <v>0</v>
      </c>
      <c r="M203" s="98">
        <f t="shared" si="394"/>
        <v>0</v>
      </c>
      <c r="N203" s="98">
        <f t="shared" si="394"/>
        <v>0</v>
      </c>
      <c r="O203" s="98">
        <f t="shared" si="394"/>
        <v>0</v>
      </c>
      <c r="P203" s="98">
        <f t="shared" si="394"/>
        <v>0</v>
      </c>
      <c r="Q203" s="98">
        <f t="shared" si="394"/>
        <v>0</v>
      </c>
      <c r="R203" s="98">
        <f t="shared" si="394"/>
        <v>0</v>
      </c>
      <c r="S203" s="98">
        <f t="shared" si="394"/>
        <v>0</v>
      </c>
      <c r="T203" s="98">
        <f t="shared" si="394"/>
        <v>0</v>
      </c>
      <c r="U203" s="98">
        <f t="shared" ref="U203" si="395">U204*U206</f>
        <v>0</v>
      </c>
      <c r="V203" s="98">
        <f t="shared" ref="V203" si="396">V204*V206</f>
        <v>0</v>
      </c>
      <c r="W203" s="98">
        <f t="shared" ref="W203" si="397">W204*W206</f>
        <v>0</v>
      </c>
      <c r="X203" s="98">
        <f t="shared" ref="X203" si="398">X204*X206</f>
        <v>0</v>
      </c>
      <c r="Y203" s="98">
        <f t="shared" ref="Y203" si="399">Y204*Y206</f>
        <v>0</v>
      </c>
      <c r="Z203" s="98">
        <f t="shared" ref="Z203" si="400">Z204*Z206</f>
        <v>0</v>
      </c>
      <c r="AA203" s="98">
        <f t="shared" ref="AA203" si="401">AA204*AA206</f>
        <v>0</v>
      </c>
      <c r="AB203" s="98">
        <f t="shared" ref="AB203:AC203" si="402">AB204*AB206</f>
        <v>0</v>
      </c>
      <c r="AC203" s="98">
        <f t="shared" si="402"/>
        <v>0</v>
      </c>
      <c r="AD203" s="62"/>
      <c r="AE203" s="96">
        <f>SUM(F203:AC203)</f>
        <v>0</v>
      </c>
    </row>
    <row r="204" spans="1:31" hidden="1" outlineLevel="2" x14ac:dyDescent="0.2">
      <c r="A204" s="19" t="str">
        <f ca="1">Language!A206</f>
        <v xml:space="preserve">    ставка</v>
      </c>
      <c r="B204" s="259">
        <f>IF(B104=2,26%,0%)</f>
        <v>0</v>
      </c>
      <c r="C204" s="26" t="s">
        <v>2430</v>
      </c>
      <c r="D204" s="16" t="s">
        <v>2429</v>
      </c>
      <c r="E204" s="19"/>
      <c r="F204" s="47">
        <f>B204</f>
        <v>0</v>
      </c>
      <c r="G204" s="47">
        <f t="shared" ref="G204:AC204" si="403">F204</f>
        <v>0</v>
      </c>
      <c r="H204" s="47">
        <f t="shared" si="403"/>
        <v>0</v>
      </c>
      <c r="I204" s="47">
        <f t="shared" si="403"/>
        <v>0</v>
      </c>
      <c r="J204" s="47">
        <f t="shared" si="403"/>
        <v>0</v>
      </c>
      <c r="K204" s="47">
        <f t="shared" si="403"/>
        <v>0</v>
      </c>
      <c r="L204" s="47">
        <f t="shared" si="403"/>
        <v>0</v>
      </c>
      <c r="M204" s="47">
        <f t="shared" si="403"/>
        <v>0</v>
      </c>
      <c r="N204" s="47">
        <f t="shared" si="403"/>
        <v>0</v>
      </c>
      <c r="O204" s="47">
        <f t="shared" si="403"/>
        <v>0</v>
      </c>
      <c r="P204" s="47">
        <f t="shared" si="403"/>
        <v>0</v>
      </c>
      <c r="Q204" s="47">
        <f t="shared" si="403"/>
        <v>0</v>
      </c>
      <c r="R204" s="47">
        <f t="shared" si="403"/>
        <v>0</v>
      </c>
      <c r="S204" s="47">
        <f t="shared" si="403"/>
        <v>0</v>
      </c>
      <c r="T204" s="47">
        <f t="shared" si="403"/>
        <v>0</v>
      </c>
      <c r="U204" s="47">
        <f t="shared" si="403"/>
        <v>0</v>
      </c>
      <c r="V204" s="47">
        <f t="shared" si="403"/>
        <v>0</v>
      </c>
      <c r="W204" s="47">
        <f t="shared" si="403"/>
        <v>0</v>
      </c>
      <c r="X204" s="47">
        <f t="shared" si="403"/>
        <v>0</v>
      </c>
      <c r="Y204" s="47">
        <f t="shared" si="403"/>
        <v>0</v>
      </c>
      <c r="Z204" s="47">
        <f t="shared" si="403"/>
        <v>0</v>
      </c>
      <c r="AA204" s="47">
        <f t="shared" si="403"/>
        <v>0</v>
      </c>
      <c r="AB204" s="47">
        <f t="shared" si="403"/>
        <v>0</v>
      </c>
      <c r="AC204" s="47">
        <f t="shared" si="403"/>
        <v>0</v>
      </c>
      <c r="AD204" s="19"/>
      <c r="AE204" s="22"/>
    </row>
    <row r="205" spans="1:31" hidden="1" outlineLevel="2" x14ac:dyDescent="0.2">
      <c r="A205" s="19" t="str">
        <f ca="1">Language!A183</f>
        <v xml:space="preserve">    период уплаты</v>
      </c>
      <c r="B205" s="258">
        <f>IF(PRJ_Step=30,30,90)</f>
        <v>90</v>
      </c>
      <c r="C205" s="26" t="str">
        <f ca="1">Language!A219</f>
        <v>дней</v>
      </c>
      <c r="D205" s="16"/>
      <c r="E205" s="19"/>
      <c r="F205" s="47"/>
      <c r="G205" s="47"/>
      <c r="H205" s="47"/>
      <c r="I205" s="47"/>
      <c r="J205" s="47"/>
      <c r="K205" s="47"/>
      <c r="L205" s="47"/>
      <c r="M205" s="47"/>
      <c r="N205" s="47"/>
      <c r="O205" s="47"/>
      <c r="P205" s="47"/>
      <c r="Q205" s="47"/>
      <c r="R205" s="47"/>
      <c r="S205" s="47"/>
      <c r="T205" s="47"/>
      <c r="U205" s="47"/>
      <c r="V205" s="47"/>
      <c r="W205" s="47"/>
      <c r="X205" s="47"/>
      <c r="Y205" s="47"/>
      <c r="Z205" s="47"/>
      <c r="AA205" s="47"/>
      <c r="AB205" s="47"/>
      <c r="AC205" s="47"/>
      <c r="AD205" s="19"/>
      <c r="AE205" s="22"/>
    </row>
    <row r="206" spans="1:31" hidden="1" outlineLevel="2" x14ac:dyDescent="0.2">
      <c r="A206" s="19" t="str">
        <f ca="1">Language!A208</f>
        <v xml:space="preserve">    облагаемая база</v>
      </c>
      <c r="B206" s="19"/>
      <c r="C206" s="26" t="str">
        <f ca="1">CUR_Main</f>
        <v>тыс. EUR</v>
      </c>
      <c r="D206" s="46"/>
      <c r="E206" s="19"/>
      <c r="F206" s="65">
        <f t="shared" ref="F206:T206" si="404">F904</f>
        <v>0</v>
      </c>
      <c r="G206" s="65">
        <f t="shared" si="404"/>
        <v>0</v>
      </c>
      <c r="H206" s="65">
        <f t="shared" si="404"/>
        <v>0</v>
      </c>
      <c r="I206" s="65">
        <f t="shared" si="404"/>
        <v>0</v>
      </c>
      <c r="J206" s="65">
        <f t="shared" si="404"/>
        <v>0</v>
      </c>
      <c r="K206" s="65">
        <f t="shared" si="404"/>
        <v>366.15</v>
      </c>
      <c r="L206" s="65">
        <f t="shared" si="404"/>
        <v>366.15</v>
      </c>
      <c r="M206" s="65">
        <f t="shared" si="404"/>
        <v>366.15</v>
      </c>
      <c r="N206" s="65">
        <f t="shared" si="404"/>
        <v>366.15</v>
      </c>
      <c r="O206" s="65">
        <f t="shared" si="404"/>
        <v>366.15</v>
      </c>
      <c r="P206" s="65">
        <f t="shared" si="404"/>
        <v>366.15</v>
      </c>
      <c r="Q206" s="65">
        <f t="shared" si="404"/>
        <v>366.15</v>
      </c>
      <c r="R206" s="65">
        <f t="shared" si="404"/>
        <v>366.15</v>
      </c>
      <c r="S206" s="65">
        <f t="shared" si="404"/>
        <v>366.15</v>
      </c>
      <c r="T206" s="65">
        <f t="shared" si="404"/>
        <v>366.15</v>
      </c>
      <c r="U206" s="65">
        <f t="shared" ref="U206" si="405">U904</f>
        <v>366.15</v>
      </c>
      <c r="V206" s="65">
        <f t="shared" ref="V206" si="406">V904</f>
        <v>366.15</v>
      </c>
      <c r="W206" s="65">
        <f t="shared" ref="W206" si="407">W904</f>
        <v>366.15</v>
      </c>
      <c r="X206" s="65">
        <f t="shared" ref="X206" si="408">X904</f>
        <v>366.15</v>
      </c>
      <c r="Y206" s="65">
        <f t="shared" ref="Y206" si="409">Y904</f>
        <v>366.15</v>
      </c>
      <c r="Z206" s="65">
        <f t="shared" ref="Z206" si="410">Z904</f>
        <v>366.15</v>
      </c>
      <c r="AA206" s="65">
        <f t="shared" ref="AA206" si="411">AA904</f>
        <v>366.15</v>
      </c>
      <c r="AB206" s="65">
        <f t="shared" ref="AB206:AC206" si="412">AB904</f>
        <v>366.15</v>
      </c>
      <c r="AC206" s="65">
        <f t="shared" si="412"/>
        <v>366.15</v>
      </c>
      <c r="AD206" s="19"/>
      <c r="AE206" s="66">
        <f>SUM(F206:AC206)</f>
        <v>6956.8499999999976</v>
      </c>
    </row>
    <row r="207" spans="1:31" hidden="1" outlineLevel="2" x14ac:dyDescent="0.2"/>
    <row r="208" spans="1:31" hidden="1" outlineLevel="2"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4"/>
    </row>
    <row r="209" spans="1:31" hidden="1" outlineLevel="2" x14ac:dyDescent="0.2">
      <c r="A209" s="35" t="str">
        <f ca="1">Language!A210</f>
        <v>УПРОЩЕННАЯ СИСТЕМА НАЛОГООБЛОЖЕНИЯ</v>
      </c>
    </row>
    <row r="210" spans="1:31" hidden="1" outlineLevel="2" x14ac:dyDescent="0.2">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54"/>
    </row>
    <row r="211" spans="1:31" hidden="1" outlineLevel="2" x14ac:dyDescent="0.2">
      <c r="A211" t="str">
        <f ca="1">Language!A213</f>
        <v>Объект налогообложения</v>
      </c>
      <c r="B211" s="254">
        <v>1</v>
      </c>
      <c r="C211" s="293" t="str">
        <f ca="1">CHOOSE(B211,Language!A211,Language!A212)</f>
        <v>Доходы</v>
      </c>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54"/>
    </row>
    <row r="212" spans="1:31" hidden="1" outlineLevel="2" x14ac:dyDescent="0.2">
      <c r="A212" s="19" t="str">
        <f ca="1">Language!A185</f>
        <v xml:space="preserve">    ставка</v>
      </c>
      <c r="B212" s="259">
        <f>IF(B104=3,IF(B211=1,6%,15%),0%)</f>
        <v>0</v>
      </c>
      <c r="C212" s="26" t="s">
        <v>2430</v>
      </c>
      <c r="D212" s="16" t="s">
        <v>2429</v>
      </c>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54"/>
    </row>
    <row r="213" spans="1:31" hidden="1" outlineLevel="2" x14ac:dyDescent="0.2">
      <c r="A213" s="19" t="str">
        <f ca="1">Language!A186</f>
        <v xml:space="preserve">    период уплаты</v>
      </c>
      <c r="B213" s="258">
        <f>IF(PRJ_Step=30,30,90)</f>
        <v>90</v>
      </c>
      <c r="C213" s="26" t="str">
        <f ca="1">Language!A219</f>
        <v>дней</v>
      </c>
      <c r="D213" s="16"/>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54"/>
    </row>
    <row r="214" spans="1:31" hidden="1" outlineLevel="2" x14ac:dyDescent="0.2">
      <c r="A214" s="62" t="str">
        <f ca="1">Language!A214</f>
        <v>Начисленный налог</v>
      </c>
      <c r="B214" s="73"/>
      <c r="C214" s="26" t="str">
        <f t="shared" ref="C214:C221" ca="1" si="413">CUR_Main</f>
        <v>тыс. EUR</v>
      </c>
      <c r="F214" s="58">
        <f t="shared" ref="F214:T214" ca="1" si="414">MAX(F221,F220*$B212)</f>
        <v>0</v>
      </c>
      <c r="G214" s="58">
        <f t="shared" ca="1" si="414"/>
        <v>0</v>
      </c>
      <c r="H214" s="58">
        <f t="shared" ca="1" si="414"/>
        <v>0</v>
      </c>
      <c r="I214" s="58">
        <f t="shared" ca="1" si="414"/>
        <v>0</v>
      </c>
      <c r="J214" s="58">
        <f t="shared" ca="1" si="414"/>
        <v>0</v>
      </c>
      <c r="K214" s="58">
        <f t="shared" ca="1" si="414"/>
        <v>0</v>
      </c>
      <c r="L214" s="58">
        <f t="shared" ca="1" si="414"/>
        <v>0</v>
      </c>
      <c r="M214" s="58">
        <f t="shared" ca="1" si="414"/>
        <v>0</v>
      </c>
      <c r="N214" s="58">
        <f t="shared" ca="1" si="414"/>
        <v>0</v>
      </c>
      <c r="O214" s="58">
        <f t="shared" ca="1" si="414"/>
        <v>0</v>
      </c>
      <c r="P214" s="58">
        <f t="shared" ca="1" si="414"/>
        <v>0</v>
      </c>
      <c r="Q214" s="58">
        <f t="shared" ca="1" si="414"/>
        <v>0</v>
      </c>
      <c r="R214" s="58">
        <f t="shared" ca="1" si="414"/>
        <v>0</v>
      </c>
      <c r="S214" s="58">
        <f t="shared" ca="1" si="414"/>
        <v>0</v>
      </c>
      <c r="T214" s="58">
        <f t="shared" ca="1" si="414"/>
        <v>0</v>
      </c>
      <c r="U214" s="58">
        <f t="shared" ref="U214" ca="1" si="415">MAX(U221,U220*$B212)</f>
        <v>0</v>
      </c>
      <c r="V214" s="58">
        <f t="shared" ref="V214" ca="1" si="416">MAX(V221,V220*$B212)</f>
        <v>0</v>
      </c>
      <c r="W214" s="58">
        <f t="shared" ref="W214" ca="1" si="417">MAX(W221,W220*$B212)</f>
        <v>0</v>
      </c>
      <c r="X214" s="58">
        <f t="shared" ref="X214" ca="1" si="418">MAX(X221,X220*$B212)</f>
        <v>0</v>
      </c>
      <c r="Y214" s="58">
        <f t="shared" ref="Y214" ca="1" si="419">MAX(Y221,Y220*$B212)</f>
        <v>0</v>
      </c>
      <c r="Z214" s="58">
        <f t="shared" ref="Z214" ca="1" si="420">MAX(Z221,Z220*$B212)</f>
        <v>0</v>
      </c>
      <c r="AA214" s="58">
        <f t="shared" ref="AA214" ca="1" si="421">MAX(AA221,AA220*$B212)</f>
        <v>0</v>
      </c>
      <c r="AB214" s="58">
        <f t="shared" ref="AB214:AC214" ca="1" si="422">MAX(AB221,AB220*$B212)</f>
        <v>0</v>
      </c>
      <c r="AC214" s="58">
        <f t="shared" ca="1" si="422"/>
        <v>0</v>
      </c>
      <c r="AD214" s="43"/>
      <c r="AE214" s="57">
        <f ca="1">SUM(F214:AC214)</f>
        <v>0</v>
      </c>
    </row>
    <row r="215" spans="1:31" hidden="1" outlineLevel="2" x14ac:dyDescent="0.2">
      <c r="A215" s="24" t="str">
        <f ca="1">Language!A188</f>
        <v xml:space="preserve">         то же, в итоговой валюте</v>
      </c>
      <c r="B215" s="19"/>
      <c r="C215" s="5" t="str">
        <f ca="1">CUR_Report</f>
        <v>тыс. EUR</v>
      </c>
      <c r="D215" s="46"/>
      <c r="E215" s="19"/>
      <c r="F215" s="53">
        <f t="shared" ref="F215:T215" ca="1" si="423">F214/IF(CUR_I_Report=2,F$88,1)</f>
        <v>0</v>
      </c>
      <c r="G215" s="53">
        <f t="shared" ca="1" si="423"/>
        <v>0</v>
      </c>
      <c r="H215" s="53">
        <f t="shared" ca="1" si="423"/>
        <v>0</v>
      </c>
      <c r="I215" s="53">
        <f t="shared" ca="1" si="423"/>
        <v>0</v>
      </c>
      <c r="J215" s="53">
        <f t="shared" ca="1" si="423"/>
        <v>0</v>
      </c>
      <c r="K215" s="53">
        <f t="shared" ca="1" si="423"/>
        <v>0</v>
      </c>
      <c r="L215" s="53">
        <f t="shared" ca="1" si="423"/>
        <v>0</v>
      </c>
      <c r="M215" s="53">
        <f t="shared" ca="1" si="423"/>
        <v>0</v>
      </c>
      <c r="N215" s="53">
        <f t="shared" ca="1" si="423"/>
        <v>0</v>
      </c>
      <c r="O215" s="53">
        <f t="shared" ca="1" si="423"/>
        <v>0</v>
      </c>
      <c r="P215" s="53">
        <f t="shared" ca="1" si="423"/>
        <v>0</v>
      </c>
      <c r="Q215" s="53">
        <f t="shared" ca="1" si="423"/>
        <v>0</v>
      </c>
      <c r="R215" s="53">
        <f t="shared" ca="1" si="423"/>
        <v>0</v>
      </c>
      <c r="S215" s="53">
        <f t="shared" ca="1" si="423"/>
        <v>0</v>
      </c>
      <c r="T215" s="53">
        <f t="shared" ca="1" si="423"/>
        <v>0</v>
      </c>
      <c r="U215" s="53">
        <f t="shared" ref="U215" ca="1" si="424">U214/IF(CUR_I_Report=2,U$88,1)</f>
        <v>0</v>
      </c>
      <c r="V215" s="53">
        <f t="shared" ref="V215" ca="1" si="425">V214/IF(CUR_I_Report=2,V$88,1)</f>
        <v>0</v>
      </c>
      <c r="W215" s="53">
        <f t="shared" ref="W215" ca="1" si="426">W214/IF(CUR_I_Report=2,W$88,1)</f>
        <v>0</v>
      </c>
      <c r="X215" s="53">
        <f t="shared" ref="X215" ca="1" si="427">X214/IF(CUR_I_Report=2,X$88,1)</f>
        <v>0</v>
      </c>
      <c r="Y215" s="53">
        <f t="shared" ref="Y215" ca="1" si="428">Y214/IF(CUR_I_Report=2,Y$88,1)</f>
        <v>0</v>
      </c>
      <c r="Z215" s="53">
        <f t="shared" ref="Z215" ca="1" si="429">Z214/IF(CUR_I_Report=2,Z$88,1)</f>
        <v>0</v>
      </c>
      <c r="AA215" s="53">
        <f t="shared" ref="AA215" ca="1" si="430">AA214/IF(CUR_I_Report=2,AA$88,1)</f>
        <v>0</v>
      </c>
      <c r="AB215" s="53">
        <f t="shared" ref="AB215:AC215" ca="1" si="431">AB214/IF(CUR_I_Report=2,AB$88,1)</f>
        <v>0</v>
      </c>
      <c r="AC215" s="53">
        <f t="shared" ca="1" si="431"/>
        <v>0</v>
      </c>
      <c r="AD215" s="19"/>
      <c r="AE215" s="66">
        <f ca="1">SUM(F215:AC215)</f>
        <v>0</v>
      </c>
    </row>
    <row r="216" spans="1:31" hidden="1" outlineLevel="2" x14ac:dyDescent="0.2">
      <c r="A216" s="24" t="str">
        <f ca="1">Language!A215</f>
        <v>Облагаемая база до списания убытков</v>
      </c>
      <c r="C216" s="26" t="str">
        <f t="shared" ca="1" si="413"/>
        <v>тыс. EUR</v>
      </c>
      <c r="F216" s="43">
        <f t="shared" ref="F216:AC216" ca="1" si="432">(F1321+F1328+F1340)*IF(CUR_I_Report=2,F$88,1)+IF($B211=1,0,(F1322+F1323+F1324+F1325+F1327+F1329)*IF(CUR_I_Report=2,F$88,1)-MAX(0,F561-E561)-MAX(0,F588-E588)-MAX(0,F575-E575)-MAX(0,F611-E611)-F222)-MAX(0,E221-E220*$B212)</f>
        <v>0</v>
      </c>
      <c r="G216" s="43">
        <f t="shared" ca="1" si="432"/>
        <v>0</v>
      </c>
      <c r="H216" s="43">
        <f t="shared" ca="1" si="432"/>
        <v>0</v>
      </c>
      <c r="I216" s="43">
        <f t="shared" ca="1" si="432"/>
        <v>0</v>
      </c>
      <c r="J216" s="43">
        <f t="shared" ca="1" si="432"/>
        <v>0</v>
      </c>
      <c r="K216" s="43">
        <f t="shared" ca="1" si="432"/>
        <v>714.56092469127964</v>
      </c>
      <c r="L216" s="43">
        <f t="shared" ca="1" si="432"/>
        <v>2731.2132863136535</v>
      </c>
      <c r="M216" s="43">
        <f t="shared" ca="1" si="432"/>
        <v>4381.7008046824012</v>
      </c>
      <c r="N216" s="43">
        <f t="shared" ca="1" si="432"/>
        <v>6249.0205978072227</v>
      </c>
      <c r="O216" s="43">
        <f t="shared" ca="1" si="432"/>
        <v>7525.4219523772372</v>
      </c>
      <c r="P216" s="43">
        <f t="shared" ca="1" si="432"/>
        <v>7525.4219523772372</v>
      </c>
      <c r="Q216" s="43">
        <f t="shared" ca="1" si="432"/>
        <v>7525.4219523772372</v>
      </c>
      <c r="R216" s="43">
        <f t="shared" ca="1" si="432"/>
        <v>7525.4219523772372</v>
      </c>
      <c r="S216" s="43">
        <f t="shared" ca="1" si="432"/>
        <v>7525.4219523772372</v>
      </c>
      <c r="T216" s="43">
        <f t="shared" ca="1" si="432"/>
        <v>7525.4219523772372</v>
      </c>
      <c r="U216" s="43">
        <f t="shared" ca="1" si="432"/>
        <v>7525.4219523772372</v>
      </c>
      <c r="V216" s="43">
        <f t="shared" ca="1" si="432"/>
        <v>7525.4219523772372</v>
      </c>
      <c r="W216" s="43">
        <f t="shared" ca="1" si="432"/>
        <v>7525.4219523772372</v>
      </c>
      <c r="X216" s="43">
        <f t="shared" ca="1" si="432"/>
        <v>7525.4219523772372</v>
      </c>
      <c r="Y216" s="43">
        <f t="shared" ca="1" si="432"/>
        <v>7525.4219523772372</v>
      </c>
      <c r="Z216" s="43">
        <f t="shared" ca="1" si="432"/>
        <v>7525.4219523772372</v>
      </c>
      <c r="AA216" s="43">
        <f t="shared" ca="1" si="432"/>
        <v>7525.4219523772372</v>
      </c>
      <c r="AB216" s="43">
        <f t="shared" ca="1" si="432"/>
        <v>7525.4219523772372</v>
      </c>
      <c r="AC216" s="43">
        <f t="shared" ca="1" si="432"/>
        <v>7525.4219523772372</v>
      </c>
      <c r="AD216" s="43"/>
      <c r="AE216" s="54">
        <f ca="1">SUM(F216:AC216)</f>
        <v>126957.82489915307</v>
      </c>
    </row>
    <row r="217" spans="1:31" hidden="1" outlineLevel="2" x14ac:dyDescent="0.2">
      <c r="A217" s="45" t="str">
        <f ca="1">Language!A192</f>
        <v xml:space="preserve">    накопленная прибыль/убытки текущего года</v>
      </c>
      <c r="B217" s="19"/>
      <c r="C217" s="26" t="str">
        <f t="shared" ca="1" si="413"/>
        <v>тыс. EUR</v>
      </c>
      <c r="D217" s="16" t="s">
        <v>2594</v>
      </c>
      <c r="E217" s="19"/>
      <c r="F217" s="53">
        <f t="shared" ref="F217:AC217" ca="1" si="433">IF(YEAR(F$31)=YEAR(E$31),E217,0)+F216</f>
        <v>0</v>
      </c>
      <c r="G217" s="53">
        <f t="shared" ca="1" si="433"/>
        <v>0</v>
      </c>
      <c r="H217" s="53">
        <f t="shared" ca="1" si="433"/>
        <v>0</v>
      </c>
      <c r="I217" s="53">
        <f t="shared" ca="1" si="433"/>
        <v>0</v>
      </c>
      <c r="J217" s="53">
        <f t="shared" ca="1" si="433"/>
        <v>0</v>
      </c>
      <c r="K217" s="53">
        <f t="shared" ca="1" si="433"/>
        <v>714.56092469127964</v>
      </c>
      <c r="L217" s="53">
        <f t="shared" ca="1" si="433"/>
        <v>3445.774211004933</v>
      </c>
      <c r="M217" s="53">
        <f t="shared" ca="1" si="433"/>
        <v>7827.4750156873342</v>
      </c>
      <c r="N217" s="53">
        <f t="shared" ca="1" si="433"/>
        <v>6249.0205978072227</v>
      </c>
      <c r="O217" s="53">
        <f t="shared" ca="1" si="433"/>
        <v>13774.44255018446</v>
      </c>
      <c r="P217" s="53">
        <f t="shared" ca="1" si="433"/>
        <v>21299.864502561697</v>
      </c>
      <c r="Q217" s="53">
        <f t="shared" ca="1" si="433"/>
        <v>28825.286454938934</v>
      </c>
      <c r="R217" s="53">
        <f t="shared" ca="1" si="433"/>
        <v>7525.4219523772372</v>
      </c>
      <c r="S217" s="53">
        <f t="shared" ca="1" si="433"/>
        <v>15050.843904754474</v>
      </c>
      <c r="T217" s="53">
        <f t="shared" ca="1" si="433"/>
        <v>22576.265857131712</v>
      </c>
      <c r="U217" s="53">
        <f t="shared" ca="1" si="433"/>
        <v>30101.687809508949</v>
      </c>
      <c r="V217" s="53">
        <f t="shared" ca="1" si="433"/>
        <v>7525.4219523772372</v>
      </c>
      <c r="W217" s="53">
        <f t="shared" ca="1" si="433"/>
        <v>15050.843904754474</v>
      </c>
      <c r="X217" s="53">
        <f t="shared" ca="1" si="433"/>
        <v>22576.265857131712</v>
      </c>
      <c r="Y217" s="53">
        <f t="shared" ca="1" si="433"/>
        <v>30101.687809508949</v>
      </c>
      <c r="Z217" s="53">
        <f t="shared" ca="1" si="433"/>
        <v>7525.4219523772372</v>
      </c>
      <c r="AA217" s="53">
        <f t="shared" ca="1" si="433"/>
        <v>15050.843904754474</v>
      </c>
      <c r="AB217" s="53">
        <f t="shared" ca="1" si="433"/>
        <v>22576.265857131712</v>
      </c>
      <c r="AC217" s="53">
        <f t="shared" ca="1" si="433"/>
        <v>30101.687809508949</v>
      </c>
      <c r="AD217" s="19"/>
      <c r="AE217" s="22"/>
    </row>
    <row r="218" spans="1:31" hidden="1" outlineLevel="2" x14ac:dyDescent="0.2">
      <c r="A218" s="45" t="str">
        <f ca="1">Language!A193</f>
        <v xml:space="preserve">    убытки предыдущих периодов</v>
      </c>
      <c r="B218" s="19"/>
      <c r="C218" s="26" t="str">
        <f t="shared" ca="1" si="413"/>
        <v>тыс. EUR</v>
      </c>
      <c r="D218" s="46"/>
      <c r="E218" s="19"/>
      <c r="F218" s="53">
        <f t="shared" ref="F218:AC218" si="434">IF(YEAR(F$31)&gt;YEAR(E$31),MIN(E217,0),0)+E218-E219</f>
        <v>0</v>
      </c>
      <c r="G218" s="53">
        <f t="shared" ca="1" si="434"/>
        <v>0</v>
      </c>
      <c r="H218" s="53">
        <f t="shared" ca="1" si="434"/>
        <v>0</v>
      </c>
      <c r="I218" s="53">
        <f t="shared" ca="1" si="434"/>
        <v>0</v>
      </c>
      <c r="J218" s="53">
        <f t="shared" ca="1" si="434"/>
        <v>0</v>
      </c>
      <c r="K218" s="53">
        <f t="shared" ca="1" si="434"/>
        <v>0</v>
      </c>
      <c r="L218" s="53">
        <f t="shared" ca="1" si="434"/>
        <v>0</v>
      </c>
      <c r="M218" s="53">
        <f t="shared" ca="1" si="434"/>
        <v>0</v>
      </c>
      <c r="N218" s="53">
        <f t="shared" ca="1" si="434"/>
        <v>0</v>
      </c>
      <c r="O218" s="53">
        <f t="shared" ca="1" si="434"/>
        <v>0</v>
      </c>
      <c r="P218" s="53">
        <f t="shared" ca="1" si="434"/>
        <v>0</v>
      </c>
      <c r="Q218" s="53">
        <f t="shared" ca="1" si="434"/>
        <v>0</v>
      </c>
      <c r="R218" s="53">
        <f t="shared" ca="1" si="434"/>
        <v>0</v>
      </c>
      <c r="S218" s="53">
        <f t="shared" ca="1" si="434"/>
        <v>0</v>
      </c>
      <c r="T218" s="53">
        <f t="shared" ca="1" si="434"/>
        <v>0</v>
      </c>
      <c r="U218" s="53">
        <f t="shared" ca="1" si="434"/>
        <v>0</v>
      </c>
      <c r="V218" s="53">
        <f t="shared" ca="1" si="434"/>
        <v>0</v>
      </c>
      <c r="W218" s="53">
        <f t="shared" ca="1" si="434"/>
        <v>0</v>
      </c>
      <c r="X218" s="53">
        <f t="shared" ca="1" si="434"/>
        <v>0</v>
      </c>
      <c r="Y218" s="53">
        <f t="shared" ca="1" si="434"/>
        <v>0</v>
      </c>
      <c r="Z218" s="53">
        <f t="shared" ca="1" si="434"/>
        <v>0</v>
      </c>
      <c r="AA218" s="53">
        <f t="shared" ca="1" si="434"/>
        <v>0</v>
      </c>
      <c r="AB218" s="53">
        <f t="shared" ca="1" si="434"/>
        <v>0</v>
      </c>
      <c r="AC218" s="53">
        <f t="shared" ca="1" si="434"/>
        <v>0</v>
      </c>
      <c r="AD218" s="19"/>
      <c r="AE218" s="22"/>
    </row>
    <row r="219" spans="1:31" hidden="1" outlineLevel="2" x14ac:dyDescent="0.2">
      <c r="A219" s="45" t="str">
        <f ca="1">Language!A194</f>
        <v xml:space="preserve">    списано убытков предыдущих лет</v>
      </c>
      <c r="B219" s="19"/>
      <c r="C219" s="26" t="str">
        <f t="shared" ca="1" si="413"/>
        <v>тыс. EUR</v>
      </c>
      <c r="D219" s="46"/>
      <c r="E219" s="19"/>
      <c r="F219" s="53">
        <f t="shared" ref="F219:T219" ca="1" si="435">-IF(MIN(F216,F217)&gt;0,MIN(-F218,F216*0.3),0)</f>
        <v>0</v>
      </c>
      <c r="G219" s="53">
        <f t="shared" ca="1" si="435"/>
        <v>0</v>
      </c>
      <c r="H219" s="53">
        <f t="shared" ca="1" si="435"/>
        <v>0</v>
      </c>
      <c r="I219" s="53">
        <f t="shared" ca="1" si="435"/>
        <v>0</v>
      </c>
      <c r="J219" s="53">
        <f t="shared" ca="1" si="435"/>
        <v>0</v>
      </c>
      <c r="K219" s="53">
        <f t="shared" ca="1" si="435"/>
        <v>0</v>
      </c>
      <c r="L219" s="53">
        <f t="shared" ca="1" si="435"/>
        <v>0</v>
      </c>
      <c r="M219" s="53">
        <f t="shared" ca="1" si="435"/>
        <v>0</v>
      </c>
      <c r="N219" s="53">
        <f t="shared" ca="1" si="435"/>
        <v>0</v>
      </c>
      <c r="O219" s="53">
        <f t="shared" ca="1" si="435"/>
        <v>0</v>
      </c>
      <c r="P219" s="53">
        <f t="shared" ca="1" si="435"/>
        <v>0</v>
      </c>
      <c r="Q219" s="53">
        <f t="shared" ca="1" si="435"/>
        <v>0</v>
      </c>
      <c r="R219" s="53">
        <f t="shared" ca="1" si="435"/>
        <v>0</v>
      </c>
      <c r="S219" s="53">
        <f t="shared" ca="1" si="435"/>
        <v>0</v>
      </c>
      <c r="T219" s="53">
        <f t="shared" ca="1" si="435"/>
        <v>0</v>
      </c>
      <c r="U219" s="53">
        <f t="shared" ref="U219" ca="1" si="436">-IF(MIN(U216,U217)&gt;0,MIN(-U218,U216*0.3),0)</f>
        <v>0</v>
      </c>
      <c r="V219" s="53">
        <f t="shared" ref="V219" ca="1" si="437">-IF(MIN(V216,V217)&gt;0,MIN(-V218,V216*0.3),0)</f>
        <v>0</v>
      </c>
      <c r="W219" s="53">
        <f t="shared" ref="W219" ca="1" si="438">-IF(MIN(W216,W217)&gt;0,MIN(-W218,W216*0.3),0)</f>
        <v>0</v>
      </c>
      <c r="X219" s="53">
        <f t="shared" ref="X219" ca="1" si="439">-IF(MIN(X216,X217)&gt;0,MIN(-X218,X216*0.3),0)</f>
        <v>0</v>
      </c>
      <c r="Y219" s="53">
        <f t="shared" ref="Y219" ca="1" si="440">-IF(MIN(Y216,Y217)&gt;0,MIN(-Y218,Y216*0.3),0)</f>
        <v>0</v>
      </c>
      <c r="Z219" s="53">
        <f t="shared" ref="Z219" ca="1" si="441">-IF(MIN(Z216,Z217)&gt;0,MIN(-Z218,Z216*0.3),0)</f>
        <v>0</v>
      </c>
      <c r="AA219" s="53">
        <f t="shared" ref="AA219" ca="1" si="442">-IF(MIN(AA216,AA217)&gt;0,MIN(-AA218,AA216*0.3),0)</f>
        <v>0</v>
      </c>
      <c r="AB219" s="53">
        <f t="shared" ref="AB219:AC219" ca="1" si="443">-IF(MIN(AB216,AB217)&gt;0,MIN(-AB218,AB216*0.3),0)</f>
        <v>0</v>
      </c>
      <c r="AC219" s="53">
        <f t="shared" ca="1" si="443"/>
        <v>0</v>
      </c>
      <c r="AD219" s="19"/>
      <c r="AE219" s="22"/>
    </row>
    <row r="220" spans="1:31" hidden="1" outlineLevel="2" x14ac:dyDescent="0.2">
      <c r="A220" s="45" t="str">
        <f ca="1">Language!A216</f>
        <v>База, на которую начисляется налог</v>
      </c>
      <c r="B220" s="19"/>
      <c r="C220" s="26" t="str">
        <f t="shared" ca="1" si="413"/>
        <v>тыс. EUR</v>
      </c>
      <c r="D220" s="46"/>
      <c r="E220" s="19"/>
      <c r="F220" s="53">
        <f t="shared" ref="F220:T220" ca="1" si="444">MAX(IF(F217&gt;0,F216+F219,0),0)</f>
        <v>0</v>
      </c>
      <c r="G220" s="53">
        <f t="shared" ca="1" si="444"/>
        <v>0</v>
      </c>
      <c r="H220" s="53">
        <f t="shared" ca="1" si="444"/>
        <v>0</v>
      </c>
      <c r="I220" s="53">
        <f t="shared" ca="1" si="444"/>
        <v>0</v>
      </c>
      <c r="J220" s="53">
        <f t="shared" ca="1" si="444"/>
        <v>0</v>
      </c>
      <c r="K220" s="53">
        <f t="shared" ca="1" si="444"/>
        <v>714.56092469127964</v>
      </c>
      <c r="L220" s="53">
        <f t="shared" ca="1" si="444"/>
        <v>2731.2132863136535</v>
      </c>
      <c r="M220" s="53">
        <f t="shared" ca="1" si="444"/>
        <v>4381.7008046824012</v>
      </c>
      <c r="N220" s="53">
        <f t="shared" ca="1" si="444"/>
        <v>6249.0205978072227</v>
      </c>
      <c r="O220" s="53">
        <f t="shared" ca="1" si="444"/>
        <v>7525.4219523772372</v>
      </c>
      <c r="P220" s="53">
        <f t="shared" ca="1" si="444"/>
        <v>7525.4219523772372</v>
      </c>
      <c r="Q220" s="53">
        <f t="shared" ca="1" si="444"/>
        <v>7525.4219523772372</v>
      </c>
      <c r="R220" s="53">
        <f t="shared" ca="1" si="444"/>
        <v>7525.4219523772372</v>
      </c>
      <c r="S220" s="53">
        <f t="shared" ca="1" si="444"/>
        <v>7525.4219523772372</v>
      </c>
      <c r="T220" s="53">
        <f t="shared" ca="1" si="444"/>
        <v>7525.4219523772372</v>
      </c>
      <c r="U220" s="53">
        <f t="shared" ref="U220" ca="1" si="445">MAX(IF(U217&gt;0,U216+U219,0),0)</f>
        <v>7525.4219523772372</v>
      </c>
      <c r="V220" s="53">
        <f t="shared" ref="V220" ca="1" si="446">MAX(IF(V217&gt;0,V216+V219,0),0)</f>
        <v>7525.4219523772372</v>
      </c>
      <c r="W220" s="53">
        <f t="shared" ref="W220" ca="1" si="447">MAX(IF(W217&gt;0,W216+W219,0),0)</f>
        <v>7525.4219523772372</v>
      </c>
      <c r="X220" s="53">
        <f t="shared" ref="X220" ca="1" si="448">MAX(IF(X217&gt;0,X216+X219,0),0)</f>
        <v>7525.4219523772372</v>
      </c>
      <c r="Y220" s="53">
        <f t="shared" ref="Y220" ca="1" si="449">MAX(IF(Y217&gt;0,Y216+Y219,0),0)</f>
        <v>7525.4219523772372</v>
      </c>
      <c r="Z220" s="53">
        <f t="shared" ref="Z220" ca="1" si="450">MAX(IF(Z217&gt;0,Z216+Z219,0),0)</f>
        <v>7525.4219523772372</v>
      </c>
      <c r="AA220" s="53">
        <f t="shared" ref="AA220" ca="1" si="451">MAX(IF(AA217&gt;0,AA216+AA219,0),0)</f>
        <v>7525.4219523772372</v>
      </c>
      <c r="AB220" s="53">
        <f t="shared" ref="AB220:AC220" ca="1" si="452">MAX(IF(AB217&gt;0,AB216+AB219,0),0)</f>
        <v>7525.4219523772372</v>
      </c>
      <c r="AC220" s="53">
        <f t="shared" ca="1" si="452"/>
        <v>7525.4219523772372</v>
      </c>
      <c r="AD220" s="19"/>
      <c r="AE220" s="22"/>
    </row>
    <row r="221" spans="1:31" hidden="1" outlineLevel="2" x14ac:dyDescent="0.2">
      <c r="A221" s="45" t="str">
        <f ca="1">Language!A217</f>
        <v>Минимальный налог</v>
      </c>
      <c r="B221" s="19"/>
      <c r="C221" s="26" t="str">
        <f t="shared" ca="1" si="413"/>
        <v>тыс. EUR</v>
      </c>
      <c r="D221" s="46"/>
      <c r="E221" s="19"/>
      <c r="F221" s="53">
        <f t="shared" ref="F221:X221" si="453">IF($B212=0,0,IF($B211=1,0,1%*(F1321+F1328+F1340)*IF(CUR_I_Report=2,F$88,1)))</f>
        <v>0</v>
      </c>
      <c r="G221" s="53">
        <f t="shared" si="453"/>
        <v>0</v>
      </c>
      <c r="H221" s="53">
        <f t="shared" si="453"/>
        <v>0</v>
      </c>
      <c r="I221" s="53">
        <f t="shared" si="453"/>
        <v>0</v>
      </c>
      <c r="J221" s="53">
        <f t="shared" si="453"/>
        <v>0</v>
      </c>
      <c r="K221" s="53">
        <f t="shared" si="453"/>
        <v>0</v>
      </c>
      <c r="L221" s="53">
        <f t="shared" si="453"/>
        <v>0</v>
      </c>
      <c r="M221" s="53">
        <f t="shared" si="453"/>
        <v>0</v>
      </c>
      <c r="N221" s="53">
        <f t="shared" si="453"/>
        <v>0</v>
      </c>
      <c r="O221" s="53">
        <f t="shared" si="453"/>
        <v>0</v>
      </c>
      <c r="P221" s="53">
        <f t="shared" si="453"/>
        <v>0</v>
      </c>
      <c r="Q221" s="53">
        <f t="shared" si="453"/>
        <v>0</v>
      </c>
      <c r="R221" s="53">
        <f t="shared" si="453"/>
        <v>0</v>
      </c>
      <c r="S221" s="53">
        <f t="shared" si="453"/>
        <v>0</v>
      </c>
      <c r="T221" s="53">
        <f t="shared" si="453"/>
        <v>0</v>
      </c>
      <c r="U221" s="53">
        <f t="shared" si="453"/>
        <v>0</v>
      </c>
      <c r="V221" s="53">
        <f t="shared" si="453"/>
        <v>0</v>
      </c>
      <c r="W221" s="53">
        <f t="shared" si="453"/>
        <v>0</v>
      </c>
      <c r="X221" s="53">
        <f t="shared" si="453"/>
        <v>0</v>
      </c>
      <c r="Y221" s="53">
        <f t="shared" ref="Y221" si="454">IF($B212=0,0,IF($B211=1,0,1%*(Y1321+Y1328+Y1340)*IF(CUR_I_Report=2,Y$88,1)))</f>
        <v>0</v>
      </c>
      <c r="Z221" s="53">
        <f t="shared" ref="Z221" si="455">IF($B212=0,0,IF($B211=1,0,1%*(Z1321+Z1328+Z1340)*IF(CUR_I_Report=2,Z$88,1)))</f>
        <v>0</v>
      </c>
      <c r="AA221" s="53">
        <f t="shared" ref="AA221" si="456">IF($B212=0,0,IF($B211=1,0,1%*(AA1321+AA1328+AA1340)*IF(CUR_I_Report=2,AA$88,1)))</f>
        <v>0</v>
      </c>
      <c r="AB221" s="53">
        <f t="shared" ref="AB221:AC221" si="457">IF($B212=0,0,IF($B211=1,0,1%*(AB1321+AB1328+AB1340)*IF(CUR_I_Report=2,AB$88,1)))</f>
        <v>0</v>
      </c>
      <c r="AC221" s="53">
        <f t="shared" si="457"/>
        <v>0</v>
      </c>
      <c r="AD221" s="19"/>
      <c r="AE221" s="22"/>
    </row>
    <row r="222" spans="1:31" hidden="1" outlineLevel="2" x14ac:dyDescent="0.2">
      <c r="A222" s="62" t="str">
        <f ca="1">Language!A205</f>
        <v>Взносы на обязательное пенсионное страхование</v>
      </c>
      <c r="B222" s="19"/>
      <c r="C222" s="26"/>
      <c r="D222" s="46"/>
      <c r="E222" s="19"/>
      <c r="F222" s="98">
        <f t="shared" ref="F222:T222" si="458">F223*F225</f>
        <v>0</v>
      </c>
      <c r="G222" s="98">
        <f t="shared" si="458"/>
        <v>0</v>
      </c>
      <c r="H222" s="98">
        <f t="shared" si="458"/>
        <v>0</v>
      </c>
      <c r="I222" s="98">
        <f t="shared" si="458"/>
        <v>0</v>
      </c>
      <c r="J222" s="98">
        <f t="shared" si="458"/>
        <v>0</v>
      </c>
      <c r="K222" s="98">
        <f t="shared" si="458"/>
        <v>0</v>
      </c>
      <c r="L222" s="98">
        <f t="shared" si="458"/>
        <v>0</v>
      </c>
      <c r="M222" s="98">
        <f t="shared" si="458"/>
        <v>0</v>
      </c>
      <c r="N222" s="98">
        <f t="shared" si="458"/>
        <v>0</v>
      </c>
      <c r="O222" s="98">
        <f t="shared" si="458"/>
        <v>0</v>
      </c>
      <c r="P222" s="98">
        <f t="shared" si="458"/>
        <v>0</v>
      </c>
      <c r="Q222" s="98">
        <f t="shared" si="458"/>
        <v>0</v>
      </c>
      <c r="R222" s="98">
        <f t="shared" si="458"/>
        <v>0</v>
      </c>
      <c r="S222" s="98">
        <f t="shared" si="458"/>
        <v>0</v>
      </c>
      <c r="T222" s="98">
        <f t="shared" si="458"/>
        <v>0</v>
      </c>
      <c r="U222" s="98">
        <f t="shared" ref="U222" si="459">U223*U225</f>
        <v>0</v>
      </c>
      <c r="V222" s="98">
        <f t="shared" ref="V222" si="460">V223*V225</f>
        <v>0</v>
      </c>
      <c r="W222" s="98">
        <f t="shared" ref="W222" si="461">W223*W225</f>
        <v>0</v>
      </c>
      <c r="X222" s="98">
        <f t="shared" ref="X222" si="462">X223*X225</f>
        <v>0</v>
      </c>
      <c r="Y222" s="98">
        <f t="shared" ref="Y222" si="463">Y223*Y225</f>
        <v>0</v>
      </c>
      <c r="Z222" s="98">
        <f t="shared" ref="Z222" si="464">Z223*Z225</f>
        <v>0</v>
      </c>
      <c r="AA222" s="98">
        <f t="shared" ref="AA222" si="465">AA223*AA225</f>
        <v>0</v>
      </c>
      <c r="AB222" s="98">
        <f t="shared" ref="AB222:AC222" si="466">AB223*AB225</f>
        <v>0</v>
      </c>
      <c r="AC222" s="98">
        <f t="shared" si="466"/>
        <v>0</v>
      </c>
      <c r="AD222" s="62"/>
      <c r="AE222" s="96">
        <f>SUM(F222:AC222)</f>
        <v>0</v>
      </c>
    </row>
    <row r="223" spans="1:31" hidden="1" outlineLevel="2" x14ac:dyDescent="0.2">
      <c r="A223" s="19" t="str">
        <f ca="1">Language!A206</f>
        <v xml:space="preserve">    ставка</v>
      </c>
      <c r="B223" s="259">
        <f>IF(B104=3,26%,0%)</f>
        <v>0</v>
      </c>
      <c r="C223" s="26" t="s">
        <v>2430</v>
      </c>
      <c r="D223" s="16" t="s">
        <v>2429</v>
      </c>
      <c r="E223" s="19"/>
      <c r="F223" s="47">
        <f>B223</f>
        <v>0</v>
      </c>
      <c r="G223" s="47">
        <f t="shared" ref="G223:AC223" si="467">F223</f>
        <v>0</v>
      </c>
      <c r="H223" s="47">
        <f t="shared" si="467"/>
        <v>0</v>
      </c>
      <c r="I223" s="47">
        <f t="shared" si="467"/>
        <v>0</v>
      </c>
      <c r="J223" s="47">
        <f t="shared" si="467"/>
        <v>0</v>
      </c>
      <c r="K223" s="47">
        <f t="shared" si="467"/>
        <v>0</v>
      </c>
      <c r="L223" s="47">
        <f t="shared" si="467"/>
        <v>0</v>
      </c>
      <c r="M223" s="47">
        <f t="shared" si="467"/>
        <v>0</v>
      </c>
      <c r="N223" s="47">
        <f t="shared" si="467"/>
        <v>0</v>
      </c>
      <c r="O223" s="47">
        <f t="shared" si="467"/>
        <v>0</v>
      </c>
      <c r="P223" s="47">
        <f t="shared" si="467"/>
        <v>0</v>
      </c>
      <c r="Q223" s="47">
        <f t="shared" si="467"/>
        <v>0</v>
      </c>
      <c r="R223" s="47">
        <f t="shared" si="467"/>
        <v>0</v>
      </c>
      <c r="S223" s="47">
        <f t="shared" si="467"/>
        <v>0</v>
      </c>
      <c r="T223" s="47">
        <f t="shared" si="467"/>
        <v>0</v>
      </c>
      <c r="U223" s="47">
        <f t="shared" si="467"/>
        <v>0</v>
      </c>
      <c r="V223" s="47">
        <f t="shared" si="467"/>
        <v>0</v>
      </c>
      <c r="W223" s="47">
        <f t="shared" si="467"/>
        <v>0</v>
      </c>
      <c r="X223" s="47">
        <f t="shared" si="467"/>
        <v>0</v>
      </c>
      <c r="Y223" s="47">
        <f t="shared" si="467"/>
        <v>0</v>
      </c>
      <c r="Z223" s="47">
        <f t="shared" si="467"/>
        <v>0</v>
      </c>
      <c r="AA223" s="47">
        <f t="shared" si="467"/>
        <v>0</v>
      </c>
      <c r="AB223" s="47">
        <f t="shared" si="467"/>
        <v>0</v>
      </c>
      <c r="AC223" s="47">
        <f t="shared" si="467"/>
        <v>0</v>
      </c>
      <c r="AD223" s="19"/>
      <c r="AE223" s="22"/>
    </row>
    <row r="224" spans="1:31" hidden="1" outlineLevel="2" x14ac:dyDescent="0.2">
      <c r="A224" s="19" t="str">
        <f ca="1">Language!A186</f>
        <v xml:space="preserve">    период уплаты</v>
      </c>
      <c r="B224" s="258">
        <f>IF(PRJ_Step=30,30,90)</f>
        <v>90</v>
      </c>
      <c r="C224" s="26" t="str">
        <f ca="1">Language!A219</f>
        <v>дней</v>
      </c>
      <c r="D224" s="16"/>
      <c r="E224" s="19"/>
      <c r="F224" s="47"/>
      <c r="G224" s="47"/>
      <c r="H224" s="47"/>
      <c r="I224" s="47"/>
      <c r="J224" s="47"/>
      <c r="K224" s="47"/>
      <c r="L224" s="47"/>
      <c r="M224" s="47"/>
      <c r="N224" s="47"/>
      <c r="O224" s="47"/>
      <c r="P224" s="47"/>
      <c r="Q224" s="47"/>
      <c r="R224" s="47"/>
      <c r="S224" s="47"/>
      <c r="T224" s="47"/>
      <c r="U224" s="47"/>
      <c r="V224" s="47"/>
      <c r="W224" s="47"/>
      <c r="X224" s="47"/>
      <c r="Y224" s="47"/>
      <c r="Z224" s="47"/>
      <c r="AA224" s="47"/>
      <c r="AB224" s="47"/>
      <c r="AC224" s="47"/>
      <c r="AD224" s="19"/>
      <c r="AE224" s="22"/>
    </row>
    <row r="225" spans="1:33" hidden="1" outlineLevel="2" x14ac:dyDescent="0.2">
      <c r="A225" s="19" t="str">
        <f ca="1">Language!A208</f>
        <v xml:space="preserve">    облагаемая база</v>
      </c>
      <c r="B225" s="19"/>
      <c r="C225" s="26" t="str">
        <f ca="1">CUR_Main</f>
        <v>тыс. EUR</v>
      </c>
      <c r="D225" s="46"/>
      <c r="E225" s="19"/>
      <c r="F225" s="65">
        <f t="shared" ref="F225:T225" si="468">F904</f>
        <v>0</v>
      </c>
      <c r="G225" s="65">
        <f t="shared" si="468"/>
        <v>0</v>
      </c>
      <c r="H225" s="65">
        <f t="shared" si="468"/>
        <v>0</v>
      </c>
      <c r="I225" s="65">
        <f t="shared" si="468"/>
        <v>0</v>
      </c>
      <c r="J225" s="65">
        <f t="shared" si="468"/>
        <v>0</v>
      </c>
      <c r="K225" s="65">
        <f t="shared" si="468"/>
        <v>366.15</v>
      </c>
      <c r="L225" s="65">
        <f t="shared" si="468"/>
        <v>366.15</v>
      </c>
      <c r="M225" s="65">
        <f t="shared" si="468"/>
        <v>366.15</v>
      </c>
      <c r="N225" s="65">
        <f t="shared" si="468"/>
        <v>366.15</v>
      </c>
      <c r="O225" s="65">
        <f t="shared" si="468"/>
        <v>366.15</v>
      </c>
      <c r="P225" s="65">
        <f t="shared" si="468"/>
        <v>366.15</v>
      </c>
      <c r="Q225" s="65">
        <f t="shared" si="468"/>
        <v>366.15</v>
      </c>
      <c r="R225" s="65">
        <f t="shared" si="468"/>
        <v>366.15</v>
      </c>
      <c r="S225" s="65">
        <f t="shared" si="468"/>
        <v>366.15</v>
      </c>
      <c r="T225" s="65">
        <f t="shared" si="468"/>
        <v>366.15</v>
      </c>
      <c r="U225" s="65">
        <f t="shared" ref="U225" si="469">U904</f>
        <v>366.15</v>
      </c>
      <c r="V225" s="65">
        <f t="shared" ref="V225" si="470">V904</f>
        <v>366.15</v>
      </c>
      <c r="W225" s="65">
        <f t="shared" ref="W225" si="471">W904</f>
        <v>366.15</v>
      </c>
      <c r="X225" s="65">
        <f t="shared" ref="X225" si="472">X904</f>
        <v>366.15</v>
      </c>
      <c r="Y225" s="65">
        <f t="shared" ref="Y225" si="473">Y904</f>
        <v>366.15</v>
      </c>
      <c r="Z225" s="65">
        <f t="shared" ref="Z225" si="474">Z904</f>
        <v>366.15</v>
      </c>
      <c r="AA225" s="65">
        <f t="shared" ref="AA225" si="475">AA904</f>
        <v>366.15</v>
      </c>
      <c r="AB225" s="65">
        <f t="shared" ref="AB225:AC225" si="476">AB904</f>
        <v>366.15</v>
      </c>
      <c r="AC225" s="65">
        <f t="shared" si="476"/>
        <v>366.15</v>
      </c>
      <c r="AD225" s="19"/>
      <c r="AE225" s="66">
        <f>SUM(F225:AC225)</f>
        <v>6956.8499999999976</v>
      </c>
    </row>
    <row r="226" spans="1:33" outlineLevel="1" x14ac:dyDescent="0.2">
      <c r="A226" s="63"/>
      <c r="B226" s="63"/>
      <c r="C226" s="67"/>
      <c r="D226" s="60"/>
      <c r="E226" s="63"/>
      <c r="F226" s="68"/>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c r="AD226" s="63"/>
      <c r="AE226" s="64"/>
    </row>
    <row r="227" spans="1:33" outlineLevel="1" x14ac:dyDescent="0.2">
      <c r="A227" s="128" t="str">
        <f ca="1">Language!A218</f>
        <v>Суммарные налоговые выплаты</v>
      </c>
      <c r="B227" s="27"/>
      <c r="C227" s="26" t="str">
        <f ca="1">CUR_Main</f>
        <v>тыс. EUR</v>
      </c>
      <c r="D227" s="28"/>
      <c r="E227" s="27"/>
      <c r="F227" s="98">
        <f t="shared" ref="F227:T227" ca="1" si="477">F107+F108+F126+F136+F143+F147+F157+F162+F173+F200+F214+F203+F222</f>
        <v>0</v>
      </c>
      <c r="G227" s="98">
        <f t="shared" ca="1" si="477"/>
        <v>0</v>
      </c>
      <c r="H227" s="98">
        <f t="shared" ca="1" si="477"/>
        <v>0</v>
      </c>
      <c r="I227" s="98">
        <f t="shared" ca="1" si="477"/>
        <v>0</v>
      </c>
      <c r="J227" s="98">
        <f t="shared" ca="1" si="477"/>
        <v>0</v>
      </c>
      <c r="K227" s="98">
        <f t="shared" ca="1" si="477"/>
        <v>-2989.0006576008236</v>
      </c>
      <c r="L227" s="98">
        <f t="shared" ca="1" si="477"/>
        <v>-26.982459645938384</v>
      </c>
      <c r="M227" s="98">
        <f ca="1">M107+M108+M126+M136+M143+M147+M157+M162+M173+M200+M214+M203+M222</f>
        <v>-464.71153767040261</v>
      </c>
      <c r="N227" s="98">
        <f t="shared" ca="1" si="477"/>
        <v>-483.23416319071339</v>
      </c>
      <c r="O227" s="98">
        <f t="shared" ca="1" si="477"/>
        <v>-663.57494506462081</v>
      </c>
      <c r="P227" s="98">
        <f t="shared" ca="1" si="477"/>
        <v>-874.73182378093111</v>
      </c>
      <c r="Q227" s="98">
        <f t="shared" ca="1" si="477"/>
        <v>-874.73182378093111</v>
      </c>
      <c r="R227" s="98">
        <f t="shared" ca="1" si="477"/>
        <v>-874.73182378093111</v>
      </c>
      <c r="S227" s="98">
        <f t="shared" ca="1" si="477"/>
        <v>-874.73182378093111</v>
      </c>
      <c r="T227" s="98">
        <f t="shared" ca="1" si="477"/>
        <v>-874.73182378093111</v>
      </c>
      <c r="U227" s="98">
        <f t="shared" ref="U227" ca="1" si="478">U107+U108+U126+U136+U143+U147+U157+U162+U173+U200+U214+U203+U222</f>
        <v>-874.73182378093111</v>
      </c>
      <c r="V227" s="98">
        <f t="shared" ref="V227" ca="1" si="479">V107+V108+V126+V136+V143+V147+V157+V162+V173+V200+V214+V203+V222</f>
        <v>-874.73182378093111</v>
      </c>
      <c r="W227" s="98">
        <f t="shared" ref="W227" ca="1" si="480">W107+W108+W126+W136+W143+W147+W157+W162+W173+W200+W214+W203+W222</f>
        <v>-874.73182378093111</v>
      </c>
      <c r="X227" s="98">
        <f t="shared" ref="X227" ca="1" si="481">X107+X108+X126+X136+X143+X147+X157+X162+X173+X200+X214+X203+X222</f>
        <v>-874.73182378093111</v>
      </c>
      <c r="Y227" s="98">
        <f t="shared" ref="Y227" ca="1" si="482">Y107+Y108+Y126+Y136+Y143+Y147+Y157+Y162+Y173+Y200+Y214+Y203+Y222</f>
        <v>-874.73182378093111</v>
      </c>
      <c r="Z227" s="98">
        <f t="shared" ref="Z227" ca="1" si="483">Z107+Z108+Z126+Z136+Z143+Z147+Z157+Z162+Z173+Z200+Z214+Z203+Z222</f>
        <v>-874.73182378093111</v>
      </c>
      <c r="AA227" s="98">
        <f t="shared" ref="AA227" ca="1" si="484">AA107+AA108+AA126+AA136+AA143+AA147+AA157+AA162+AA173+AA200+AA214+AA203+AA222</f>
        <v>-874.73182378093111</v>
      </c>
      <c r="AB227" s="98">
        <f t="shared" ref="AB227:AC227" ca="1" si="485">AB107+AB108+AB126+AB136+AB143+AB147+AB157+AB162+AB173+AB200+AB214+AB203+AB222</f>
        <v>-874.73182378093111</v>
      </c>
      <c r="AC227" s="98">
        <f t="shared" ca="1" si="485"/>
        <v>-874.73182378093111</v>
      </c>
      <c r="AD227" s="27"/>
      <c r="AE227" s="144">
        <f ca="1">SUM(F227:AC227)</f>
        <v>-16873.749296105529</v>
      </c>
    </row>
    <row r="228" spans="1:33" outlineLevel="1" x14ac:dyDescent="0.2">
      <c r="A228" s="63"/>
      <c r="B228" s="63"/>
      <c r="C228" s="67"/>
      <c r="D228" s="60"/>
      <c r="E228" s="63"/>
      <c r="F228" s="68"/>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c r="AD228" s="63"/>
      <c r="AE228" s="64"/>
    </row>
    <row r="229" spans="1:33" outlineLevel="1" x14ac:dyDescent="0.2">
      <c r="A229" s="19"/>
      <c r="B229" s="19"/>
      <c r="C229" s="26"/>
      <c r="D229" s="46"/>
      <c r="E229" s="19"/>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c r="AD229" s="19"/>
      <c r="AE229" s="22"/>
    </row>
    <row r="230" spans="1:33" s="4" customFormat="1" ht="15.95" customHeight="1" collapsed="1" thickBot="1" x14ac:dyDescent="0.25">
      <c r="A230" s="165" t="str">
        <f ca="1">Language!A353</f>
        <v xml:space="preserve">         СУЩЕСТВУЮЩИЕ АКТИВЫ ПРОЕКТА</v>
      </c>
      <c r="B230" s="165"/>
      <c r="C230" s="165"/>
      <c r="D230" s="165"/>
      <c r="E230" s="165"/>
      <c r="F230" s="177" t="str">
        <f t="shared" ref="F230:AC230" ca="1" si="486">PeriodTitle</f>
        <v>1 кв. 2016</v>
      </c>
      <c r="G230" s="177" t="str">
        <f t="shared" ca="1" si="486"/>
        <v>2 кв. 2016</v>
      </c>
      <c r="H230" s="177" t="str">
        <f t="shared" ca="1" si="486"/>
        <v>3 кв. 2016</v>
      </c>
      <c r="I230" s="177" t="str">
        <f t="shared" ca="1" si="486"/>
        <v>4 кв. 2016</v>
      </c>
      <c r="J230" s="177" t="str">
        <f t="shared" ca="1" si="486"/>
        <v>1 кв. 2017</v>
      </c>
      <c r="K230" s="177" t="str">
        <f t="shared" ca="1" si="486"/>
        <v>2 кв. 2017</v>
      </c>
      <c r="L230" s="177" t="str">
        <f t="shared" ca="1" si="486"/>
        <v>3 кв. 2017</v>
      </c>
      <c r="M230" s="177" t="str">
        <f t="shared" ca="1" si="486"/>
        <v>4 кв. 2017</v>
      </c>
      <c r="N230" s="177" t="str">
        <f t="shared" ca="1" si="486"/>
        <v>1 кв. 2018</v>
      </c>
      <c r="O230" s="177" t="str">
        <f t="shared" ca="1" si="486"/>
        <v>2 кв. 2018</v>
      </c>
      <c r="P230" s="177" t="str">
        <f t="shared" ca="1" si="486"/>
        <v>3 кв. 2018</v>
      </c>
      <c r="Q230" s="177" t="str">
        <f t="shared" ca="1" si="486"/>
        <v>4 кв. 2018</v>
      </c>
      <c r="R230" s="177" t="str">
        <f t="shared" ca="1" si="486"/>
        <v>1 кв. 2019</v>
      </c>
      <c r="S230" s="177" t="str">
        <f t="shared" ca="1" si="486"/>
        <v>2 кв. 2019</v>
      </c>
      <c r="T230" s="177" t="str">
        <f t="shared" ca="1" si="486"/>
        <v>3 кв. 2019</v>
      </c>
      <c r="U230" s="177" t="str">
        <f t="shared" ca="1" si="486"/>
        <v>4 кв. 2019</v>
      </c>
      <c r="V230" s="177" t="str">
        <f t="shared" ca="1" si="486"/>
        <v>1 кв. 2020</v>
      </c>
      <c r="W230" s="177" t="str">
        <f t="shared" ca="1" si="486"/>
        <v>2 кв. 2020</v>
      </c>
      <c r="X230" s="177" t="str">
        <f t="shared" ca="1" si="486"/>
        <v>3 кв. 2020</v>
      </c>
      <c r="Y230" s="177" t="str">
        <f t="shared" ca="1" si="486"/>
        <v>4 кв. 2020</v>
      </c>
      <c r="Z230" s="177" t="str">
        <f t="shared" ca="1" si="486"/>
        <v>1 кв. 2021</v>
      </c>
      <c r="AA230" s="177" t="str">
        <f t="shared" ca="1" si="486"/>
        <v>2 кв. 2021</v>
      </c>
      <c r="AB230" s="177" t="str">
        <f t="shared" ca="1" si="486"/>
        <v>3 кв. 2021</v>
      </c>
      <c r="AC230" s="177" t="str">
        <f t="shared" ca="1" si="486"/>
        <v>4 кв. 2021</v>
      </c>
      <c r="AD230" s="165"/>
      <c r="AE230" s="194" t="str">
        <f ca="1">Language!$A$372</f>
        <v>ИТОГО</v>
      </c>
      <c r="AF230" s="142"/>
      <c r="AG230" s="142"/>
    </row>
    <row r="231" spans="1:33" ht="12" hidden="1" outlineLevel="1" thickTop="1" x14ac:dyDescent="0.2">
      <c r="AF231" s="115"/>
      <c r="AG231" s="115"/>
    </row>
    <row r="232" spans="1:33" hidden="1" outlineLevel="1" x14ac:dyDescent="0.2">
      <c r="A232" s="62" t="str">
        <f ca="1">Language!A365</f>
        <v>Земельные участки</v>
      </c>
      <c r="B232" s="19"/>
      <c r="C232" s="26"/>
      <c r="D232" s="19"/>
      <c r="AF232" s="115"/>
      <c r="AG232" s="115"/>
    </row>
    <row r="233" spans="1:33" hidden="1" outlineLevel="1" x14ac:dyDescent="0.2">
      <c r="A233" s="23" t="str">
        <f ca="1">Language!A$361</f>
        <v xml:space="preserve">    остаточная стоимость</v>
      </c>
      <c r="B233" s="19"/>
      <c r="C233" s="26" t="str">
        <f ca="1">CUR_Main</f>
        <v>тыс. EUR</v>
      </c>
      <c r="D233" s="19" t="s">
        <v>2594</v>
      </c>
      <c r="E233" s="19">
        <f>F39*IF(B$37=1,1,F$88)</f>
        <v>0</v>
      </c>
      <c r="F233" s="105">
        <f>IF(SUM($F234:F234)&gt;0.01,0,E233)</f>
        <v>0</v>
      </c>
      <c r="G233" s="105">
        <f>IF(SUM($F234:G234)&gt;0.01,0,F233)</f>
        <v>0</v>
      </c>
      <c r="H233" s="105">
        <f>IF(SUM($F234:H234)&gt;0.01,0,G233)</f>
        <v>0</v>
      </c>
      <c r="I233" s="105">
        <f>IF(SUM($F234:I234)&gt;0.01,0,H233)</f>
        <v>0</v>
      </c>
      <c r="J233" s="105">
        <f>IF(SUM($F234:J234)&gt;0.01,0,I233)</f>
        <v>0</v>
      </c>
      <c r="K233" s="105">
        <f>IF(SUM($F234:K234)&gt;0.01,0,J233)</f>
        <v>0</v>
      </c>
      <c r="L233" s="105">
        <f>IF(SUM($F234:L234)&gt;0.01,0,K233)</f>
        <v>0</v>
      </c>
      <c r="M233" s="105">
        <f>IF(SUM($F234:M234)&gt;0.01,0,L233)</f>
        <v>0</v>
      </c>
      <c r="N233" s="105">
        <f>IF(SUM($F234:N234)&gt;0.01,0,M233)</f>
        <v>0</v>
      </c>
      <c r="O233" s="105">
        <f>IF(SUM($F234:O234)&gt;0.01,0,N233)</f>
        <v>0</v>
      </c>
      <c r="P233" s="105">
        <f>IF(SUM($F234:P234)&gt;0.01,0,O233)</f>
        <v>0</v>
      </c>
      <c r="Q233" s="105">
        <f>IF(SUM($F234:Q234)&gt;0.01,0,P233)</f>
        <v>0</v>
      </c>
      <c r="R233" s="105">
        <f>IF(SUM($F234:R234)&gt;0.01,0,Q233)</f>
        <v>0</v>
      </c>
      <c r="S233" s="105">
        <f>IF(SUM($F234:S234)&gt;0.01,0,R233)</f>
        <v>0</v>
      </c>
      <c r="T233" s="105">
        <f>IF(SUM($F234:T234)&gt;0.01,0,S233)</f>
        <v>0</v>
      </c>
      <c r="U233" s="105">
        <f>IF(SUM($F234:U234)&gt;0.01,0,T233)</f>
        <v>0</v>
      </c>
      <c r="V233" s="105">
        <f>IF(SUM($F234:V234)&gt;0.01,0,U233)</f>
        <v>0</v>
      </c>
      <c r="W233" s="105">
        <f>IF(SUM($F234:W234)&gt;0.01,0,V233)</f>
        <v>0</v>
      </c>
      <c r="X233" s="105">
        <f>IF(SUM($F234:X234)&gt;0.01,0,W233)</f>
        <v>0</v>
      </c>
      <c r="Y233" s="105">
        <f>IF(SUM($F234:Y234)&gt;0.01,0,X233)</f>
        <v>0</v>
      </c>
      <c r="Z233" s="105">
        <f>IF(SUM($F234:Z234)&gt;0.01,0,Y233)</f>
        <v>0</v>
      </c>
      <c r="AA233" s="105">
        <f>IF(SUM($F234:AA234)&gt;0.01,0,Z233)</f>
        <v>0</v>
      </c>
      <c r="AB233" s="105">
        <f>IF(SUM($F234:AB234)&gt;0.01,0,AA233)</f>
        <v>0</v>
      </c>
      <c r="AC233" s="105">
        <f>IF(SUM($F234:AC234)&gt;0.01,0,AB233)</f>
        <v>0</v>
      </c>
      <c r="AE233" s="54"/>
      <c r="AF233" s="115"/>
      <c r="AG233" s="115"/>
    </row>
    <row r="234" spans="1:33" hidden="1" outlineLevel="1" collapsed="1" x14ac:dyDescent="0.2">
      <c r="A234" s="24" t="str">
        <f ca="1">Language!A$362</f>
        <v xml:space="preserve">    реализация актива (без НДС)</v>
      </c>
      <c r="B234" s="158"/>
      <c r="C234" s="26" t="str">
        <f ca="1">CUR_Main</f>
        <v>тыс. EUR</v>
      </c>
      <c r="D234" s="19"/>
      <c r="E234" s="19"/>
      <c r="F234" s="271">
        <v>0</v>
      </c>
      <c r="G234" s="271">
        <v>0</v>
      </c>
      <c r="H234" s="271">
        <v>0</v>
      </c>
      <c r="I234" s="271">
        <v>0</v>
      </c>
      <c r="J234" s="271">
        <v>0</v>
      </c>
      <c r="K234" s="271">
        <v>0</v>
      </c>
      <c r="L234" s="271">
        <v>0</v>
      </c>
      <c r="M234" s="271">
        <v>0</v>
      </c>
      <c r="N234" s="271">
        <v>0</v>
      </c>
      <c r="O234" s="271">
        <v>0</v>
      </c>
      <c r="P234" s="271">
        <v>0</v>
      </c>
      <c r="Q234" s="271">
        <v>0</v>
      </c>
      <c r="R234" s="271">
        <v>0</v>
      </c>
      <c r="S234" s="271">
        <v>0</v>
      </c>
      <c r="T234" s="271">
        <v>0</v>
      </c>
      <c r="U234" s="271">
        <v>0</v>
      </c>
      <c r="V234" s="271">
        <v>0</v>
      </c>
      <c r="W234" s="271">
        <v>0</v>
      </c>
      <c r="X234" s="271">
        <v>0</v>
      </c>
      <c r="Y234" s="271">
        <v>0</v>
      </c>
      <c r="Z234" s="271">
        <v>0</v>
      </c>
      <c r="AA234" s="271">
        <v>0</v>
      </c>
      <c r="AB234" s="271">
        <v>0</v>
      </c>
      <c r="AC234" s="271">
        <v>0</v>
      </c>
      <c r="AE234" s="54">
        <f>SUM(F234:AC234)</f>
        <v>0</v>
      </c>
      <c r="AF234" s="115"/>
      <c r="AG234" s="115"/>
    </row>
    <row r="235" spans="1:33" hidden="1" outlineLevel="2" x14ac:dyDescent="0.2">
      <c r="A235" s="24" t="str">
        <f ca="1">Language!A$363</f>
        <v xml:space="preserve">    прибыль/убыток от реализации актива</v>
      </c>
      <c r="B235" s="158"/>
      <c r="C235" s="26" t="str">
        <f ca="1">CUR_Main</f>
        <v>тыс. EUR</v>
      </c>
      <c r="D235" s="19"/>
      <c r="E235" s="19"/>
      <c r="F235" s="83">
        <f t="shared" ref="F235:AC235" si="487">IF(F234=0,0,F234-E233)</f>
        <v>0</v>
      </c>
      <c r="G235" s="83">
        <f t="shared" si="487"/>
        <v>0</v>
      </c>
      <c r="H235" s="83">
        <f t="shared" si="487"/>
        <v>0</v>
      </c>
      <c r="I235" s="83">
        <f t="shared" si="487"/>
        <v>0</v>
      </c>
      <c r="J235" s="83">
        <f t="shared" si="487"/>
        <v>0</v>
      </c>
      <c r="K235" s="83">
        <f t="shared" si="487"/>
        <v>0</v>
      </c>
      <c r="L235" s="83">
        <f t="shared" si="487"/>
        <v>0</v>
      </c>
      <c r="M235" s="83">
        <f t="shared" si="487"/>
        <v>0</v>
      </c>
      <c r="N235" s="83">
        <f t="shared" si="487"/>
        <v>0</v>
      </c>
      <c r="O235" s="83">
        <f t="shared" si="487"/>
        <v>0</v>
      </c>
      <c r="P235" s="83">
        <f t="shared" si="487"/>
        <v>0</v>
      </c>
      <c r="Q235" s="83">
        <f t="shared" si="487"/>
        <v>0</v>
      </c>
      <c r="R235" s="83">
        <f t="shared" si="487"/>
        <v>0</v>
      </c>
      <c r="S235" s="83">
        <f t="shared" si="487"/>
        <v>0</v>
      </c>
      <c r="T235" s="83">
        <f t="shared" si="487"/>
        <v>0</v>
      </c>
      <c r="U235" s="83">
        <f t="shared" si="487"/>
        <v>0</v>
      </c>
      <c r="V235" s="83">
        <f t="shared" si="487"/>
        <v>0</v>
      </c>
      <c r="W235" s="83">
        <f t="shared" si="487"/>
        <v>0</v>
      </c>
      <c r="X235" s="83">
        <f t="shared" si="487"/>
        <v>0</v>
      </c>
      <c r="Y235" s="83">
        <f t="shared" si="487"/>
        <v>0</v>
      </c>
      <c r="Z235" s="83">
        <f t="shared" si="487"/>
        <v>0</v>
      </c>
      <c r="AA235" s="83">
        <f t="shared" si="487"/>
        <v>0</v>
      </c>
      <c r="AB235" s="83">
        <f t="shared" si="487"/>
        <v>0</v>
      </c>
      <c r="AC235" s="83">
        <f t="shared" si="487"/>
        <v>0</v>
      </c>
      <c r="AE235" s="54">
        <f>SUM(F235:AC235)</f>
        <v>0</v>
      </c>
      <c r="AF235" s="115"/>
      <c r="AG235" s="115"/>
    </row>
    <row r="236" spans="1:33" hidden="1" outlineLevel="2" x14ac:dyDescent="0.2">
      <c r="A236" s="24" t="str">
        <f ca="1">Language!A$364</f>
        <v xml:space="preserve">    НДС к выручке от реализации актива</v>
      </c>
      <c r="B236" s="267">
        <v>0</v>
      </c>
      <c r="C236" s="26" t="str">
        <f ca="1">CUR_Main</f>
        <v>тыс. EUR</v>
      </c>
      <c r="D236" s="19"/>
      <c r="E236" s="19"/>
      <c r="F236" s="105">
        <f t="shared" ref="F236:T236" si="488">F234*$B236</f>
        <v>0</v>
      </c>
      <c r="G236" s="105">
        <f t="shared" si="488"/>
        <v>0</v>
      </c>
      <c r="H236" s="105">
        <f t="shared" si="488"/>
        <v>0</v>
      </c>
      <c r="I236" s="105">
        <f t="shared" si="488"/>
        <v>0</v>
      </c>
      <c r="J236" s="105">
        <f t="shared" si="488"/>
        <v>0</v>
      </c>
      <c r="K236" s="105">
        <f t="shared" si="488"/>
        <v>0</v>
      </c>
      <c r="L236" s="105">
        <f t="shared" si="488"/>
        <v>0</v>
      </c>
      <c r="M236" s="105">
        <f t="shared" si="488"/>
        <v>0</v>
      </c>
      <c r="N236" s="105">
        <f t="shared" si="488"/>
        <v>0</v>
      </c>
      <c r="O236" s="105">
        <f t="shared" si="488"/>
        <v>0</v>
      </c>
      <c r="P236" s="105">
        <f t="shared" si="488"/>
        <v>0</v>
      </c>
      <c r="Q236" s="105">
        <f t="shared" si="488"/>
        <v>0</v>
      </c>
      <c r="R236" s="105">
        <f t="shared" si="488"/>
        <v>0</v>
      </c>
      <c r="S236" s="105">
        <f t="shared" si="488"/>
        <v>0</v>
      </c>
      <c r="T236" s="105">
        <f t="shared" si="488"/>
        <v>0</v>
      </c>
      <c r="U236" s="105">
        <f t="shared" ref="U236" si="489">U234*$B236</f>
        <v>0</v>
      </c>
      <c r="V236" s="105">
        <f t="shared" ref="V236" si="490">V234*$B236</f>
        <v>0</v>
      </c>
      <c r="W236" s="105">
        <f t="shared" ref="W236" si="491">W234*$B236</f>
        <v>0</v>
      </c>
      <c r="X236" s="105">
        <f t="shared" ref="X236" si="492">X234*$B236</f>
        <v>0</v>
      </c>
      <c r="Y236" s="105">
        <f t="shared" ref="Y236" si="493">Y234*$B236</f>
        <v>0</v>
      </c>
      <c r="Z236" s="105">
        <f t="shared" ref="Z236" si="494">Z234*$B236</f>
        <v>0</v>
      </c>
      <c r="AA236" s="105">
        <f t="shared" ref="AA236" si="495">AA234*$B236</f>
        <v>0</v>
      </c>
      <c r="AB236" s="105">
        <f t="shared" ref="AB236:AC236" si="496">AB234*$B236</f>
        <v>0</v>
      </c>
      <c r="AC236" s="105">
        <f t="shared" si="496"/>
        <v>0</v>
      </c>
      <c r="AE236" s="54">
        <f>SUM(F236:AC236)</f>
        <v>0</v>
      </c>
      <c r="AF236" s="115"/>
      <c r="AG236" s="115"/>
    </row>
    <row r="237" spans="1:33" hidden="1" outlineLevel="1" x14ac:dyDescent="0.2">
      <c r="A237" s="35"/>
      <c r="B237" s="11" t="str">
        <f ca="1">Language!A$355</f>
        <v xml:space="preserve">  Амортизация</v>
      </c>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E237" s="54"/>
      <c r="AF237" s="115"/>
      <c r="AG237" s="115"/>
    </row>
    <row r="238" spans="1:33" hidden="1" outlineLevel="1" x14ac:dyDescent="0.2">
      <c r="A238" s="35" t="str">
        <f ca="1">Language!A357</f>
        <v>Здания и сооружения</v>
      </c>
      <c r="B238" s="270">
        <v>20</v>
      </c>
      <c r="C238" s="40" t="str">
        <f ca="1">Language!A$33</f>
        <v>лет</v>
      </c>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E238" s="54"/>
      <c r="AF238" s="115"/>
      <c r="AG238" s="115"/>
    </row>
    <row r="239" spans="1:33" hidden="1" outlineLevel="1" x14ac:dyDescent="0.2">
      <c r="A239" s="23" t="str">
        <f ca="1">Language!A$361</f>
        <v xml:space="preserve">    остаточная стоимость</v>
      </c>
      <c r="B239" s="158"/>
      <c r="C239" s="26" t="str">
        <f ca="1">CUR_Main</f>
        <v>тыс. EUR</v>
      </c>
      <c r="D239" s="19" t="s">
        <v>2594</v>
      </c>
      <c r="E239" s="105">
        <f>E241</f>
        <v>0</v>
      </c>
      <c r="F239" s="105">
        <f>IF(SUM($F240:F240)&gt;0.01,0,F241-F243)</f>
        <v>0</v>
      </c>
      <c r="G239" s="105">
        <f>IF(SUM($F240:G240)&gt;0.01,0,G241-G243)</f>
        <v>0</v>
      </c>
      <c r="H239" s="105">
        <f>IF(SUM($F240:H240)&gt;0.01,0,H241-H243)</f>
        <v>0</v>
      </c>
      <c r="I239" s="105">
        <f>IF(SUM($F240:I240)&gt;0.01,0,I241-I243)</f>
        <v>0</v>
      </c>
      <c r="J239" s="105">
        <f>IF(SUM($F240:J240)&gt;0.01,0,J241-J243)</f>
        <v>0</v>
      </c>
      <c r="K239" s="105">
        <f>IF(SUM($F240:K240)&gt;0.01,0,K241-K243)</f>
        <v>0</v>
      </c>
      <c r="L239" s="105">
        <f>IF(SUM($F240:L240)&gt;0.01,0,L241-L243)</f>
        <v>0</v>
      </c>
      <c r="M239" s="105">
        <f>IF(SUM($F240:M240)&gt;0.01,0,M241-M243)</f>
        <v>0</v>
      </c>
      <c r="N239" s="105">
        <f>IF(SUM($F240:N240)&gt;0.01,0,N241-N243)</f>
        <v>0</v>
      </c>
      <c r="O239" s="105">
        <f>IF(SUM($F240:O240)&gt;0.01,0,O241-O243)</f>
        <v>0</v>
      </c>
      <c r="P239" s="105">
        <f>IF(SUM($F240:P240)&gt;0.01,0,P241-P243)</f>
        <v>0</v>
      </c>
      <c r="Q239" s="105">
        <f>IF(SUM($F240:Q240)&gt;0.01,0,Q241-Q243)</f>
        <v>0</v>
      </c>
      <c r="R239" s="105">
        <f>IF(SUM($F240:R240)&gt;0.01,0,R241-R243)</f>
        <v>0</v>
      </c>
      <c r="S239" s="105">
        <f>IF(SUM($F240:S240)&gt;0.01,0,S241-S243)</f>
        <v>0</v>
      </c>
      <c r="T239" s="105">
        <f>IF(SUM($F240:T240)&gt;0.01,0,T241-T243)</f>
        <v>0</v>
      </c>
      <c r="U239" s="105">
        <f>IF(SUM($F240:U240)&gt;0.01,0,U241-U243)</f>
        <v>0</v>
      </c>
      <c r="V239" s="105">
        <f>IF(SUM($F240:V240)&gt;0.01,0,V241-V243)</f>
        <v>0</v>
      </c>
      <c r="W239" s="105">
        <f>IF(SUM($F240:W240)&gt;0.01,0,W241-W243)</f>
        <v>0</v>
      </c>
      <c r="X239" s="105">
        <f>IF(SUM($F240:X240)&gt;0.01,0,X241-X243)</f>
        <v>0</v>
      </c>
      <c r="Y239" s="105">
        <f>IF(SUM($F240:Y240)&gt;0.01,0,Y241-Y243)</f>
        <v>0</v>
      </c>
      <c r="Z239" s="105">
        <f>IF(SUM($F240:Z240)&gt;0.01,0,Z241-Z243)</f>
        <v>0</v>
      </c>
      <c r="AA239" s="105">
        <f>IF(SUM($F240:AA240)&gt;0.01,0,AA241-AA243)</f>
        <v>0</v>
      </c>
      <c r="AB239" s="105">
        <f>IF(SUM($F240:AB240)&gt;0.01,0,AB241-AB243)</f>
        <v>0</v>
      </c>
      <c r="AC239" s="105">
        <f>IF(SUM($F240:AC240)&gt;0.01,0,AC241-AC243)</f>
        <v>0</v>
      </c>
      <c r="AE239" s="54"/>
      <c r="AF239" s="115"/>
      <c r="AG239" s="115"/>
    </row>
    <row r="240" spans="1:33" hidden="1" outlineLevel="1" collapsed="1" x14ac:dyDescent="0.2">
      <c r="A240" s="23" t="str">
        <f ca="1">Language!A$362</f>
        <v xml:space="preserve">    реализация актива (без НДС)</v>
      </c>
      <c r="B240" s="158"/>
      <c r="C240" s="26" t="str">
        <f ca="1">CUR_Main</f>
        <v>тыс. EUR</v>
      </c>
      <c r="D240" s="19"/>
      <c r="E240" s="19"/>
      <c r="F240" s="271">
        <v>0</v>
      </c>
      <c r="G240" s="271">
        <v>0</v>
      </c>
      <c r="H240" s="271">
        <v>0</v>
      </c>
      <c r="I240" s="271">
        <v>0</v>
      </c>
      <c r="J240" s="271">
        <v>0</v>
      </c>
      <c r="K240" s="271">
        <v>0</v>
      </c>
      <c r="L240" s="271">
        <v>0</v>
      </c>
      <c r="M240" s="271">
        <v>0</v>
      </c>
      <c r="N240" s="271">
        <v>0</v>
      </c>
      <c r="O240" s="271">
        <v>0</v>
      </c>
      <c r="P240" s="271">
        <v>0</v>
      </c>
      <c r="Q240" s="271">
        <v>0</v>
      </c>
      <c r="R240" s="271">
        <v>0</v>
      </c>
      <c r="S240" s="271">
        <v>0</v>
      </c>
      <c r="T240" s="271">
        <v>0</v>
      </c>
      <c r="U240" s="271">
        <v>0</v>
      </c>
      <c r="V240" s="271">
        <v>0</v>
      </c>
      <c r="W240" s="271">
        <v>0</v>
      </c>
      <c r="X240" s="271">
        <v>0</v>
      </c>
      <c r="Y240" s="271">
        <v>0</v>
      </c>
      <c r="Z240" s="271">
        <v>0</v>
      </c>
      <c r="AA240" s="271">
        <v>0</v>
      </c>
      <c r="AB240" s="271">
        <v>0</v>
      </c>
      <c r="AC240" s="271">
        <v>0</v>
      </c>
      <c r="AE240" s="54">
        <f>SUM(F240:AC240)</f>
        <v>0</v>
      </c>
      <c r="AF240" s="115"/>
      <c r="AG240" s="115"/>
    </row>
    <row r="241" spans="1:33" hidden="1" outlineLevel="2" x14ac:dyDescent="0.2">
      <c r="A241" s="23" t="str">
        <f ca="1">Language!A$358</f>
        <v xml:space="preserve">    первоначальная стоимость</v>
      </c>
      <c r="B241" s="138"/>
      <c r="C241" s="5" t="str">
        <f t="shared" ref="C241:C276" ca="1" si="497">CUR_Main</f>
        <v>тыс. EUR</v>
      </c>
      <c r="D241" t="s">
        <v>2594</v>
      </c>
      <c r="E241" s="48">
        <f>F40*IF(B$37=1,1,F$88)</f>
        <v>0</v>
      </c>
      <c r="F241" s="105">
        <f>IF(SUM($F240:F240)&gt;0.01,0,E241)</f>
        <v>0</v>
      </c>
      <c r="G241" s="105">
        <f>IF(SUM($F240:G240)&gt;0.01,0,F241)</f>
        <v>0</v>
      </c>
      <c r="H241" s="105">
        <f>IF(SUM($F240:H240)&gt;0.01,0,G241)</f>
        <v>0</v>
      </c>
      <c r="I241" s="105">
        <f>IF(SUM($F240:I240)&gt;0.01,0,H241)</f>
        <v>0</v>
      </c>
      <c r="J241" s="105">
        <f>IF(SUM($F240:J240)&gt;0.01,0,I241)</f>
        <v>0</v>
      </c>
      <c r="K241" s="105">
        <f>IF(SUM($F240:K240)&gt;0.01,0,J241)</f>
        <v>0</v>
      </c>
      <c r="L241" s="105">
        <f>IF(SUM($F240:L240)&gt;0.01,0,K241)</f>
        <v>0</v>
      </c>
      <c r="M241" s="105">
        <f>IF(SUM($F240:M240)&gt;0.01,0,L241)</f>
        <v>0</v>
      </c>
      <c r="N241" s="105">
        <f>IF(SUM($F240:N240)&gt;0.01,0,M241)</f>
        <v>0</v>
      </c>
      <c r="O241" s="105">
        <f>IF(SUM($F240:O240)&gt;0.01,0,N241)</f>
        <v>0</v>
      </c>
      <c r="P241" s="105">
        <f>IF(SUM($F240:P240)&gt;0.01,0,O241)</f>
        <v>0</v>
      </c>
      <c r="Q241" s="105">
        <f>IF(SUM($F240:Q240)&gt;0.01,0,P241)</f>
        <v>0</v>
      </c>
      <c r="R241" s="105">
        <f>IF(SUM($F240:R240)&gt;0.01,0,Q241)</f>
        <v>0</v>
      </c>
      <c r="S241" s="105">
        <f>IF(SUM($F240:S240)&gt;0.01,0,R241)</f>
        <v>0</v>
      </c>
      <c r="T241" s="105">
        <f>IF(SUM($F240:T240)&gt;0.01,0,S241)</f>
        <v>0</v>
      </c>
      <c r="U241" s="105">
        <f>IF(SUM($F240:U240)&gt;0.01,0,T241)</f>
        <v>0</v>
      </c>
      <c r="V241" s="105">
        <f>IF(SUM($F240:V240)&gt;0.01,0,U241)</f>
        <v>0</v>
      </c>
      <c r="W241" s="105">
        <f>IF(SUM($F240:W240)&gt;0.01,0,V241)</f>
        <v>0</v>
      </c>
      <c r="X241" s="105">
        <f>IF(SUM($F240:X240)&gt;0.01,0,W241)</f>
        <v>0</v>
      </c>
      <c r="Y241" s="105">
        <f>IF(SUM($F240:Y240)&gt;0.01,0,X241)</f>
        <v>0</v>
      </c>
      <c r="Z241" s="105">
        <f>IF(SUM($F240:Z240)&gt;0.01,0,Y241)</f>
        <v>0</v>
      </c>
      <c r="AA241" s="105">
        <f>IF(SUM($F240:AA240)&gt;0.01,0,Z241)</f>
        <v>0</v>
      </c>
      <c r="AB241" s="105">
        <f>IF(SUM($F240:AB240)&gt;0.01,0,AA241)</f>
        <v>0</v>
      </c>
      <c r="AC241" s="105">
        <f>IF(SUM($F240:AC240)&gt;0.01,0,AB241)</f>
        <v>0</v>
      </c>
      <c r="AE241" s="54"/>
      <c r="AF241" s="115"/>
      <c r="AG241" s="115"/>
    </row>
    <row r="242" spans="1:33" hidden="1" outlineLevel="2" x14ac:dyDescent="0.2">
      <c r="A242" s="23" t="str">
        <f ca="1">Language!A$359</f>
        <v xml:space="preserve">    амортизация (линейная),       для срока использования:</v>
      </c>
      <c r="B242" s="138">
        <f>B238</f>
        <v>20</v>
      </c>
      <c r="C242" s="40" t="str">
        <f ca="1">Language!A$33</f>
        <v>лет</v>
      </c>
      <c r="E242" s="48"/>
      <c r="F242" s="84">
        <f>IF(AND($B242&gt;0,SUM($E240:F240)&lt;=0.01),MIN(F241*100%/$B242*PRJ_Step/360,E239+F241-E241),0)</f>
        <v>0</v>
      </c>
      <c r="G242" s="84">
        <f>IF(AND($B242&gt;0,SUM($E240:G240)&lt;=0.01),MIN(G241*100%/$B242*PRJ_Step/360,F239+G241-F241),0)</f>
        <v>0</v>
      </c>
      <c r="H242" s="84">
        <f>IF(AND($B242&gt;0,SUM($E240:H240)&lt;=0.01),MIN(H241*100%/$B242*PRJ_Step/360,G239+H241-G241),0)</f>
        <v>0</v>
      </c>
      <c r="I242" s="84">
        <f>IF(AND($B242&gt;0,SUM($E240:I240)&lt;=0.01),MIN(I241*100%/$B242*PRJ_Step/360,H239+I241-H241),0)</f>
        <v>0</v>
      </c>
      <c r="J242" s="84">
        <f>IF(AND($B242&gt;0,SUM($E240:J240)&lt;=0.01),MIN(J241*100%/$B242*PRJ_Step/360,I239+J241-I241),0)</f>
        <v>0</v>
      </c>
      <c r="K242" s="84">
        <f>IF(AND($B242&gt;0,SUM($E240:K240)&lt;=0.01),MIN(K241*100%/$B242*PRJ_Step/360,J239+K241-J241),0)</f>
        <v>0</v>
      </c>
      <c r="L242" s="84">
        <f>IF(AND($B242&gt;0,SUM($E240:L240)&lt;=0.01),MIN(L241*100%/$B242*PRJ_Step/360,K239+L241-K241),0)</f>
        <v>0</v>
      </c>
      <c r="M242" s="84">
        <f>IF(AND($B242&gt;0,SUM($E240:M240)&lt;=0.01),MIN(M241*100%/$B242*PRJ_Step/360,L239+M241-L241),0)</f>
        <v>0</v>
      </c>
      <c r="N242" s="84">
        <f>IF(AND($B242&gt;0,SUM($E240:N240)&lt;=0.01),MIN(N241*100%/$B242*PRJ_Step/360,M239+N241-M241),0)</f>
        <v>0</v>
      </c>
      <c r="O242" s="84">
        <f>IF(AND($B242&gt;0,SUM($E240:O240)&lt;=0.01),MIN(O241*100%/$B242*PRJ_Step/360,N239+O241-N241),0)</f>
        <v>0</v>
      </c>
      <c r="P242" s="84">
        <f>IF(AND($B242&gt;0,SUM($E240:P240)&lt;=0.01),MIN(P241*100%/$B242*PRJ_Step/360,O239+P241-O241),0)</f>
        <v>0</v>
      </c>
      <c r="Q242" s="84">
        <f>IF(AND($B242&gt;0,SUM($E240:Q240)&lt;=0.01),MIN(Q241*100%/$B242*PRJ_Step/360,P239+Q241-P241),0)</f>
        <v>0</v>
      </c>
      <c r="R242" s="84">
        <f>IF(AND($B242&gt;0,SUM($E240:R240)&lt;=0.01),MIN(R241*100%/$B242*PRJ_Step/360,Q239+R241-Q241),0)</f>
        <v>0</v>
      </c>
      <c r="S242" s="84">
        <f>IF(AND($B242&gt;0,SUM($E240:S240)&lt;=0.01),MIN(S241*100%/$B242*PRJ_Step/360,R239+S241-R241),0)</f>
        <v>0</v>
      </c>
      <c r="T242" s="84">
        <f>IF(AND($B242&gt;0,SUM($E240:T240)&lt;=0.01),MIN(T241*100%/$B242*PRJ_Step/360,S239+T241-S241),0)</f>
        <v>0</v>
      </c>
      <c r="U242" s="84">
        <f>IF(AND($B242&gt;0,SUM($E240:U240)&lt;=0.01),MIN(U241*100%/$B242*PRJ_Step/360,T239+U241-T241),0)</f>
        <v>0</v>
      </c>
      <c r="V242" s="84">
        <f>IF(AND($B242&gt;0,SUM($E240:V240)&lt;=0.01),MIN(V241*100%/$B242*PRJ_Step/360,U239+V241-U241),0)</f>
        <v>0</v>
      </c>
      <c r="W242" s="84">
        <f>IF(AND($B242&gt;0,SUM($E240:W240)&lt;=0.01),MIN(W241*100%/$B242*PRJ_Step/360,V239+W241-V241),0)</f>
        <v>0</v>
      </c>
      <c r="X242" s="84">
        <f>IF(AND($B242&gt;0,SUM($E240:X240)&lt;=0.01),MIN(X241*100%/$B242*PRJ_Step/360,W239+X241-W241),0)</f>
        <v>0</v>
      </c>
      <c r="Y242" s="84">
        <f>IF(AND($B242&gt;0,SUM($E240:Y240)&lt;=0.01),MIN(Y241*100%/$B242*PRJ_Step/360,X239+Y241-X241),0)</f>
        <v>0</v>
      </c>
      <c r="Z242" s="84">
        <f>IF(AND($B242&gt;0,SUM($E240:Z240)&lt;=0.01),MIN(Z241*100%/$B242*PRJ_Step/360,Y239+Z241-Y241),0)</f>
        <v>0</v>
      </c>
      <c r="AA242" s="84">
        <f>IF(AND($B242&gt;0,SUM($E240:AA240)&lt;=0.01),MIN(AA241*100%/$B242*PRJ_Step/360,Z239+AA241-Z241),0)</f>
        <v>0</v>
      </c>
      <c r="AB242" s="84">
        <f>IF(AND($B242&gt;0,SUM($E240:AB240)&lt;=0.01),MIN(AB241*100%/$B242*PRJ_Step/360,AA239+AB241-AA241),0)</f>
        <v>0</v>
      </c>
      <c r="AC242" s="84">
        <f>IF(AND($B242&gt;0,SUM($E240:AC240)&lt;=0.01),MIN(AC241*100%/$B242*PRJ_Step/360,AB239+AC241-AB241),0)</f>
        <v>0</v>
      </c>
      <c r="AE242" s="54">
        <f>SUM(F242:AC242)</f>
        <v>0</v>
      </c>
      <c r="AF242" s="115"/>
      <c r="AG242" s="115"/>
    </row>
    <row r="243" spans="1:33" hidden="1" outlineLevel="2" x14ac:dyDescent="0.2">
      <c r="A243" s="23" t="str">
        <f ca="1">Language!A$360</f>
        <v xml:space="preserve">    накопленная амортизация</v>
      </c>
      <c r="B243" s="44"/>
      <c r="C243" s="5" t="str">
        <f t="shared" ca="1" si="497"/>
        <v>тыс. EUR</v>
      </c>
      <c r="D243" t="s">
        <v>2594</v>
      </c>
      <c r="E243" s="48"/>
      <c r="F243" s="84">
        <f t="shared" ref="F243:AC243" si="498">E243+F242</f>
        <v>0</v>
      </c>
      <c r="G243" s="84">
        <f t="shared" si="498"/>
        <v>0</v>
      </c>
      <c r="H243" s="84">
        <f t="shared" si="498"/>
        <v>0</v>
      </c>
      <c r="I243" s="84">
        <f t="shared" si="498"/>
        <v>0</v>
      </c>
      <c r="J243" s="84">
        <f t="shared" si="498"/>
        <v>0</v>
      </c>
      <c r="K243" s="84">
        <f t="shared" si="498"/>
        <v>0</v>
      </c>
      <c r="L243" s="84">
        <f t="shared" si="498"/>
        <v>0</v>
      </c>
      <c r="M243" s="84">
        <f t="shared" si="498"/>
        <v>0</v>
      </c>
      <c r="N243" s="84">
        <f t="shared" si="498"/>
        <v>0</v>
      </c>
      <c r="O243" s="84">
        <f t="shared" si="498"/>
        <v>0</v>
      </c>
      <c r="P243" s="84">
        <f t="shared" si="498"/>
        <v>0</v>
      </c>
      <c r="Q243" s="84">
        <f t="shared" si="498"/>
        <v>0</v>
      </c>
      <c r="R243" s="84">
        <f t="shared" si="498"/>
        <v>0</v>
      </c>
      <c r="S243" s="84">
        <f t="shared" si="498"/>
        <v>0</v>
      </c>
      <c r="T243" s="84">
        <f t="shared" si="498"/>
        <v>0</v>
      </c>
      <c r="U243" s="84">
        <f t="shared" si="498"/>
        <v>0</v>
      </c>
      <c r="V243" s="84">
        <f t="shared" si="498"/>
        <v>0</v>
      </c>
      <c r="W243" s="84">
        <f t="shared" si="498"/>
        <v>0</v>
      </c>
      <c r="X243" s="84">
        <f t="shared" si="498"/>
        <v>0</v>
      </c>
      <c r="Y243" s="84">
        <f t="shared" si="498"/>
        <v>0</v>
      </c>
      <c r="Z243" s="84">
        <f t="shared" si="498"/>
        <v>0</v>
      </c>
      <c r="AA243" s="84">
        <f t="shared" si="498"/>
        <v>0</v>
      </c>
      <c r="AB243" s="84">
        <f t="shared" si="498"/>
        <v>0</v>
      </c>
      <c r="AC243" s="84">
        <f t="shared" si="498"/>
        <v>0</v>
      </c>
      <c r="AE243" s="54"/>
      <c r="AF243" s="115"/>
      <c r="AG243" s="115"/>
    </row>
    <row r="244" spans="1:33" hidden="1" outlineLevel="2" x14ac:dyDescent="0.2">
      <c r="A244" s="23" t="str">
        <f ca="1">Language!A$363</f>
        <v xml:space="preserve">    прибыль/убыток от реализации актива</v>
      </c>
      <c r="B244" s="158"/>
      <c r="C244" s="26" t="str">
        <f t="shared" ca="1" si="497"/>
        <v>тыс. EUR</v>
      </c>
      <c r="D244" s="19"/>
      <c r="E244" s="19"/>
      <c r="F244" s="83">
        <f t="shared" ref="F244:AC244" si="499">IF(F240=0,0,F240-E239)</f>
        <v>0</v>
      </c>
      <c r="G244" s="83">
        <f t="shared" si="499"/>
        <v>0</v>
      </c>
      <c r="H244" s="83">
        <f t="shared" si="499"/>
        <v>0</v>
      </c>
      <c r="I244" s="83">
        <f t="shared" si="499"/>
        <v>0</v>
      </c>
      <c r="J244" s="83">
        <f t="shared" si="499"/>
        <v>0</v>
      </c>
      <c r="K244" s="83">
        <f t="shared" si="499"/>
        <v>0</v>
      </c>
      <c r="L244" s="83">
        <f t="shared" si="499"/>
        <v>0</v>
      </c>
      <c r="M244" s="83">
        <f t="shared" si="499"/>
        <v>0</v>
      </c>
      <c r="N244" s="83">
        <f t="shared" si="499"/>
        <v>0</v>
      </c>
      <c r="O244" s="83">
        <f t="shared" si="499"/>
        <v>0</v>
      </c>
      <c r="P244" s="83">
        <f t="shared" si="499"/>
        <v>0</v>
      </c>
      <c r="Q244" s="83">
        <f t="shared" si="499"/>
        <v>0</v>
      </c>
      <c r="R244" s="83">
        <f t="shared" si="499"/>
        <v>0</v>
      </c>
      <c r="S244" s="83">
        <f t="shared" si="499"/>
        <v>0</v>
      </c>
      <c r="T244" s="83">
        <f t="shared" si="499"/>
        <v>0</v>
      </c>
      <c r="U244" s="83">
        <f t="shared" si="499"/>
        <v>0</v>
      </c>
      <c r="V244" s="83">
        <f t="shared" si="499"/>
        <v>0</v>
      </c>
      <c r="W244" s="83">
        <f t="shared" si="499"/>
        <v>0</v>
      </c>
      <c r="X244" s="83">
        <f t="shared" si="499"/>
        <v>0</v>
      </c>
      <c r="Y244" s="83">
        <f t="shared" si="499"/>
        <v>0</v>
      </c>
      <c r="Z244" s="83">
        <f t="shared" si="499"/>
        <v>0</v>
      </c>
      <c r="AA244" s="83">
        <f t="shared" si="499"/>
        <v>0</v>
      </c>
      <c r="AB244" s="83">
        <f t="shared" si="499"/>
        <v>0</v>
      </c>
      <c r="AC244" s="83">
        <f t="shared" si="499"/>
        <v>0</v>
      </c>
      <c r="AE244" s="54">
        <f>SUM(F244:AC244)</f>
        <v>0</v>
      </c>
      <c r="AF244" s="115"/>
      <c r="AG244" s="115"/>
    </row>
    <row r="245" spans="1:33" hidden="1" outlineLevel="2" x14ac:dyDescent="0.2">
      <c r="A245" s="24" t="str">
        <f ca="1">Language!A$364</f>
        <v xml:space="preserve">    НДС к выручке от реализации актива</v>
      </c>
      <c r="B245" s="267">
        <f>VAT</f>
        <v>0.23</v>
      </c>
      <c r="C245" s="26" t="str">
        <f t="shared" ca="1" si="497"/>
        <v>тыс. EUR</v>
      </c>
      <c r="D245" s="19"/>
      <c r="E245" s="19"/>
      <c r="F245" s="43">
        <f t="shared" ref="F245:T245" si="500">F240*$B245</f>
        <v>0</v>
      </c>
      <c r="G245" s="43">
        <f t="shared" si="500"/>
        <v>0</v>
      </c>
      <c r="H245" s="43">
        <f t="shared" si="500"/>
        <v>0</v>
      </c>
      <c r="I245" s="43">
        <f t="shared" si="500"/>
        <v>0</v>
      </c>
      <c r="J245" s="43">
        <f t="shared" si="500"/>
        <v>0</v>
      </c>
      <c r="K245" s="43">
        <f t="shared" si="500"/>
        <v>0</v>
      </c>
      <c r="L245" s="43">
        <f t="shared" si="500"/>
        <v>0</v>
      </c>
      <c r="M245" s="43">
        <f t="shared" si="500"/>
        <v>0</v>
      </c>
      <c r="N245" s="43">
        <f t="shared" si="500"/>
        <v>0</v>
      </c>
      <c r="O245" s="43">
        <f t="shared" si="500"/>
        <v>0</v>
      </c>
      <c r="P245" s="43">
        <f t="shared" si="500"/>
        <v>0</v>
      </c>
      <c r="Q245" s="43">
        <f t="shared" si="500"/>
        <v>0</v>
      </c>
      <c r="R245" s="43">
        <f t="shared" si="500"/>
        <v>0</v>
      </c>
      <c r="S245" s="43">
        <f t="shared" si="500"/>
        <v>0</v>
      </c>
      <c r="T245" s="43">
        <f t="shared" si="500"/>
        <v>0</v>
      </c>
      <c r="U245" s="43">
        <f t="shared" ref="U245" si="501">U240*$B245</f>
        <v>0</v>
      </c>
      <c r="V245" s="43">
        <f t="shared" ref="V245" si="502">V240*$B245</f>
        <v>0</v>
      </c>
      <c r="W245" s="43">
        <f t="shared" ref="W245" si="503">W240*$B245</f>
        <v>0</v>
      </c>
      <c r="X245" s="43">
        <f t="shared" ref="X245" si="504">X240*$B245</f>
        <v>0</v>
      </c>
      <c r="Y245" s="43">
        <f t="shared" ref="Y245" si="505">Y240*$B245</f>
        <v>0</v>
      </c>
      <c r="Z245" s="43">
        <f t="shared" ref="Z245" si="506">Z240*$B245</f>
        <v>0</v>
      </c>
      <c r="AA245" s="43">
        <f t="shared" ref="AA245" si="507">AA240*$B245</f>
        <v>0</v>
      </c>
      <c r="AB245" s="43">
        <f t="shared" ref="AB245:AC245" si="508">AB240*$B245</f>
        <v>0</v>
      </c>
      <c r="AC245" s="43">
        <f t="shared" si="508"/>
        <v>0</v>
      </c>
      <c r="AE245" s="54">
        <f>SUM(F245:AC245)</f>
        <v>0</v>
      </c>
      <c r="AF245" s="115"/>
      <c r="AG245" s="115"/>
    </row>
    <row r="246" spans="1:33" hidden="1" outlineLevel="1" x14ac:dyDescent="0.2">
      <c r="B246" s="11" t="str">
        <f ca="1">Language!A$355</f>
        <v xml:space="preserve">  Амортизация</v>
      </c>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E246" s="54"/>
    </row>
    <row r="247" spans="1:33" hidden="1" outlineLevel="1" x14ac:dyDescent="0.2">
      <c r="A247" s="62" t="str">
        <f ca="1">Language!A366</f>
        <v>Нематериальные активы</v>
      </c>
      <c r="B247" s="270">
        <v>2</v>
      </c>
      <c r="C247" s="40" t="str">
        <f ca="1">Language!A$33</f>
        <v>лет</v>
      </c>
      <c r="D247" s="19"/>
      <c r="E247" s="19"/>
      <c r="F247" s="105"/>
      <c r="G247" s="105"/>
      <c r="H247" s="105"/>
      <c r="I247" s="105"/>
      <c r="J247" s="105"/>
      <c r="K247" s="105"/>
      <c r="L247" s="105"/>
      <c r="M247" s="105"/>
      <c r="N247" s="105"/>
      <c r="O247" s="105"/>
      <c r="P247" s="105"/>
      <c r="Q247" s="105"/>
      <c r="R247" s="105"/>
      <c r="S247" s="105"/>
      <c r="T247" s="105"/>
      <c r="U247" s="105"/>
      <c r="V247" s="105"/>
      <c r="W247" s="105"/>
      <c r="X247" s="105"/>
      <c r="Y247" s="105"/>
      <c r="Z247" s="105"/>
      <c r="AA247" s="105"/>
      <c r="AB247" s="105"/>
      <c r="AC247" s="105"/>
      <c r="AE247" s="54"/>
      <c r="AF247" s="115"/>
      <c r="AG247" s="115"/>
    </row>
    <row r="248" spans="1:33" hidden="1" outlineLevel="1" x14ac:dyDescent="0.2">
      <c r="A248" s="24" t="str">
        <f ca="1">Language!A$361</f>
        <v xml:space="preserve">    остаточная стоимость</v>
      </c>
      <c r="B248" s="158"/>
      <c r="C248" s="26" t="str">
        <f ca="1">CUR_Main</f>
        <v>тыс. EUR</v>
      </c>
      <c r="D248" s="19" t="s">
        <v>2594</v>
      </c>
      <c r="E248" s="19">
        <f>E250</f>
        <v>0</v>
      </c>
      <c r="F248" s="105">
        <f>IF(SUM($F249:F249)&gt;0.01,0,F250-F252)</f>
        <v>0</v>
      </c>
      <c r="G248" s="105">
        <f>IF(SUM($F249:G249)&gt;0.01,0,G250-G252)</f>
        <v>0</v>
      </c>
      <c r="H248" s="105">
        <f>IF(SUM($F249:H249)&gt;0.01,0,H250-H252)</f>
        <v>0</v>
      </c>
      <c r="I248" s="105">
        <f>IF(SUM($F249:I249)&gt;0.01,0,I250-I252)</f>
        <v>0</v>
      </c>
      <c r="J248" s="105">
        <f>IF(SUM($F249:J249)&gt;0.01,0,J250-J252)</f>
        <v>0</v>
      </c>
      <c r="K248" s="105">
        <f>IF(SUM($F249:K249)&gt;0.01,0,K250-K252)</f>
        <v>0</v>
      </c>
      <c r="L248" s="105">
        <f>IF(SUM($F249:L249)&gt;0.01,0,L250-L252)</f>
        <v>0</v>
      </c>
      <c r="M248" s="105">
        <f>IF(SUM($F249:M249)&gt;0.01,0,M250-M252)</f>
        <v>0</v>
      </c>
      <c r="N248" s="105">
        <f>IF(SUM($F249:N249)&gt;0.01,0,N250-N252)</f>
        <v>0</v>
      </c>
      <c r="O248" s="105">
        <f>IF(SUM($F249:O249)&gt;0.01,0,O250-O252)</f>
        <v>0</v>
      </c>
      <c r="P248" s="105">
        <f>IF(SUM($F249:P249)&gt;0.01,0,P250-P252)</f>
        <v>0</v>
      </c>
      <c r="Q248" s="105">
        <f>IF(SUM($F249:Q249)&gt;0.01,0,Q250-Q252)</f>
        <v>0</v>
      </c>
      <c r="R248" s="105">
        <f>IF(SUM($F249:R249)&gt;0.01,0,R250-R252)</f>
        <v>0</v>
      </c>
      <c r="S248" s="105">
        <f>IF(SUM($F249:S249)&gt;0.01,0,S250-S252)</f>
        <v>0</v>
      </c>
      <c r="T248" s="105">
        <f>IF(SUM($F249:T249)&gt;0.01,0,T250-T252)</f>
        <v>0</v>
      </c>
      <c r="U248" s="105">
        <f>IF(SUM($F249:U249)&gt;0.01,0,U250-U252)</f>
        <v>0</v>
      </c>
      <c r="V248" s="105">
        <f>IF(SUM($F249:V249)&gt;0.01,0,V250-V252)</f>
        <v>0</v>
      </c>
      <c r="W248" s="105">
        <f>IF(SUM($F249:W249)&gt;0.01,0,W250-W252)</f>
        <v>0</v>
      </c>
      <c r="X248" s="105">
        <f>IF(SUM($F249:X249)&gt;0.01,0,X250-X252)</f>
        <v>0</v>
      </c>
      <c r="Y248" s="105">
        <f>IF(SUM($F249:Y249)&gt;0.01,0,Y250-Y252)</f>
        <v>0</v>
      </c>
      <c r="Z248" s="105">
        <f>IF(SUM($F249:Z249)&gt;0.01,0,Z250-Z252)</f>
        <v>0</v>
      </c>
      <c r="AA248" s="105">
        <f>IF(SUM($F249:AA249)&gt;0.01,0,AA250-AA252)</f>
        <v>0</v>
      </c>
      <c r="AB248" s="105">
        <f>IF(SUM($F249:AB249)&gt;0.01,0,AB250-AB252)</f>
        <v>0</v>
      </c>
      <c r="AC248" s="105">
        <f>IF(SUM($F249:AC249)&gt;0.01,0,AC250-AC252)</f>
        <v>0</v>
      </c>
      <c r="AE248" s="54"/>
      <c r="AF248" s="115"/>
      <c r="AG248" s="115"/>
    </row>
    <row r="249" spans="1:33" hidden="1" outlineLevel="1" collapsed="1" x14ac:dyDescent="0.2">
      <c r="A249" s="24" t="str">
        <f ca="1">Language!A$362</f>
        <v xml:space="preserve">    реализация актива (без НДС)</v>
      </c>
      <c r="B249" s="158"/>
      <c r="C249" s="26" t="str">
        <f ca="1">CUR_Main</f>
        <v>тыс. EUR</v>
      </c>
      <c r="D249" s="19"/>
      <c r="E249" s="19"/>
      <c r="F249" s="271">
        <v>0</v>
      </c>
      <c r="G249" s="271">
        <v>0</v>
      </c>
      <c r="H249" s="271">
        <v>0</v>
      </c>
      <c r="I249" s="271">
        <v>0</v>
      </c>
      <c r="J249" s="271">
        <v>0</v>
      </c>
      <c r="K249" s="271">
        <v>0</v>
      </c>
      <c r="L249" s="271">
        <v>0</v>
      </c>
      <c r="M249" s="271">
        <v>0</v>
      </c>
      <c r="N249" s="271">
        <v>0</v>
      </c>
      <c r="O249" s="271">
        <v>0</v>
      </c>
      <c r="P249" s="271">
        <v>0</v>
      </c>
      <c r="Q249" s="271">
        <v>0</v>
      </c>
      <c r="R249" s="271">
        <v>0</v>
      </c>
      <c r="S249" s="271">
        <v>0</v>
      </c>
      <c r="T249" s="271">
        <v>0</v>
      </c>
      <c r="U249" s="271">
        <v>0</v>
      </c>
      <c r="V249" s="271">
        <v>0</v>
      </c>
      <c r="W249" s="271">
        <v>0</v>
      </c>
      <c r="X249" s="271">
        <v>0</v>
      </c>
      <c r="Y249" s="271">
        <v>0</v>
      </c>
      <c r="Z249" s="271">
        <v>0</v>
      </c>
      <c r="AA249" s="271">
        <v>0</v>
      </c>
      <c r="AB249" s="271">
        <v>0</v>
      </c>
      <c r="AC249" s="271">
        <v>0</v>
      </c>
      <c r="AE249" s="54">
        <f>SUM(F249:AC249)</f>
        <v>0</v>
      </c>
      <c r="AF249" s="115"/>
      <c r="AG249" s="115"/>
    </row>
    <row r="250" spans="1:33" hidden="1" outlineLevel="2" x14ac:dyDescent="0.2">
      <c r="A250" s="24" t="str">
        <f ca="1">Language!A$358</f>
        <v xml:space="preserve">    первоначальная стоимость</v>
      </c>
      <c r="B250" s="138"/>
      <c r="C250" s="26" t="str">
        <f t="shared" ca="1" si="497"/>
        <v>тыс. EUR</v>
      </c>
      <c r="D250" s="19" t="s">
        <v>2594</v>
      </c>
      <c r="E250" s="19">
        <f>F41*IF(B$37=1,1,F$88)</f>
        <v>0</v>
      </c>
      <c r="F250" s="105">
        <f>IF(SUM($F249:F249)&gt;0.01,0,E250)</f>
        <v>0</v>
      </c>
      <c r="G250" s="105">
        <f>IF(SUM($F249:G249)&gt;0.01,0,F250)</f>
        <v>0</v>
      </c>
      <c r="H250" s="105">
        <f>IF(SUM($F249:H249)&gt;0.01,0,G250)</f>
        <v>0</v>
      </c>
      <c r="I250" s="105">
        <f>IF(SUM($F249:I249)&gt;0.01,0,H250)</f>
        <v>0</v>
      </c>
      <c r="J250" s="105">
        <f>IF(SUM($F249:J249)&gt;0.01,0,I250)</f>
        <v>0</v>
      </c>
      <c r="K250" s="105">
        <f>IF(SUM($F249:K249)&gt;0.01,0,J250)</f>
        <v>0</v>
      </c>
      <c r="L250" s="105">
        <f>IF(SUM($F249:L249)&gt;0.01,0,K250)</f>
        <v>0</v>
      </c>
      <c r="M250" s="105">
        <f>IF(SUM($F249:M249)&gt;0.01,0,L250)</f>
        <v>0</v>
      </c>
      <c r="N250" s="105">
        <f>IF(SUM($F249:N249)&gt;0.01,0,M250)</f>
        <v>0</v>
      </c>
      <c r="O250" s="105">
        <f>IF(SUM($F249:O249)&gt;0.01,0,N250)</f>
        <v>0</v>
      </c>
      <c r="P250" s="105">
        <f>IF(SUM($F249:P249)&gt;0.01,0,O250)</f>
        <v>0</v>
      </c>
      <c r="Q250" s="105">
        <f>IF(SUM($F249:Q249)&gt;0.01,0,P250)</f>
        <v>0</v>
      </c>
      <c r="R250" s="105">
        <f>IF(SUM($F249:R249)&gt;0.01,0,Q250)</f>
        <v>0</v>
      </c>
      <c r="S250" s="105">
        <f>IF(SUM($F249:S249)&gt;0.01,0,R250)</f>
        <v>0</v>
      </c>
      <c r="T250" s="105">
        <f>IF(SUM($F249:T249)&gt;0.01,0,S250)</f>
        <v>0</v>
      </c>
      <c r="U250" s="105">
        <f>IF(SUM($F249:U249)&gt;0.01,0,T250)</f>
        <v>0</v>
      </c>
      <c r="V250" s="105">
        <f>IF(SUM($F249:V249)&gt;0.01,0,U250)</f>
        <v>0</v>
      </c>
      <c r="W250" s="105">
        <f>IF(SUM($F249:W249)&gt;0.01,0,V250)</f>
        <v>0</v>
      </c>
      <c r="X250" s="105">
        <f>IF(SUM($F249:X249)&gt;0.01,0,W250)</f>
        <v>0</v>
      </c>
      <c r="Y250" s="105">
        <f>IF(SUM($F249:Y249)&gt;0.01,0,X250)</f>
        <v>0</v>
      </c>
      <c r="Z250" s="105">
        <f>IF(SUM($F249:Z249)&gt;0.01,0,Y250)</f>
        <v>0</v>
      </c>
      <c r="AA250" s="105">
        <f>IF(SUM($F249:AA249)&gt;0.01,0,Z250)</f>
        <v>0</v>
      </c>
      <c r="AB250" s="105">
        <f>IF(SUM($F249:AB249)&gt;0.01,0,AA250)</f>
        <v>0</v>
      </c>
      <c r="AC250" s="105">
        <f>IF(SUM($F249:AC249)&gt;0.01,0,AB250)</f>
        <v>0</v>
      </c>
      <c r="AE250" s="54"/>
      <c r="AF250" s="115"/>
      <c r="AG250" s="115"/>
    </row>
    <row r="251" spans="1:33" hidden="1" outlineLevel="2" x14ac:dyDescent="0.2">
      <c r="A251" s="24" t="str">
        <f ca="1">Language!A$359</f>
        <v xml:space="preserve">    амортизация (линейная),       для срока использования:</v>
      </c>
      <c r="B251" s="138">
        <f>B247</f>
        <v>2</v>
      </c>
      <c r="C251" s="114" t="str">
        <f ca="1">Language!A$33</f>
        <v>лет</v>
      </c>
      <c r="D251" s="19"/>
      <c r="E251" s="19"/>
      <c r="F251" s="53">
        <f>IF(AND($B251&gt;0,SUM($E249:F249)&lt;=0.01),MIN(F250*100%/$B251*PRJ_Step/360,E248+F250-E250),0)</f>
        <v>0</v>
      </c>
      <c r="G251" s="53">
        <f>IF(AND($B251&gt;0,SUM($E249:G249)&lt;=0.01),MIN(G250*100%/$B251*PRJ_Step/360,F248+G250-F250),0)</f>
        <v>0</v>
      </c>
      <c r="H251" s="53">
        <f>IF(AND($B251&gt;0,SUM($E249:H249)&lt;=0.01),MIN(H250*100%/$B251*PRJ_Step/360,G248+H250-G250),0)</f>
        <v>0</v>
      </c>
      <c r="I251" s="53">
        <f>IF(AND($B251&gt;0,SUM($E249:I249)&lt;=0.01),MIN(I250*100%/$B251*PRJ_Step/360,H248+I250-H250),0)</f>
        <v>0</v>
      </c>
      <c r="J251" s="53">
        <f>IF(AND($B251&gt;0,SUM($E249:J249)&lt;=0.01),MIN(J250*100%/$B251*PRJ_Step/360,I248+J250-I250),0)</f>
        <v>0</v>
      </c>
      <c r="K251" s="53">
        <f>IF(AND($B251&gt;0,SUM($E249:K249)&lt;=0.01),MIN(K250*100%/$B251*PRJ_Step/360,J248+K250-J250),0)</f>
        <v>0</v>
      </c>
      <c r="L251" s="53">
        <f>IF(AND($B251&gt;0,SUM($E249:L249)&lt;=0.01),MIN(L250*100%/$B251*PRJ_Step/360,K248+L250-K250),0)</f>
        <v>0</v>
      </c>
      <c r="M251" s="53">
        <f>IF(AND($B251&gt;0,SUM($E249:M249)&lt;=0.01),MIN(M250*100%/$B251*PRJ_Step/360,L248+M250-L250),0)</f>
        <v>0</v>
      </c>
      <c r="N251" s="53">
        <f>IF(AND($B251&gt;0,SUM($E249:N249)&lt;=0.01),MIN(N250*100%/$B251*PRJ_Step/360,M248+N250-M250),0)</f>
        <v>0</v>
      </c>
      <c r="O251" s="53">
        <f>IF(AND($B251&gt;0,SUM($E249:O249)&lt;=0.01),MIN(O250*100%/$B251*PRJ_Step/360,N248+O250-N250),0)</f>
        <v>0</v>
      </c>
      <c r="P251" s="53">
        <f>IF(AND($B251&gt;0,SUM($E249:P249)&lt;=0.01),MIN(P250*100%/$B251*PRJ_Step/360,O248+P250-O250),0)</f>
        <v>0</v>
      </c>
      <c r="Q251" s="53">
        <f>IF(AND($B251&gt;0,SUM($E249:Q249)&lt;=0.01),MIN(Q250*100%/$B251*PRJ_Step/360,P248+Q250-P250),0)</f>
        <v>0</v>
      </c>
      <c r="R251" s="53">
        <f>IF(AND($B251&gt;0,SUM($E249:R249)&lt;=0.01),MIN(R250*100%/$B251*PRJ_Step/360,Q248+R250-Q250),0)</f>
        <v>0</v>
      </c>
      <c r="S251" s="53">
        <f>IF(AND($B251&gt;0,SUM($E249:S249)&lt;=0.01),MIN(S250*100%/$B251*PRJ_Step/360,R248+S250-R250),0)</f>
        <v>0</v>
      </c>
      <c r="T251" s="53">
        <f>IF(AND($B251&gt;0,SUM($E249:T249)&lt;=0.01),MIN(T250*100%/$B251*PRJ_Step/360,S248+T250-S250),0)</f>
        <v>0</v>
      </c>
      <c r="U251" s="53">
        <f>IF(AND($B251&gt;0,SUM($E249:U249)&lt;=0.01),MIN(U250*100%/$B251*PRJ_Step/360,T248+U250-T250),0)</f>
        <v>0</v>
      </c>
      <c r="V251" s="53">
        <f>IF(AND($B251&gt;0,SUM($E249:V249)&lt;=0.01),MIN(V250*100%/$B251*PRJ_Step/360,U248+V250-U250),0)</f>
        <v>0</v>
      </c>
      <c r="W251" s="53">
        <f>IF(AND($B251&gt;0,SUM($E249:W249)&lt;=0.01),MIN(W250*100%/$B251*PRJ_Step/360,V248+W250-V250),0)</f>
        <v>0</v>
      </c>
      <c r="X251" s="53">
        <f>IF(AND($B251&gt;0,SUM($E249:X249)&lt;=0.01),MIN(X250*100%/$B251*PRJ_Step/360,W248+X250-W250),0)</f>
        <v>0</v>
      </c>
      <c r="Y251" s="53">
        <f>IF(AND($B251&gt;0,SUM($E249:Y249)&lt;=0.01),MIN(Y250*100%/$B251*PRJ_Step/360,X248+Y250-X250),0)</f>
        <v>0</v>
      </c>
      <c r="Z251" s="53">
        <f>IF(AND($B251&gt;0,SUM($E249:Z249)&lt;=0.01),MIN(Z250*100%/$B251*PRJ_Step/360,Y248+Z250-Y250),0)</f>
        <v>0</v>
      </c>
      <c r="AA251" s="53">
        <f>IF(AND($B251&gt;0,SUM($E249:AA249)&lt;=0.01),MIN(AA250*100%/$B251*PRJ_Step/360,Z248+AA250-Z250),0)</f>
        <v>0</v>
      </c>
      <c r="AB251" s="53">
        <f>IF(AND($B251&gt;0,SUM($E249:AB249)&lt;=0.01),MIN(AB250*100%/$B251*PRJ_Step/360,AA248+AB250-AA250),0)</f>
        <v>0</v>
      </c>
      <c r="AC251" s="53">
        <f>IF(AND($B251&gt;0,SUM($E249:AC249)&lt;=0.01),MIN(AC250*100%/$B251*PRJ_Step/360,AB248+AC250-AB250),0)</f>
        <v>0</v>
      </c>
      <c r="AE251" s="54">
        <f>SUM(F251:AC251)</f>
        <v>0</v>
      </c>
      <c r="AF251" s="115"/>
      <c r="AG251" s="115"/>
    </row>
    <row r="252" spans="1:33" hidden="1" outlineLevel="2" x14ac:dyDescent="0.2">
      <c r="A252" s="24" t="str">
        <f ca="1">Language!A$360</f>
        <v xml:space="preserve">    накопленная амортизация</v>
      </c>
      <c r="B252" s="158"/>
      <c r="C252" s="26" t="str">
        <f t="shared" ca="1" si="497"/>
        <v>тыс. EUR</v>
      </c>
      <c r="D252" s="19" t="s">
        <v>2594</v>
      </c>
      <c r="E252" s="19"/>
      <c r="F252" s="53">
        <f t="shared" ref="F252:AC252" si="509">E252+F251</f>
        <v>0</v>
      </c>
      <c r="G252" s="53">
        <f t="shared" si="509"/>
        <v>0</v>
      </c>
      <c r="H252" s="53">
        <f t="shared" si="509"/>
        <v>0</v>
      </c>
      <c r="I252" s="53">
        <f t="shared" si="509"/>
        <v>0</v>
      </c>
      <c r="J252" s="53">
        <f t="shared" si="509"/>
        <v>0</v>
      </c>
      <c r="K252" s="53">
        <f t="shared" si="509"/>
        <v>0</v>
      </c>
      <c r="L252" s="53">
        <f t="shared" si="509"/>
        <v>0</v>
      </c>
      <c r="M252" s="53">
        <f t="shared" si="509"/>
        <v>0</v>
      </c>
      <c r="N252" s="53">
        <f t="shared" si="509"/>
        <v>0</v>
      </c>
      <c r="O252" s="53">
        <f t="shared" si="509"/>
        <v>0</v>
      </c>
      <c r="P252" s="53">
        <f t="shared" si="509"/>
        <v>0</v>
      </c>
      <c r="Q252" s="53">
        <f t="shared" si="509"/>
        <v>0</v>
      </c>
      <c r="R252" s="53">
        <f t="shared" si="509"/>
        <v>0</v>
      </c>
      <c r="S252" s="53">
        <f t="shared" si="509"/>
        <v>0</v>
      </c>
      <c r="T252" s="53">
        <f t="shared" si="509"/>
        <v>0</v>
      </c>
      <c r="U252" s="53">
        <f t="shared" si="509"/>
        <v>0</v>
      </c>
      <c r="V252" s="53">
        <f t="shared" si="509"/>
        <v>0</v>
      </c>
      <c r="W252" s="53">
        <f t="shared" si="509"/>
        <v>0</v>
      </c>
      <c r="X252" s="53">
        <f t="shared" si="509"/>
        <v>0</v>
      </c>
      <c r="Y252" s="53">
        <f t="shared" si="509"/>
        <v>0</v>
      </c>
      <c r="Z252" s="53">
        <f t="shared" si="509"/>
        <v>0</v>
      </c>
      <c r="AA252" s="53">
        <f t="shared" si="509"/>
        <v>0</v>
      </c>
      <c r="AB252" s="53">
        <f t="shared" si="509"/>
        <v>0</v>
      </c>
      <c r="AC252" s="53">
        <f t="shared" si="509"/>
        <v>0</v>
      </c>
      <c r="AE252" s="54"/>
      <c r="AF252" s="115"/>
      <c r="AG252" s="115"/>
    </row>
    <row r="253" spans="1:33" hidden="1" outlineLevel="2" x14ac:dyDescent="0.2">
      <c r="A253" s="24" t="str">
        <f ca="1">Language!A$363</f>
        <v xml:space="preserve">    прибыль/убыток от реализации актива</v>
      </c>
      <c r="B253" s="158"/>
      <c r="C253" s="26" t="str">
        <f t="shared" ca="1" si="497"/>
        <v>тыс. EUR</v>
      </c>
      <c r="D253" s="19"/>
      <c r="E253" s="19"/>
      <c r="F253" s="83">
        <f t="shared" ref="F253:AC253" si="510">IF(F249=0,0,F249-E248)</f>
        <v>0</v>
      </c>
      <c r="G253" s="83">
        <f t="shared" si="510"/>
        <v>0</v>
      </c>
      <c r="H253" s="83">
        <f t="shared" si="510"/>
        <v>0</v>
      </c>
      <c r="I253" s="83">
        <f t="shared" si="510"/>
        <v>0</v>
      </c>
      <c r="J253" s="83">
        <f t="shared" si="510"/>
        <v>0</v>
      </c>
      <c r="K253" s="83">
        <f t="shared" si="510"/>
        <v>0</v>
      </c>
      <c r="L253" s="83">
        <f t="shared" si="510"/>
        <v>0</v>
      </c>
      <c r="M253" s="83">
        <f t="shared" si="510"/>
        <v>0</v>
      </c>
      <c r="N253" s="83">
        <f t="shared" si="510"/>
        <v>0</v>
      </c>
      <c r="O253" s="83">
        <f t="shared" si="510"/>
        <v>0</v>
      </c>
      <c r="P253" s="83">
        <f t="shared" si="510"/>
        <v>0</v>
      </c>
      <c r="Q253" s="83">
        <f t="shared" si="510"/>
        <v>0</v>
      </c>
      <c r="R253" s="83">
        <f t="shared" si="510"/>
        <v>0</v>
      </c>
      <c r="S253" s="83">
        <f t="shared" si="510"/>
        <v>0</v>
      </c>
      <c r="T253" s="83">
        <f t="shared" si="510"/>
        <v>0</v>
      </c>
      <c r="U253" s="83">
        <f t="shared" si="510"/>
        <v>0</v>
      </c>
      <c r="V253" s="83">
        <f t="shared" si="510"/>
        <v>0</v>
      </c>
      <c r="W253" s="83">
        <f t="shared" si="510"/>
        <v>0</v>
      </c>
      <c r="X253" s="83">
        <f t="shared" si="510"/>
        <v>0</v>
      </c>
      <c r="Y253" s="83">
        <f t="shared" si="510"/>
        <v>0</v>
      </c>
      <c r="Z253" s="83">
        <f t="shared" si="510"/>
        <v>0</v>
      </c>
      <c r="AA253" s="83">
        <f t="shared" si="510"/>
        <v>0</v>
      </c>
      <c r="AB253" s="83">
        <f t="shared" si="510"/>
        <v>0</v>
      </c>
      <c r="AC253" s="83">
        <f t="shared" si="510"/>
        <v>0</v>
      </c>
      <c r="AE253" s="54">
        <f>SUM(F253:AC253)</f>
        <v>0</v>
      </c>
      <c r="AF253" s="115"/>
      <c r="AG253" s="115"/>
    </row>
    <row r="254" spans="1:33" hidden="1" outlineLevel="2" x14ac:dyDescent="0.2">
      <c r="A254" s="24" t="str">
        <f ca="1">Language!A$364</f>
        <v xml:space="preserve">    НДС к выручке от реализации актива</v>
      </c>
      <c r="B254" s="267">
        <f>VAT</f>
        <v>0.23</v>
      </c>
      <c r="C254" s="26" t="str">
        <f t="shared" ca="1" si="497"/>
        <v>тыс. EUR</v>
      </c>
      <c r="D254" s="19"/>
      <c r="E254" s="19"/>
      <c r="F254" s="43">
        <f t="shared" ref="F254:T254" si="511">F249*$B254</f>
        <v>0</v>
      </c>
      <c r="G254" s="43">
        <f t="shared" si="511"/>
        <v>0</v>
      </c>
      <c r="H254" s="43">
        <f t="shared" si="511"/>
        <v>0</v>
      </c>
      <c r="I254" s="43">
        <f t="shared" si="511"/>
        <v>0</v>
      </c>
      <c r="J254" s="43">
        <f t="shared" si="511"/>
        <v>0</v>
      </c>
      <c r="K254" s="43">
        <f t="shared" si="511"/>
        <v>0</v>
      </c>
      <c r="L254" s="43">
        <f t="shared" si="511"/>
        <v>0</v>
      </c>
      <c r="M254" s="43">
        <f t="shared" si="511"/>
        <v>0</v>
      </c>
      <c r="N254" s="43">
        <f t="shared" si="511"/>
        <v>0</v>
      </c>
      <c r="O254" s="43">
        <f t="shared" si="511"/>
        <v>0</v>
      </c>
      <c r="P254" s="43">
        <f t="shared" si="511"/>
        <v>0</v>
      </c>
      <c r="Q254" s="43">
        <f t="shared" si="511"/>
        <v>0</v>
      </c>
      <c r="R254" s="43">
        <f t="shared" si="511"/>
        <v>0</v>
      </c>
      <c r="S254" s="43">
        <f t="shared" si="511"/>
        <v>0</v>
      </c>
      <c r="T254" s="43">
        <f t="shared" si="511"/>
        <v>0</v>
      </c>
      <c r="U254" s="43">
        <f t="shared" ref="U254" si="512">U249*$B254</f>
        <v>0</v>
      </c>
      <c r="V254" s="43">
        <f t="shared" ref="V254" si="513">V249*$B254</f>
        <v>0</v>
      </c>
      <c r="W254" s="43">
        <f t="shared" ref="W254" si="514">W249*$B254</f>
        <v>0</v>
      </c>
      <c r="X254" s="43">
        <f t="shared" ref="X254" si="515">X249*$B254</f>
        <v>0</v>
      </c>
      <c r="Y254" s="43">
        <f t="shared" ref="Y254" si="516">Y249*$B254</f>
        <v>0</v>
      </c>
      <c r="Z254" s="43">
        <f t="shared" ref="Z254" si="517">Z249*$B254</f>
        <v>0</v>
      </c>
      <c r="AA254" s="43">
        <f t="shared" ref="AA254" si="518">AA249*$B254</f>
        <v>0</v>
      </c>
      <c r="AB254" s="43">
        <f t="shared" ref="AB254:AC254" si="519">AB249*$B254</f>
        <v>0</v>
      </c>
      <c r="AC254" s="43">
        <f t="shared" si="519"/>
        <v>0</v>
      </c>
      <c r="AE254" s="54">
        <f>SUM(F254:AC254)</f>
        <v>0</v>
      </c>
      <c r="AF254" s="115"/>
      <c r="AG254" s="115"/>
    </row>
    <row r="255" spans="1:33" s="48" customFormat="1" hidden="1" outlineLevel="1" x14ac:dyDescent="0.2">
      <c r="A255" s="127"/>
      <c r="B255" s="11" t="str">
        <f ca="1">Language!A$355</f>
        <v xml:space="preserve">  Амортизация</v>
      </c>
      <c r="C255" s="99"/>
      <c r="D255" s="45"/>
      <c r="E255" s="45"/>
      <c r="F255" s="105"/>
      <c r="G255" s="105"/>
      <c r="H255" s="105"/>
      <c r="I255" s="105"/>
      <c r="J255" s="105"/>
      <c r="K255" s="105"/>
      <c r="L255" s="105"/>
      <c r="M255" s="105"/>
      <c r="N255" s="105"/>
      <c r="O255" s="105"/>
      <c r="P255" s="105"/>
      <c r="Q255" s="105"/>
      <c r="R255" s="105"/>
      <c r="S255" s="105"/>
      <c r="T255" s="105"/>
      <c r="U255" s="105"/>
      <c r="V255" s="105"/>
      <c r="W255" s="105"/>
      <c r="X255" s="105"/>
      <c r="Y255" s="105"/>
      <c r="Z255" s="105"/>
      <c r="AA255" s="105"/>
      <c r="AB255" s="105"/>
      <c r="AC255" s="105"/>
      <c r="AE255" s="93"/>
      <c r="AF255" s="304"/>
      <c r="AG255" s="304"/>
    </row>
    <row r="256" spans="1:33" hidden="1" outlineLevel="1" x14ac:dyDescent="0.2">
      <c r="A256" s="62" t="str">
        <f ca="1">Language!A367</f>
        <v>Оборудование и другие активы</v>
      </c>
      <c r="B256" s="270">
        <v>5</v>
      </c>
      <c r="C256" s="40" t="str">
        <f ca="1">Language!A$33</f>
        <v>лет</v>
      </c>
      <c r="D256" s="19"/>
      <c r="E256" s="19"/>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E256" s="54"/>
      <c r="AF256" s="115"/>
      <c r="AG256" s="115"/>
    </row>
    <row r="257" spans="1:33" hidden="1" outlineLevel="1" x14ac:dyDescent="0.2">
      <c r="A257" s="24" t="str">
        <f ca="1">Language!A$361</f>
        <v xml:space="preserve">    остаточная стоимость</v>
      </c>
      <c r="B257" s="158"/>
      <c r="C257" s="26" t="str">
        <f ca="1">CUR_Main</f>
        <v>тыс. EUR</v>
      </c>
      <c r="D257" s="19" t="s">
        <v>2594</v>
      </c>
      <c r="E257" s="19">
        <f>E259</f>
        <v>0</v>
      </c>
      <c r="F257" s="43">
        <f>IF(SUM($F258:F258)&gt;0.01,0,F259-F261)</f>
        <v>0</v>
      </c>
      <c r="G257" s="43">
        <f>IF(SUM($F258:G258)&gt;0.01,0,G259-G261)</f>
        <v>0</v>
      </c>
      <c r="H257" s="43">
        <f>IF(SUM($F258:H258)&gt;0.01,0,H259-H261)</f>
        <v>0</v>
      </c>
      <c r="I257" s="43">
        <f>IF(SUM($F258:I258)&gt;0.01,0,I259-I261)</f>
        <v>0</v>
      </c>
      <c r="J257" s="43">
        <f>IF(SUM($F258:J258)&gt;0.01,0,J259-J261)</f>
        <v>0</v>
      </c>
      <c r="K257" s="43">
        <f>IF(SUM($F258:K258)&gt;0.01,0,K259-K261)</f>
        <v>0</v>
      </c>
      <c r="L257" s="43">
        <f>IF(SUM($F258:L258)&gt;0.01,0,L259-L261)</f>
        <v>0</v>
      </c>
      <c r="M257" s="43">
        <f>IF(SUM($F258:M258)&gt;0.01,0,M259-M261)</f>
        <v>0</v>
      </c>
      <c r="N257" s="43">
        <f>IF(SUM($F258:N258)&gt;0.01,0,N259-N261)</f>
        <v>0</v>
      </c>
      <c r="O257" s="43">
        <f>IF(SUM($F258:O258)&gt;0.01,0,O259-O261)</f>
        <v>0</v>
      </c>
      <c r="P257" s="43">
        <f>IF(SUM($F258:P258)&gt;0.01,0,P259-P261)</f>
        <v>0</v>
      </c>
      <c r="Q257" s="43">
        <f>IF(SUM($F258:Q258)&gt;0.01,0,Q259-Q261)</f>
        <v>0</v>
      </c>
      <c r="R257" s="43">
        <f>IF(SUM($F258:R258)&gt;0.01,0,R259-R261)</f>
        <v>0</v>
      </c>
      <c r="S257" s="43">
        <f>IF(SUM($F258:S258)&gt;0.01,0,S259-S261)</f>
        <v>0</v>
      </c>
      <c r="T257" s="43">
        <f>IF(SUM($F258:T258)&gt;0.01,0,T259-T261)</f>
        <v>0</v>
      </c>
      <c r="U257" s="43">
        <f>IF(SUM($F258:U258)&gt;0.01,0,U259-U261)</f>
        <v>0</v>
      </c>
      <c r="V257" s="43">
        <f>IF(SUM($F258:V258)&gt;0.01,0,V259-V261)</f>
        <v>0</v>
      </c>
      <c r="W257" s="43">
        <f>IF(SUM($F258:W258)&gt;0.01,0,W259-W261)</f>
        <v>0</v>
      </c>
      <c r="X257" s="43">
        <f>IF(SUM($F258:X258)&gt;0.01,0,X259-X261)</f>
        <v>0</v>
      </c>
      <c r="Y257" s="43">
        <f>IF(SUM($F258:Y258)&gt;0.01,0,Y259-Y261)</f>
        <v>0</v>
      </c>
      <c r="Z257" s="43">
        <f>IF(SUM($F258:Z258)&gt;0.01,0,Z259-Z261)</f>
        <v>0</v>
      </c>
      <c r="AA257" s="43">
        <f>IF(SUM($F258:AA258)&gt;0.01,0,AA259-AA261)</f>
        <v>0</v>
      </c>
      <c r="AB257" s="43">
        <f>IF(SUM($F258:AB258)&gt;0.01,0,AB259-AB261)</f>
        <v>0</v>
      </c>
      <c r="AC257" s="43">
        <f>IF(SUM($F258:AC258)&gt;0.01,0,AC259-AC261)</f>
        <v>0</v>
      </c>
      <c r="AE257" s="54"/>
      <c r="AF257" s="115"/>
      <c r="AG257" s="115"/>
    </row>
    <row r="258" spans="1:33" hidden="1" outlineLevel="1" collapsed="1" x14ac:dyDescent="0.2">
      <c r="A258" s="24" t="str">
        <f ca="1">Language!A$362</f>
        <v xml:space="preserve">    реализация актива (без НДС)</v>
      </c>
      <c r="B258" s="158"/>
      <c r="C258" s="26" t="str">
        <f ca="1">CUR_Main</f>
        <v>тыс. EUR</v>
      </c>
      <c r="D258" s="19"/>
      <c r="E258" s="19"/>
      <c r="F258" s="271">
        <v>0</v>
      </c>
      <c r="G258" s="271">
        <v>0</v>
      </c>
      <c r="H258" s="271">
        <v>0</v>
      </c>
      <c r="I258" s="271">
        <v>0</v>
      </c>
      <c r="J258" s="271">
        <v>0</v>
      </c>
      <c r="K258" s="271">
        <v>0</v>
      </c>
      <c r="L258" s="271">
        <v>0</v>
      </c>
      <c r="M258" s="271">
        <v>0</v>
      </c>
      <c r="N258" s="271">
        <v>0</v>
      </c>
      <c r="O258" s="271">
        <v>0</v>
      </c>
      <c r="P258" s="271">
        <v>0</v>
      </c>
      <c r="Q258" s="271">
        <v>0</v>
      </c>
      <c r="R258" s="271">
        <v>0</v>
      </c>
      <c r="S258" s="271">
        <v>0</v>
      </c>
      <c r="T258" s="271">
        <v>0</v>
      </c>
      <c r="U258" s="271">
        <v>0</v>
      </c>
      <c r="V258" s="271">
        <v>0</v>
      </c>
      <c r="W258" s="271">
        <v>0</v>
      </c>
      <c r="X258" s="271">
        <v>0</v>
      </c>
      <c r="Y258" s="271">
        <v>0</v>
      </c>
      <c r="Z258" s="271">
        <v>0</v>
      </c>
      <c r="AA258" s="271">
        <v>0</v>
      </c>
      <c r="AB258" s="271">
        <v>0</v>
      </c>
      <c r="AC258" s="271">
        <v>0</v>
      </c>
      <c r="AE258" s="54">
        <f>SUM(F258:AC258)</f>
        <v>0</v>
      </c>
      <c r="AF258" s="115"/>
      <c r="AG258" s="115"/>
    </row>
    <row r="259" spans="1:33" hidden="1" outlineLevel="2" x14ac:dyDescent="0.2">
      <c r="A259" s="24" t="str">
        <f ca="1">Language!A$358</f>
        <v xml:space="preserve">    первоначальная стоимость</v>
      </c>
      <c r="B259" s="138"/>
      <c r="C259" s="26" t="str">
        <f t="shared" ca="1" si="497"/>
        <v>тыс. EUR</v>
      </c>
      <c r="D259" s="19" t="s">
        <v>2594</v>
      </c>
      <c r="E259" s="19">
        <f>F42*IF(B$37=1,1,F$88)</f>
        <v>0</v>
      </c>
      <c r="F259" s="43">
        <f>IF(SUM($F258:F258)&gt;0.01,0,E259)</f>
        <v>0</v>
      </c>
      <c r="G259" s="43">
        <f>IF(SUM($F258:G258)&gt;0.01,0,F259)</f>
        <v>0</v>
      </c>
      <c r="H259" s="43">
        <f>IF(SUM($F258:H258)&gt;0.01,0,G259)</f>
        <v>0</v>
      </c>
      <c r="I259" s="43">
        <f>IF(SUM($F258:I258)&gt;0.01,0,H259)</f>
        <v>0</v>
      </c>
      <c r="J259" s="43">
        <f>IF(SUM($F258:J258)&gt;0.01,0,I259)</f>
        <v>0</v>
      </c>
      <c r="K259" s="43">
        <f>IF(SUM($F258:K258)&gt;0.01,0,J259)</f>
        <v>0</v>
      </c>
      <c r="L259" s="43">
        <f>IF(SUM($F258:L258)&gt;0.01,0,K259)</f>
        <v>0</v>
      </c>
      <c r="M259" s="43">
        <f>IF(SUM($F258:M258)&gt;0.01,0,L259)</f>
        <v>0</v>
      </c>
      <c r="N259" s="43">
        <f>IF(SUM($F258:N258)&gt;0.01,0,M259)</f>
        <v>0</v>
      </c>
      <c r="O259" s="43">
        <f>IF(SUM($F258:O258)&gt;0.01,0,N259)</f>
        <v>0</v>
      </c>
      <c r="P259" s="43">
        <f>IF(SUM($F258:P258)&gt;0.01,0,O259)</f>
        <v>0</v>
      </c>
      <c r="Q259" s="43">
        <f>IF(SUM($F258:Q258)&gt;0.01,0,P259)</f>
        <v>0</v>
      </c>
      <c r="R259" s="43">
        <f>IF(SUM($F258:R258)&gt;0.01,0,Q259)</f>
        <v>0</v>
      </c>
      <c r="S259" s="43">
        <f>IF(SUM($F258:S258)&gt;0.01,0,R259)</f>
        <v>0</v>
      </c>
      <c r="T259" s="43">
        <f>IF(SUM($F258:T258)&gt;0.01,0,S259)</f>
        <v>0</v>
      </c>
      <c r="U259" s="43">
        <f>IF(SUM($F258:U258)&gt;0.01,0,T259)</f>
        <v>0</v>
      </c>
      <c r="V259" s="43">
        <f>IF(SUM($F258:V258)&gt;0.01,0,U259)</f>
        <v>0</v>
      </c>
      <c r="W259" s="43">
        <f>IF(SUM($F258:W258)&gt;0.01,0,V259)</f>
        <v>0</v>
      </c>
      <c r="X259" s="43">
        <f>IF(SUM($F258:X258)&gt;0.01,0,W259)</f>
        <v>0</v>
      </c>
      <c r="Y259" s="43">
        <f>IF(SUM($F258:Y258)&gt;0.01,0,X259)</f>
        <v>0</v>
      </c>
      <c r="Z259" s="43">
        <f>IF(SUM($F258:Z258)&gt;0.01,0,Y259)</f>
        <v>0</v>
      </c>
      <c r="AA259" s="43">
        <f>IF(SUM($F258:AA258)&gt;0.01,0,Z259)</f>
        <v>0</v>
      </c>
      <c r="AB259" s="43">
        <f>IF(SUM($F258:AB258)&gt;0.01,0,AA259)</f>
        <v>0</v>
      </c>
      <c r="AC259" s="43">
        <f>IF(SUM($F258:AC258)&gt;0.01,0,AB259)</f>
        <v>0</v>
      </c>
      <c r="AE259" s="54"/>
      <c r="AF259" s="115"/>
      <c r="AG259" s="115"/>
    </row>
    <row r="260" spans="1:33" hidden="1" outlineLevel="2" x14ac:dyDescent="0.2">
      <c r="A260" s="24" t="str">
        <f ca="1">Language!A$359</f>
        <v xml:space="preserve">    амортизация (линейная),       для срока использования:</v>
      </c>
      <c r="B260" s="138">
        <f>B256</f>
        <v>5</v>
      </c>
      <c r="C260" s="114" t="str">
        <f ca="1">Language!A$33</f>
        <v>лет</v>
      </c>
      <c r="D260" s="19"/>
      <c r="E260" s="19"/>
      <c r="F260" s="53">
        <f>IF(AND($B260&gt;0,SUM($E258:F258)&lt;=0.01),MIN(F259*100%/$B260*PRJ_Step/360,E257+F259-E259),0)</f>
        <v>0</v>
      </c>
      <c r="G260" s="53">
        <f>IF(AND($B260&gt;0,SUM($E258:G258)&lt;=0.01),MIN(G259*100%/$B260*PRJ_Step/360,F257+G259-F259),0)</f>
        <v>0</v>
      </c>
      <c r="H260" s="53">
        <f>IF(AND($B260&gt;0,SUM($E258:H258)&lt;=0.01),MIN(H259*100%/$B260*PRJ_Step/360,G257+H259-G259),0)</f>
        <v>0</v>
      </c>
      <c r="I260" s="53">
        <f>IF(AND($B260&gt;0,SUM($E258:I258)&lt;=0.01),MIN(I259*100%/$B260*PRJ_Step/360,H257+I259-H259),0)</f>
        <v>0</v>
      </c>
      <c r="J260" s="53">
        <f>IF(AND($B260&gt;0,SUM($E258:J258)&lt;=0.01),MIN(J259*100%/$B260*PRJ_Step/360,I257+J259-I259),0)</f>
        <v>0</v>
      </c>
      <c r="K260" s="53">
        <f>IF(AND($B260&gt;0,SUM($E258:K258)&lt;=0.01),MIN(K259*100%/$B260*PRJ_Step/360,J257+K259-J259),0)</f>
        <v>0</v>
      </c>
      <c r="L260" s="53">
        <f>IF(AND($B260&gt;0,SUM($E258:L258)&lt;=0.01),MIN(L259*100%/$B260*PRJ_Step/360,K257+L259-K259),0)</f>
        <v>0</v>
      </c>
      <c r="M260" s="53">
        <f>IF(AND($B260&gt;0,SUM($E258:M258)&lt;=0.01),MIN(M259*100%/$B260*PRJ_Step/360,L257+M259-L259),0)</f>
        <v>0</v>
      </c>
      <c r="N260" s="53">
        <f>IF(AND($B260&gt;0,SUM($E258:N258)&lt;=0.01),MIN(N259*100%/$B260*PRJ_Step/360,M257+N259-M259),0)</f>
        <v>0</v>
      </c>
      <c r="O260" s="53">
        <f>IF(AND($B260&gt;0,SUM($E258:O258)&lt;=0.01),MIN(O259*100%/$B260*PRJ_Step/360,N257+O259-N259),0)</f>
        <v>0</v>
      </c>
      <c r="P260" s="53">
        <f>IF(AND($B260&gt;0,SUM($E258:P258)&lt;=0.01),MIN(P259*100%/$B260*PRJ_Step/360,O257+P259-O259),0)</f>
        <v>0</v>
      </c>
      <c r="Q260" s="53">
        <f>IF(AND($B260&gt;0,SUM($E258:Q258)&lt;=0.01),MIN(Q259*100%/$B260*PRJ_Step/360,P257+Q259-P259),0)</f>
        <v>0</v>
      </c>
      <c r="R260" s="53">
        <f>IF(AND($B260&gt;0,SUM($E258:R258)&lt;=0.01),MIN(R259*100%/$B260*PRJ_Step/360,Q257+R259-Q259),0)</f>
        <v>0</v>
      </c>
      <c r="S260" s="53">
        <f>IF(AND($B260&gt;0,SUM($E258:S258)&lt;=0.01),MIN(S259*100%/$B260*PRJ_Step/360,R257+S259-R259),0)</f>
        <v>0</v>
      </c>
      <c r="T260" s="53">
        <f>IF(AND($B260&gt;0,SUM($E258:T258)&lt;=0.01),MIN(T259*100%/$B260*PRJ_Step/360,S257+T259-S259),0)</f>
        <v>0</v>
      </c>
      <c r="U260" s="53">
        <f>IF(AND($B260&gt;0,SUM($E258:U258)&lt;=0.01),MIN(U259*100%/$B260*PRJ_Step/360,T257+U259-T259),0)</f>
        <v>0</v>
      </c>
      <c r="V260" s="53">
        <f>IF(AND($B260&gt;0,SUM($E258:V258)&lt;=0.01),MIN(V259*100%/$B260*PRJ_Step/360,U257+V259-U259),0)</f>
        <v>0</v>
      </c>
      <c r="W260" s="53">
        <f>IF(AND($B260&gt;0,SUM($E258:W258)&lt;=0.01),MIN(W259*100%/$B260*PRJ_Step/360,V257+W259-V259),0)</f>
        <v>0</v>
      </c>
      <c r="X260" s="53">
        <f>IF(AND($B260&gt;0,SUM($E258:X258)&lt;=0.01),MIN(X259*100%/$B260*PRJ_Step/360,W257+X259-W259),0)</f>
        <v>0</v>
      </c>
      <c r="Y260" s="53">
        <f>IF(AND($B260&gt;0,SUM($E258:Y258)&lt;=0.01),MIN(Y259*100%/$B260*PRJ_Step/360,X257+Y259-X259),0)</f>
        <v>0</v>
      </c>
      <c r="Z260" s="53">
        <f>IF(AND($B260&gt;0,SUM($E258:Z258)&lt;=0.01),MIN(Z259*100%/$B260*PRJ_Step/360,Y257+Z259-Y259),0)</f>
        <v>0</v>
      </c>
      <c r="AA260" s="53">
        <f>IF(AND($B260&gt;0,SUM($E258:AA258)&lt;=0.01),MIN(AA259*100%/$B260*PRJ_Step/360,Z257+AA259-Z259),0)</f>
        <v>0</v>
      </c>
      <c r="AB260" s="53">
        <f>IF(AND($B260&gt;0,SUM($E258:AB258)&lt;=0.01),MIN(AB259*100%/$B260*PRJ_Step/360,AA257+AB259-AA259),0)</f>
        <v>0</v>
      </c>
      <c r="AC260" s="53">
        <f>IF(AND($B260&gt;0,SUM($E258:AC258)&lt;=0.01),MIN(AC259*100%/$B260*PRJ_Step/360,AB257+AC259-AB259),0)</f>
        <v>0</v>
      </c>
      <c r="AE260" s="54">
        <f>SUM(F260:AC260)</f>
        <v>0</v>
      </c>
      <c r="AF260" s="115"/>
      <c r="AG260" s="115"/>
    </row>
    <row r="261" spans="1:33" hidden="1" outlineLevel="2" x14ac:dyDescent="0.2">
      <c r="A261" s="24" t="str">
        <f ca="1">Language!A$360</f>
        <v xml:space="preserve">    накопленная амортизация</v>
      </c>
      <c r="B261" s="158"/>
      <c r="C261" s="26" t="str">
        <f t="shared" ca="1" si="497"/>
        <v>тыс. EUR</v>
      </c>
      <c r="D261" s="19" t="s">
        <v>2594</v>
      </c>
      <c r="E261" s="19"/>
      <c r="F261" s="53">
        <f t="shared" ref="F261:AC261" si="520">E261+F260</f>
        <v>0</v>
      </c>
      <c r="G261" s="53">
        <f t="shared" si="520"/>
        <v>0</v>
      </c>
      <c r="H261" s="53">
        <f t="shared" si="520"/>
        <v>0</v>
      </c>
      <c r="I261" s="53">
        <f t="shared" si="520"/>
        <v>0</v>
      </c>
      <c r="J261" s="53">
        <f t="shared" si="520"/>
        <v>0</v>
      </c>
      <c r="K261" s="53">
        <f t="shared" si="520"/>
        <v>0</v>
      </c>
      <c r="L261" s="53">
        <f t="shared" si="520"/>
        <v>0</v>
      </c>
      <c r="M261" s="53">
        <f t="shared" si="520"/>
        <v>0</v>
      </c>
      <c r="N261" s="53">
        <f t="shared" si="520"/>
        <v>0</v>
      </c>
      <c r="O261" s="53">
        <f t="shared" si="520"/>
        <v>0</v>
      </c>
      <c r="P261" s="53">
        <f t="shared" si="520"/>
        <v>0</v>
      </c>
      <c r="Q261" s="53">
        <f t="shared" si="520"/>
        <v>0</v>
      </c>
      <c r="R261" s="53">
        <f t="shared" si="520"/>
        <v>0</v>
      </c>
      <c r="S261" s="53">
        <f t="shared" si="520"/>
        <v>0</v>
      </c>
      <c r="T261" s="53">
        <f t="shared" si="520"/>
        <v>0</v>
      </c>
      <c r="U261" s="53">
        <f t="shared" si="520"/>
        <v>0</v>
      </c>
      <c r="V261" s="53">
        <f t="shared" si="520"/>
        <v>0</v>
      </c>
      <c r="W261" s="53">
        <f t="shared" si="520"/>
        <v>0</v>
      </c>
      <c r="X261" s="53">
        <f t="shared" si="520"/>
        <v>0</v>
      </c>
      <c r="Y261" s="53">
        <f t="shared" si="520"/>
        <v>0</v>
      </c>
      <c r="Z261" s="53">
        <f t="shared" si="520"/>
        <v>0</v>
      </c>
      <c r="AA261" s="53">
        <f t="shared" si="520"/>
        <v>0</v>
      </c>
      <c r="AB261" s="53">
        <f t="shared" si="520"/>
        <v>0</v>
      </c>
      <c r="AC261" s="53">
        <f t="shared" si="520"/>
        <v>0</v>
      </c>
      <c r="AE261" s="54"/>
      <c r="AF261" s="115"/>
      <c r="AG261" s="115"/>
    </row>
    <row r="262" spans="1:33" hidden="1" outlineLevel="2" x14ac:dyDescent="0.2">
      <c r="A262" s="24" t="str">
        <f ca="1">Language!A$363</f>
        <v xml:space="preserve">    прибыль/убыток от реализации актива</v>
      </c>
      <c r="B262" s="158"/>
      <c r="C262" s="26" t="str">
        <f t="shared" ca="1" si="497"/>
        <v>тыс. EUR</v>
      </c>
      <c r="D262" s="19"/>
      <c r="E262" s="19"/>
      <c r="F262" s="110">
        <f t="shared" ref="F262:AC262" si="521">IF(F258=0,0,F258-E257)</f>
        <v>0</v>
      </c>
      <c r="G262" s="110">
        <f t="shared" si="521"/>
        <v>0</v>
      </c>
      <c r="H262" s="110">
        <f t="shared" si="521"/>
        <v>0</v>
      </c>
      <c r="I262" s="110">
        <f t="shared" si="521"/>
        <v>0</v>
      </c>
      <c r="J262" s="110">
        <f t="shared" si="521"/>
        <v>0</v>
      </c>
      <c r="K262" s="110">
        <f t="shared" si="521"/>
        <v>0</v>
      </c>
      <c r="L262" s="110">
        <f t="shared" si="521"/>
        <v>0</v>
      </c>
      <c r="M262" s="110">
        <f t="shared" si="521"/>
        <v>0</v>
      </c>
      <c r="N262" s="110">
        <f t="shared" si="521"/>
        <v>0</v>
      </c>
      <c r="O262" s="110">
        <f t="shared" si="521"/>
        <v>0</v>
      </c>
      <c r="P262" s="110">
        <f t="shared" si="521"/>
        <v>0</v>
      </c>
      <c r="Q262" s="110">
        <f t="shared" si="521"/>
        <v>0</v>
      </c>
      <c r="R262" s="110">
        <f t="shared" si="521"/>
        <v>0</v>
      </c>
      <c r="S262" s="110">
        <f t="shared" si="521"/>
        <v>0</v>
      </c>
      <c r="T262" s="110">
        <f t="shared" si="521"/>
        <v>0</v>
      </c>
      <c r="U262" s="110">
        <f t="shared" si="521"/>
        <v>0</v>
      </c>
      <c r="V262" s="110">
        <f t="shared" si="521"/>
        <v>0</v>
      </c>
      <c r="W262" s="110">
        <f t="shared" si="521"/>
        <v>0</v>
      </c>
      <c r="X262" s="110">
        <f t="shared" si="521"/>
        <v>0</v>
      </c>
      <c r="Y262" s="110">
        <f t="shared" si="521"/>
        <v>0</v>
      </c>
      <c r="Z262" s="110">
        <f t="shared" si="521"/>
        <v>0</v>
      </c>
      <c r="AA262" s="110">
        <f t="shared" si="521"/>
        <v>0</v>
      </c>
      <c r="AB262" s="110">
        <f t="shared" si="521"/>
        <v>0</v>
      </c>
      <c r="AC262" s="110">
        <f t="shared" si="521"/>
        <v>0</v>
      </c>
      <c r="AE262" s="54">
        <f>SUM(F262:AC262)</f>
        <v>0</v>
      </c>
      <c r="AF262" s="115"/>
      <c r="AG262" s="115"/>
    </row>
    <row r="263" spans="1:33" hidden="1" outlineLevel="2" x14ac:dyDescent="0.2">
      <c r="A263" s="24" t="str">
        <f ca="1">Language!A$364</f>
        <v xml:space="preserve">    НДС к выручке от реализации актива</v>
      </c>
      <c r="B263" s="267">
        <f>VAT</f>
        <v>0.23</v>
      </c>
      <c r="C263" s="26" t="str">
        <f t="shared" ca="1" si="497"/>
        <v>тыс. EUR</v>
      </c>
      <c r="D263" s="19"/>
      <c r="E263" s="19"/>
      <c r="F263" s="43">
        <f t="shared" ref="F263:T263" si="522">F258*$B263</f>
        <v>0</v>
      </c>
      <c r="G263" s="43">
        <f t="shared" si="522"/>
        <v>0</v>
      </c>
      <c r="H263" s="43">
        <f t="shared" si="522"/>
        <v>0</v>
      </c>
      <c r="I263" s="43">
        <f t="shared" si="522"/>
        <v>0</v>
      </c>
      <c r="J263" s="43">
        <f t="shared" si="522"/>
        <v>0</v>
      </c>
      <c r="K263" s="43">
        <f t="shared" si="522"/>
        <v>0</v>
      </c>
      <c r="L263" s="43">
        <f t="shared" si="522"/>
        <v>0</v>
      </c>
      <c r="M263" s="43">
        <f t="shared" si="522"/>
        <v>0</v>
      </c>
      <c r="N263" s="43">
        <f t="shared" si="522"/>
        <v>0</v>
      </c>
      <c r="O263" s="43">
        <f t="shared" si="522"/>
        <v>0</v>
      </c>
      <c r="P263" s="43">
        <f t="shared" si="522"/>
        <v>0</v>
      </c>
      <c r="Q263" s="43">
        <f t="shared" si="522"/>
        <v>0</v>
      </c>
      <c r="R263" s="43">
        <f t="shared" si="522"/>
        <v>0</v>
      </c>
      <c r="S263" s="43">
        <f t="shared" si="522"/>
        <v>0</v>
      </c>
      <c r="T263" s="43">
        <f t="shared" si="522"/>
        <v>0</v>
      </c>
      <c r="U263" s="43">
        <f t="shared" ref="U263" si="523">U258*$B263</f>
        <v>0</v>
      </c>
      <c r="V263" s="43">
        <f t="shared" ref="V263" si="524">V258*$B263</f>
        <v>0</v>
      </c>
      <c r="W263" s="43">
        <f t="shared" ref="W263" si="525">W258*$B263</f>
        <v>0</v>
      </c>
      <c r="X263" s="43">
        <f t="shared" ref="X263" si="526">X258*$B263</f>
        <v>0</v>
      </c>
      <c r="Y263" s="43">
        <f t="shared" ref="Y263" si="527">Y258*$B263</f>
        <v>0</v>
      </c>
      <c r="Z263" s="43">
        <f t="shared" ref="Z263" si="528">Z258*$B263</f>
        <v>0</v>
      </c>
      <c r="AA263" s="43">
        <f t="shared" ref="AA263" si="529">AA258*$B263</f>
        <v>0</v>
      </c>
      <c r="AB263" s="43">
        <f t="shared" ref="AB263:AC263" si="530">AB258*$B263</f>
        <v>0</v>
      </c>
      <c r="AC263" s="43">
        <f t="shared" si="530"/>
        <v>0</v>
      </c>
      <c r="AE263" s="54">
        <f>SUM(F263:AC263)</f>
        <v>0</v>
      </c>
      <c r="AF263" s="115"/>
      <c r="AG263" s="115"/>
    </row>
    <row r="264" spans="1:33" s="48" customFormat="1" hidden="1" outlineLevel="1" x14ac:dyDescent="0.2">
      <c r="A264" s="127"/>
      <c r="B264" s="11" t="str">
        <f ca="1">Language!A$355</f>
        <v xml:space="preserve">  Амортизация</v>
      </c>
      <c r="C264" s="99"/>
      <c r="D264" s="45"/>
      <c r="E264" s="45"/>
      <c r="F264" s="105"/>
      <c r="G264" s="105"/>
      <c r="H264" s="105"/>
      <c r="I264" s="105"/>
      <c r="J264" s="105"/>
      <c r="K264" s="105"/>
      <c r="L264" s="105"/>
      <c r="M264" s="105"/>
      <c r="N264" s="105"/>
      <c r="O264" s="105"/>
      <c r="P264" s="105"/>
      <c r="Q264" s="105"/>
      <c r="R264" s="105"/>
      <c r="S264" s="105"/>
      <c r="T264" s="105"/>
      <c r="U264" s="105"/>
      <c r="V264" s="105"/>
      <c r="W264" s="105"/>
      <c r="X264" s="105"/>
      <c r="Y264" s="105"/>
      <c r="Z264" s="105"/>
      <c r="AA264" s="105"/>
      <c r="AB264" s="105"/>
      <c r="AC264" s="105"/>
      <c r="AE264" s="93"/>
      <c r="AF264" s="304"/>
      <c r="AG264" s="304"/>
    </row>
    <row r="265" spans="1:33" hidden="1" outlineLevel="1" x14ac:dyDescent="0.2">
      <c r="A265" s="35" t="str">
        <f ca="1">Language!A$410</f>
        <v>Расходы будущих периодов</v>
      </c>
      <c r="B265" s="270">
        <v>2</v>
      </c>
      <c r="C265" s="40" t="str">
        <f ca="1">Language!A$33</f>
        <v>лет</v>
      </c>
      <c r="D265" s="19"/>
      <c r="E265" s="19"/>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E265" s="54"/>
      <c r="AF265" s="115"/>
      <c r="AG265" s="115"/>
    </row>
    <row r="266" spans="1:33" hidden="1" outlineLevel="1" collapsed="1" x14ac:dyDescent="0.2">
      <c r="A266" s="24" t="str">
        <f ca="1">Language!A$361</f>
        <v xml:space="preserve">    остаточная стоимость</v>
      </c>
      <c r="B266" s="158"/>
      <c r="C266" s="26" t="str">
        <f ca="1">CUR_Main</f>
        <v>тыс. EUR</v>
      </c>
      <c r="D266" s="19" t="s">
        <v>2594</v>
      </c>
      <c r="E266" s="19">
        <f>E267</f>
        <v>0</v>
      </c>
      <c r="F266" s="43">
        <f t="shared" ref="F266:T266" si="531">F267-F269</f>
        <v>0</v>
      </c>
      <c r="G266" s="43">
        <f t="shared" si="531"/>
        <v>0</v>
      </c>
      <c r="H266" s="43">
        <f t="shared" si="531"/>
        <v>0</v>
      </c>
      <c r="I266" s="43">
        <f t="shared" si="531"/>
        <v>0</v>
      </c>
      <c r="J266" s="43">
        <f t="shared" si="531"/>
        <v>0</v>
      </c>
      <c r="K266" s="43">
        <f t="shared" si="531"/>
        <v>0</v>
      </c>
      <c r="L266" s="43">
        <f t="shared" si="531"/>
        <v>0</v>
      </c>
      <c r="M266" s="43">
        <f t="shared" si="531"/>
        <v>0</v>
      </c>
      <c r="N266" s="43">
        <f t="shared" si="531"/>
        <v>0</v>
      </c>
      <c r="O266" s="43">
        <f t="shared" si="531"/>
        <v>0</v>
      </c>
      <c r="P266" s="43">
        <f t="shared" si="531"/>
        <v>0</v>
      </c>
      <c r="Q266" s="43">
        <f t="shared" si="531"/>
        <v>0</v>
      </c>
      <c r="R266" s="43">
        <f t="shared" si="531"/>
        <v>0</v>
      </c>
      <c r="S266" s="43">
        <f t="shared" si="531"/>
        <v>0</v>
      </c>
      <c r="T266" s="43">
        <f t="shared" si="531"/>
        <v>0</v>
      </c>
      <c r="U266" s="43">
        <f t="shared" ref="U266" si="532">U267-U269</f>
        <v>0</v>
      </c>
      <c r="V266" s="43">
        <f t="shared" ref="V266" si="533">V267-V269</f>
        <v>0</v>
      </c>
      <c r="W266" s="43">
        <f t="shared" ref="W266" si="534">W267-W269</f>
        <v>0</v>
      </c>
      <c r="X266" s="43">
        <f t="shared" ref="X266" si="535">X267-X269</f>
        <v>0</v>
      </c>
      <c r="Y266" s="43">
        <f t="shared" ref="Y266" si="536">Y267-Y269</f>
        <v>0</v>
      </c>
      <c r="Z266" s="43">
        <f t="shared" ref="Z266" si="537">Z267-Z269</f>
        <v>0</v>
      </c>
      <c r="AA266" s="43">
        <f t="shared" ref="AA266" si="538">AA267-AA269</f>
        <v>0</v>
      </c>
      <c r="AB266" s="43">
        <f t="shared" ref="AB266:AC266" si="539">AB267-AB269</f>
        <v>0</v>
      </c>
      <c r="AC266" s="43">
        <f t="shared" si="539"/>
        <v>0</v>
      </c>
      <c r="AE266" s="54"/>
      <c r="AF266" s="115"/>
      <c r="AG266" s="115"/>
    </row>
    <row r="267" spans="1:33" hidden="1" outlineLevel="2" x14ac:dyDescent="0.2">
      <c r="A267" s="24" t="str">
        <f ca="1">Language!A$358</f>
        <v xml:space="preserve">    первоначальная стоимость</v>
      </c>
      <c r="B267" s="138"/>
      <c r="C267" s="26" t="str">
        <f t="shared" ca="1" si="497"/>
        <v>тыс. EUR</v>
      </c>
      <c r="D267" s="19" t="s">
        <v>2594</v>
      </c>
      <c r="E267" s="19">
        <f>F55*IF(B$37=1,1,F$88)</f>
        <v>0</v>
      </c>
      <c r="F267" s="43">
        <f t="shared" ref="F267:AC267" si="540">E267</f>
        <v>0</v>
      </c>
      <c r="G267" s="43">
        <f t="shared" si="540"/>
        <v>0</v>
      </c>
      <c r="H267" s="43">
        <f t="shared" si="540"/>
        <v>0</v>
      </c>
      <c r="I267" s="43">
        <f t="shared" si="540"/>
        <v>0</v>
      </c>
      <c r="J267" s="43">
        <f t="shared" si="540"/>
        <v>0</v>
      </c>
      <c r="K267" s="43">
        <f t="shared" si="540"/>
        <v>0</v>
      </c>
      <c r="L267" s="43">
        <f t="shared" si="540"/>
        <v>0</v>
      </c>
      <c r="M267" s="43">
        <f t="shared" si="540"/>
        <v>0</v>
      </c>
      <c r="N267" s="43">
        <f t="shared" si="540"/>
        <v>0</v>
      </c>
      <c r="O267" s="43">
        <f t="shared" si="540"/>
        <v>0</v>
      </c>
      <c r="P267" s="43">
        <f t="shared" si="540"/>
        <v>0</v>
      </c>
      <c r="Q267" s="43">
        <f t="shared" si="540"/>
        <v>0</v>
      </c>
      <c r="R267" s="43">
        <f t="shared" si="540"/>
        <v>0</v>
      </c>
      <c r="S267" s="43">
        <f t="shared" si="540"/>
        <v>0</v>
      </c>
      <c r="T267" s="43">
        <f t="shared" si="540"/>
        <v>0</v>
      </c>
      <c r="U267" s="43">
        <f t="shared" si="540"/>
        <v>0</v>
      </c>
      <c r="V267" s="43">
        <f t="shared" si="540"/>
        <v>0</v>
      </c>
      <c r="W267" s="43">
        <f t="shared" si="540"/>
        <v>0</v>
      </c>
      <c r="X267" s="43">
        <f t="shared" si="540"/>
        <v>0</v>
      </c>
      <c r="Y267" s="43">
        <f t="shared" si="540"/>
        <v>0</v>
      </c>
      <c r="Z267" s="43">
        <f t="shared" si="540"/>
        <v>0</v>
      </c>
      <c r="AA267" s="43">
        <f t="shared" si="540"/>
        <v>0</v>
      </c>
      <c r="AB267" s="43">
        <f t="shared" si="540"/>
        <v>0</v>
      </c>
      <c r="AC267" s="43">
        <f t="shared" si="540"/>
        <v>0</v>
      </c>
      <c r="AE267" s="54"/>
      <c r="AF267" s="115"/>
      <c r="AG267" s="115"/>
    </row>
    <row r="268" spans="1:33" hidden="1" outlineLevel="2" x14ac:dyDescent="0.2">
      <c r="A268" s="24" t="str">
        <f ca="1">Language!A$359</f>
        <v xml:space="preserve">    амортизация (линейная),       для срока использования:</v>
      </c>
      <c r="B268" s="138">
        <f>B265</f>
        <v>2</v>
      </c>
      <c r="C268" s="114" t="str">
        <f ca="1">Language!A$33</f>
        <v>лет</v>
      </c>
      <c r="D268" s="19"/>
      <c r="E268" s="19"/>
      <c r="F268" s="53">
        <f t="shared" ref="F268:AC268" si="541">IF($B268&gt;0,MIN(F267*100%/$B268*PRJ_Step/360,E266+F267-E267),0)</f>
        <v>0</v>
      </c>
      <c r="G268" s="53">
        <f t="shared" si="541"/>
        <v>0</v>
      </c>
      <c r="H268" s="53">
        <f t="shared" si="541"/>
        <v>0</v>
      </c>
      <c r="I268" s="53">
        <f t="shared" si="541"/>
        <v>0</v>
      </c>
      <c r="J268" s="53">
        <f t="shared" si="541"/>
        <v>0</v>
      </c>
      <c r="K268" s="53">
        <f t="shared" si="541"/>
        <v>0</v>
      </c>
      <c r="L268" s="53">
        <f t="shared" si="541"/>
        <v>0</v>
      </c>
      <c r="M268" s="53">
        <f t="shared" si="541"/>
        <v>0</v>
      </c>
      <c r="N268" s="53">
        <f t="shared" si="541"/>
        <v>0</v>
      </c>
      <c r="O268" s="53">
        <f t="shared" si="541"/>
        <v>0</v>
      </c>
      <c r="P268" s="53">
        <f t="shared" si="541"/>
        <v>0</v>
      </c>
      <c r="Q268" s="53">
        <f t="shared" si="541"/>
        <v>0</v>
      </c>
      <c r="R268" s="53">
        <f t="shared" si="541"/>
        <v>0</v>
      </c>
      <c r="S268" s="53">
        <f t="shared" si="541"/>
        <v>0</v>
      </c>
      <c r="T268" s="53">
        <f t="shared" si="541"/>
        <v>0</v>
      </c>
      <c r="U268" s="53">
        <f t="shared" si="541"/>
        <v>0</v>
      </c>
      <c r="V268" s="53">
        <f t="shared" si="541"/>
        <v>0</v>
      </c>
      <c r="W268" s="53">
        <f t="shared" si="541"/>
        <v>0</v>
      </c>
      <c r="X268" s="53">
        <f t="shared" si="541"/>
        <v>0</v>
      </c>
      <c r="Y268" s="53">
        <f t="shared" si="541"/>
        <v>0</v>
      </c>
      <c r="Z268" s="53">
        <f t="shared" si="541"/>
        <v>0</v>
      </c>
      <c r="AA268" s="53">
        <f t="shared" si="541"/>
        <v>0</v>
      </c>
      <c r="AB268" s="53">
        <f t="shared" si="541"/>
        <v>0</v>
      </c>
      <c r="AC268" s="53">
        <f t="shared" si="541"/>
        <v>0</v>
      </c>
      <c r="AE268" s="54">
        <f>SUM(F268:AC268)</f>
        <v>0</v>
      </c>
      <c r="AF268" s="115"/>
      <c r="AG268" s="115"/>
    </row>
    <row r="269" spans="1:33" hidden="1" outlineLevel="2" x14ac:dyDescent="0.2">
      <c r="A269" s="24" t="str">
        <f ca="1">Language!A$360</f>
        <v xml:space="preserve">    накопленная амортизация</v>
      </c>
      <c r="B269" s="158"/>
      <c r="C269" s="26" t="str">
        <f ca="1">CUR_Main</f>
        <v>тыс. EUR</v>
      </c>
      <c r="D269" s="19" t="s">
        <v>2594</v>
      </c>
      <c r="E269" s="19"/>
      <c r="F269" s="53">
        <f t="shared" ref="F269:AC269" si="542">E269+F268</f>
        <v>0</v>
      </c>
      <c r="G269" s="53">
        <f t="shared" si="542"/>
        <v>0</v>
      </c>
      <c r="H269" s="53">
        <f t="shared" si="542"/>
        <v>0</v>
      </c>
      <c r="I269" s="53">
        <f t="shared" si="542"/>
        <v>0</v>
      </c>
      <c r="J269" s="53">
        <f t="shared" si="542"/>
        <v>0</v>
      </c>
      <c r="K269" s="53">
        <f t="shared" si="542"/>
        <v>0</v>
      </c>
      <c r="L269" s="53">
        <f t="shared" si="542"/>
        <v>0</v>
      </c>
      <c r="M269" s="53">
        <f t="shared" si="542"/>
        <v>0</v>
      </c>
      <c r="N269" s="53">
        <f t="shared" si="542"/>
        <v>0</v>
      </c>
      <c r="O269" s="53">
        <f t="shared" si="542"/>
        <v>0</v>
      </c>
      <c r="P269" s="53">
        <f t="shared" si="542"/>
        <v>0</v>
      </c>
      <c r="Q269" s="53">
        <f t="shared" si="542"/>
        <v>0</v>
      </c>
      <c r="R269" s="53">
        <f t="shared" si="542"/>
        <v>0</v>
      </c>
      <c r="S269" s="53">
        <f t="shared" si="542"/>
        <v>0</v>
      </c>
      <c r="T269" s="53">
        <f t="shared" si="542"/>
        <v>0</v>
      </c>
      <c r="U269" s="53">
        <f t="shared" si="542"/>
        <v>0</v>
      </c>
      <c r="V269" s="53">
        <f t="shared" si="542"/>
        <v>0</v>
      </c>
      <c r="W269" s="53">
        <f t="shared" si="542"/>
        <v>0</v>
      </c>
      <c r="X269" s="53">
        <f t="shared" si="542"/>
        <v>0</v>
      </c>
      <c r="Y269" s="53">
        <f t="shared" si="542"/>
        <v>0</v>
      </c>
      <c r="Z269" s="53">
        <f t="shared" si="542"/>
        <v>0</v>
      </c>
      <c r="AA269" s="53">
        <f t="shared" si="542"/>
        <v>0</v>
      </c>
      <c r="AB269" s="53">
        <f t="shared" si="542"/>
        <v>0</v>
      </c>
      <c r="AC269" s="53">
        <f t="shared" si="542"/>
        <v>0</v>
      </c>
      <c r="AE269" s="54"/>
      <c r="AF269" s="115"/>
      <c r="AG269" s="115"/>
    </row>
    <row r="270" spans="1:33" hidden="1" outlineLevel="1" x14ac:dyDescent="0.2">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E270" s="54"/>
    </row>
    <row r="271" spans="1:33" hidden="1" outlineLevel="1" x14ac:dyDescent="0.2">
      <c r="A271" s="35" t="str">
        <f ca="1">Language!A$407</f>
        <v>Финансовые вложения</v>
      </c>
      <c r="B271" s="19"/>
      <c r="C271" s="26"/>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E271" s="54"/>
      <c r="AF271" s="115"/>
      <c r="AG271" s="115"/>
    </row>
    <row r="272" spans="1:33" hidden="1" outlineLevel="1" x14ac:dyDescent="0.2">
      <c r="A272" s="24" t="str">
        <f ca="1">Language!A$361</f>
        <v xml:space="preserve">    остаточная стоимость</v>
      </c>
      <c r="B272" s="19"/>
      <c r="C272" s="26" t="str">
        <f t="shared" ca="1" si="497"/>
        <v>тыс. EUR</v>
      </c>
      <c r="D272" s="19" t="s">
        <v>2594</v>
      </c>
      <c r="E272" s="19">
        <f>F49*IF(B$37=1,1,F$88)</f>
        <v>0</v>
      </c>
      <c r="F272" s="43">
        <f>IF(SUM($F274:F274)&gt;0.01,0,E272)</f>
        <v>0</v>
      </c>
      <c r="G272" s="43">
        <f>IF(SUM($F274:G274)&gt;0.01,0,F272)</f>
        <v>0</v>
      </c>
      <c r="H272" s="43">
        <f>IF(SUM($F274:H274)&gt;0.01,0,G272)</f>
        <v>0</v>
      </c>
      <c r="I272" s="43">
        <f>IF(SUM($F274:I274)&gt;0.01,0,H272)</f>
        <v>0</v>
      </c>
      <c r="J272" s="43">
        <f>IF(SUM($F274:J274)&gt;0.01,0,I272)</f>
        <v>0</v>
      </c>
      <c r="K272" s="43">
        <f>IF(SUM($F274:K274)&gt;0.01,0,J272)</f>
        <v>0</v>
      </c>
      <c r="L272" s="43">
        <f>IF(SUM($F274:L274)&gt;0.01,0,K272)</f>
        <v>0</v>
      </c>
      <c r="M272" s="43">
        <f>IF(SUM($F274:M274)&gt;0.01,0,L272)</f>
        <v>0</v>
      </c>
      <c r="N272" s="43">
        <f>IF(SUM($F274:N274)&gt;0.01,0,M272)</f>
        <v>0</v>
      </c>
      <c r="O272" s="43">
        <f>IF(SUM($F274:O274)&gt;0.01,0,N272)</f>
        <v>0</v>
      </c>
      <c r="P272" s="43">
        <f>IF(SUM($F274:P274)&gt;0.01,0,O272)</f>
        <v>0</v>
      </c>
      <c r="Q272" s="43">
        <f>IF(SUM($F274:Q274)&gt;0.01,0,P272)</f>
        <v>0</v>
      </c>
      <c r="R272" s="43">
        <f>IF(SUM($F274:R274)&gt;0.01,0,Q272)</f>
        <v>0</v>
      </c>
      <c r="S272" s="43">
        <f>IF(SUM($F274:S274)&gt;0.01,0,R272)</f>
        <v>0</v>
      </c>
      <c r="T272" s="43">
        <f>IF(SUM($F274:T274)&gt;0.01,0,S272)</f>
        <v>0</v>
      </c>
      <c r="U272" s="43">
        <f>IF(SUM($F274:U274)&gt;0.01,0,T272)</f>
        <v>0</v>
      </c>
      <c r="V272" s="43">
        <f>IF(SUM($F274:V274)&gt;0.01,0,U272)</f>
        <v>0</v>
      </c>
      <c r="W272" s="43">
        <f>IF(SUM($F274:W274)&gt;0.01,0,V272)</f>
        <v>0</v>
      </c>
      <c r="X272" s="43">
        <f>IF(SUM($F274:X274)&gt;0.01,0,W272)</f>
        <v>0</v>
      </c>
      <c r="Y272" s="43">
        <f>IF(SUM($F274:Y274)&gt;0.01,0,X272)</f>
        <v>0</v>
      </c>
      <c r="Z272" s="43">
        <f>IF(SUM($F274:Z274)&gt;0.01,0,Y272)</f>
        <v>0</v>
      </c>
      <c r="AA272" s="43">
        <f>IF(SUM($F274:AA274)&gt;0.01,0,Z272)</f>
        <v>0</v>
      </c>
      <c r="AB272" s="43">
        <f>IF(SUM($F274:AB274)&gt;0.01,0,AA272)</f>
        <v>0</v>
      </c>
      <c r="AC272" s="43">
        <f>IF(SUM($F274:AC274)&gt;0.01,0,AB272)</f>
        <v>0</v>
      </c>
      <c r="AE272" s="54"/>
      <c r="AF272" s="115"/>
      <c r="AG272" s="115"/>
    </row>
    <row r="273" spans="1:33" hidden="1" outlineLevel="1" x14ac:dyDescent="0.2">
      <c r="A273" s="24" t="str">
        <f ca="1">Language!A370</f>
        <v xml:space="preserve">    доходность финансовых вложений</v>
      </c>
      <c r="B273" s="267">
        <v>0.1</v>
      </c>
      <c r="C273" s="26" t="str">
        <f t="shared" ca="1" si="497"/>
        <v>тыс. EUR</v>
      </c>
      <c r="D273" s="19"/>
      <c r="E273" s="19"/>
      <c r="F273" s="271">
        <f t="shared" ref="F273:T273" si="543">F272*$B273*PRJ_Step/360</f>
        <v>0</v>
      </c>
      <c r="G273" s="271">
        <f t="shared" si="543"/>
        <v>0</v>
      </c>
      <c r="H273" s="271">
        <f t="shared" si="543"/>
        <v>0</v>
      </c>
      <c r="I273" s="271">
        <f t="shared" si="543"/>
        <v>0</v>
      </c>
      <c r="J273" s="271">
        <f t="shared" si="543"/>
        <v>0</v>
      </c>
      <c r="K273" s="271">
        <f t="shared" si="543"/>
        <v>0</v>
      </c>
      <c r="L273" s="271">
        <f t="shared" si="543"/>
        <v>0</v>
      </c>
      <c r="M273" s="271">
        <f t="shared" si="543"/>
        <v>0</v>
      </c>
      <c r="N273" s="271">
        <f t="shared" si="543"/>
        <v>0</v>
      </c>
      <c r="O273" s="271">
        <f t="shared" si="543"/>
        <v>0</v>
      </c>
      <c r="P273" s="271">
        <f t="shared" si="543"/>
        <v>0</v>
      </c>
      <c r="Q273" s="271">
        <f t="shared" si="543"/>
        <v>0</v>
      </c>
      <c r="R273" s="271">
        <f t="shared" si="543"/>
        <v>0</v>
      </c>
      <c r="S273" s="271">
        <f t="shared" si="543"/>
        <v>0</v>
      </c>
      <c r="T273" s="271">
        <f t="shared" si="543"/>
        <v>0</v>
      </c>
      <c r="U273" s="271">
        <f t="shared" ref="U273" si="544">U272*$B273*PRJ_Step/360</f>
        <v>0</v>
      </c>
      <c r="V273" s="271">
        <f t="shared" ref="V273" si="545">V272*$B273*PRJ_Step/360</f>
        <v>0</v>
      </c>
      <c r="W273" s="271">
        <f t="shared" ref="W273" si="546">W272*$B273*PRJ_Step/360</f>
        <v>0</v>
      </c>
      <c r="X273" s="271">
        <f t="shared" ref="X273" si="547">X272*$B273*PRJ_Step/360</f>
        <v>0</v>
      </c>
      <c r="Y273" s="271">
        <f t="shared" ref="Y273" si="548">Y272*$B273*PRJ_Step/360</f>
        <v>0</v>
      </c>
      <c r="Z273" s="271">
        <f t="shared" ref="Z273" si="549">Z272*$B273*PRJ_Step/360</f>
        <v>0</v>
      </c>
      <c r="AA273" s="271">
        <f t="shared" ref="AA273" si="550">AA272*$B273*PRJ_Step/360</f>
        <v>0</v>
      </c>
      <c r="AB273" s="271">
        <f t="shared" ref="AB273:AC273" si="551">AB272*$B273*PRJ_Step/360</f>
        <v>0</v>
      </c>
      <c r="AC273" s="271">
        <f t="shared" si="551"/>
        <v>0</v>
      </c>
      <c r="AE273" s="54">
        <f>SUM(F273:AC273)</f>
        <v>0</v>
      </c>
      <c r="AF273" s="115"/>
      <c r="AG273" s="115"/>
    </row>
    <row r="274" spans="1:33" hidden="1" outlineLevel="1" collapsed="1" x14ac:dyDescent="0.2">
      <c r="A274" s="23" t="str">
        <f ca="1">Language!A$362</f>
        <v xml:space="preserve">    реализация актива (без НДС)</v>
      </c>
      <c r="B274" s="158"/>
      <c r="C274" s="26" t="str">
        <f t="shared" ca="1" si="497"/>
        <v>тыс. EUR</v>
      </c>
      <c r="D274" s="19"/>
      <c r="E274" s="19"/>
      <c r="F274" s="271">
        <v>0</v>
      </c>
      <c r="G274" s="271">
        <v>0</v>
      </c>
      <c r="H274" s="271">
        <v>0</v>
      </c>
      <c r="I274" s="271">
        <v>0</v>
      </c>
      <c r="J274" s="271">
        <v>0</v>
      </c>
      <c r="K274" s="271">
        <v>0</v>
      </c>
      <c r="L274" s="271">
        <v>0</v>
      </c>
      <c r="M274" s="271">
        <v>0</v>
      </c>
      <c r="N274" s="271">
        <v>0</v>
      </c>
      <c r="O274" s="271">
        <v>0</v>
      </c>
      <c r="P274" s="271">
        <v>0</v>
      </c>
      <c r="Q274" s="271">
        <v>0</v>
      </c>
      <c r="R274" s="271">
        <v>0</v>
      </c>
      <c r="S274" s="271">
        <v>0</v>
      </c>
      <c r="T274" s="271">
        <v>0</v>
      </c>
      <c r="U274" s="271">
        <v>0</v>
      </c>
      <c r="V274" s="271">
        <v>0</v>
      </c>
      <c r="W274" s="271">
        <v>0</v>
      </c>
      <c r="X274" s="271">
        <v>0</v>
      </c>
      <c r="Y274" s="271">
        <v>0</v>
      </c>
      <c r="Z274" s="271">
        <v>0</v>
      </c>
      <c r="AA274" s="271">
        <v>0</v>
      </c>
      <c r="AB274" s="271">
        <v>0</v>
      </c>
      <c r="AC274" s="271">
        <v>0</v>
      </c>
      <c r="AE274" s="54">
        <f>SUM(F274:AC274)</f>
        <v>0</v>
      </c>
      <c r="AF274" s="115"/>
      <c r="AG274" s="115"/>
    </row>
    <row r="275" spans="1:33" hidden="1" outlineLevel="2" x14ac:dyDescent="0.2">
      <c r="A275" s="23" t="str">
        <f ca="1">Language!A$363</f>
        <v xml:space="preserve">    прибыль/убыток от реализации актива</v>
      </c>
      <c r="B275" s="44"/>
      <c r="C275" s="5" t="str">
        <f t="shared" ca="1" si="497"/>
        <v>тыс. EUR</v>
      </c>
      <c r="F275" s="110">
        <f t="shared" ref="F275:AC275" si="552">IF(F274=0,0,F274-E272)</f>
        <v>0</v>
      </c>
      <c r="G275" s="110">
        <f t="shared" si="552"/>
        <v>0</v>
      </c>
      <c r="H275" s="110">
        <f t="shared" si="552"/>
        <v>0</v>
      </c>
      <c r="I275" s="110">
        <f t="shared" si="552"/>
        <v>0</v>
      </c>
      <c r="J275" s="110">
        <f t="shared" si="552"/>
        <v>0</v>
      </c>
      <c r="K275" s="110">
        <f t="shared" si="552"/>
        <v>0</v>
      </c>
      <c r="L275" s="110">
        <f t="shared" si="552"/>
        <v>0</v>
      </c>
      <c r="M275" s="110">
        <f t="shared" si="552"/>
        <v>0</v>
      </c>
      <c r="N275" s="110">
        <f t="shared" si="552"/>
        <v>0</v>
      </c>
      <c r="O275" s="110">
        <f t="shared" si="552"/>
        <v>0</v>
      </c>
      <c r="P275" s="110">
        <f t="shared" si="552"/>
        <v>0</v>
      </c>
      <c r="Q275" s="110">
        <f t="shared" si="552"/>
        <v>0</v>
      </c>
      <c r="R275" s="110">
        <f t="shared" si="552"/>
        <v>0</v>
      </c>
      <c r="S275" s="110">
        <f t="shared" si="552"/>
        <v>0</v>
      </c>
      <c r="T275" s="110">
        <f t="shared" si="552"/>
        <v>0</v>
      </c>
      <c r="U275" s="110">
        <f t="shared" si="552"/>
        <v>0</v>
      </c>
      <c r="V275" s="110">
        <f t="shared" si="552"/>
        <v>0</v>
      </c>
      <c r="W275" s="110">
        <f t="shared" si="552"/>
        <v>0</v>
      </c>
      <c r="X275" s="110">
        <f t="shared" si="552"/>
        <v>0</v>
      </c>
      <c r="Y275" s="110">
        <f t="shared" si="552"/>
        <v>0</v>
      </c>
      <c r="Z275" s="110">
        <f t="shared" si="552"/>
        <v>0</v>
      </c>
      <c r="AA275" s="110">
        <f t="shared" si="552"/>
        <v>0</v>
      </c>
      <c r="AB275" s="110">
        <f t="shared" si="552"/>
        <v>0</v>
      </c>
      <c r="AC275" s="110">
        <f t="shared" si="552"/>
        <v>0</v>
      </c>
      <c r="AE275" s="54">
        <f>SUM(F275:AC275)</f>
        <v>0</v>
      </c>
      <c r="AF275" s="115"/>
      <c r="AG275" s="115"/>
    </row>
    <row r="276" spans="1:33" hidden="1" outlineLevel="2" x14ac:dyDescent="0.2">
      <c r="A276" s="23" t="str">
        <f ca="1">Language!A$364</f>
        <v xml:space="preserve">    НДС к выручке от реализации актива</v>
      </c>
      <c r="B276" s="272">
        <f>VAT</f>
        <v>0.23</v>
      </c>
      <c r="C276" s="5" t="str">
        <f t="shared" ca="1" si="497"/>
        <v>тыс. EUR</v>
      </c>
      <c r="F276" s="43">
        <f t="shared" ref="F276:T276" si="553">F274*$B276</f>
        <v>0</v>
      </c>
      <c r="G276" s="43">
        <f t="shared" si="553"/>
        <v>0</v>
      </c>
      <c r="H276" s="43">
        <f t="shared" si="553"/>
        <v>0</v>
      </c>
      <c r="I276" s="43">
        <f t="shared" si="553"/>
        <v>0</v>
      </c>
      <c r="J276" s="43">
        <f t="shared" si="553"/>
        <v>0</v>
      </c>
      <c r="K276" s="43">
        <f t="shared" si="553"/>
        <v>0</v>
      </c>
      <c r="L276" s="43">
        <f t="shared" si="553"/>
        <v>0</v>
      </c>
      <c r="M276" s="43">
        <f t="shared" si="553"/>
        <v>0</v>
      </c>
      <c r="N276" s="43">
        <f t="shared" si="553"/>
        <v>0</v>
      </c>
      <c r="O276" s="43">
        <f t="shared" si="553"/>
        <v>0</v>
      </c>
      <c r="P276" s="43">
        <f t="shared" si="553"/>
        <v>0</v>
      </c>
      <c r="Q276" s="43">
        <f t="shared" si="553"/>
        <v>0</v>
      </c>
      <c r="R276" s="43">
        <f t="shared" si="553"/>
        <v>0</v>
      </c>
      <c r="S276" s="43">
        <f t="shared" si="553"/>
        <v>0</v>
      </c>
      <c r="T276" s="43">
        <f t="shared" si="553"/>
        <v>0</v>
      </c>
      <c r="U276" s="43">
        <f t="shared" ref="U276" si="554">U274*$B276</f>
        <v>0</v>
      </c>
      <c r="V276" s="43">
        <f t="shared" ref="V276" si="555">V274*$B276</f>
        <v>0</v>
      </c>
      <c r="W276" s="43">
        <f t="shared" ref="W276" si="556">W274*$B276</f>
        <v>0</v>
      </c>
      <c r="X276" s="43">
        <f t="shared" ref="X276" si="557">X274*$B276</f>
        <v>0</v>
      </c>
      <c r="Y276" s="43">
        <f t="shared" ref="Y276" si="558">Y274*$B276</f>
        <v>0</v>
      </c>
      <c r="Z276" s="43">
        <f t="shared" ref="Z276" si="559">Z274*$B276</f>
        <v>0</v>
      </c>
      <c r="AA276" s="43">
        <f t="shared" ref="AA276" si="560">AA274*$B276</f>
        <v>0</v>
      </c>
      <c r="AB276" s="43">
        <f t="shared" ref="AB276:AC276" si="561">AB274*$B276</f>
        <v>0</v>
      </c>
      <c r="AC276" s="43">
        <f t="shared" si="561"/>
        <v>0</v>
      </c>
      <c r="AE276" s="54">
        <f>SUM(F276:AC276)</f>
        <v>0</v>
      </c>
      <c r="AF276" s="115"/>
      <c r="AG276" s="115"/>
    </row>
    <row r="277" spans="1:33" hidden="1" outlineLevel="1" x14ac:dyDescent="0.2">
      <c r="A277" s="35"/>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E277" s="54"/>
      <c r="AF277" s="115"/>
      <c r="AG277" s="115"/>
    </row>
    <row r="278" spans="1:33" hidden="1" outlineLevel="1" x14ac:dyDescent="0.2">
      <c r="A278" s="139"/>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4"/>
      <c r="AF278" s="115"/>
      <c r="AG278" s="115"/>
    </row>
    <row r="279" spans="1:33" hidden="1" outlineLevel="1" x14ac:dyDescent="0.2">
      <c r="A279" s="35"/>
      <c r="AF279" s="115"/>
      <c r="AG279" s="115"/>
    </row>
    <row r="280" spans="1:33" s="4" customFormat="1" ht="15.95" customHeight="1" thickTop="1" thickBot="1" x14ac:dyDescent="0.25">
      <c r="A280" s="165" t="str">
        <f ca="1">Language!A371</f>
        <v xml:space="preserve">         ИНВЕСТИЦИИ ПРОЕКТА</v>
      </c>
      <c r="B280" s="165"/>
      <c r="C280" s="165"/>
      <c r="D280" s="165"/>
      <c r="E280" s="165"/>
      <c r="F280" s="177" t="str">
        <f t="shared" ref="F280:AC280" ca="1" si="562">PeriodTitle</f>
        <v>1 кв. 2016</v>
      </c>
      <c r="G280" s="177" t="str">
        <f t="shared" ca="1" si="562"/>
        <v>2 кв. 2016</v>
      </c>
      <c r="H280" s="177" t="str">
        <f t="shared" ca="1" si="562"/>
        <v>3 кв. 2016</v>
      </c>
      <c r="I280" s="177" t="str">
        <f t="shared" ca="1" si="562"/>
        <v>4 кв. 2016</v>
      </c>
      <c r="J280" s="177" t="str">
        <f t="shared" ca="1" si="562"/>
        <v>1 кв. 2017</v>
      </c>
      <c r="K280" s="177" t="str">
        <f t="shared" ca="1" si="562"/>
        <v>2 кв. 2017</v>
      </c>
      <c r="L280" s="177" t="str">
        <f t="shared" ca="1" si="562"/>
        <v>3 кв. 2017</v>
      </c>
      <c r="M280" s="177" t="str">
        <f t="shared" ca="1" si="562"/>
        <v>4 кв. 2017</v>
      </c>
      <c r="N280" s="177" t="str">
        <f t="shared" ca="1" si="562"/>
        <v>1 кв. 2018</v>
      </c>
      <c r="O280" s="177" t="str">
        <f t="shared" ca="1" si="562"/>
        <v>2 кв. 2018</v>
      </c>
      <c r="P280" s="177" t="str">
        <f t="shared" ca="1" si="562"/>
        <v>3 кв. 2018</v>
      </c>
      <c r="Q280" s="177" t="str">
        <f t="shared" ca="1" si="562"/>
        <v>4 кв. 2018</v>
      </c>
      <c r="R280" s="177" t="str">
        <f t="shared" ca="1" si="562"/>
        <v>1 кв. 2019</v>
      </c>
      <c r="S280" s="177" t="str">
        <f t="shared" ca="1" si="562"/>
        <v>2 кв. 2019</v>
      </c>
      <c r="T280" s="177" t="str">
        <f t="shared" ca="1" si="562"/>
        <v>3 кв. 2019</v>
      </c>
      <c r="U280" s="177" t="str">
        <f t="shared" ca="1" si="562"/>
        <v>4 кв. 2019</v>
      </c>
      <c r="V280" s="177" t="str">
        <f t="shared" ca="1" si="562"/>
        <v>1 кв. 2020</v>
      </c>
      <c r="W280" s="177" t="str">
        <f t="shared" ca="1" si="562"/>
        <v>2 кв. 2020</v>
      </c>
      <c r="X280" s="177" t="str">
        <f t="shared" ca="1" si="562"/>
        <v>3 кв. 2020</v>
      </c>
      <c r="Y280" s="177" t="str">
        <f t="shared" ca="1" si="562"/>
        <v>4 кв. 2020</v>
      </c>
      <c r="Z280" s="177" t="str">
        <f t="shared" ca="1" si="562"/>
        <v>1 кв. 2021</v>
      </c>
      <c r="AA280" s="177" t="str">
        <f t="shared" ca="1" si="562"/>
        <v>2 кв. 2021</v>
      </c>
      <c r="AB280" s="177" t="str">
        <f t="shared" ca="1" si="562"/>
        <v>3 кв. 2021</v>
      </c>
      <c r="AC280" s="177" t="str">
        <f t="shared" ca="1" si="562"/>
        <v>4 кв. 2021</v>
      </c>
      <c r="AD280" s="165"/>
      <c r="AE280" s="194" t="str">
        <f ca="1">Language!$A$372</f>
        <v>ИТОГО</v>
      </c>
      <c r="AF280" s="142"/>
      <c r="AG280" s="142"/>
    </row>
    <row r="281" spans="1:33" ht="12" outlineLevel="1" thickTop="1" x14ac:dyDescent="0.2">
      <c r="A281" s="35"/>
      <c r="AF281" s="115"/>
      <c r="AG281" s="115"/>
    </row>
    <row r="282" spans="1:33" outlineLevel="1" x14ac:dyDescent="0.2">
      <c r="A282" s="35" t="str">
        <f ca="1">Language!A$379</f>
        <v>Земельные участки</v>
      </c>
      <c r="D282">
        <v>1</v>
      </c>
      <c r="E282" s="48">
        <v>13</v>
      </c>
      <c r="AF282" s="115"/>
      <c r="AG282" s="115"/>
    </row>
    <row r="283" spans="1:33" s="23" customFormat="1" outlineLevel="1" x14ac:dyDescent="0.2">
      <c r="A283" s="273" t="str">
        <f>Инвестиции!A12</f>
        <v>Покупка земли (2 га)</v>
      </c>
      <c r="B283" s="36" t="str">
        <f ca="1">Language!A$73</f>
        <v>Валюта</v>
      </c>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E283" s="39"/>
    </row>
    <row r="284" spans="1:33" s="23" customFormat="1" outlineLevel="1" collapsed="1" x14ac:dyDescent="0.2">
      <c r="A284" t="str">
        <f ca="1">Language!A$381</f>
        <v xml:space="preserve">    величина платежей</v>
      </c>
      <c r="B284" s="254">
        <v>1</v>
      </c>
      <c r="C284" s="40" t="str">
        <f ca="1">CHOOSE(B284,CUR_Main,CUR_Foreign)</f>
        <v>тыс. EUR</v>
      </c>
      <c r="D284" s="16" t="str">
        <f>TEXT(B284,"0")&amp;"_00"</f>
        <v>1_00</v>
      </c>
      <c r="F284" s="275">
        <v>0</v>
      </c>
      <c r="G284" s="275">
        <v>0</v>
      </c>
      <c r="H284" s="275">
        <f>Инвестиции!C12/1000</f>
        <v>200</v>
      </c>
      <c r="I284" s="275">
        <v>0</v>
      </c>
      <c r="J284" s="275">
        <v>0</v>
      </c>
      <c r="K284" s="275">
        <v>0</v>
      </c>
      <c r="L284" s="275">
        <v>0</v>
      </c>
      <c r="M284" s="275">
        <v>0</v>
      </c>
      <c r="N284" s="275">
        <v>0</v>
      </c>
      <c r="O284" s="275">
        <v>0</v>
      </c>
      <c r="P284" s="275">
        <v>0</v>
      </c>
      <c r="Q284" s="275">
        <v>0</v>
      </c>
      <c r="R284" s="275">
        <v>0</v>
      </c>
      <c r="S284" s="275">
        <v>0</v>
      </c>
      <c r="T284" s="275">
        <v>0</v>
      </c>
      <c r="U284" s="275">
        <v>0</v>
      </c>
      <c r="V284" s="275">
        <v>0</v>
      </c>
      <c r="W284" s="275">
        <v>0</v>
      </c>
      <c r="X284" s="275">
        <v>0</v>
      </c>
      <c r="Y284" s="275">
        <v>0</v>
      </c>
      <c r="Z284" s="275">
        <v>0</v>
      </c>
      <c r="AA284" s="275">
        <v>0</v>
      </c>
      <c r="AB284" s="275">
        <v>0</v>
      </c>
      <c r="AC284" s="275">
        <v>0</v>
      </c>
      <c r="AE284" s="54">
        <f>SUM(F284:AC284)</f>
        <v>200</v>
      </c>
    </row>
    <row r="285" spans="1:33" s="23" customFormat="1" hidden="1" outlineLevel="2" x14ac:dyDescent="0.2">
      <c r="A285" t="str">
        <f ca="1">Language!A$384</f>
        <v xml:space="preserve">    ранее осуществленные инвестиции (без НДС)</v>
      </c>
      <c r="B285" s="274">
        <f>F45*IF(B$37=1,1,F$88)</f>
        <v>0</v>
      </c>
      <c r="C285" s="40" t="str">
        <f ca="1">CUR_Main</f>
        <v>тыс. EUR</v>
      </c>
      <c r="D285" s="23" t="s">
        <v>1227</v>
      </c>
      <c r="AE285" s="11"/>
    </row>
    <row r="286" spans="1:33" s="23" customFormat="1" hidden="1" outlineLevel="2" x14ac:dyDescent="0.2">
      <c r="A286" t="str">
        <f ca="1">Language!A$385</f>
        <v xml:space="preserve">    поставить на баланс с</v>
      </c>
      <c r="B286" s="270">
        <v>5</v>
      </c>
      <c r="C286" s="40" t="str">
        <f ca="1">Language!A$377</f>
        <v>периода</v>
      </c>
      <c r="AE286" s="11"/>
    </row>
    <row r="287" spans="1:33" s="23" customFormat="1" hidden="1" outlineLevel="2" x14ac:dyDescent="0.2">
      <c r="A287" t="str">
        <f ca="1">Language!A$386</f>
        <v xml:space="preserve">    сумма платежей без НДС</v>
      </c>
      <c r="C287" s="40" t="str">
        <f t="shared" ref="C287:C295" ca="1" si="563">CUR_Main</f>
        <v>тыс. EUR</v>
      </c>
      <c r="D287" s="23" t="s">
        <v>2441</v>
      </c>
      <c r="F287" s="84">
        <f t="shared" ref="F287:T287" si="564">F284*IF($B284=1,1,F$88)</f>
        <v>0</v>
      </c>
      <c r="G287" s="84">
        <f t="shared" si="564"/>
        <v>0</v>
      </c>
      <c r="H287" s="84">
        <f t="shared" si="564"/>
        <v>200</v>
      </c>
      <c r="I287" s="84">
        <f t="shared" si="564"/>
        <v>0</v>
      </c>
      <c r="J287" s="84">
        <f t="shared" si="564"/>
        <v>0</v>
      </c>
      <c r="K287" s="84">
        <f t="shared" si="564"/>
        <v>0</v>
      </c>
      <c r="L287" s="84">
        <f t="shared" si="564"/>
        <v>0</v>
      </c>
      <c r="M287" s="84">
        <f t="shared" si="564"/>
        <v>0</v>
      </c>
      <c r="N287" s="84">
        <f t="shared" si="564"/>
        <v>0</v>
      </c>
      <c r="O287" s="84">
        <f t="shared" si="564"/>
        <v>0</v>
      </c>
      <c r="P287" s="84">
        <f t="shared" si="564"/>
        <v>0</v>
      </c>
      <c r="Q287" s="84">
        <f t="shared" si="564"/>
        <v>0</v>
      </c>
      <c r="R287" s="84">
        <f t="shared" si="564"/>
        <v>0</v>
      </c>
      <c r="S287" s="84">
        <f t="shared" si="564"/>
        <v>0</v>
      </c>
      <c r="T287" s="84">
        <f t="shared" si="564"/>
        <v>0</v>
      </c>
      <c r="U287" s="84">
        <f t="shared" ref="U287" si="565">U284*IF($B284=1,1,U$88)</f>
        <v>0</v>
      </c>
      <c r="V287" s="84">
        <f t="shared" ref="V287" si="566">V284*IF($B284=1,1,V$88)</f>
        <v>0</v>
      </c>
      <c r="W287" s="84">
        <f t="shared" ref="W287" si="567">W284*IF($B284=1,1,W$88)</f>
        <v>0</v>
      </c>
      <c r="X287" s="84">
        <f t="shared" ref="X287" si="568">X284*IF($B284=1,1,X$88)</f>
        <v>0</v>
      </c>
      <c r="Y287" s="84">
        <f t="shared" ref="Y287" si="569">Y284*IF($B284=1,1,Y$88)</f>
        <v>0</v>
      </c>
      <c r="Z287" s="84">
        <f t="shared" ref="Z287" si="570">Z284*IF($B284=1,1,Z$88)</f>
        <v>0</v>
      </c>
      <c r="AA287" s="84">
        <f t="shared" ref="AA287" si="571">AA284*IF($B284=1,1,AA$88)</f>
        <v>0</v>
      </c>
      <c r="AB287" s="84">
        <f t="shared" ref="AB287:AC287" si="572">AB284*IF($B284=1,1,AB$88)</f>
        <v>0</v>
      </c>
      <c r="AC287" s="84">
        <f t="shared" si="572"/>
        <v>0</v>
      </c>
      <c r="AE287" s="54">
        <f>SUM(F287:AC287)</f>
        <v>200</v>
      </c>
    </row>
    <row r="288" spans="1:33" s="23" customFormat="1" hidden="1" outlineLevel="2" x14ac:dyDescent="0.2">
      <c r="A288" t="str">
        <f ca="1">Language!A$387</f>
        <v xml:space="preserve">    общая стоимость актива (без НДС)</v>
      </c>
      <c r="B288" s="55">
        <f>AE287+B285</f>
        <v>200</v>
      </c>
      <c r="C288" s="40" t="str">
        <f t="shared" ca="1" si="563"/>
        <v>тыс. EUR</v>
      </c>
      <c r="AE288" s="11"/>
    </row>
    <row r="289" spans="1:33" s="23" customFormat="1" hidden="1" outlineLevel="2" x14ac:dyDescent="0.2">
      <c r="A289" t="str">
        <f ca="1">Language!A$388</f>
        <v xml:space="preserve">    полная сумма вложений в актив (без НДС)</v>
      </c>
      <c r="C289" s="40" t="str">
        <f t="shared" ca="1" si="563"/>
        <v>тыс. EUR</v>
      </c>
      <c r="D289" s="23" t="s">
        <v>840</v>
      </c>
      <c r="F289" s="53">
        <f>B285+F287</f>
        <v>0</v>
      </c>
      <c r="G289" s="53">
        <f t="shared" ref="G289:AC289" si="573">F289+G287</f>
        <v>0</v>
      </c>
      <c r="H289" s="53">
        <f t="shared" si="573"/>
        <v>200</v>
      </c>
      <c r="I289" s="53">
        <f t="shared" si="573"/>
        <v>200</v>
      </c>
      <c r="J289" s="53">
        <f t="shared" si="573"/>
        <v>200</v>
      </c>
      <c r="K289" s="53">
        <f t="shared" si="573"/>
        <v>200</v>
      </c>
      <c r="L289" s="53">
        <f t="shared" si="573"/>
        <v>200</v>
      </c>
      <c r="M289" s="53">
        <f t="shared" si="573"/>
        <v>200</v>
      </c>
      <c r="N289" s="53">
        <f t="shared" si="573"/>
        <v>200</v>
      </c>
      <c r="O289" s="53">
        <f t="shared" si="573"/>
        <v>200</v>
      </c>
      <c r="P289" s="53">
        <f t="shared" si="573"/>
        <v>200</v>
      </c>
      <c r="Q289" s="53">
        <f t="shared" si="573"/>
        <v>200</v>
      </c>
      <c r="R289" s="53">
        <f t="shared" si="573"/>
        <v>200</v>
      </c>
      <c r="S289" s="53">
        <f t="shared" si="573"/>
        <v>200</v>
      </c>
      <c r="T289" s="53">
        <f t="shared" si="573"/>
        <v>200</v>
      </c>
      <c r="U289" s="53">
        <f t="shared" si="573"/>
        <v>200</v>
      </c>
      <c r="V289" s="53">
        <f t="shared" si="573"/>
        <v>200</v>
      </c>
      <c r="W289" s="53">
        <f t="shared" si="573"/>
        <v>200</v>
      </c>
      <c r="X289" s="53">
        <f t="shared" si="573"/>
        <v>200</v>
      </c>
      <c r="Y289" s="53">
        <f t="shared" si="573"/>
        <v>200</v>
      </c>
      <c r="Z289" s="53">
        <f t="shared" si="573"/>
        <v>200</v>
      </c>
      <c r="AA289" s="53">
        <f t="shared" si="573"/>
        <v>200</v>
      </c>
      <c r="AB289" s="53">
        <f t="shared" si="573"/>
        <v>200</v>
      </c>
      <c r="AC289" s="53">
        <f t="shared" si="573"/>
        <v>200</v>
      </c>
      <c r="AE289" s="54"/>
    </row>
    <row r="290" spans="1:33" s="23" customFormat="1" hidden="1" outlineLevel="2" x14ac:dyDescent="0.2">
      <c r="A290" t="str">
        <f ca="1">Language!A$389</f>
        <v xml:space="preserve">    полная балансовая стоимость</v>
      </c>
      <c r="C290" s="40" t="str">
        <f t="shared" ca="1" si="563"/>
        <v>тыс. EUR</v>
      </c>
      <c r="D290" s="23" t="s">
        <v>841</v>
      </c>
      <c r="F290" s="53">
        <f>IF($B286&lt;=F$29,IF(SUM($E294:F294)&gt;0.01,0,$B288),0)</f>
        <v>0</v>
      </c>
      <c r="G290" s="53">
        <f>IF($B286&lt;=G$29,IF(SUM($E294:G294)&gt;0.01,0,$B288),0)</f>
        <v>0</v>
      </c>
      <c r="H290" s="53">
        <f>IF($B286&lt;=H$29,IF(SUM($E294:H294)&gt;0.01,0,$B288),0)</f>
        <v>0</v>
      </c>
      <c r="I290" s="53">
        <f>IF($B286&lt;=I$29,IF(SUM($E294:I294)&gt;0.01,0,$B288),0)</f>
        <v>0</v>
      </c>
      <c r="J290" s="53">
        <f>IF($B286&lt;=J$29,IF(SUM($E294:J294)&gt;0.01,0,$B288),0)</f>
        <v>200</v>
      </c>
      <c r="K290" s="53">
        <f>IF($B286&lt;=K$29,IF(SUM($E294:K294)&gt;0.01,0,$B288),0)</f>
        <v>200</v>
      </c>
      <c r="L290" s="53">
        <f>IF($B286&lt;=L$29,IF(SUM($E294:L294)&gt;0.01,0,$B288),0)</f>
        <v>200</v>
      </c>
      <c r="M290" s="53">
        <f>IF($B286&lt;=M$29,IF(SUM($E294:M294)&gt;0.01,0,$B288),0)</f>
        <v>200</v>
      </c>
      <c r="N290" s="53">
        <f>IF($B286&lt;=N$29,IF(SUM($E294:N294)&gt;0.01,0,$B288),0)</f>
        <v>200</v>
      </c>
      <c r="O290" s="53">
        <f>IF($B286&lt;=O$29,IF(SUM($E294:O294)&gt;0.01,0,$B288),0)</f>
        <v>200</v>
      </c>
      <c r="P290" s="53">
        <f>IF($B286&lt;=P$29,IF(SUM($E294:P294)&gt;0.01,0,$B288),0)</f>
        <v>200</v>
      </c>
      <c r="Q290" s="53">
        <f>IF($B286&lt;=Q$29,IF(SUM($E294:Q294)&gt;0.01,0,$B288),0)</f>
        <v>200</v>
      </c>
      <c r="R290" s="53">
        <f>IF($B286&lt;=R$29,IF(SUM($E294:R294)&gt;0.01,0,$B288),0)</f>
        <v>200</v>
      </c>
      <c r="S290" s="53">
        <f>IF($B286&lt;=S$29,IF(SUM($E294:S294)&gt;0.01,0,$B288),0)</f>
        <v>200</v>
      </c>
      <c r="T290" s="53">
        <f>IF($B286&lt;=T$29,IF(SUM($E294:T294)&gt;0.01,0,$B288),0)</f>
        <v>200</v>
      </c>
      <c r="U290" s="53">
        <f>IF($B286&lt;=U$29,IF(SUM($E294:U294)&gt;0.01,0,$B288),0)</f>
        <v>200</v>
      </c>
      <c r="V290" s="53">
        <f>IF($B286&lt;=V$29,IF(SUM($E294:V294)&gt;0.01,0,$B288),0)</f>
        <v>200</v>
      </c>
      <c r="W290" s="53">
        <f>IF($B286&lt;=W$29,IF(SUM($E294:W294)&gt;0.01,0,$B288),0)</f>
        <v>200</v>
      </c>
      <c r="X290" s="53">
        <f>IF($B286&lt;=X$29,IF(SUM($E294:X294)&gt;0.01,0,$B288),0)</f>
        <v>200</v>
      </c>
      <c r="Y290" s="53">
        <f>IF($B286&lt;=Y$29,IF(SUM($E294:Y294)&gt;0.01,0,$B288),0)</f>
        <v>200</v>
      </c>
      <c r="Z290" s="53">
        <f>IF($B286&lt;=Z$29,IF(SUM($E294:Z294)&gt;0.01,0,$B288),0)</f>
        <v>200</v>
      </c>
      <c r="AA290" s="53">
        <f>IF($B286&lt;=AA$29,IF(SUM($E294:AA294)&gt;0.01,0,$B288),0)</f>
        <v>200</v>
      </c>
      <c r="AB290" s="53">
        <f>IF($B286&lt;=AB$29,IF(SUM($E294:AB294)&gt;0.01,0,$B288),0)</f>
        <v>200</v>
      </c>
      <c r="AC290" s="53">
        <f>IF($B286&lt;=AC$29,IF(SUM($E294:AC294)&gt;0.01,0,$B288),0)</f>
        <v>200</v>
      </c>
      <c r="AE290" s="11"/>
    </row>
    <row r="291" spans="1:33" s="23" customFormat="1" hidden="1" outlineLevel="2" x14ac:dyDescent="0.2">
      <c r="A291" t="str">
        <f ca="1">Language!A$390</f>
        <v xml:space="preserve">    незавершенные инвестиции</v>
      </c>
      <c r="C291" s="40" t="str">
        <f t="shared" ca="1" si="563"/>
        <v>тыс. EUR</v>
      </c>
      <c r="D291" s="23" t="s">
        <v>844</v>
      </c>
      <c r="F291" s="53">
        <f>IF(SUM($E294:F294)&gt;0,0,IF($B286&gt;F$29,F289,0))</f>
        <v>0</v>
      </c>
      <c r="G291" s="53">
        <f>IF(SUM($E294:G294)&gt;0,0,IF($B286&gt;G$29,G289,0))</f>
        <v>0</v>
      </c>
      <c r="H291" s="53">
        <f>IF(SUM($E294:H294)&gt;0,0,IF($B286&gt;H$29,H289,0))</f>
        <v>200</v>
      </c>
      <c r="I291" s="53">
        <f>IF(SUM($E294:I294)&gt;0,0,IF($B286&gt;I$29,I289,0))</f>
        <v>200</v>
      </c>
      <c r="J291" s="53">
        <f>IF(SUM($E294:J294)&gt;0,0,IF($B286&gt;J$29,J289,0))</f>
        <v>0</v>
      </c>
      <c r="K291" s="53">
        <f>IF(SUM($E294:K294)&gt;0,0,IF($B286&gt;K$29,K289,0))</f>
        <v>0</v>
      </c>
      <c r="L291" s="53">
        <f>IF(SUM($E294:L294)&gt;0,0,IF($B286&gt;L$29,L289,0))</f>
        <v>0</v>
      </c>
      <c r="M291" s="53">
        <f>IF(SUM($E294:M294)&gt;0,0,IF($B286&gt;M$29,M289,0))</f>
        <v>0</v>
      </c>
      <c r="N291" s="53">
        <f>IF(SUM($E294:N294)&gt;0,0,IF($B286&gt;N$29,N289,0))</f>
        <v>0</v>
      </c>
      <c r="O291" s="53">
        <f>IF(SUM($E294:O294)&gt;0,0,IF($B286&gt;O$29,O289,0))</f>
        <v>0</v>
      </c>
      <c r="P291" s="53">
        <f>IF(SUM($E294:P294)&gt;0,0,IF($B286&gt;P$29,P289,0))</f>
        <v>0</v>
      </c>
      <c r="Q291" s="53">
        <f>IF(SUM($E294:Q294)&gt;0,0,IF($B286&gt;Q$29,Q289,0))</f>
        <v>0</v>
      </c>
      <c r="R291" s="53">
        <f>IF(SUM($E294:R294)&gt;0,0,IF($B286&gt;R$29,R289,0))</f>
        <v>0</v>
      </c>
      <c r="S291" s="53">
        <f>IF(SUM($E294:S294)&gt;0,0,IF($B286&gt;S$29,S289,0))</f>
        <v>0</v>
      </c>
      <c r="T291" s="53">
        <f>IF(SUM($E294:T294)&gt;0,0,IF($B286&gt;T$29,T289,0))</f>
        <v>0</v>
      </c>
      <c r="U291" s="53">
        <f>IF(SUM($E294:U294)&gt;0,0,IF($B286&gt;U$29,U289,0))</f>
        <v>0</v>
      </c>
      <c r="V291" s="53">
        <f>IF(SUM($E294:V294)&gt;0,0,IF($B286&gt;V$29,V289,0))</f>
        <v>0</v>
      </c>
      <c r="W291" s="53">
        <f>IF(SUM($E294:W294)&gt;0,0,IF($B286&gt;W$29,W289,0))</f>
        <v>0</v>
      </c>
      <c r="X291" s="53">
        <f>IF(SUM($E294:X294)&gt;0,0,IF($B286&gt;X$29,X289,0))</f>
        <v>0</v>
      </c>
      <c r="Y291" s="53">
        <f>IF(SUM($E294:Y294)&gt;0,0,IF($B286&gt;Y$29,Y289,0))</f>
        <v>0</v>
      </c>
      <c r="Z291" s="53">
        <f>IF(SUM($E294:Z294)&gt;0,0,IF($B286&gt;Z$29,Z289,0))</f>
        <v>0</v>
      </c>
      <c r="AA291" s="53">
        <f>IF(SUM($E294:AA294)&gt;0,0,IF($B286&gt;AA$29,AA289,0))</f>
        <v>0</v>
      </c>
      <c r="AB291" s="53">
        <f>IF(SUM($E294:AB294)&gt;0,0,IF($B286&gt;AB$29,AB289,0))</f>
        <v>0</v>
      </c>
      <c r="AC291" s="53">
        <f>IF(SUM($E294:AC294)&gt;0,0,IF($B286&gt;AC$29,AC289,0))</f>
        <v>0</v>
      </c>
      <c r="AE291" s="11"/>
    </row>
    <row r="292" spans="1:33" s="23" customFormat="1" hidden="1" outlineLevel="2" x14ac:dyDescent="0.2">
      <c r="A292" t="str">
        <f ca="1">Language!A$391</f>
        <v xml:space="preserve">    кредиторская задолженность</v>
      </c>
      <c r="C292" s="40" t="str">
        <f t="shared" ca="1" si="563"/>
        <v>тыс. EUR</v>
      </c>
      <c r="D292" s="23" t="s">
        <v>845</v>
      </c>
      <c r="F292" s="53">
        <f>IF(OR($B286&lt;=F$29,AND(SUM($F294:F294)&gt;0,$B286&gt;F$29)),$B288-F289,0)</f>
        <v>0</v>
      </c>
      <c r="G292" s="53">
        <f>IF(OR($B286&lt;=G$29,AND(SUM($F294:G294)&gt;0,$B286&gt;G$29)),$B288-G289,0)</f>
        <v>0</v>
      </c>
      <c r="H292" s="53">
        <f>IF(OR($B286&lt;=H$29,AND(SUM($F294:H294)&gt;0,$B286&gt;H$29)),$B288-H289,0)</f>
        <v>0</v>
      </c>
      <c r="I292" s="53">
        <f>IF(OR($B286&lt;=I$29,AND(SUM($F294:I294)&gt;0,$B286&gt;I$29)),$B288-I289,0)</f>
        <v>0</v>
      </c>
      <c r="J292" s="53">
        <f>IF(OR($B286&lt;=J$29,AND(SUM($F294:J294)&gt;0,$B286&gt;J$29)),$B288-J289,0)</f>
        <v>0</v>
      </c>
      <c r="K292" s="53">
        <f>IF(OR($B286&lt;=K$29,AND(SUM($F294:K294)&gt;0,$B286&gt;K$29)),$B288-K289,0)</f>
        <v>0</v>
      </c>
      <c r="L292" s="53">
        <f>IF(OR($B286&lt;=L$29,AND(SUM($F294:L294)&gt;0,$B286&gt;L$29)),$B288-L289,0)</f>
        <v>0</v>
      </c>
      <c r="M292" s="53">
        <f>IF(OR($B286&lt;=M$29,AND(SUM($F294:M294)&gt;0,$B286&gt;M$29)),$B288-M289,0)</f>
        <v>0</v>
      </c>
      <c r="N292" s="53">
        <f>IF(OR($B286&lt;=N$29,AND(SUM($F294:N294)&gt;0,$B286&gt;N$29)),$B288-N289,0)</f>
        <v>0</v>
      </c>
      <c r="O292" s="53">
        <f>IF(OR($B286&lt;=O$29,AND(SUM($F294:O294)&gt;0,$B286&gt;O$29)),$B288-O289,0)</f>
        <v>0</v>
      </c>
      <c r="P292" s="53">
        <f>IF(OR($B286&lt;=P$29,AND(SUM($F294:P294)&gt;0,$B286&gt;P$29)),$B288-P289,0)</f>
        <v>0</v>
      </c>
      <c r="Q292" s="53">
        <f>IF(OR($B286&lt;=Q$29,AND(SUM($F294:Q294)&gt;0,$B286&gt;Q$29)),$B288-Q289,0)</f>
        <v>0</v>
      </c>
      <c r="R292" s="53">
        <f>IF(OR($B286&lt;=R$29,AND(SUM($F294:R294)&gt;0,$B286&gt;R$29)),$B288-R289,0)</f>
        <v>0</v>
      </c>
      <c r="S292" s="53">
        <f>IF(OR($B286&lt;=S$29,AND(SUM($F294:S294)&gt;0,$B286&gt;S$29)),$B288-S289,0)</f>
        <v>0</v>
      </c>
      <c r="T292" s="53">
        <f>IF(OR($B286&lt;=T$29,AND(SUM($F294:T294)&gt;0,$B286&gt;T$29)),$B288-T289,0)</f>
        <v>0</v>
      </c>
      <c r="U292" s="53">
        <f>IF(OR($B286&lt;=U$29,AND(SUM($F294:U294)&gt;0,$B286&gt;U$29)),$B288-U289,0)</f>
        <v>0</v>
      </c>
      <c r="V292" s="53">
        <f>IF(OR($B286&lt;=V$29,AND(SUM($F294:V294)&gt;0,$B286&gt;V$29)),$B288-V289,0)</f>
        <v>0</v>
      </c>
      <c r="W292" s="53">
        <f>IF(OR($B286&lt;=W$29,AND(SUM($F294:W294)&gt;0,$B286&gt;W$29)),$B288-W289,0)</f>
        <v>0</v>
      </c>
      <c r="X292" s="53">
        <f>IF(OR($B286&lt;=X$29,AND(SUM($F294:X294)&gt;0,$B286&gt;X$29)),$B288-X289,0)</f>
        <v>0</v>
      </c>
      <c r="Y292" s="53">
        <f>IF(OR($B286&lt;=Y$29,AND(SUM($F294:Y294)&gt;0,$B286&gt;Y$29)),$B288-Y289,0)</f>
        <v>0</v>
      </c>
      <c r="Z292" s="53">
        <f>IF(OR($B286&lt;=Z$29,AND(SUM($F294:Z294)&gt;0,$B286&gt;Z$29)),$B288-Z289,0)</f>
        <v>0</v>
      </c>
      <c r="AA292" s="53">
        <f>IF(OR($B286&lt;=AA$29,AND(SUM($F294:AA294)&gt;0,$B286&gt;AA$29)),$B288-AA289,0)</f>
        <v>0</v>
      </c>
      <c r="AB292" s="53">
        <f>IF(OR($B286&lt;=AB$29,AND(SUM($F294:AB294)&gt;0,$B286&gt;AB$29)),$B288-AB289,0)</f>
        <v>0</v>
      </c>
      <c r="AC292" s="53">
        <f>IF(OR($B286&lt;=AC$29,AND(SUM($F294:AC294)&gt;0,$B286&gt;AC$29)),$B288-AC289,0)</f>
        <v>0</v>
      </c>
      <c r="AE292" s="11"/>
    </row>
    <row r="293" spans="1:33" s="23" customFormat="1" hidden="1" outlineLevel="2" x14ac:dyDescent="0.2">
      <c r="A293" t="str">
        <f ca="1">Language!A$392</f>
        <v xml:space="preserve">    остаточная стоимость</v>
      </c>
      <c r="C293" s="40" t="str">
        <f t="shared" ca="1" si="563"/>
        <v>тыс. EUR</v>
      </c>
      <c r="D293" s="132" t="s">
        <v>843</v>
      </c>
      <c r="F293" s="43">
        <f>IF(SUM($E294:F294)&gt;0.01,0,F290)</f>
        <v>0</v>
      </c>
      <c r="G293" s="43">
        <f>IF(SUM($E294:G294)&gt;0.01,0,G290)</f>
        <v>0</v>
      </c>
      <c r="H293" s="43">
        <f>IF(SUM($E294:H294)&gt;0.01,0,H290)</f>
        <v>0</v>
      </c>
      <c r="I293" s="43">
        <f>IF(SUM($E294:I294)&gt;0.01,0,I290)</f>
        <v>0</v>
      </c>
      <c r="J293" s="43">
        <f>IF(SUM($E294:J294)&gt;0.01,0,J290)</f>
        <v>200</v>
      </c>
      <c r="K293" s="43">
        <f>IF(SUM($E294:K294)&gt;0.01,0,K290)</f>
        <v>200</v>
      </c>
      <c r="L293" s="43">
        <f>IF(SUM($E294:L294)&gt;0.01,0,L290)</f>
        <v>200</v>
      </c>
      <c r="M293" s="43">
        <f>IF(SUM($E294:M294)&gt;0.01,0,M290)</f>
        <v>200</v>
      </c>
      <c r="N293" s="43">
        <f>IF(SUM($E294:N294)&gt;0.01,0,N290)</f>
        <v>200</v>
      </c>
      <c r="O293" s="43">
        <f>IF(SUM($E294:O294)&gt;0.01,0,O290)</f>
        <v>200</v>
      </c>
      <c r="P293" s="43">
        <f>IF(SUM($E294:P294)&gt;0.01,0,P290)</f>
        <v>200</v>
      </c>
      <c r="Q293" s="43">
        <f>IF(SUM($E294:Q294)&gt;0.01,0,Q290)</f>
        <v>200</v>
      </c>
      <c r="R293" s="43">
        <f>IF(SUM($E294:R294)&gt;0.01,0,R290)</f>
        <v>200</v>
      </c>
      <c r="S293" s="43">
        <f>IF(SUM($E294:S294)&gt;0.01,0,S290)</f>
        <v>200</v>
      </c>
      <c r="T293" s="43">
        <f>IF(SUM($E294:T294)&gt;0.01,0,T290)</f>
        <v>200</v>
      </c>
      <c r="U293" s="43">
        <f>IF(SUM($E294:U294)&gt;0.01,0,U290)</f>
        <v>200</v>
      </c>
      <c r="V293" s="43">
        <f>IF(SUM($E294:V294)&gt;0.01,0,V290)</f>
        <v>200</v>
      </c>
      <c r="W293" s="43">
        <f>IF(SUM($E294:W294)&gt;0.01,0,W290)</f>
        <v>200</v>
      </c>
      <c r="X293" s="43">
        <f>IF(SUM($E294:X294)&gt;0.01,0,X290)</f>
        <v>200</v>
      </c>
      <c r="Y293" s="43">
        <f>IF(SUM($E294:Y294)&gt;0.01,0,Y290)</f>
        <v>200</v>
      </c>
      <c r="Z293" s="43">
        <f>IF(SUM($E294:Z294)&gt;0.01,0,Z290)</f>
        <v>200</v>
      </c>
      <c r="AA293" s="43">
        <f>IF(SUM($E294:AA294)&gt;0.01,0,AA290)</f>
        <v>200</v>
      </c>
      <c r="AB293" s="43">
        <f>IF(SUM($E294:AB294)&gt;0.01,0,AB290)</f>
        <v>200</v>
      </c>
      <c r="AC293" s="43">
        <f>IF(SUM($E294:AC294)&gt;0.01,0,AC290)</f>
        <v>200</v>
      </c>
      <c r="AE293" s="11"/>
    </row>
    <row r="294" spans="1:33" s="23" customFormat="1" hidden="1" outlineLevel="2" x14ac:dyDescent="0.2">
      <c r="A294" s="63" t="str">
        <f ca="1">Language!A$362</f>
        <v xml:space="preserve">    реализация актива (без НДС)</v>
      </c>
      <c r="B294" s="111"/>
      <c r="C294" s="113" t="str">
        <f t="shared" ca="1" si="563"/>
        <v>тыс. EUR</v>
      </c>
      <c r="D294" s="23" t="s">
        <v>838</v>
      </c>
      <c r="E294" s="111"/>
      <c r="F294" s="271">
        <v>0</v>
      </c>
      <c r="G294" s="271">
        <v>0</v>
      </c>
      <c r="H294" s="271">
        <v>0</v>
      </c>
      <c r="I294" s="271">
        <v>0</v>
      </c>
      <c r="J294" s="271">
        <v>0</v>
      </c>
      <c r="K294" s="271">
        <v>0</v>
      </c>
      <c r="L294" s="271">
        <v>0</v>
      </c>
      <c r="M294" s="271">
        <v>0</v>
      </c>
      <c r="N294" s="271">
        <v>0</v>
      </c>
      <c r="O294" s="271">
        <v>0</v>
      </c>
      <c r="P294" s="271">
        <v>0</v>
      </c>
      <c r="Q294" s="271">
        <v>0</v>
      </c>
      <c r="R294" s="271">
        <v>0</v>
      </c>
      <c r="S294" s="271">
        <v>0</v>
      </c>
      <c r="T294" s="271">
        <v>0</v>
      </c>
      <c r="U294" s="271">
        <v>0</v>
      </c>
      <c r="V294" s="271">
        <v>0</v>
      </c>
      <c r="W294" s="271">
        <v>0</v>
      </c>
      <c r="X294" s="271">
        <v>0</v>
      </c>
      <c r="Y294" s="271">
        <v>0</v>
      </c>
      <c r="Z294" s="271">
        <v>0</v>
      </c>
      <c r="AA294" s="271">
        <v>0</v>
      </c>
      <c r="AB294" s="271">
        <v>0</v>
      </c>
      <c r="AC294" s="271">
        <v>0</v>
      </c>
      <c r="AE294" s="54">
        <f>SUM(F294:AC294)</f>
        <v>0</v>
      </c>
    </row>
    <row r="295" spans="1:33" s="23" customFormat="1" hidden="1" outlineLevel="2" x14ac:dyDescent="0.2">
      <c r="A295" s="19" t="str">
        <f ca="1">Language!A$363</f>
        <v xml:space="preserve">    прибыль/убыток от реализации актива</v>
      </c>
      <c r="B295" s="24"/>
      <c r="C295" s="114" t="str">
        <f t="shared" ca="1" si="563"/>
        <v>тыс. EUR</v>
      </c>
      <c r="D295" s="23" t="s">
        <v>839</v>
      </c>
      <c r="E295" s="24"/>
      <c r="F295" s="110">
        <f t="shared" ref="F295:AC295" si="574">IF(F294=0,0,F294-IF(F$29&lt;=$B286,$B288,E293))</f>
        <v>0</v>
      </c>
      <c r="G295" s="110">
        <f t="shared" si="574"/>
        <v>0</v>
      </c>
      <c r="H295" s="110">
        <f t="shared" si="574"/>
        <v>0</v>
      </c>
      <c r="I295" s="110">
        <f t="shared" si="574"/>
        <v>0</v>
      </c>
      <c r="J295" s="110">
        <f t="shared" si="574"/>
        <v>0</v>
      </c>
      <c r="K295" s="110">
        <f t="shared" si="574"/>
        <v>0</v>
      </c>
      <c r="L295" s="110">
        <f t="shared" si="574"/>
        <v>0</v>
      </c>
      <c r="M295" s="110">
        <f t="shared" si="574"/>
        <v>0</v>
      </c>
      <c r="N295" s="110">
        <f t="shared" si="574"/>
        <v>0</v>
      </c>
      <c r="O295" s="110">
        <f t="shared" si="574"/>
        <v>0</v>
      </c>
      <c r="P295" s="110">
        <f t="shared" si="574"/>
        <v>0</v>
      </c>
      <c r="Q295" s="110">
        <f t="shared" si="574"/>
        <v>0</v>
      </c>
      <c r="R295" s="110">
        <f t="shared" si="574"/>
        <v>0</v>
      </c>
      <c r="S295" s="110">
        <f t="shared" si="574"/>
        <v>0</v>
      </c>
      <c r="T295" s="110">
        <f t="shared" si="574"/>
        <v>0</v>
      </c>
      <c r="U295" s="110">
        <f t="shared" si="574"/>
        <v>0</v>
      </c>
      <c r="V295" s="110">
        <f t="shared" si="574"/>
        <v>0</v>
      </c>
      <c r="W295" s="110">
        <f t="shared" si="574"/>
        <v>0</v>
      </c>
      <c r="X295" s="110">
        <f t="shared" si="574"/>
        <v>0</v>
      </c>
      <c r="Y295" s="110">
        <f t="shared" si="574"/>
        <v>0</v>
      </c>
      <c r="Z295" s="110">
        <f t="shared" si="574"/>
        <v>0</v>
      </c>
      <c r="AA295" s="110">
        <f t="shared" si="574"/>
        <v>0</v>
      </c>
      <c r="AB295" s="110">
        <f t="shared" si="574"/>
        <v>0</v>
      </c>
      <c r="AC295" s="110">
        <f t="shared" si="574"/>
        <v>0</v>
      </c>
      <c r="AE295" s="54">
        <f>SUM(F295:AC295)</f>
        <v>0</v>
      </c>
    </row>
    <row r="296" spans="1:33" outlineLevel="1" x14ac:dyDescent="0.2">
      <c r="A296" s="35"/>
      <c r="AF296" s="115"/>
      <c r="AG296" s="115"/>
    </row>
    <row r="297" spans="1:33" outlineLevel="1" x14ac:dyDescent="0.2">
      <c r="A297" s="35" t="str">
        <f ca="1">Language!A$393</f>
        <v>Здания и сооружения</v>
      </c>
      <c r="D297">
        <v>3</v>
      </c>
      <c r="E297" s="48">
        <v>21</v>
      </c>
    </row>
    <row r="298" spans="1:33" s="23" customFormat="1" outlineLevel="1" x14ac:dyDescent="0.2">
      <c r="A298" s="273" t="str">
        <f>Инвестиции!A13</f>
        <v xml:space="preserve">Строительство </v>
      </c>
      <c r="B298" s="36" t="str">
        <f ca="1">Language!A$73</f>
        <v>Валюта</v>
      </c>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E298" s="39"/>
      <c r="AF298" s="115"/>
      <c r="AG298" s="115"/>
    </row>
    <row r="299" spans="1:33" s="23" customFormat="1" outlineLevel="1" collapsed="1" x14ac:dyDescent="0.2">
      <c r="A299" t="str">
        <f ca="1">Language!A$382</f>
        <v xml:space="preserve">    величина платежей (с НДС)</v>
      </c>
      <c r="B299" s="254">
        <v>1</v>
      </c>
      <c r="C299" s="40" t="str">
        <f ca="1">CHOOSE(B299,CUR_Main,CUR_Foreign)</f>
        <v>тыс. EUR</v>
      </c>
      <c r="D299" s="16" t="str">
        <f>TEXT(B299,"0")&amp;"_00"</f>
        <v>1_00</v>
      </c>
      <c r="F299" s="275">
        <v>0</v>
      </c>
      <c r="G299" s="275">
        <v>0</v>
      </c>
      <c r="H299" s="275">
        <f>(Инвестиции!C15+Инвестиции!C14)/1000/2</f>
        <v>1519.56</v>
      </c>
      <c r="I299" s="275">
        <f>H299</f>
        <v>1519.56</v>
      </c>
      <c r="J299" s="275">
        <v>0</v>
      </c>
      <c r="K299" s="275">
        <v>0</v>
      </c>
      <c r="L299" s="275">
        <v>0</v>
      </c>
      <c r="M299" s="275">
        <v>0</v>
      </c>
      <c r="N299" s="275">
        <v>0</v>
      </c>
      <c r="O299" s="275">
        <v>0</v>
      </c>
      <c r="P299" s="275">
        <v>0</v>
      </c>
      <c r="Q299" s="275">
        <v>0</v>
      </c>
      <c r="R299" s="275">
        <v>0</v>
      </c>
      <c r="S299" s="275">
        <v>0</v>
      </c>
      <c r="T299" s="275">
        <v>0</v>
      </c>
      <c r="U299" s="275">
        <v>0</v>
      </c>
      <c r="V299" s="275">
        <v>0</v>
      </c>
      <c r="W299" s="275">
        <v>0</v>
      </c>
      <c r="X299" s="275">
        <v>0</v>
      </c>
      <c r="Y299" s="275">
        <v>0</v>
      </c>
      <c r="Z299" s="275">
        <v>0</v>
      </c>
      <c r="AA299" s="275">
        <v>0</v>
      </c>
      <c r="AB299" s="275">
        <v>0</v>
      </c>
      <c r="AC299" s="275">
        <v>0</v>
      </c>
      <c r="AE299" s="54">
        <f>SUM(F299:AC299)</f>
        <v>3039.12</v>
      </c>
      <c r="AF299" s="115"/>
      <c r="AG299" s="115"/>
    </row>
    <row r="300" spans="1:33" s="23" customFormat="1" hidden="1" outlineLevel="2" x14ac:dyDescent="0.2">
      <c r="A300" t="str">
        <f ca="1">Language!A$384</f>
        <v xml:space="preserve">    ранее осуществленные инвестиции (без НДС)</v>
      </c>
      <c r="B300" s="274">
        <f>F46*IF(B$37=1,1,F$88)</f>
        <v>0</v>
      </c>
      <c r="C300" s="40" t="str">
        <f ca="1">CUR_Main</f>
        <v>тыс. EUR</v>
      </c>
      <c r="D300" s="23" t="s">
        <v>1227</v>
      </c>
      <c r="AE300" s="11"/>
      <c r="AF300" s="115"/>
      <c r="AG300" s="115"/>
    </row>
    <row r="301" spans="1:33" s="23" customFormat="1" hidden="1" outlineLevel="2" x14ac:dyDescent="0.2">
      <c r="A301" t="str">
        <f ca="1">Language!A$385</f>
        <v xml:space="preserve">    поставить на баланс с</v>
      </c>
      <c r="B301" s="270">
        <v>5</v>
      </c>
      <c r="C301" s="40" t="str">
        <f ca="1">Language!A$377</f>
        <v>периода</v>
      </c>
      <c r="AE301" s="11"/>
      <c r="AF301" s="115"/>
      <c r="AG301" s="115"/>
    </row>
    <row r="302" spans="1:33" s="23" customFormat="1" hidden="1" outlineLevel="2" x14ac:dyDescent="0.2">
      <c r="A302" t="str">
        <f ca="1">Language!A$394</f>
        <v xml:space="preserve">    амортизация (линейная),       для срока использования:</v>
      </c>
      <c r="B302" s="270">
        <v>20</v>
      </c>
      <c r="C302" s="40" t="str">
        <f ca="1">Language!A$33</f>
        <v>лет</v>
      </c>
      <c r="D302" s="131" t="s">
        <v>762</v>
      </c>
      <c r="F302" s="53">
        <f>IF(AND($B302&gt;0,SUM($E316:F316)&lt;=0.01),MIN(F309*100%/$B302*PRJ_Step/360,E313+F309-E309),0)</f>
        <v>0</v>
      </c>
      <c r="G302" s="53">
        <f>IF(AND($B302&gt;0,SUM($E316:G316)&lt;=0.01),MIN(G309*100%/$B302*PRJ_Step/360,F313+G309-F309),0)</f>
        <v>0</v>
      </c>
      <c r="H302" s="53">
        <f>IF(AND($B302&gt;0,SUM($E316:H316)&lt;=0.01),MIN(H309*100%/$B302*PRJ_Step/360,G313+H309-G309),0)</f>
        <v>0</v>
      </c>
      <c r="I302" s="53">
        <f>IF(AND($B302&gt;0,SUM($E316:I316)&lt;=0.01),MIN(I309*100%/$B302*PRJ_Step/360,H313+I309-H309),0)</f>
        <v>0</v>
      </c>
      <c r="J302" s="53">
        <f>IF(AND($B302&gt;0,SUM($E316:J316)&lt;=0.01),MIN(J309*100%/$B302*PRJ_Step/360,I313+J309-I309),0)</f>
        <v>30.885365853658541</v>
      </c>
      <c r="K302" s="53">
        <f>IF(AND($B302&gt;0,SUM($E316:K316)&lt;=0.01),MIN(K309*100%/$B302*PRJ_Step/360,J313+K309-J309),0)</f>
        <v>30.885365853658541</v>
      </c>
      <c r="L302" s="53">
        <f>IF(AND($B302&gt;0,SUM($E316:L316)&lt;=0.01),MIN(L309*100%/$B302*PRJ_Step/360,K313+L309-K309),0)</f>
        <v>30.885365853658541</v>
      </c>
      <c r="M302" s="53">
        <f>IF(AND($B302&gt;0,SUM($E316:M316)&lt;=0.01),MIN(M309*100%/$B302*PRJ_Step/360,L313+M309-L309),0)</f>
        <v>30.885365853658541</v>
      </c>
      <c r="N302" s="53">
        <f>IF(AND($B302&gt;0,SUM($E316:N316)&lt;=0.01),MIN(N309*100%/$B302*PRJ_Step/360,M313+N309-M309),0)</f>
        <v>30.885365853658541</v>
      </c>
      <c r="O302" s="53">
        <f>IF(AND($B302&gt;0,SUM($E316:O316)&lt;=0.01),MIN(O309*100%/$B302*PRJ_Step/360,N313+O309-N309),0)</f>
        <v>30.885365853658541</v>
      </c>
      <c r="P302" s="53">
        <f>IF(AND($B302&gt;0,SUM($E316:P316)&lt;=0.01),MIN(P309*100%/$B302*PRJ_Step/360,O313+P309-O309),0)</f>
        <v>30.885365853658541</v>
      </c>
      <c r="Q302" s="53">
        <f>IF(AND($B302&gt;0,SUM($E316:Q316)&lt;=0.01),MIN(Q309*100%/$B302*PRJ_Step/360,P313+Q309-P309),0)</f>
        <v>30.885365853658541</v>
      </c>
      <c r="R302" s="53">
        <f>IF(AND($B302&gt;0,SUM($E316:R316)&lt;=0.01),MIN(R309*100%/$B302*PRJ_Step/360,Q313+R309-Q309),0)</f>
        <v>30.885365853658541</v>
      </c>
      <c r="S302" s="53">
        <f>IF(AND($B302&gt;0,SUM($E316:S316)&lt;=0.01),MIN(S309*100%/$B302*PRJ_Step/360,R313+S309-R309),0)</f>
        <v>30.885365853658541</v>
      </c>
      <c r="T302" s="53">
        <f>IF(AND($B302&gt;0,SUM($E316:T316)&lt;=0.01),MIN(T309*100%/$B302*PRJ_Step/360,S313+T309-S309),0)</f>
        <v>30.885365853658541</v>
      </c>
      <c r="U302" s="53">
        <f>IF(AND($B302&gt;0,SUM($E316:U316)&lt;=0.01),MIN(U309*100%/$B302*PRJ_Step/360,T313+U309-T309),0)</f>
        <v>30.885365853658541</v>
      </c>
      <c r="V302" s="53">
        <f>IF(AND($B302&gt;0,SUM($E316:V316)&lt;=0.01),MIN(V309*100%/$B302*PRJ_Step/360,U313+V309-U309),0)</f>
        <v>30.885365853658541</v>
      </c>
      <c r="W302" s="53">
        <f>IF(AND($B302&gt;0,SUM($E316:W316)&lt;=0.01),MIN(W309*100%/$B302*PRJ_Step/360,V313+W309-V309),0)</f>
        <v>30.885365853658541</v>
      </c>
      <c r="X302" s="53">
        <f>IF(AND($B302&gt;0,SUM($E316:X316)&lt;=0.01),MIN(X309*100%/$B302*PRJ_Step/360,W313+X309-W309),0)</f>
        <v>30.885365853658541</v>
      </c>
      <c r="Y302" s="53">
        <f>IF(AND($B302&gt;0,SUM($E316:Y316)&lt;=0.01),MIN(Y309*100%/$B302*PRJ_Step/360,X313+Y309-X309),0)</f>
        <v>30.885365853658541</v>
      </c>
      <c r="Z302" s="53">
        <f>IF(AND($B302&gt;0,SUM($E316:Z316)&lt;=0.01),MIN(Z309*100%/$B302*PRJ_Step/360,Y313+Z309-Y309),0)</f>
        <v>30.885365853658541</v>
      </c>
      <c r="AA302" s="53">
        <f>IF(AND($B302&gt;0,SUM($E316:AA316)&lt;=0.01),MIN(AA309*100%/$B302*PRJ_Step/360,Z313+AA309-Z309),0)</f>
        <v>30.885365853658541</v>
      </c>
      <c r="AB302" s="53">
        <f>IF(AND($B302&gt;0,SUM($E316:AB316)&lt;=0.01),MIN(AB309*100%/$B302*PRJ_Step/360,AA313+AB309-AA309),0)</f>
        <v>30.885365853658541</v>
      </c>
      <c r="AC302" s="53">
        <f>IF(AND($B302&gt;0,SUM($E316:AC316)&lt;=0.01),MIN(AC309*100%/$B302*PRJ_Step/360,AB313+AC309-AB309),0)</f>
        <v>30.885365853658541</v>
      </c>
      <c r="AE302" s="54">
        <f>SUM(F302:AC302)</f>
        <v>617.70731707317066</v>
      </c>
    </row>
    <row r="303" spans="1:33" s="23" customFormat="1" hidden="1" outlineLevel="2" x14ac:dyDescent="0.2">
      <c r="A303" t="str">
        <f ca="1">Language!A$395</f>
        <v xml:space="preserve">    амортизация (ускоренная),    для срока использования:</v>
      </c>
      <c r="B303" s="270">
        <v>0</v>
      </c>
      <c r="C303" s="40" t="str">
        <f ca="1">Language!A$33</f>
        <v>лет</v>
      </c>
      <c r="D303" s="23" t="s">
        <v>834</v>
      </c>
      <c r="F303" s="84">
        <f>IF(SUM($E316:F316)&lt;=0.01,IF(OR($B303=0,E313+F309-E309=0),0,IF($B302&gt;0,0,IF(E313+F309-E309&gt;0.2*F309,MIN((E313+F309-E309)*2/$B303*PRJ_Step/360,E313+F309-E309),MIN(E313+F309-E309,F309*PRJ_Step/360/IF($B303&lt;4,1,IF($B303&gt;5,3,2)))))),0)</f>
        <v>0</v>
      </c>
      <c r="G303" s="84">
        <f>IF(SUM($E316:G316)&lt;=0.01,IF(OR($B303=0,F313+G309-F309=0),0,IF($B302&gt;0,0,IF(F313+G309-F309&gt;0.2*G309,MIN((F313+G309-F309)*2/$B303*PRJ_Step/360,F313+G309-F309),MIN(F313+G309-F309,G309*PRJ_Step/360/IF($B303&lt;4,1,IF($B303&gt;5,3,2)))))),0)</f>
        <v>0</v>
      </c>
      <c r="H303" s="84">
        <f>IF(SUM($E316:H316)&lt;=0.01,IF(OR($B303=0,G313+H309-G309=0),0,IF($B302&gt;0,0,IF(G313+H309-G309&gt;0.2*H309,MIN((G313+H309-G309)*2/$B303*PRJ_Step/360,G313+H309-G309),MIN(G313+H309-G309,H309*PRJ_Step/360/IF($B303&lt;4,1,IF($B303&gt;5,3,2)))))),0)</f>
        <v>0</v>
      </c>
      <c r="I303" s="84">
        <f>IF(SUM($E316:I316)&lt;=0.01,IF(OR($B303=0,H313+I309-H309=0),0,IF($B302&gt;0,0,IF(H313+I309-H309&gt;0.2*I309,MIN((H313+I309-H309)*2/$B303*PRJ_Step/360,H313+I309-H309),MIN(H313+I309-H309,I309*PRJ_Step/360/IF($B303&lt;4,1,IF($B303&gt;5,3,2)))))),0)</f>
        <v>0</v>
      </c>
      <c r="J303" s="84">
        <f>IF(SUM($E316:J316)&lt;=0.01,IF(OR($B303=0,I313+J309-I309=0),0,IF($B302&gt;0,0,IF(I313+J309-I309&gt;0.2*J309,MIN((I313+J309-I309)*2/$B303*PRJ_Step/360,I313+J309-I309),MIN(I313+J309-I309,J309*PRJ_Step/360/IF($B303&lt;4,1,IF($B303&gt;5,3,2)))))),0)</f>
        <v>0</v>
      </c>
      <c r="K303" s="84">
        <f>IF(SUM($E316:K316)&lt;=0.01,IF(OR($B303=0,J313+K309-J309=0),0,IF($B302&gt;0,0,IF(J313+K309-J309&gt;0.2*K309,MIN((J313+K309-J309)*2/$B303*PRJ_Step/360,J313+K309-J309),MIN(J313+K309-J309,K309*PRJ_Step/360/IF($B303&lt;4,1,IF($B303&gt;5,3,2)))))),0)</f>
        <v>0</v>
      </c>
      <c r="L303" s="84">
        <f>IF(SUM($E316:L316)&lt;=0.01,IF(OR($B303=0,K313+L309-K309=0),0,IF($B302&gt;0,0,IF(K313+L309-K309&gt;0.2*L309,MIN((K313+L309-K309)*2/$B303*PRJ_Step/360,K313+L309-K309),MIN(K313+L309-K309,L309*PRJ_Step/360/IF($B303&lt;4,1,IF($B303&gt;5,3,2)))))),0)</f>
        <v>0</v>
      </c>
      <c r="M303" s="84">
        <f>IF(SUM($E316:M316)&lt;=0.01,IF(OR($B303=0,L313+M309-L309=0),0,IF($B302&gt;0,0,IF(L313+M309-L309&gt;0.2*M309,MIN((L313+M309-L309)*2/$B303*PRJ_Step/360,L313+M309-L309),MIN(L313+M309-L309,M309*PRJ_Step/360/IF($B303&lt;4,1,IF($B303&gt;5,3,2)))))),0)</f>
        <v>0</v>
      </c>
      <c r="N303" s="84">
        <f>IF(SUM($E316:N316)&lt;=0.01,IF(OR($B303=0,M313+N309-M309=0),0,IF($B302&gt;0,0,IF(M313+N309-M309&gt;0.2*N309,MIN((M313+N309-M309)*2/$B303*PRJ_Step/360,M313+N309-M309),MIN(M313+N309-M309,N309*PRJ_Step/360/IF($B303&lt;4,1,IF($B303&gt;5,3,2)))))),0)</f>
        <v>0</v>
      </c>
      <c r="O303" s="84">
        <f>IF(SUM($E316:O316)&lt;=0.01,IF(OR($B303=0,N313+O309-N309=0),0,IF($B302&gt;0,0,IF(N313+O309-N309&gt;0.2*O309,MIN((N313+O309-N309)*2/$B303*PRJ_Step/360,N313+O309-N309),MIN(N313+O309-N309,O309*PRJ_Step/360/IF($B303&lt;4,1,IF($B303&gt;5,3,2)))))),0)</f>
        <v>0</v>
      </c>
      <c r="P303" s="84">
        <f>IF(SUM($E316:P316)&lt;=0.01,IF(OR($B303=0,O313+P309-O309=0),0,IF($B302&gt;0,0,IF(O313+P309-O309&gt;0.2*P309,MIN((O313+P309-O309)*2/$B303*PRJ_Step/360,O313+P309-O309),MIN(O313+P309-O309,P309*PRJ_Step/360/IF($B303&lt;4,1,IF($B303&gt;5,3,2)))))),0)</f>
        <v>0</v>
      </c>
      <c r="Q303" s="84">
        <f>IF(SUM($E316:Q316)&lt;=0.01,IF(OR($B303=0,P313+Q309-P309=0),0,IF($B302&gt;0,0,IF(P313+Q309-P309&gt;0.2*Q309,MIN((P313+Q309-P309)*2/$B303*PRJ_Step/360,P313+Q309-P309),MIN(P313+Q309-P309,Q309*PRJ_Step/360/IF($B303&lt;4,1,IF($B303&gt;5,3,2)))))),0)</f>
        <v>0</v>
      </c>
      <c r="R303" s="84">
        <f>IF(SUM($E316:R316)&lt;=0.01,IF(OR($B303=0,Q313+R309-Q309=0),0,IF($B302&gt;0,0,IF(Q313+R309-Q309&gt;0.2*R309,MIN((Q313+R309-Q309)*2/$B303*PRJ_Step/360,Q313+R309-Q309),MIN(Q313+R309-Q309,R309*PRJ_Step/360/IF($B303&lt;4,1,IF($B303&gt;5,3,2)))))),0)</f>
        <v>0</v>
      </c>
      <c r="S303" s="84">
        <f>IF(SUM($E316:S316)&lt;=0.01,IF(OR($B303=0,R313+S309-R309=0),0,IF($B302&gt;0,0,IF(R313+S309-R309&gt;0.2*S309,MIN((R313+S309-R309)*2/$B303*PRJ_Step/360,R313+S309-R309),MIN(R313+S309-R309,S309*PRJ_Step/360/IF($B303&lt;4,1,IF($B303&gt;5,3,2)))))),0)</f>
        <v>0</v>
      </c>
      <c r="T303" s="84">
        <f>IF(SUM($E316:T316)&lt;=0.01,IF(OR($B303=0,S313+T309-S309=0),0,IF($B302&gt;0,0,IF(S313+T309-S309&gt;0.2*T309,MIN((S313+T309-S309)*2/$B303*PRJ_Step/360,S313+T309-S309),MIN(S313+T309-S309,T309*PRJ_Step/360/IF($B303&lt;4,1,IF($B303&gt;5,3,2)))))),0)</f>
        <v>0</v>
      </c>
      <c r="U303" s="84">
        <f>IF(SUM($E316:U316)&lt;=0.01,IF(OR($B303=0,T313+U309-T309=0),0,IF($B302&gt;0,0,IF(T313+U309-T309&gt;0.2*U309,MIN((T313+U309-T309)*2/$B303*PRJ_Step/360,T313+U309-T309),MIN(T313+U309-T309,U309*PRJ_Step/360/IF($B303&lt;4,1,IF($B303&gt;5,3,2)))))),0)</f>
        <v>0</v>
      </c>
      <c r="V303" s="84">
        <f>IF(SUM($E316:V316)&lt;=0.01,IF(OR($B303=0,U313+V309-U309=0),0,IF($B302&gt;0,0,IF(U313+V309-U309&gt;0.2*V309,MIN((U313+V309-U309)*2/$B303*PRJ_Step/360,U313+V309-U309),MIN(U313+V309-U309,V309*PRJ_Step/360/IF($B303&lt;4,1,IF($B303&gt;5,3,2)))))),0)</f>
        <v>0</v>
      </c>
      <c r="W303" s="84">
        <f>IF(SUM($E316:W316)&lt;=0.01,IF(OR($B303=0,V313+W309-V309=0),0,IF($B302&gt;0,0,IF(V313+W309-V309&gt;0.2*W309,MIN((V313+W309-V309)*2/$B303*PRJ_Step/360,V313+W309-V309),MIN(V313+W309-V309,W309*PRJ_Step/360/IF($B303&lt;4,1,IF($B303&gt;5,3,2)))))),0)</f>
        <v>0</v>
      </c>
      <c r="X303" s="84">
        <f>IF(SUM($E316:X316)&lt;=0.01,IF(OR($B303=0,W313+X309-W309=0),0,IF($B302&gt;0,0,IF(W313+X309-W309&gt;0.2*X309,MIN((W313+X309-W309)*2/$B303*PRJ_Step/360,W313+X309-W309),MIN(W313+X309-W309,X309*PRJ_Step/360/IF($B303&lt;4,1,IF($B303&gt;5,3,2)))))),0)</f>
        <v>0</v>
      </c>
      <c r="Y303" s="84">
        <f>IF(SUM($E316:Y316)&lt;=0.01,IF(OR($B303=0,X313+Y309-X309=0),0,IF($B302&gt;0,0,IF(X313+Y309-X309&gt;0.2*Y309,MIN((X313+Y309-X309)*2/$B303*PRJ_Step/360,X313+Y309-X309),MIN(X313+Y309-X309,Y309*PRJ_Step/360/IF($B303&lt;4,1,IF($B303&gt;5,3,2)))))),0)</f>
        <v>0</v>
      </c>
      <c r="Z303" s="84">
        <f>IF(SUM($E316:Z316)&lt;=0.01,IF(OR($B303=0,Y313+Z309-Y309=0),0,IF($B302&gt;0,0,IF(Y313+Z309-Y309&gt;0.2*Z309,MIN((Y313+Z309-Y309)*2/$B303*PRJ_Step/360,Y313+Z309-Y309),MIN(Y313+Z309-Y309,Z309*PRJ_Step/360/IF($B303&lt;4,1,IF($B303&gt;5,3,2)))))),0)</f>
        <v>0</v>
      </c>
      <c r="AA303" s="84">
        <f>IF(SUM($E316:AA316)&lt;=0.01,IF(OR($B303=0,Z313+AA309-Z309=0),0,IF($B302&gt;0,0,IF(Z313+AA309-Z309&gt;0.2*AA309,MIN((Z313+AA309-Z309)*2/$B303*PRJ_Step/360,Z313+AA309-Z309),MIN(Z313+AA309-Z309,AA309*PRJ_Step/360/IF($B303&lt;4,1,IF($B303&gt;5,3,2)))))),0)</f>
        <v>0</v>
      </c>
      <c r="AB303" s="84">
        <f>IF(SUM($E316:AB316)&lt;=0.01,IF(OR($B303=0,AA313+AB309-AA309=0),0,IF($B302&gt;0,0,IF(AA313+AB309-AA309&gt;0.2*AB309,MIN((AA313+AB309-AA309)*2/$B303*PRJ_Step/360,AA313+AB309-AA309),MIN(AA313+AB309-AA309,AB309*PRJ_Step/360/IF($B303&lt;4,1,IF($B303&gt;5,3,2)))))),0)</f>
        <v>0</v>
      </c>
      <c r="AC303" s="84">
        <f>IF(SUM($E316:AC316)&lt;=0.01,IF(OR($B303=0,AB313+AC309-AB309=0),0,IF($B302&gt;0,0,IF(AB313+AC309-AB309&gt;0.2*AC309,MIN((AB313+AC309-AB309)*2/$B303*PRJ_Step/360,AB313+AC309-AB309),MIN(AB313+AC309-AB309,AC309*PRJ_Step/360/IF($B303&lt;4,1,IF($B303&gt;5,3,2)))))),0)</f>
        <v>0</v>
      </c>
      <c r="AE303" s="54">
        <f>SUM(F303:AC303)</f>
        <v>0</v>
      </c>
    </row>
    <row r="304" spans="1:33" s="23" customFormat="1" hidden="1" outlineLevel="2" x14ac:dyDescent="0.2">
      <c r="A304" t="str">
        <f ca="1">Language!A$396</f>
        <v xml:space="preserve">    выплаченный НДС</v>
      </c>
      <c r="B304" s="272">
        <f>VAT</f>
        <v>0.23</v>
      </c>
      <c r="C304" s="40" t="str">
        <f ca="1">CUR_Main</f>
        <v>тыс. EUR</v>
      </c>
      <c r="D304" s="23" t="s">
        <v>835</v>
      </c>
      <c r="F304" s="110">
        <f t="shared" ref="F304:T304" si="575">F306*$B304</f>
        <v>0</v>
      </c>
      <c r="G304" s="110">
        <f t="shared" si="575"/>
        <v>0</v>
      </c>
      <c r="H304" s="110">
        <f t="shared" si="575"/>
        <v>284.14536585365857</v>
      </c>
      <c r="I304" s="110">
        <f t="shared" si="575"/>
        <v>284.14536585365857</v>
      </c>
      <c r="J304" s="110">
        <f t="shared" si="575"/>
        <v>0</v>
      </c>
      <c r="K304" s="110">
        <f t="shared" si="575"/>
        <v>0</v>
      </c>
      <c r="L304" s="110">
        <f t="shared" si="575"/>
        <v>0</v>
      </c>
      <c r="M304" s="110">
        <f t="shared" si="575"/>
        <v>0</v>
      </c>
      <c r="N304" s="110">
        <f t="shared" si="575"/>
        <v>0</v>
      </c>
      <c r="O304" s="110">
        <f t="shared" si="575"/>
        <v>0</v>
      </c>
      <c r="P304" s="110">
        <f t="shared" si="575"/>
        <v>0</v>
      </c>
      <c r="Q304" s="110">
        <f t="shared" si="575"/>
        <v>0</v>
      </c>
      <c r="R304" s="110">
        <f t="shared" si="575"/>
        <v>0</v>
      </c>
      <c r="S304" s="110">
        <f t="shared" si="575"/>
        <v>0</v>
      </c>
      <c r="T304" s="110">
        <f t="shared" si="575"/>
        <v>0</v>
      </c>
      <c r="U304" s="110">
        <f t="shared" ref="U304" si="576">U306*$B304</f>
        <v>0</v>
      </c>
      <c r="V304" s="110">
        <f t="shared" ref="V304" si="577">V306*$B304</f>
        <v>0</v>
      </c>
      <c r="W304" s="110">
        <f t="shared" ref="W304" si="578">W306*$B304</f>
        <v>0</v>
      </c>
      <c r="X304" s="110">
        <f t="shared" ref="X304" si="579">X306*$B304</f>
        <v>0</v>
      </c>
      <c r="Y304" s="110">
        <f t="shared" ref="Y304" si="580">Y306*$B304</f>
        <v>0</v>
      </c>
      <c r="Z304" s="110">
        <f t="shared" ref="Z304" si="581">Z306*$B304</f>
        <v>0</v>
      </c>
      <c r="AA304" s="110">
        <f t="shared" ref="AA304" si="582">AA306*$B304</f>
        <v>0</v>
      </c>
      <c r="AB304" s="110">
        <f t="shared" ref="AB304:AC304" si="583">AB306*$B304</f>
        <v>0</v>
      </c>
      <c r="AC304" s="110">
        <f t="shared" si="583"/>
        <v>0</v>
      </c>
      <c r="AE304" s="54">
        <f>SUM(F304:AC304)</f>
        <v>568.29073170731715</v>
      </c>
    </row>
    <row r="305" spans="1:33" s="23" customFormat="1" hidden="1" outlineLevel="2" x14ac:dyDescent="0.2">
      <c r="A305" t="str">
        <f ca="1">Language!A$397</f>
        <v xml:space="preserve">    вариант зачета НДС</v>
      </c>
      <c r="B305" s="254">
        <v>2</v>
      </c>
      <c r="C305" s="85" t="str">
        <f ca="1">CHOOSE(B305,Language!A$373,Language!A$374)</f>
        <v>после постановки актива на баланс</v>
      </c>
      <c r="F305" s="110"/>
      <c r="G305" s="110"/>
      <c r="H305" s="110"/>
      <c r="I305" s="110"/>
      <c r="J305" s="110"/>
      <c r="K305" s="110"/>
      <c r="L305" s="110"/>
      <c r="M305" s="110"/>
      <c r="N305" s="110"/>
      <c r="O305" s="110"/>
      <c r="P305" s="110"/>
      <c r="Q305" s="110"/>
      <c r="R305" s="110"/>
      <c r="S305" s="110"/>
      <c r="T305" s="110"/>
      <c r="U305" s="110"/>
      <c r="V305" s="110"/>
      <c r="W305" s="110"/>
      <c r="X305" s="110"/>
      <c r="Y305" s="110"/>
      <c r="Z305" s="110"/>
      <c r="AA305" s="110"/>
      <c r="AB305" s="110"/>
      <c r="AC305" s="110"/>
      <c r="AE305" s="54"/>
    </row>
    <row r="306" spans="1:33" s="23" customFormat="1" hidden="1" outlineLevel="2" x14ac:dyDescent="0.2">
      <c r="A306" t="str">
        <f ca="1">Language!A$386</f>
        <v xml:space="preserve">    сумма платежей без НДС</v>
      </c>
      <c r="C306" s="40" t="str">
        <f t="shared" ref="C306:C318" ca="1" si="584">CUR_Main</f>
        <v>тыс. EUR</v>
      </c>
      <c r="D306" s="23" t="s">
        <v>2441</v>
      </c>
      <c r="F306" s="84">
        <f t="shared" ref="F306:T306" si="585">F299*IF($B299=1,1,F$88)/(1+$B304)</f>
        <v>0</v>
      </c>
      <c r="G306" s="84">
        <f t="shared" si="585"/>
        <v>0</v>
      </c>
      <c r="H306" s="84">
        <f t="shared" si="585"/>
        <v>1235.4146341463415</v>
      </c>
      <c r="I306" s="84">
        <f t="shared" si="585"/>
        <v>1235.4146341463415</v>
      </c>
      <c r="J306" s="84">
        <f t="shared" si="585"/>
        <v>0</v>
      </c>
      <c r="K306" s="84">
        <f t="shared" si="585"/>
        <v>0</v>
      </c>
      <c r="L306" s="84">
        <f t="shared" si="585"/>
        <v>0</v>
      </c>
      <c r="M306" s="84">
        <f t="shared" si="585"/>
        <v>0</v>
      </c>
      <c r="N306" s="84">
        <f t="shared" si="585"/>
        <v>0</v>
      </c>
      <c r="O306" s="84">
        <f t="shared" si="585"/>
        <v>0</v>
      </c>
      <c r="P306" s="84">
        <f t="shared" si="585"/>
        <v>0</v>
      </c>
      <c r="Q306" s="84">
        <f t="shared" si="585"/>
        <v>0</v>
      </c>
      <c r="R306" s="84">
        <f t="shared" si="585"/>
        <v>0</v>
      </c>
      <c r="S306" s="84">
        <f t="shared" si="585"/>
        <v>0</v>
      </c>
      <c r="T306" s="84">
        <f t="shared" si="585"/>
        <v>0</v>
      </c>
      <c r="U306" s="84">
        <f t="shared" ref="U306" si="586">U299*IF($B299=1,1,U$88)/(1+$B304)</f>
        <v>0</v>
      </c>
      <c r="V306" s="84">
        <f t="shared" ref="V306" si="587">V299*IF($B299=1,1,V$88)/(1+$B304)</f>
        <v>0</v>
      </c>
      <c r="W306" s="84">
        <f t="shared" ref="W306" si="588">W299*IF($B299=1,1,W$88)/(1+$B304)</f>
        <v>0</v>
      </c>
      <c r="X306" s="84">
        <f t="shared" ref="X306" si="589">X299*IF($B299=1,1,X$88)/(1+$B304)</f>
        <v>0</v>
      </c>
      <c r="Y306" s="84">
        <f t="shared" ref="Y306" si="590">Y299*IF($B299=1,1,Y$88)/(1+$B304)</f>
        <v>0</v>
      </c>
      <c r="Z306" s="84">
        <f t="shared" ref="Z306" si="591">Z299*IF($B299=1,1,Z$88)/(1+$B304)</f>
        <v>0</v>
      </c>
      <c r="AA306" s="84">
        <f t="shared" ref="AA306" si="592">AA299*IF($B299=1,1,AA$88)/(1+$B304)</f>
        <v>0</v>
      </c>
      <c r="AB306" s="84">
        <f t="shared" ref="AB306:AC306" si="593">AB299*IF($B299=1,1,AB$88)/(1+$B304)</f>
        <v>0</v>
      </c>
      <c r="AC306" s="84">
        <f t="shared" si="593"/>
        <v>0</v>
      </c>
      <c r="AE306" s="54">
        <f>SUM(F306:AC306)</f>
        <v>2470.8292682926831</v>
      </c>
    </row>
    <row r="307" spans="1:33" s="23" customFormat="1" hidden="1" outlineLevel="2" x14ac:dyDescent="0.2">
      <c r="A307" t="str">
        <f ca="1">Language!A$387</f>
        <v xml:space="preserve">    общая стоимость актива (без НДС)</v>
      </c>
      <c r="B307" s="55">
        <f>AE306+B300</f>
        <v>2470.8292682926831</v>
      </c>
      <c r="C307" s="40" t="str">
        <f t="shared" ca="1" si="584"/>
        <v>тыс. EUR</v>
      </c>
      <c r="AE307" s="11"/>
    </row>
    <row r="308" spans="1:33" s="23" customFormat="1" hidden="1" outlineLevel="2" x14ac:dyDescent="0.2">
      <c r="A308" t="str">
        <f ca="1">Language!A$388</f>
        <v xml:space="preserve">    полная сумма вложений в актив (без НДС)</v>
      </c>
      <c r="C308" s="40" t="str">
        <f t="shared" ca="1" si="584"/>
        <v>тыс. EUR</v>
      </c>
      <c r="D308" s="23" t="s">
        <v>840</v>
      </c>
      <c r="F308" s="84">
        <f>B300+F306</f>
        <v>0</v>
      </c>
      <c r="G308" s="84">
        <f t="shared" ref="G308:AC308" si="594">F308+G306</f>
        <v>0</v>
      </c>
      <c r="H308" s="84">
        <f t="shared" si="594"/>
        <v>1235.4146341463415</v>
      </c>
      <c r="I308" s="84">
        <f t="shared" si="594"/>
        <v>2470.8292682926831</v>
      </c>
      <c r="J308" s="84">
        <f t="shared" si="594"/>
        <v>2470.8292682926831</v>
      </c>
      <c r="K308" s="84">
        <f t="shared" si="594"/>
        <v>2470.8292682926831</v>
      </c>
      <c r="L308" s="84">
        <f t="shared" si="594"/>
        <v>2470.8292682926831</v>
      </c>
      <c r="M308" s="84">
        <f t="shared" si="594"/>
        <v>2470.8292682926831</v>
      </c>
      <c r="N308" s="84">
        <f t="shared" si="594"/>
        <v>2470.8292682926831</v>
      </c>
      <c r="O308" s="84">
        <f t="shared" si="594"/>
        <v>2470.8292682926831</v>
      </c>
      <c r="P308" s="84">
        <f t="shared" si="594"/>
        <v>2470.8292682926831</v>
      </c>
      <c r="Q308" s="84">
        <f t="shared" si="594"/>
        <v>2470.8292682926831</v>
      </c>
      <c r="R308" s="84">
        <f t="shared" si="594"/>
        <v>2470.8292682926831</v>
      </c>
      <c r="S308" s="84">
        <f t="shared" si="594"/>
        <v>2470.8292682926831</v>
      </c>
      <c r="T308" s="84">
        <f t="shared" si="594"/>
        <v>2470.8292682926831</v>
      </c>
      <c r="U308" s="84">
        <f t="shared" si="594"/>
        <v>2470.8292682926831</v>
      </c>
      <c r="V308" s="84">
        <f t="shared" si="594"/>
        <v>2470.8292682926831</v>
      </c>
      <c r="W308" s="84">
        <f t="shared" si="594"/>
        <v>2470.8292682926831</v>
      </c>
      <c r="X308" s="84">
        <f t="shared" si="594"/>
        <v>2470.8292682926831</v>
      </c>
      <c r="Y308" s="84">
        <f t="shared" si="594"/>
        <v>2470.8292682926831</v>
      </c>
      <c r="Z308" s="84">
        <f t="shared" si="594"/>
        <v>2470.8292682926831</v>
      </c>
      <c r="AA308" s="84">
        <f t="shared" si="594"/>
        <v>2470.8292682926831</v>
      </c>
      <c r="AB308" s="84">
        <f t="shared" si="594"/>
        <v>2470.8292682926831</v>
      </c>
      <c r="AC308" s="84">
        <f t="shared" si="594"/>
        <v>2470.8292682926831</v>
      </c>
      <c r="AE308" s="54"/>
    </row>
    <row r="309" spans="1:33" s="23" customFormat="1" hidden="1" outlineLevel="2" x14ac:dyDescent="0.2">
      <c r="A309" t="str">
        <f ca="1">Language!A$389</f>
        <v xml:space="preserve">    полная балансовая стоимость</v>
      </c>
      <c r="C309" s="40" t="str">
        <f t="shared" ca="1" si="584"/>
        <v>тыс. EUR</v>
      </c>
      <c r="D309" s="23" t="s">
        <v>841</v>
      </c>
      <c r="F309" s="84">
        <f>IF($B301&lt;=F$29,IF(SUM($E316:F316)&gt;0.01,0,$B307),0)</f>
        <v>0</v>
      </c>
      <c r="G309" s="84">
        <f>IF($B301&lt;=G$29,IF(SUM($E316:G316)&gt;0.01,0,$B307),0)</f>
        <v>0</v>
      </c>
      <c r="H309" s="84">
        <f>IF($B301&lt;=H$29,IF(SUM($E316:H316)&gt;0.01,0,$B307),0)</f>
        <v>0</v>
      </c>
      <c r="I309" s="84">
        <f>IF($B301&lt;=I$29,IF(SUM($E316:I316)&gt;0.01,0,$B307),0)</f>
        <v>0</v>
      </c>
      <c r="J309" s="84">
        <f>IF($B301&lt;=J$29,IF(SUM($E316:J316)&gt;0.01,0,$B307),0)</f>
        <v>2470.8292682926831</v>
      </c>
      <c r="K309" s="84">
        <f>IF($B301&lt;=K$29,IF(SUM($E316:K316)&gt;0.01,0,$B307),0)</f>
        <v>2470.8292682926831</v>
      </c>
      <c r="L309" s="84">
        <f>IF($B301&lt;=L$29,IF(SUM($E316:L316)&gt;0.01,0,$B307),0)</f>
        <v>2470.8292682926831</v>
      </c>
      <c r="M309" s="84">
        <f>IF($B301&lt;=M$29,IF(SUM($E316:M316)&gt;0.01,0,$B307),0)</f>
        <v>2470.8292682926831</v>
      </c>
      <c r="N309" s="84">
        <f>IF($B301&lt;=N$29,IF(SUM($E316:N316)&gt;0.01,0,$B307),0)</f>
        <v>2470.8292682926831</v>
      </c>
      <c r="O309" s="84">
        <f>IF($B301&lt;=O$29,IF(SUM($E316:O316)&gt;0.01,0,$B307),0)</f>
        <v>2470.8292682926831</v>
      </c>
      <c r="P309" s="84">
        <f>IF($B301&lt;=P$29,IF(SUM($E316:P316)&gt;0.01,0,$B307),0)</f>
        <v>2470.8292682926831</v>
      </c>
      <c r="Q309" s="84">
        <f>IF($B301&lt;=Q$29,IF(SUM($E316:Q316)&gt;0.01,0,$B307),0)</f>
        <v>2470.8292682926831</v>
      </c>
      <c r="R309" s="84">
        <f>IF($B301&lt;=R$29,IF(SUM($E316:R316)&gt;0.01,0,$B307),0)</f>
        <v>2470.8292682926831</v>
      </c>
      <c r="S309" s="84">
        <f>IF($B301&lt;=S$29,IF(SUM($E316:S316)&gt;0.01,0,$B307),0)</f>
        <v>2470.8292682926831</v>
      </c>
      <c r="T309" s="84">
        <f>IF($B301&lt;=T$29,IF(SUM($E316:T316)&gt;0.01,0,$B307),0)</f>
        <v>2470.8292682926831</v>
      </c>
      <c r="U309" s="84">
        <f>IF($B301&lt;=U$29,IF(SUM($E316:U316)&gt;0.01,0,$B307),0)</f>
        <v>2470.8292682926831</v>
      </c>
      <c r="V309" s="84">
        <f>IF($B301&lt;=V$29,IF(SUM($E316:V316)&gt;0.01,0,$B307),0)</f>
        <v>2470.8292682926831</v>
      </c>
      <c r="W309" s="84">
        <f>IF($B301&lt;=W$29,IF(SUM($E316:W316)&gt;0.01,0,$B307),0)</f>
        <v>2470.8292682926831</v>
      </c>
      <c r="X309" s="84">
        <f>IF($B301&lt;=X$29,IF(SUM($E316:X316)&gt;0.01,0,$B307),0)</f>
        <v>2470.8292682926831</v>
      </c>
      <c r="Y309" s="84">
        <f>IF($B301&lt;=Y$29,IF(SUM($E316:Y316)&gt;0.01,0,$B307),0)</f>
        <v>2470.8292682926831</v>
      </c>
      <c r="Z309" s="84">
        <f>IF($B301&lt;=Z$29,IF(SUM($E316:Z316)&gt;0.01,0,$B307),0)</f>
        <v>2470.8292682926831</v>
      </c>
      <c r="AA309" s="84">
        <f>IF($B301&lt;=AA$29,IF(SUM($E316:AA316)&gt;0.01,0,$B307),0)</f>
        <v>2470.8292682926831</v>
      </c>
      <c r="AB309" s="84">
        <f>IF($B301&lt;=AB$29,IF(SUM($E316:AB316)&gt;0.01,0,$B307),0)</f>
        <v>2470.8292682926831</v>
      </c>
      <c r="AC309" s="84">
        <f>IF($B301&lt;=AC$29,IF(SUM($E316:AC316)&gt;0.01,0,$B307),0)</f>
        <v>2470.8292682926831</v>
      </c>
      <c r="AE309" s="11"/>
    </row>
    <row r="310" spans="1:33" s="23" customFormat="1" hidden="1" outlineLevel="2" x14ac:dyDescent="0.2">
      <c r="A310" t="str">
        <f ca="1">Language!A$390</f>
        <v xml:space="preserve">    незавершенные инвестиции</v>
      </c>
      <c r="C310" s="40" t="str">
        <f t="shared" ca="1" si="584"/>
        <v>тыс. EUR</v>
      </c>
      <c r="D310" s="23" t="s">
        <v>844</v>
      </c>
      <c r="F310" s="84">
        <f>IF(SUM($E316:F316)&gt;0,0,IF($B301&gt;F$29,F308,0))</f>
        <v>0</v>
      </c>
      <c r="G310" s="84">
        <f>IF(SUM($E316:G316)&gt;0,0,IF($B301&gt;G$29,G308,0))</f>
        <v>0</v>
      </c>
      <c r="H310" s="84">
        <f>IF(SUM($E316:H316)&gt;0,0,IF($B301&gt;H$29,H308,0))</f>
        <v>1235.4146341463415</v>
      </c>
      <c r="I310" s="84">
        <f>IF(SUM($E316:I316)&gt;0,0,IF($B301&gt;I$29,I308,0))</f>
        <v>2470.8292682926831</v>
      </c>
      <c r="J310" s="84">
        <f>IF(SUM($E316:J316)&gt;0,0,IF($B301&gt;J$29,J308,0))</f>
        <v>0</v>
      </c>
      <c r="K310" s="84">
        <f>IF(SUM($E316:K316)&gt;0,0,IF($B301&gt;K$29,K308,0))</f>
        <v>0</v>
      </c>
      <c r="L310" s="84">
        <f>IF(SUM($E316:L316)&gt;0,0,IF($B301&gt;L$29,L308,0))</f>
        <v>0</v>
      </c>
      <c r="M310" s="84">
        <f>IF(SUM($E316:M316)&gt;0,0,IF($B301&gt;M$29,M308,0))</f>
        <v>0</v>
      </c>
      <c r="N310" s="84">
        <f>IF(SUM($E316:N316)&gt;0,0,IF($B301&gt;N$29,N308,0))</f>
        <v>0</v>
      </c>
      <c r="O310" s="84">
        <f>IF(SUM($E316:O316)&gt;0,0,IF($B301&gt;O$29,O308,0))</f>
        <v>0</v>
      </c>
      <c r="P310" s="84">
        <f>IF(SUM($E316:P316)&gt;0,0,IF($B301&gt;P$29,P308,0))</f>
        <v>0</v>
      </c>
      <c r="Q310" s="84">
        <f>IF(SUM($E316:Q316)&gt;0,0,IF($B301&gt;Q$29,Q308,0))</f>
        <v>0</v>
      </c>
      <c r="R310" s="84">
        <f>IF(SUM($E316:R316)&gt;0,0,IF($B301&gt;R$29,R308,0))</f>
        <v>0</v>
      </c>
      <c r="S310" s="84">
        <f>IF(SUM($E316:S316)&gt;0,0,IF($B301&gt;S$29,S308,0))</f>
        <v>0</v>
      </c>
      <c r="T310" s="84">
        <f>IF(SUM($E316:T316)&gt;0,0,IF($B301&gt;T$29,T308,0))</f>
        <v>0</v>
      </c>
      <c r="U310" s="84">
        <f>IF(SUM($E316:U316)&gt;0,0,IF($B301&gt;U$29,U308,0))</f>
        <v>0</v>
      </c>
      <c r="V310" s="84">
        <f>IF(SUM($E316:V316)&gt;0,0,IF($B301&gt;V$29,V308,0))</f>
        <v>0</v>
      </c>
      <c r="W310" s="84">
        <f>IF(SUM($E316:W316)&gt;0,0,IF($B301&gt;W$29,W308,0))</f>
        <v>0</v>
      </c>
      <c r="X310" s="84">
        <f>IF(SUM($E316:X316)&gt;0,0,IF($B301&gt;X$29,X308,0))</f>
        <v>0</v>
      </c>
      <c r="Y310" s="84">
        <f>IF(SUM($E316:Y316)&gt;0,0,IF($B301&gt;Y$29,Y308,0))</f>
        <v>0</v>
      </c>
      <c r="Z310" s="84">
        <f>IF(SUM($E316:Z316)&gt;0,0,IF($B301&gt;Z$29,Z308,0))</f>
        <v>0</v>
      </c>
      <c r="AA310" s="84">
        <f>IF(SUM($E316:AA316)&gt;0,0,IF($B301&gt;AA$29,AA308,0))</f>
        <v>0</v>
      </c>
      <c r="AB310" s="84">
        <f>IF(SUM($E316:AB316)&gt;0,0,IF($B301&gt;AB$29,AB308,0))</f>
        <v>0</v>
      </c>
      <c r="AC310" s="84">
        <f>IF(SUM($E316:AC316)&gt;0,0,IF($B301&gt;AC$29,AC308,0))</f>
        <v>0</v>
      </c>
      <c r="AE310" s="11"/>
    </row>
    <row r="311" spans="1:33" s="23" customFormat="1" hidden="1" outlineLevel="2" x14ac:dyDescent="0.2">
      <c r="A311" t="str">
        <f ca="1">Language!A$391</f>
        <v xml:space="preserve">    кредиторская задолженность</v>
      </c>
      <c r="C311" s="40" t="str">
        <f t="shared" ca="1" si="584"/>
        <v>тыс. EUR</v>
      </c>
      <c r="D311" s="23" t="s">
        <v>845</v>
      </c>
      <c r="F311" s="84">
        <f>IF(OR($B301&lt;=F$29,AND(SUM($F316:F316)&gt;0,$B301&gt;F$29)),$B307-F308,0)</f>
        <v>0</v>
      </c>
      <c r="G311" s="84">
        <f>IF(OR($B301&lt;=G$29,AND(SUM($F316:G316)&gt;0,$B301&gt;G$29)),$B307-G308,0)</f>
        <v>0</v>
      </c>
      <c r="H311" s="84">
        <f>IF(OR($B301&lt;=H$29,AND(SUM($F316:H316)&gt;0,$B301&gt;H$29)),$B307-H308,0)</f>
        <v>0</v>
      </c>
      <c r="I311" s="84">
        <f>IF(OR($B301&lt;=I$29,AND(SUM($F316:I316)&gt;0,$B301&gt;I$29)),$B307-I308,0)</f>
        <v>0</v>
      </c>
      <c r="J311" s="84">
        <f>IF(OR($B301&lt;=J$29,AND(SUM($F316:J316)&gt;0,$B301&gt;J$29)),$B307-J308,0)</f>
        <v>0</v>
      </c>
      <c r="K311" s="84">
        <f>IF(OR($B301&lt;=K$29,AND(SUM($F316:K316)&gt;0,$B301&gt;K$29)),$B307-K308,0)</f>
        <v>0</v>
      </c>
      <c r="L311" s="84">
        <f>IF(OR($B301&lt;=L$29,AND(SUM($F316:L316)&gt;0,$B301&gt;L$29)),$B307-L308,0)</f>
        <v>0</v>
      </c>
      <c r="M311" s="84">
        <f>IF(OR($B301&lt;=M$29,AND(SUM($F316:M316)&gt;0,$B301&gt;M$29)),$B307-M308,0)</f>
        <v>0</v>
      </c>
      <c r="N311" s="84">
        <f>IF(OR($B301&lt;=N$29,AND(SUM($F316:N316)&gt;0,$B301&gt;N$29)),$B307-N308,0)</f>
        <v>0</v>
      </c>
      <c r="O311" s="84">
        <f>IF(OR($B301&lt;=O$29,AND(SUM($F316:O316)&gt;0,$B301&gt;O$29)),$B307-O308,0)</f>
        <v>0</v>
      </c>
      <c r="P311" s="84">
        <f>IF(OR($B301&lt;=P$29,AND(SUM($F316:P316)&gt;0,$B301&gt;P$29)),$B307-P308,0)</f>
        <v>0</v>
      </c>
      <c r="Q311" s="84">
        <f>IF(OR($B301&lt;=Q$29,AND(SUM($F316:Q316)&gt;0,$B301&gt;Q$29)),$B307-Q308,0)</f>
        <v>0</v>
      </c>
      <c r="R311" s="84">
        <f>IF(OR($B301&lt;=R$29,AND(SUM($F316:R316)&gt;0,$B301&gt;R$29)),$B307-R308,0)</f>
        <v>0</v>
      </c>
      <c r="S311" s="84">
        <f>IF(OR($B301&lt;=S$29,AND(SUM($F316:S316)&gt;0,$B301&gt;S$29)),$B307-S308,0)</f>
        <v>0</v>
      </c>
      <c r="T311" s="84">
        <f>IF(OR($B301&lt;=T$29,AND(SUM($F316:T316)&gt;0,$B301&gt;T$29)),$B307-T308,0)</f>
        <v>0</v>
      </c>
      <c r="U311" s="84">
        <f>IF(OR($B301&lt;=U$29,AND(SUM($F316:U316)&gt;0,$B301&gt;U$29)),$B307-U308,0)</f>
        <v>0</v>
      </c>
      <c r="V311" s="84">
        <f>IF(OR($B301&lt;=V$29,AND(SUM($F316:V316)&gt;0,$B301&gt;V$29)),$B307-V308,0)</f>
        <v>0</v>
      </c>
      <c r="W311" s="84">
        <f>IF(OR($B301&lt;=W$29,AND(SUM($F316:W316)&gt;0,$B301&gt;W$29)),$B307-W308,0)</f>
        <v>0</v>
      </c>
      <c r="X311" s="84">
        <f>IF(OR($B301&lt;=X$29,AND(SUM($F316:X316)&gt;0,$B301&gt;X$29)),$B307-X308,0)</f>
        <v>0</v>
      </c>
      <c r="Y311" s="84">
        <f>IF(OR($B301&lt;=Y$29,AND(SUM($F316:Y316)&gt;0,$B301&gt;Y$29)),$B307-Y308,0)</f>
        <v>0</v>
      </c>
      <c r="Z311" s="84">
        <f>IF(OR($B301&lt;=Z$29,AND(SUM($F316:Z316)&gt;0,$B301&gt;Z$29)),$B307-Z308,0)</f>
        <v>0</v>
      </c>
      <c r="AA311" s="84">
        <f>IF(OR($B301&lt;=AA$29,AND(SUM($F316:AA316)&gt;0,$B301&gt;AA$29)),$B307-AA308,0)</f>
        <v>0</v>
      </c>
      <c r="AB311" s="84">
        <f>IF(OR($B301&lt;=AB$29,AND(SUM($F316:AB316)&gt;0,$B301&gt;AB$29)),$B307-AB308,0)</f>
        <v>0</v>
      </c>
      <c r="AC311" s="84">
        <f>IF(OR($B301&lt;=AC$29,AND(SUM($F316:AC316)&gt;0,$B301&gt;AC$29)),$B307-AC308,0)</f>
        <v>0</v>
      </c>
      <c r="AE311" s="11"/>
    </row>
    <row r="312" spans="1:33" s="23" customFormat="1" hidden="1" outlineLevel="2" x14ac:dyDescent="0.2">
      <c r="A312" t="str">
        <f ca="1">Language!A$398</f>
        <v xml:space="preserve">    накопленная амортизация</v>
      </c>
      <c r="C312" s="40" t="str">
        <f t="shared" ca="1" si="584"/>
        <v>тыс. EUR</v>
      </c>
      <c r="D312" s="23" t="s">
        <v>842</v>
      </c>
      <c r="F312" s="84">
        <f t="shared" ref="F312:AC312" si="595">E312+F303+F302</f>
        <v>0</v>
      </c>
      <c r="G312" s="84">
        <f t="shared" si="595"/>
        <v>0</v>
      </c>
      <c r="H312" s="84">
        <f t="shared" si="595"/>
        <v>0</v>
      </c>
      <c r="I312" s="84">
        <f t="shared" si="595"/>
        <v>0</v>
      </c>
      <c r="J312" s="84">
        <f t="shared" si="595"/>
        <v>30.885365853658541</v>
      </c>
      <c r="K312" s="84">
        <f t="shared" si="595"/>
        <v>61.770731707317083</v>
      </c>
      <c r="L312" s="84">
        <f t="shared" si="595"/>
        <v>92.656097560975624</v>
      </c>
      <c r="M312" s="84">
        <f t="shared" si="595"/>
        <v>123.54146341463417</v>
      </c>
      <c r="N312" s="84">
        <f t="shared" si="595"/>
        <v>154.42682926829269</v>
      </c>
      <c r="O312" s="84">
        <f t="shared" si="595"/>
        <v>185.31219512195122</v>
      </c>
      <c r="P312" s="84">
        <f t="shared" si="595"/>
        <v>216.19756097560975</v>
      </c>
      <c r="Q312" s="84">
        <f t="shared" si="595"/>
        <v>247.08292682926827</v>
      </c>
      <c r="R312" s="84">
        <f t="shared" si="595"/>
        <v>277.9682926829268</v>
      </c>
      <c r="S312" s="84">
        <f t="shared" si="595"/>
        <v>308.85365853658533</v>
      </c>
      <c r="T312" s="84">
        <f t="shared" si="595"/>
        <v>339.73902439024386</v>
      </c>
      <c r="U312" s="84">
        <f t="shared" si="595"/>
        <v>370.62439024390238</v>
      </c>
      <c r="V312" s="84">
        <f t="shared" si="595"/>
        <v>401.50975609756091</v>
      </c>
      <c r="W312" s="84">
        <f t="shared" si="595"/>
        <v>432.39512195121944</v>
      </c>
      <c r="X312" s="84">
        <f t="shared" si="595"/>
        <v>463.28048780487796</v>
      </c>
      <c r="Y312" s="84">
        <f t="shared" si="595"/>
        <v>494.16585365853649</v>
      </c>
      <c r="Z312" s="84">
        <f t="shared" si="595"/>
        <v>525.05121951219508</v>
      </c>
      <c r="AA312" s="84">
        <f t="shared" si="595"/>
        <v>555.9365853658536</v>
      </c>
      <c r="AB312" s="84">
        <f t="shared" si="595"/>
        <v>586.82195121951213</v>
      </c>
      <c r="AC312" s="84">
        <f t="shared" si="595"/>
        <v>617.70731707317066</v>
      </c>
      <c r="AE312" s="11"/>
    </row>
    <row r="313" spans="1:33" s="23" customFormat="1" hidden="1" outlineLevel="2" x14ac:dyDescent="0.2">
      <c r="A313" t="str">
        <f ca="1">Language!A$392</f>
        <v xml:space="preserve">    остаточная стоимость</v>
      </c>
      <c r="C313" s="40" t="str">
        <f t="shared" ca="1" si="584"/>
        <v>тыс. EUR</v>
      </c>
      <c r="D313" s="23" t="s">
        <v>843</v>
      </c>
      <c r="F313" s="105">
        <f>IF(SUM($E316:F316)&gt;0.01,0,F309-F312)</f>
        <v>0</v>
      </c>
      <c r="G313" s="105">
        <f>IF(SUM($E316:G316)&gt;0.01,0,G309-G312)</f>
        <v>0</v>
      </c>
      <c r="H313" s="105">
        <f>IF(SUM($E316:H316)&gt;0.01,0,H309-H312)</f>
        <v>0</v>
      </c>
      <c r="I313" s="105">
        <f>IF(SUM($E316:I316)&gt;0.01,0,I309-I312)</f>
        <v>0</v>
      </c>
      <c r="J313" s="105">
        <f>IF(SUM($E316:J316)&gt;0.01,0,J309-J312)</f>
        <v>2439.9439024390244</v>
      </c>
      <c r="K313" s="105">
        <f>IF(SUM($E316:K316)&gt;0.01,0,K309-K312)</f>
        <v>2409.0585365853658</v>
      </c>
      <c r="L313" s="105">
        <f>IF(SUM($E316:L316)&gt;0.01,0,L309-L312)</f>
        <v>2378.1731707317076</v>
      </c>
      <c r="M313" s="105">
        <f>IF(SUM($E316:M316)&gt;0.01,0,M309-M312)</f>
        <v>2347.287804878049</v>
      </c>
      <c r="N313" s="105">
        <f>IF(SUM($E316:N316)&gt;0.01,0,N309-N312)</f>
        <v>2316.4024390243903</v>
      </c>
      <c r="O313" s="105">
        <f>IF(SUM($E316:O316)&gt;0.01,0,O309-O312)</f>
        <v>2285.5170731707317</v>
      </c>
      <c r="P313" s="105">
        <f>IF(SUM($E316:P316)&gt;0.01,0,P309-P312)</f>
        <v>2254.6317073170735</v>
      </c>
      <c r="Q313" s="105">
        <f>IF(SUM($E316:Q316)&gt;0.01,0,Q309-Q312)</f>
        <v>2223.7463414634149</v>
      </c>
      <c r="R313" s="105">
        <f>IF(SUM($E316:R316)&gt;0.01,0,R309-R312)</f>
        <v>2192.8609756097562</v>
      </c>
      <c r="S313" s="105">
        <f>IF(SUM($E316:S316)&gt;0.01,0,S309-S312)</f>
        <v>2161.9756097560976</v>
      </c>
      <c r="T313" s="105">
        <f>IF(SUM($E316:T316)&gt;0.01,0,T309-T312)</f>
        <v>2131.0902439024394</v>
      </c>
      <c r="U313" s="105">
        <f>IF(SUM($E316:U316)&gt;0.01,0,U309-U312)</f>
        <v>2100.2048780487808</v>
      </c>
      <c r="V313" s="105">
        <f>IF(SUM($E316:V316)&gt;0.01,0,V309-V312)</f>
        <v>2069.3195121951221</v>
      </c>
      <c r="W313" s="105">
        <f>IF(SUM($E316:W316)&gt;0.01,0,W309-W312)</f>
        <v>2038.4341463414637</v>
      </c>
      <c r="X313" s="105">
        <f>IF(SUM($E316:X316)&gt;0.01,0,X309-X312)</f>
        <v>2007.5487804878051</v>
      </c>
      <c r="Y313" s="105">
        <f>IF(SUM($E316:Y316)&gt;0.01,0,Y309-Y312)</f>
        <v>1976.6634146341466</v>
      </c>
      <c r="Z313" s="105">
        <f>IF(SUM($E316:Z316)&gt;0.01,0,Z309-Z312)</f>
        <v>1945.778048780488</v>
      </c>
      <c r="AA313" s="105">
        <f>IF(SUM($E316:AA316)&gt;0.01,0,AA309-AA312)</f>
        <v>1914.8926829268294</v>
      </c>
      <c r="AB313" s="105">
        <f>IF(SUM($E316:AB316)&gt;0.01,0,AB309-AB312)</f>
        <v>1884.007317073171</v>
      </c>
      <c r="AC313" s="105">
        <f>IF(SUM($E316:AC316)&gt;0.01,0,AC309-AC312)</f>
        <v>1853.1219512195125</v>
      </c>
      <c r="AE313" s="11"/>
    </row>
    <row r="314" spans="1:33" s="23" customFormat="1" hidden="1" outlineLevel="2" x14ac:dyDescent="0.2">
      <c r="A314" t="str">
        <f ca="1">Language!A$399</f>
        <v xml:space="preserve">    НДС к ранее осуществленным инвестициям</v>
      </c>
      <c r="B314" s="261">
        <f>B300*B304</f>
        <v>0</v>
      </c>
      <c r="C314" s="40" t="str">
        <f t="shared" ca="1" si="584"/>
        <v>тыс. EUR</v>
      </c>
      <c r="D314" s="23" t="s">
        <v>836</v>
      </c>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E314" s="11"/>
    </row>
    <row r="315" spans="1:33" s="23" customFormat="1" hidden="1" outlineLevel="2" x14ac:dyDescent="0.2">
      <c r="A315" t="str">
        <f ca="1">Language!A$400</f>
        <v xml:space="preserve">    зачет НДС</v>
      </c>
      <c r="C315" s="40" t="str">
        <f t="shared" ca="1" si="584"/>
        <v>тыс. EUR</v>
      </c>
      <c r="D315" s="132" t="s">
        <v>837</v>
      </c>
      <c r="F315" s="110">
        <f>IF($B305=2,IF($B301=F$29,$B314+$AE304,0),F304+B314)</f>
        <v>0</v>
      </c>
      <c r="G315" s="110">
        <f t="shared" ref="G315:AC315" si="596">IF($B305=2,IF($B301=G$29,$B314+$AE304,0),G304)</f>
        <v>0</v>
      </c>
      <c r="H315" s="110">
        <f t="shared" si="596"/>
        <v>0</v>
      </c>
      <c r="I315" s="110">
        <f t="shared" si="596"/>
        <v>0</v>
      </c>
      <c r="J315" s="110">
        <f t="shared" si="596"/>
        <v>568.29073170731715</v>
      </c>
      <c r="K315" s="110">
        <f t="shared" si="596"/>
        <v>0</v>
      </c>
      <c r="L315" s="110">
        <f t="shared" si="596"/>
        <v>0</v>
      </c>
      <c r="M315" s="110">
        <f t="shared" si="596"/>
        <v>0</v>
      </c>
      <c r="N315" s="110">
        <f t="shared" si="596"/>
        <v>0</v>
      </c>
      <c r="O315" s="110">
        <f t="shared" si="596"/>
        <v>0</v>
      </c>
      <c r="P315" s="110">
        <f t="shared" si="596"/>
        <v>0</v>
      </c>
      <c r="Q315" s="110">
        <f t="shared" si="596"/>
        <v>0</v>
      </c>
      <c r="R315" s="110">
        <f t="shared" si="596"/>
        <v>0</v>
      </c>
      <c r="S315" s="110">
        <f t="shared" si="596"/>
        <v>0</v>
      </c>
      <c r="T315" s="110">
        <f t="shared" si="596"/>
        <v>0</v>
      </c>
      <c r="U315" s="110">
        <f t="shared" si="596"/>
        <v>0</v>
      </c>
      <c r="V315" s="110">
        <f t="shared" si="596"/>
        <v>0</v>
      </c>
      <c r="W315" s="110">
        <f t="shared" si="596"/>
        <v>0</v>
      </c>
      <c r="X315" s="110">
        <f t="shared" si="596"/>
        <v>0</v>
      </c>
      <c r="Y315" s="110">
        <f t="shared" si="596"/>
        <v>0</v>
      </c>
      <c r="Z315" s="110">
        <f t="shared" si="596"/>
        <v>0</v>
      </c>
      <c r="AA315" s="110">
        <f t="shared" si="596"/>
        <v>0</v>
      </c>
      <c r="AB315" s="110">
        <f t="shared" si="596"/>
        <v>0</v>
      </c>
      <c r="AC315" s="110">
        <f t="shared" si="596"/>
        <v>0</v>
      </c>
      <c r="AE315" s="54">
        <f>SUM(F315:AC315)</f>
        <v>568.29073170731715</v>
      </c>
    </row>
    <row r="316" spans="1:33" s="23" customFormat="1" hidden="1" outlineLevel="2" x14ac:dyDescent="0.2">
      <c r="A316" s="63" t="str">
        <f ca="1">Language!A$362</f>
        <v xml:space="preserve">    реализация актива (без НДС)</v>
      </c>
      <c r="B316" s="111"/>
      <c r="C316" s="113" t="str">
        <f t="shared" ca="1" si="584"/>
        <v>тыс. EUR</v>
      </c>
      <c r="D316" s="23" t="s">
        <v>838</v>
      </c>
      <c r="E316" s="111"/>
      <c r="F316" s="271">
        <v>0</v>
      </c>
      <c r="G316" s="271">
        <v>0</v>
      </c>
      <c r="H316" s="271">
        <v>0</v>
      </c>
      <c r="I316" s="271">
        <v>0</v>
      </c>
      <c r="J316" s="271">
        <v>0</v>
      </c>
      <c r="K316" s="271">
        <v>0</v>
      </c>
      <c r="L316" s="271">
        <v>0</v>
      </c>
      <c r="M316" s="271">
        <v>0</v>
      </c>
      <c r="N316" s="271">
        <v>0</v>
      </c>
      <c r="O316" s="271">
        <v>0</v>
      </c>
      <c r="P316" s="271">
        <v>0</v>
      </c>
      <c r="Q316" s="271">
        <v>0</v>
      </c>
      <c r="R316" s="271">
        <v>0</v>
      </c>
      <c r="S316" s="271">
        <v>0</v>
      </c>
      <c r="T316" s="271">
        <v>0</v>
      </c>
      <c r="U316" s="271">
        <v>0</v>
      </c>
      <c r="V316" s="271">
        <v>0</v>
      </c>
      <c r="W316" s="271">
        <v>0</v>
      </c>
      <c r="X316" s="271">
        <v>0</v>
      </c>
      <c r="Y316" s="271">
        <v>0</v>
      </c>
      <c r="Z316" s="271">
        <v>0</v>
      </c>
      <c r="AA316" s="271">
        <v>0</v>
      </c>
      <c r="AB316" s="271">
        <v>0</v>
      </c>
      <c r="AC316" s="271">
        <v>0</v>
      </c>
      <c r="AE316" s="54">
        <f>SUM(F316:AC316)</f>
        <v>0</v>
      </c>
    </row>
    <row r="317" spans="1:33" s="23" customFormat="1" hidden="1" outlineLevel="2" x14ac:dyDescent="0.2">
      <c r="A317" s="19" t="str">
        <f ca="1">Language!A$363</f>
        <v xml:space="preserve">    прибыль/убыток от реализации актива</v>
      </c>
      <c r="B317" s="24"/>
      <c r="C317" s="114" t="str">
        <f t="shared" ca="1" si="584"/>
        <v>тыс. EUR</v>
      </c>
      <c r="D317" s="23" t="s">
        <v>839</v>
      </c>
      <c r="E317" s="24"/>
      <c r="F317" s="83">
        <f t="shared" ref="F317:AC317" si="597">IF(F316=0,0,F316-IF(F$29&lt;=$B301,$B307,E313))</f>
        <v>0</v>
      </c>
      <c r="G317" s="83">
        <f t="shared" si="597"/>
        <v>0</v>
      </c>
      <c r="H317" s="83">
        <f t="shared" si="597"/>
        <v>0</v>
      </c>
      <c r="I317" s="83">
        <f t="shared" si="597"/>
        <v>0</v>
      </c>
      <c r="J317" s="83">
        <f t="shared" si="597"/>
        <v>0</v>
      </c>
      <c r="K317" s="83">
        <f t="shared" si="597"/>
        <v>0</v>
      </c>
      <c r="L317" s="83">
        <f t="shared" si="597"/>
        <v>0</v>
      </c>
      <c r="M317" s="83">
        <f t="shared" si="597"/>
        <v>0</v>
      </c>
      <c r="N317" s="83">
        <f t="shared" si="597"/>
        <v>0</v>
      </c>
      <c r="O317" s="83">
        <f t="shared" si="597"/>
        <v>0</v>
      </c>
      <c r="P317" s="83">
        <f t="shared" si="597"/>
        <v>0</v>
      </c>
      <c r="Q317" s="83">
        <f t="shared" si="597"/>
        <v>0</v>
      </c>
      <c r="R317" s="83">
        <f t="shared" si="597"/>
        <v>0</v>
      </c>
      <c r="S317" s="83">
        <f t="shared" si="597"/>
        <v>0</v>
      </c>
      <c r="T317" s="83">
        <f t="shared" si="597"/>
        <v>0</v>
      </c>
      <c r="U317" s="83">
        <f t="shared" si="597"/>
        <v>0</v>
      </c>
      <c r="V317" s="83">
        <f t="shared" si="597"/>
        <v>0</v>
      </c>
      <c r="W317" s="83">
        <f t="shared" si="597"/>
        <v>0</v>
      </c>
      <c r="X317" s="83">
        <f t="shared" si="597"/>
        <v>0</v>
      </c>
      <c r="Y317" s="83">
        <f t="shared" si="597"/>
        <v>0</v>
      </c>
      <c r="Z317" s="83">
        <f t="shared" si="597"/>
        <v>0</v>
      </c>
      <c r="AA317" s="83">
        <f t="shared" si="597"/>
        <v>0</v>
      </c>
      <c r="AB317" s="83">
        <f t="shared" si="597"/>
        <v>0</v>
      </c>
      <c r="AC317" s="83">
        <f t="shared" si="597"/>
        <v>0</v>
      </c>
      <c r="AE317" s="54">
        <f>SUM(F317:AC317)</f>
        <v>0</v>
      </c>
    </row>
    <row r="318" spans="1:33" s="23" customFormat="1" hidden="1" outlineLevel="2" x14ac:dyDescent="0.2">
      <c r="A318" t="str">
        <f ca="1">Language!A$401</f>
        <v xml:space="preserve">    НДС к выручке от реализации актива</v>
      </c>
      <c r="B318" s="272">
        <f>VAT</f>
        <v>0.23</v>
      </c>
      <c r="C318" s="40" t="str">
        <f t="shared" ca="1" si="584"/>
        <v>тыс. EUR</v>
      </c>
      <c r="D318" s="23" t="s">
        <v>811</v>
      </c>
      <c r="F318">
        <f t="shared" ref="F318:T318" si="598">F316*$B318</f>
        <v>0</v>
      </c>
      <c r="G318">
        <f t="shared" si="598"/>
        <v>0</v>
      </c>
      <c r="H318">
        <f t="shared" si="598"/>
        <v>0</v>
      </c>
      <c r="I318">
        <f t="shared" si="598"/>
        <v>0</v>
      </c>
      <c r="J318">
        <f t="shared" si="598"/>
        <v>0</v>
      </c>
      <c r="K318">
        <f t="shared" si="598"/>
        <v>0</v>
      </c>
      <c r="L318">
        <f t="shared" si="598"/>
        <v>0</v>
      </c>
      <c r="M318">
        <f t="shared" si="598"/>
        <v>0</v>
      </c>
      <c r="N318">
        <f t="shared" si="598"/>
        <v>0</v>
      </c>
      <c r="O318">
        <f t="shared" si="598"/>
        <v>0</v>
      </c>
      <c r="P318">
        <f t="shared" si="598"/>
        <v>0</v>
      </c>
      <c r="Q318">
        <f t="shared" si="598"/>
        <v>0</v>
      </c>
      <c r="R318">
        <f t="shared" si="598"/>
        <v>0</v>
      </c>
      <c r="S318">
        <f t="shared" si="598"/>
        <v>0</v>
      </c>
      <c r="T318">
        <f t="shared" si="598"/>
        <v>0</v>
      </c>
      <c r="U318">
        <f t="shared" ref="U318" si="599">U316*$B318</f>
        <v>0</v>
      </c>
      <c r="V318">
        <f t="shared" ref="V318" si="600">V316*$B318</f>
        <v>0</v>
      </c>
      <c r="W318">
        <f t="shared" ref="W318" si="601">W316*$B318</f>
        <v>0</v>
      </c>
      <c r="X318">
        <f t="shared" ref="X318" si="602">X316*$B318</f>
        <v>0</v>
      </c>
      <c r="Y318">
        <f t="shared" ref="Y318" si="603">Y316*$B318</f>
        <v>0</v>
      </c>
      <c r="Z318">
        <f t="shared" ref="Z318" si="604">Z316*$B318</f>
        <v>0</v>
      </c>
      <c r="AA318">
        <f t="shared" ref="AA318" si="605">AA316*$B318</f>
        <v>0</v>
      </c>
      <c r="AB318">
        <f t="shared" ref="AB318:AC318" si="606">AB316*$B318</f>
        <v>0</v>
      </c>
      <c r="AC318">
        <f t="shared" si="606"/>
        <v>0</v>
      </c>
      <c r="AE318" s="54">
        <f>SUM(F318:AC318)</f>
        <v>0</v>
      </c>
    </row>
    <row r="319" spans="1:33" s="23" customFormat="1" outlineLevel="1" x14ac:dyDescent="0.2">
      <c r="A319" s="273"/>
      <c r="B319" s="36" t="str">
        <f ca="1">Language!A$73</f>
        <v>Валюта</v>
      </c>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E319" s="39"/>
      <c r="AF319" s="115"/>
      <c r="AG319" s="115"/>
    </row>
    <row r="320" spans="1:33" s="23" customFormat="1" outlineLevel="1" collapsed="1" x14ac:dyDescent="0.2">
      <c r="A320" t="str">
        <f ca="1">Language!A$382</f>
        <v xml:space="preserve">    величина платежей (с НДС)</v>
      </c>
      <c r="B320" s="254">
        <v>1</v>
      </c>
      <c r="C320" s="40" t="str">
        <f ca="1">CHOOSE(B320,CUR_Main,CUR_Foreign)</f>
        <v>тыс. EUR</v>
      </c>
      <c r="D320" s="16" t="str">
        <f>TEXT(B320,"0")&amp;"_00"</f>
        <v>1_00</v>
      </c>
      <c r="F320" s="275">
        <v>0</v>
      </c>
      <c r="G320" s="275">
        <v>0</v>
      </c>
      <c r="H320" s="275">
        <v>0</v>
      </c>
      <c r="I320" s="275">
        <v>0</v>
      </c>
      <c r="J320" s="275">
        <v>0</v>
      </c>
      <c r="K320" s="275">
        <v>0</v>
      </c>
      <c r="L320" s="275">
        <v>0</v>
      </c>
      <c r="M320" s="275">
        <v>0</v>
      </c>
      <c r="N320" s="275">
        <v>0</v>
      </c>
      <c r="O320" s="275">
        <v>0</v>
      </c>
      <c r="P320" s="275">
        <v>0</v>
      </c>
      <c r="Q320" s="275">
        <v>0</v>
      </c>
      <c r="R320" s="275">
        <v>0</v>
      </c>
      <c r="S320" s="275">
        <v>0</v>
      </c>
      <c r="T320" s="275">
        <v>0</v>
      </c>
      <c r="U320" s="275">
        <v>0</v>
      </c>
      <c r="V320" s="275">
        <v>0</v>
      </c>
      <c r="W320" s="275">
        <v>0</v>
      </c>
      <c r="X320" s="275">
        <v>0</v>
      </c>
      <c r="Y320" s="275">
        <v>0</v>
      </c>
      <c r="Z320" s="275">
        <v>0</v>
      </c>
      <c r="AA320" s="275">
        <v>0</v>
      </c>
      <c r="AB320" s="275">
        <v>0</v>
      </c>
      <c r="AC320" s="275">
        <v>0</v>
      </c>
      <c r="AE320" s="54">
        <f>SUM(F320:AC320)</f>
        <v>0</v>
      </c>
      <c r="AF320" s="115"/>
      <c r="AG320" s="115"/>
    </row>
    <row r="321" spans="1:33" s="23" customFormat="1" hidden="1" outlineLevel="2" x14ac:dyDescent="0.2">
      <c r="A321" t="str">
        <f ca="1">Language!A$384</f>
        <v xml:space="preserve">    ранее осуществленные инвестиции (без НДС)</v>
      </c>
      <c r="B321" s="274">
        <v>0</v>
      </c>
      <c r="C321" s="40" t="str">
        <f ca="1">CUR_Main</f>
        <v>тыс. EUR</v>
      </c>
      <c r="D321" s="23" t="s">
        <v>1227</v>
      </c>
      <c r="AE321" s="11"/>
      <c r="AF321" s="115"/>
      <c r="AG321" s="115"/>
    </row>
    <row r="322" spans="1:33" s="23" customFormat="1" hidden="1" outlineLevel="2" x14ac:dyDescent="0.2">
      <c r="A322" t="str">
        <f ca="1">Language!A$385</f>
        <v xml:space="preserve">    поставить на баланс с</v>
      </c>
      <c r="B322" s="270">
        <f ca="1">MATCH(OFFSET(AE329,0,-2),F329:AC329,0)+1</f>
        <v>2</v>
      </c>
      <c r="C322" s="40" t="str">
        <f ca="1">Language!A$377</f>
        <v>периода</v>
      </c>
      <c r="AE322" s="11"/>
      <c r="AF322" s="115"/>
      <c r="AG322" s="115"/>
    </row>
    <row r="323" spans="1:33" s="23" customFormat="1" hidden="1" outlineLevel="2" x14ac:dyDescent="0.2">
      <c r="A323" t="str">
        <f ca="1">Language!A$394</f>
        <v xml:space="preserve">    амортизация (линейная),       для срока использования:</v>
      </c>
      <c r="B323" s="270">
        <v>20</v>
      </c>
      <c r="C323" s="40" t="str">
        <f ca="1">Language!A$33</f>
        <v>лет</v>
      </c>
      <c r="D323" s="131" t="s">
        <v>762</v>
      </c>
      <c r="F323" s="53">
        <f ca="1">IF(AND($B323&gt;0,SUM($E337:F337)&lt;=0.01),MIN(F330*100%/$B323*PRJ_Step/360,E334+F330-E330),0)</f>
        <v>0</v>
      </c>
      <c r="G323" s="53">
        <f ca="1">IF(AND($B323&gt;0,SUM($E337:G337)&lt;=0.01),MIN(G330*100%/$B323*PRJ_Step/360,F334+G330-F330),0)</f>
        <v>0</v>
      </c>
      <c r="H323" s="53">
        <f ca="1">IF(AND($B323&gt;0,SUM($E337:H337)&lt;=0.01),MIN(H330*100%/$B323*PRJ_Step/360,G334+H330-G330),0)</f>
        <v>0</v>
      </c>
      <c r="I323" s="53">
        <f ca="1">IF(AND($B323&gt;0,SUM($E337:I337)&lt;=0.01),MIN(I330*100%/$B323*PRJ_Step/360,H334+I330-H330),0)</f>
        <v>0</v>
      </c>
      <c r="J323" s="53">
        <f ca="1">IF(AND($B323&gt;0,SUM($E337:J337)&lt;=0.01),MIN(J330*100%/$B323*PRJ_Step/360,I334+J330-I330),0)</f>
        <v>0</v>
      </c>
      <c r="K323" s="53">
        <f ca="1">IF(AND($B323&gt;0,SUM($E337:K337)&lt;=0.01),MIN(K330*100%/$B323*PRJ_Step/360,J334+K330-J330),0)</f>
        <v>0</v>
      </c>
      <c r="L323" s="53">
        <f ca="1">IF(AND($B323&gt;0,SUM($E337:L337)&lt;=0.01),MIN(L330*100%/$B323*PRJ_Step/360,K334+L330-K330),0)</f>
        <v>0</v>
      </c>
      <c r="M323" s="53">
        <f ca="1">IF(AND($B323&gt;0,SUM($E337:M337)&lt;=0.01),MIN(M330*100%/$B323*PRJ_Step/360,L334+M330-L330),0)</f>
        <v>0</v>
      </c>
      <c r="N323" s="53">
        <f ca="1">IF(AND($B323&gt;0,SUM($E337:N337)&lt;=0.01),MIN(N330*100%/$B323*PRJ_Step/360,M334+N330-M330),0)</f>
        <v>0</v>
      </c>
      <c r="O323" s="53">
        <f ca="1">IF(AND($B323&gt;0,SUM($E337:O337)&lt;=0.01),MIN(O330*100%/$B323*PRJ_Step/360,N334+O330-N330),0)</f>
        <v>0</v>
      </c>
      <c r="P323" s="53">
        <f ca="1">IF(AND($B323&gt;0,SUM($E337:P337)&lt;=0.01),MIN(P330*100%/$B323*PRJ_Step/360,O334+P330-O330),0)</f>
        <v>0</v>
      </c>
      <c r="Q323" s="53">
        <f ca="1">IF(AND($B323&gt;0,SUM($E337:Q337)&lt;=0.01),MIN(Q330*100%/$B323*PRJ_Step/360,P334+Q330-P330),0)</f>
        <v>0</v>
      </c>
      <c r="R323" s="53">
        <f ca="1">IF(AND($B323&gt;0,SUM($E337:R337)&lt;=0.01),MIN(R330*100%/$B323*PRJ_Step/360,Q334+R330-Q330),0)</f>
        <v>0</v>
      </c>
      <c r="S323" s="53">
        <f ca="1">IF(AND($B323&gt;0,SUM($E337:S337)&lt;=0.01),MIN(S330*100%/$B323*PRJ_Step/360,R334+S330-R330),0)</f>
        <v>0</v>
      </c>
      <c r="T323" s="53">
        <f ca="1">IF(AND($B323&gt;0,SUM($E337:T337)&lt;=0.01),MIN(T330*100%/$B323*PRJ_Step/360,S334+T330-S330),0)</f>
        <v>0</v>
      </c>
      <c r="U323" s="53">
        <f ca="1">IF(AND($B323&gt;0,SUM($E337:U337)&lt;=0.01),MIN(U330*100%/$B323*PRJ_Step/360,T334+U330-T330),0)</f>
        <v>0</v>
      </c>
      <c r="V323" s="53">
        <f ca="1">IF(AND($B323&gt;0,SUM($E337:V337)&lt;=0.01),MIN(V330*100%/$B323*PRJ_Step/360,U334+V330-U330),0)</f>
        <v>0</v>
      </c>
      <c r="W323" s="53">
        <f ca="1">IF(AND($B323&gt;0,SUM($E337:W337)&lt;=0.01),MIN(W330*100%/$B323*PRJ_Step/360,V334+W330-V330),0)</f>
        <v>0</v>
      </c>
      <c r="X323" s="53">
        <f ca="1">IF(AND($B323&gt;0,SUM($E337:X337)&lt;=0.01),MIN(X330*100%/$B323*PRJ_Step/360,W334+X330-W330),0)</f>
        <v>0</v>
      </c>
      <c r="Y323" s="53">
        <f ca="1">IF(AND($B323&gt;0,SUM($E337:Y337)&lt;=0.01),MIN(Y330*100%/$B323*PRJ_Step/360,X334+Y330-X330),0)</f>
        <v>0</v>
      </c>
      <c r="Z323" s="53">
        <f ca="1">IF(AND($B323&gt;0,SUM($E337:Z337)&lt;=0.01),MIN(Z330*100%/$B323*PRJ_Step/360,Y334+Z330-Y330),0)</f>
        <v>0</v>
      </c>
      <c r="AA323" s="53">
        <f ca="1">IF(AND($B323&gt;0,SUM($E337:AA337)&lt;=0.01),MIN(AA330*100%/$B323*PRJ_Step/360,Z334+AA330-Z330),0)</f>
        <v>0</v>
      </c>
      <c r="AB323" s="53">
        <f ca="1">IF(AND($B323&gt;0,SUM($E337:AB337)&lt;=0.01),MIN(AB330*100%/$B323*PRJ_Step/360,AA334+AB330-AA330),0)</f>
        <v>0</v>
      </c>
      <c r="AC323" s="53">
        <f ca="1">IF(AND($B323&gt;0,SUM($E337:AC337)&lt;=0.01),MIN(AC330*100%/$B323*PRJ_Step/360,AB334+AC330-AB330),0)</f>
        <v>0</v>
      </c>
      <c r="AE323" s="54">
        <f ca="1">SUM(F323:AC323)</f>
        <v>0</v>
      </c>
    </row>
    <row r="324" spans="1:33" s="23" customFormat="1" hidden="1" outlineLevel="2" x14ac:dyDescent="0.2">
      <c r="A324" t="str">
        <f ca="1">Language!A$395</f>
        <v xml:space="preserve">    амортизация (ускоренная),    для срока использования:</v>
      </c>
      <c r="B324" s="270">
        <v>0</v>
      </c>
      <c r="C324" s="40" t="str">
        <f ca="1">Language!A$33</f>
        <v>лет</v>
      </c>
      <c r="D324" s="23" t="s">
        <v>834</v>
      </c>
      <c r="F324" s="84">
        <f ca="1">IF(SUM($E337:F337)&lt;=0.01,IF(OR($B324=0,E334+F330-E330=0),0,IF($B323&gt;0,0,IF(E334+F330-E330&gt;0.2*F330,MIN((E334+F330-E330)*2/$B324*PRJ_Step/360,E334+F330-E330),MIN(E334+F330-E330,F330*PRJ_Step/360/IF($B324&lt;4,1,IF($B324&gt;5,3,2)))))),0)</f>
        <v>0</v>
      </c>
      <c r="G324" s="84">
        <f ca="1">IF(SUM($E337:G337)&lt;=0.01,IF(OR($B324=0,F334+G330-F330=0),0,IF($B323&gt;0,0,IF(F334+G330-F330&gt;0.2*G330,MIN((F334+G330-F330)*2/$B324*PRJ_Step/360,F334+G330-F330),MIN(F334+G330-F330,G330*PRJ_Step/360/IF($B324&lt;4,1,IF($B324&gt;5,3,2)))))),0)</f>
        <v>0</v>
      </c>
      <c r="H324" s="84">
        <f ca="1">IF(SUM($E337:H337)&lt;=0.01,IF(OR($B324=0,G334+H330-G330=0),0,IF($B323&gt;0,0,IF(G334+H330-G330&gt;0.2*H330,MIN((G334+H330-G330)*2/$B324*PRJ_Step/360,G334+H330-G330),MIN(G334+H330-G330,H330*PRJ_Step/360/IF($B324&lt;4,1,IF($B324&gt;5,3,2)))))),0)</f>
        <v>0</v>
      </c>
      <c r="I324" s="84">
        <f ca="1">IF(SUM($E337:I337)&lt;=0.01,IF(OR($B324=0,H334+I330-H330=0),0,IF($B323&gt;0,0,IF(H334+I330-H330&gt;0.2*I330,MIN((H334+I330-H330)*2/$B324*PRJ_Step/360,H334+I330-H330),MIN(H334+I330-H330,I330*PRJ_Step/360/IF($B324&lt;4,1,IF($B324&gt;5,3,2)))))),0)</f>
        <v>0</v>
      </c>
      <c r="J324" s="84">
        <f ca="1">IF(SUM($E337:J337)&lt;=0.01,IF(OR($B324=0,I334+J330-I330=0),0,IF($B323&gt;0,0,IF(I334+J330-I330&gt;0.2*J330,MIN((I334+J330-I330)*2/$B324*PRJ_Step/360,I334+J330-I330),MIN(I334+J330-I330,J330*PRJ_Step/360/IF($B324&lt;4,1,IF($B324&gt;5,3,2)))))),0)</f>
        <v>0</v>
      </c>
      <c r="K324" s="84">
        <f ca="1">IF(SUM($E337:K337)&lt;=0.01,IF(OR($B324=0,J334+K330-J330=0),0,IF($B323&gt;0,0,IF(J334+K330-J330&gt;0.2*K330,MIN((J334+K330-J330)*2/$B324*PRJ_Step/360,J334+K330-J330),MIN(J334+K330-J330,K330*PRJ_Step/360/IF($B324&lt;4,1,IF($B324&gt;5,3,2)))))),0)</f>
        <v>0</v>
      </c>
      <c r="L324" s="84">
        <f ca="1">IF(SUM($E337:L337)&lt;=0.01,IF(OR($B324=0,K334+L330-K330=0),0,IF($B323&gt;0,0,IF(K334+L330-K330&gt;0.2*L330,MIN((K334+L330-K330)*2/$B324*PRJ_Step/360,K334+L330-K330),MIN(K334+L330-K330,L330*PRJ_Step/360/IF($B324&lt;4,1,IF($B324&gt;5,3,2)))))),0)</f>
        <v>0</v>
      </c>
      <c r="M324" s="84">
        <f ca="1">IF(SUM($E337:M337)&lt;=0.01,IF(OR($B324=0,L334+M330-L330=0),0,IF($B323&gt;0,0,IF(L334+M330-L330&gt;0.2*M330,MIN((L334+M330-L330)*2/$B324*PRJ_Step/360,L334+M330-L330),MIN(L334+M330-L330,M330*PRJ_Step/360/IF($B324&lt;4,1,IF($B324&gt;5,3,2)))))),0)</f>
        <v>0</v>
      </c>
      <c r="N324" s="84">
        <f ca="1">IF(SUM($E337:N337)&lt;=0.01,IF(OR($B324=0,M334+N330-M330=0),0,IF($B323&gt;0,0,IF(M334+N330-M330&gt;0.2*N330,MIN((M334+N330-M330)*2/$B324*PRJ_Step/360,M334+N330-M330),MIN(M334+N330-M330,N330*PRJ_Step/360/IF($B324&lt;4,1,IF($B324&gt;5,3,2)))))),0)</f>
        <v>0</v>
      </c>
      <c r="O324" s="84">
        <f ca="1">IF(SUM($E337:O337)&lt;=0.01,IF(OR($B324=0,N334+O330-N330=0),0,IF($B323&gt;0,0,IF(N334+O330-N330&gt;0.2*O330,MIN((N334+O330-N330)*2/$B324*PRJ_Step/360,N334+O330-N330),MIN(N334+O330-N330,O330*PRJ_Step/360/IF($B324&lt;4,1,IF($B324&gt;5,3,2)))))),0)</f>
        <v>0</v>
      </c>
      <c r="P324" s="84">
        <f ca="1">IF(SUM($E337:P337)&lt;=0.01,IF(OR($B324=0,O334+P330-O330=0),0,IF($B323&gt;0,0,IF(O334+P330-O330&gt;0.2*P330,MIN((O334+P330-O330)*2/$B324*PRJ_Step/360,O334+P330-O330),MIN(O334+P330-O330,P330*PRJ_Step/360/IF($B324&lt;4,1,IF($B324&gt;5,3,2)))))),0)</f>
        <v>0</v>
      </c>
      <c r="Q324" s="84">
        <f ca="1">IF(SUM($E337:Q337)&lt;=0.01,IF(OR($B324=0,P334+Q330-P330=0),0,IF($B323&gt;0,0,IF(P334+Q330-P330&gt;0.2*Q330,MIN((P334+Q330-P330)*2/$B324*PRJ_Step/360,P334+Q330-P330),MIN(P334+Q330-P330,Q330*PRJ_Step/360/IF($B324&lt;4,1,IF($B324&gt;5,3,2)))))),0)</f>
        <v>0</v>
      </c>
      <c r="R324" s="84">
        <f ca="1">IF(SUM($E337:R337)&lt;=0.01,IF(OR($B324=0,Q334+R330-Q330=0),0,IF($B323&gt;0,0,IF(Q334+R330-Q330&gt;0.2*R330,MIN((Q334+R330-Q330)*2/$B324*PRJ_Step/360,Q334+R330-Q330),MIN(Q334+R330-Q330,R330*PRJ_Step/360/IF($B324&lt;4,1,IF($B324&gt;5,3,2)))))),0)</f>
        <v>0</v>
      </c>
      <c r="S324" s="84">
        <f ca="1">IF(SUM($E337:S337)&lt;=0.01,IF(OR($B324=0,R334+S330-R330=0),0,IF($B323&gt;0,0,IF(R334+S330-R330&gt;0.2*S330,MIN((R334+S330-R330)*2/$B324*PRJ_Step/360,R334+S330-R330),MIN(R334+S330-R330,S330*PRJ_Step/360/IF($B324&lt;4,1,IF($B324&gt;5,3,2)))))),0)</f>
        <v>0</v>
      </c>
      <c r="T324" s="84">
        <f ca="1">IF(SUM($E337:T337)&lt;=0.01,IF(OR($B324=0,S334+T330-S330=0),0,IF($B323&gt;0,0,IF(S334+T330-S330&gt;0.2*T330,MIN((S334+T330-S330)*2/$B324*PRJ_Step/360,S334+T330-S330),MIN(S334+T330-S330,T330*PRJ_Step/360/IF($B324&lt;4,1,IF($B324&gt;5,3,2)))))),0)</f>
        <v>0</v>
      </c>
      <c r="U324" s="84">
        <f ca="1">IF(SUM($E337:U337)&lt;=0.01,IF(OR($B324=0,T334+U330-T330=0),0,IF($B323&gt;0,0,IF(T334+U330-T330&gt;0.2*U330,MIN((T334+U330-T330)*2/$B324*PRJ_Step/360,T334+U330-T330),MIN(T334+U330-T330,U330*PRJ_Step/360/IF($B324&lt;4,1,IF($B324&gt;5,3,2)))))),0)</f>
        <v>0</v>
      </c>
      <c r="V324" s="84">
        <f ca="1">IF(SUM($E337:V337)&lt;=0.01,IF(OR($B324=0,U334+V330-U330=0),0,IF($B323&gt;0,0,IF(U334+V330-U330&gt;0.2*V330,MIN((U334+V330-U330)*2/$B324*PRJ_Step/360,U334+V330-U330),MIN(U334+V330-U330,V330*PRJ_Step/360/IF($B324&lt;4,1,IF($B324&gt;5,3,2)))))),0)</f>
        <v>0</v>
      </c>
      <c r="W324" s="84">
        <f ca="1">IF(SUM($E337:W337)&lt;=0.01,IF(OR($B324=0,V334+W330-V330=0),0,IF($B323&gt;0,0,IF(V334+W330-V330&gt;0.2*W330,MIN((V334+W330-V330)*2/$B324*PRJ_Step/360,V334+W330-V330),MIN(V334+W330-V330,W330*PRJ_Step/360/IF($B324&lt;4,1,IF($B324&gt;5,3,2)))))),0)</f>
        <v>0</v>
      </c>
      <c r="X324" s="84">
        <f ca="1">IF(SUM($E337:X337)&lt;=0.01,IF(OR($B324=0,W334+X330-W330=0),0,IF($B323&gt;0,0,IF(W334+X330-W330&gt;0.2*X330,MIN((W334+X330-W330)*2/$B324*PRJ_Step/360,W334+X330-W330),MIN(W334+X330-W330,X330*PRJ_Step/360/IF($B324&lt;4,1,IF($B324&gt;5,3,2)))))),0)</f>
        <v>0</v>
      </c>
      <c r="Y324" s="84">
        <f ca="1">IF(SUM($E337:Y337)&lt;=0.01,IF(OR($B324=0,X334+Y330-X330=0),0,IF($B323&gt;0,0,IF(X334+Y330-X330&gt;0.2*Y330,MIN((X334+Y330-X330)*2/$B324*PRJ_Step/360,X334+Y330-X330),MIN(X334+Y330-X330,Y330*PRJ_Step/360/IF($B324&lt;4,1,IF($B324&gt;5,3,2)))))),0)</f>
        <v>0</v>
      </c>
      <c r="Z324" s="84">
        <f ca="1">IF(SUM($E337:Z337)&lt;=0.01,IF(OR($B324=0,Y334+Z330-Y330=0),0,IF($B323&gt;0,0,IF(Y334+Z330-Y330&gt;0.2*Z330,MIN((Y334+Z330-Y330)*2/$B324*PRJ_Step/360,Y334+Z330-Y330),MIN(Y334+Z330-Y330,Z330*PRJ_Step/360/IF($B324&lt;4,1,IF($B324&gt;5,3,2)))))),0)</f>
        <v>0</v>
      </c>
      <c r="AA324" s="84">
        <f ca="1">IF(SUM($E337:AA337)&lt;=0.01,IF(OR($B324=0,Z334+AA330-Z330=0),0,IF($B323&gt;0,0,IF(Z334+AA330-Z330&gt;0.2*AA330,MIN((Z334+AA330-Z330)*2/$B324*PRJ_Step/360,Z334+AA330-Z330),MIN(Z334+AA330-Z330,AA330*PRJ_Step/360/IF($B324&lt;4,1,IF($B324&gt;5,3,2)))))),0)</f>
        <v>0</v>
      </c>
      <c r="AB324" s="84">
        <f ca="1">IF(SUM($E337:AB337)&lt;=0.01,IF(OR($B324=0,AA334+AB330-AA330=0),0,IF($B323&gt;0,0,IF(AA334+AB330-AA330&gt;0.2*AB330,MIN((AA334+AB330-AA330)*2/$B324*PRJ_Step/360,AA334+AB330-AA330),MIN(AA334+AB330-AA330,AB330*PRJ_Step/360/IF($B324&lt;4,1,IF($B324&gt;5,3,2)))))),0)</f>
        <v>0</v>
      </c>
      <c r="AC324" s="84">
        <f ca="1">IF(SUM($E337:AC337)&lt;=0.01,IF(OR($B324=0,AB334+AC330-AB330=0),0,IF($B323&gt;0,0,IF(AB334+AC330-AB330&gt;0.2*AC330,MIN((AB334+AC330-AB330)*2/$B324*PRJ_Step/360,AB334+AC330-AB330),MIN(AB334+AC330-AB330,AC330*PRJ_Step/360/IF($B324&lt;4,1,IF($B324&gt;5,3,2)))))),0)</f>
        <v>0</v>
      </c>
      <c r="AE324" s="54">
        <f ca="1">SUM(F324:AC324)</f>
        <v>0</v>
      </c>
    </row>
    <row r="325" spans="1:33" s="23" customFormat="1" hidden="1" outlineLevel="2" x14ac:dyDescent="0.2">
      <c r="A325" t="str">
        <f ca="1">Language!A$396</f>
        <v xml:space="preserve">    выплаченный НДС</v>
      </c>
      <c r="B325" s="272">
        <f>VAT</f>
        <v>0.23</v>
      </c>
      <c r="C325" s="40" t="str">
        <f ca="1">CUR_Main</f>
        <v>тыс. EUR</v>
      </c>
      <c r="D325" s="23" t="s">
        <v>835</v>
      </c>
      <c r="F325" s="110">
        <f t="shared" ref="F325:T325" si="607">F327*$B325</f>
        <v>0</v>
      </c>
      <c r="G325" s="110">
        <f t="shared" si="607"/>
        <v>0</v>
      </c>
      <c r="H325" s="110">
        <f t="shared" si="607"/>
        <v>0</v>
      </c>
      <c r="I325" s="110">
        <f t="shared" si="607"/>
        <v>0</v>
      </c>
      <c r="J325" s="110">
        <f t="shared" si="607"/>
        <v>0</v>
      </c>
      <c r="K325" s="110">
        <f t="shared" si="607"/>
        <v>0</v>
      </c>
      <c r="L325" s="110">
        <f t="shared" si="607"/>
        <v>0</v>
      </c>
      <c r="M325" s="110">
        <f t="shared" si="607"/>
        <v>0</v>
      </c>
      <c r="N325" s="110">
        <f t="shared" si="607"/>
        <v>0</v>
      </c>
      <c r="O325" s="110">
        <f t="shared" si="607"/>
        <v>0</v>
      </c>
      <c r="P325" s="110">
        <f t="shared" si="607"/>
        <v>0</v>
      </c>
      <c r="Q325" s="110">
        <f t="shared" si="607"/>
        <v>0</v>
      </c>
      <c r="R325" s="110">
        <f t="shared" si="607"/>
        <v>0</v>
      </c>
      <c r="S325" s="110">
        <f t="shared" si="607"/>
        <v>0</v>
      </c>
      <c r="T325" s="110">
        <f t="shared" si="607"/>
        <v>0</v>
      </c>
      <c r="U325" s="110">
        <f t="shared" ref="U325" si="608">U327*$B325</f>
        <v>0</v>
      </c>
      <c r="V325" s="110">
        <f t="shared" ref="V325" si="609">V327*$B325</f>
        <v>0</v>
      </c>
      <c r="W325" s="110">
        <f t="shared" ref="W325" si="610">W327*$B325</f>
        <v>0</v>
      </c>
      <c r="X325" s="110">
        <f t="shared" ref="X325" si="611">X327*$B325</f>
        <v>0</v>
      </c>
      <c r="Y325" s="110">
        <f t="shared" ref="Y325" si="612">Y327*$B325</f>
        <v>0</v>
      </c>
      <c r="Z325" s="110">
        <f t="shared" ref="Z325" si="613">Z327*$B325</f>
        <v>0</v>
      </c>
      <c r="AA325" s="110">
        <f t="shared" ref="AA325" si="614">AA327*$B325</f>
        <v>0</v>
      </c>
      <c r="AB325" s="110">
        <f t="shared" ref="AB325:AC325" si="615">AB327*$B325</f>
        <v>0</v>
      </c>
      <c r="AC325" s="110">
        <f t="shared" si="615"/>
        <v>0</v>
      </c>
      <c r="AE325" s="54">
        <f>SUM(F325:AC325)</f>
        <v>0</v>
      </c>
    </row>
    <row r="326" spans="1:33" s="23" customFormat="1" hidden="1" outlineLevel="2" x14ac:dyDescent="0.2">
      <c r="A326" t="str">
        <f ca="1">Language!A$397</f>
        <v xml:space="preserve">    вариант зачета НДС</v>
      </c>
      <c r="B326" s="254">
        <v>2</v>
      </c>
      <c r="C326" s="85" t="str">
        <f ca="1">CHOOSE(B326,Language!A$373,Language!A$374)</f>
        <v>после постановки актива на баланс</v>
      </c>
      <c r="F326" s="110"/>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E326" s="54"/>
    </row>
    <row r="327" spans="1:33" s="23" customFormat="1" hidden="1" outlineLevel="2" x14ac:dyDescent="0.2">
      <c r="A327" t="str">
        <f ca="1">Language!A$386</f>
        <v xml:space="preserve">    сумма платежей без НДС</v>
      </c>
      <c r="C327" s="40" t="str">
        <f t="shared" ref="C327:C339" ca="1" si="616">CUR_Main</f>
        <v>тыс. EUR</v>
      </c>
      <c r="D327" s="23" t="s">
        <v>2441</v>
      </c>
      <c r="F327" s="84">
        <f t="shared" ref="F327:T327" si="617">F320*IF($B320=1,1,F$88)/(1+$B325)</f>
        <v>0</v>
      </c>
      <c r="G327" s="84">
        <f t="shared" si="617"/>
        <v>0</v>
      </c>
      <c r="H327" s="84">
        <f t="shared" si="617"/>
        <v>0</v>
      </c>
      <c r="I327" s="84">
        <f t="shared" si="617"/>
        <v>0</v>
      </c>
      <c r="J327" s="84">
        <f t="shared" si="617"/>
        <v>0</v>
      </c>
      <c r="K327" s="84">
        <f t="shared" si="617"/>
        <v>0</v>
      </c>
      <c r="L327" s="84">
        <f t="shared" si="617"/>
        <v>0</v>
      </c>
      <c r="M327" s="84">
        <f t="shared" si="617"/>
        <v>0</v>
      </c>
      <c r="N327" s="84">
        <f t="shared" si="617"/>
        <v>0</v>
      </c>
      <c r="O327" s="84">
        <f t="shared" si="617"/>
        <v>0</v>
      </c>
      <c r="P327" s="84">
        <f t="shared" si="617"/>
        <v>0</v>
      </c>
      <c r="Q327" s="84">
        <f t="shared" si="617"/>
        <v>0</v>
      </c>
      <c r="R327" s="84">
        <f t="shared" si="617"/>
        <v>0</v>
      </c>
      <c r="S327" s="84">
        <f t="shared" si="617"/>
        <v>0</v>
      </c>
      <c r="T327" s="84">
        <f t="shared" si="617"/>
        <v>0</v>
      </c>
      <c r="U327" s="84">
        <f t="shared" ref="U327" si="618">U320*IF($B320=1,1,U$88)/(1+$B325)</f>
        <v>0</v>
      </c>
      <c r="V327" s="84">
        <f t="shared" ref="V327" si="619">V320*IF($B320=1,1,V$88)/(1+$B325)</f>
        <v>0</v>
      </c>
      <c r="W327" s="84">
        <f t="shared" ref="W327" si="620">W320*IF($B320=1,1,W$88)/(1+$B325)</f>
        <v>0</v>
      </c>
      <c r="X327" s="84">
        <f t="shared" ref="X327" si="621">X320*IF($B320=1,1,X$88)/(1+$B325)</f>
        <v>0</v>
      </c>
      <c r="Y327" s="84">
        <f t="shared" ref="Y327" si="622">Y320*IF($B320=1,1,Y$88)/(1+$B325)</f>
        <v>0</v>
      </c>
      <c r="Z327" s="84">
        <f t="shared" ref="Z327" si="623">Z320*IF($B320=1,1,Z$88)/(1+$B325)</f>
        <v>0</v>
      </c>
      <c r="AA327" s="84">
        <f t="shared" ref="AA327" si="624">AA320*IF($B320=1,1,AA$88)/(1+$B325)</f>
        <v>0</v>
      </c>
      <c r="AB327" s="84">
        <f t="shared" ref="AB327:AC327" si="625">AB320*IF($B320=1,1,AB$88)/(1+$B325)</f>
        <v>0</v>
      </c>
      <c r="AC327" s="84">
        <f t="shared" si="625"/>
        <v>0</v>
      </c>
      <c r="AE327" s="54">
        <f>SUM(F327:AC327)</f>
        <v>0</v>
      </c>
    </row>
    <row r="328" spans="1:33" s="23" customFormat="1" hidden="1" outlineLevel="2" x14ac:dyDescent="0.2">
      <c r="A328" t="str">
        <f ca="1">Language!A$387</f>
        <v xml:space="preserve">    общая стоимость актива (без НДС)</v>
      </c>
      <c r="B328" s="55">
        <f>AE327+B321</f>
        <v>0</v>
      </c>
      <c r="C328" s="40" t="str">
        <f t="shared" ca="1" si="616"/>
        <v>тыс. EUR</v>
      </c>
      <c r="AE328" s="11"/>
    </row>
    <row r="329" spans="1:33" s="23" customFormat="1" hidden="1" outlineLevel="2" x14ac:dyDescent="0.2">
      <c r="A329" t="str">
        <f ca="1">Language!A$388</f>
        <v xml:space="preserve">    полная сумма вложений в актив (без НДС)</v>
      </c>
      <c r="C329" s="40" t="str">
        <f t="shared" ca="1" si="616"/>
        <v>тыс. EUR</v>
      </c>
      <c r="D329" s="23" t="s">
        <v>840</v>
      </c>
      <c r="F329" s="84">
        <f>B321+F327</f>
        <v>0</v>
      </c>
      <c r="G329" s="84">
        <f t="shared" ref="G329:AC329" si="626">F329+G327</f>
        <v>0</v>
      </c>
      <c r="H329" s="84">
        <f t="shared" si="626"/>
        <v>0</v>
      </c>
      <c r="I329" s="84">
        <f t="shared" si="626"/>
        <v>0</v>
      </c>
      <c r="J329" s="84">
        <f t="shared" si="626"/>
        <v>0</v>
      </c>
      <c r="K329" s="84">
        <f t="shared" si="626"/>
        <v>0</v>
      </c>
      <c r="L329" s="84">
        <f t="shared" si="626"/>
        <v>0</v>
      </c>
      <c r="M329" s="84">
        <f t="shared" si="626"/>
        <v>0</v>
      </c>
      <c r="N329" s="84">
        <f t="shared" si="626"/>
        <v>0</v>
      </c>
      <c r="O329" s="84">
        <f t="shared" si="626"/>
        <v>0</v>
      </c>
      <c r="P329" s="84">
        <f t="shared" si="626"/>
        <v>0</v>
      </c>
      <c r="Q329" s="84">
        <f t="shared" si="626"/>
        <v>0</v>
      </c>
      <c r="R329" s="84">
        <f t="shared" si="626"/>
        <v>0</v>
      </c>
      <c r="S329" s="84">
        <f t="shared" si="626"/>
        <v>0</v>
      </c>
      <c r="T329" s="84">
        <f t="shared" si="626"/>
        <v>0</v>
      </c>
      <c r="U329" s="84">
        <f t="shared" si="626"/>
        <v>0</v>
      </c>
      <c r="V329" s="84">
        <f t="shared" si="626"/>
        <v>0</v>
      </c>
      <c r="W329" s="84">
        <f t="shared" si="626"/>
        <v>0</v>
      </c>
      <c r="X329" s="84">
        <f t="shared" si="626"/>
        <v>0</v>
      </c>
      <c r="Y329" s="84">
        <f t="shared" si="626"/>
        <v>0</v>
      </c>
      <c r="Z329" s="84">
        <f t="shared" si="626"/>
        <v>0</v>
      </c>
      <c r="AA329" s="84">
        <f t="shared" si="626"/>
        <v>0</v>
      </c>
      <c r="AB329" s="84">
        <f t="shared" si="626"/>
        <v>0</v>
      </c>
      <c r="AC329" s="84">
        <f t="shared" si="626"/>
        <v>0</v>
      </c>
      <c r="AE329" s="54"/>
    </row>
    <row r="330" spans="1:33" s="23" customFormat="1" hidden="1" outlineLevel="2" x14ac:dyDescent="0.2">
      <c r="A330" t="str">
        <f ca="1">Language!A$389</f>
        <v xml:space="preserve">    полная балансовая стоимость</v>
      </c>
      <c r="C330" s="40" t="str">
        <f t="shared" ca="1" si="616"/>
        <v>тыс. EUR</v>
      </c>
      <c r="D330" s="23" t="s">
        <v>841</v>
      </c>
      <c r="F330" s="84">
        <f ca="1">IF($B322&lt;=F$29,IF(SUM($E337:F337)&gt;0.01,0,$B328),0)</f>
        <v>0</v>
      </c>
      <c r="G330" s="84">
        <f ca="1">IF($B322&lt;=G$29,IF(SUM($E337:G337)&gt;0.01,0,$B328),0)</f>
        <v>0</v>
      </c>
      <c r="H330" s="84">
        <f ca="1">IF($B322&lt;=H$29,IF(SUM($E337:H337)&gt;0.01,0,$B328),0)</f>
        <v>0</v>
      </c>
      <c r="I330" s="84">
        <f ca="1">IF($B322&lt;=I$29,IF(SUM($E337:I337)&gt;0.01,0,$B328),0)</f>
        <v>0</v>
      </c>
      <c r="J330" s="84">
        <f ca="1">IF($B322&lt;=J$29,IF(SUM($E337:J337)&gt;0.01,0,$B328),0)</f>
        <v>0</v>
      </c>
      <c r="K330" s="84">
        <f ca="1">IF($B322&lt;=K$29,IF(SUM($E337:K337)&gt;0.01,0,$B328),0)</f>
        <v>0</v>
      </c>
      <c r="L330" s="84">
        <f ca="1">IF($B322&lt;=L$29,IF(SUM($E337:L337)&gt;0.01,0,$B328),0)</f>
        <v>0</v>
      </c>
      <c r="M330" s="84">
        <f ca="1">IF($B322&lt;=M$29,IF(SUM($E337:M337)&gt;0.01,0,$B328),0)</f>
        <v>0</v>
      </c>
      <c r="N330" s="84">
        <f ca="1">IF($B322&lt;=N$29,IF(SUM($E337:N337)&gt;0.01,0,$B328),0)</f>
        <v>0</v>
      </c>
      <c r="O330" s="84">
        <f ca="1">IF($B322&lt;=O$29,IF(SUM($E337:O337)&gt;0.01,0,$B328),0)</f>
        <v>0</v>
      </c>
      <c r="P330" s="84">
        <f ca="1">IF($B322&lt;=P$29,IF(SUM($E337:P337)&gt;0.01,0,$B328),0)</f>
        <v>0</v>
      </c>
      <c r="Q330" s="84">
        <f ca="1">IF($B322&lt;=Q$29,IF(SUM($E337:Q337)&gt;0.01,0,$B328),0)</f>
        <v>0</v>
      </c>
      <c r="R330" s="84">
        <f ca="1">IF($B322&lt;=R$29,IF(SUM($E337:R337)&gt;0.01,0,$B328),0)</f>
        <v>0</v>
      </c>
      <c r="S330" s="84">
        <f ca="1">IF($B322&lt;=S$29,IF(SUM($E337:S337)&gt;0.01,0,$B328),0)</f>
        <v>0</v>
      </c>
      <c r="T330" s="84">
        <f ca="1">IF($B322&lt;=T$29,IF(SUM($E337:T337)&gt;0.01,0,$B328),0)</f>
        <v>0</v>
      </c>
      <c r="U330" s="84">
        <f ca="1">IF($B322&lt;=U$29,IF(SUM($E337:U337)&gt;0.01,0,$B328),0)</f>
        <v>0</v>
      </c>
      <c r="V330" s="84">
        <f ca="1">IF($B322&lt;=V$29,IF(SUM($E337:V337)&gt;0.01,0,$B328),0)</f>
        <v>0</v>
      </c>
      <c r="W330" s="84">
        <f ca="1">IF($B322&lt;=W$29,IF(SUM($E337:W337)&gt;0.01,0,$B328),0)</f>
        <v>0</v>
      </c>
      <c r="X330" s="84">
        <f ca="1">IF($B322&lt;=X$29,IF(SUM($E337:X337)&gt;0.01,0,$B328),0)</f>
        <v>0</v>
      </c>
      <c r="Y330" s="84">
        <f ca="1">IF($B322&lt;=Y$29,IF(SUM($E337:Y337)&gt;0.01,0,$B328),0)</f>
        <v>0</v>
      </c>
      <c r="Z330" s="84">
        <f ca="1">IF($B322&lt;=Z$29,IF(SUM($E337:Z337)&gt;0.01,0,$B328),0)</f>
        <v>0</v>
      </c>
      <c r="AA330" s="84">
        <f ca="1">IF($B322&lt;=AA$29,IF(SUM($E337:AA337)&gt;0.01,0,$B328),0)</f>
        <v>0</v>
      </c>
      <c r="AB330" s="84">
        <f ca="1">IF($B322&lt;=AB$29,IF(SUM($E337:AB337)&gt;0.01,0,$B328),0)</f>
        <v>0</v>
      </c>
      <c r="AC330" s="84">
        <f ca="1">IF($B322&lt;=AC$29,IF(SUM($E337:AC337)&gt;0.01,0,$B328),0)</f>
        <v>0</v>
      </c>
      <c r="AE330" s="11"/>
    </row>
    <row r="331" spans="1:33" s="23" customFormat="1" hidden="1" outlineLevel="2" x14ac:dyDescent="0.2">
      <c r="A331" t="str">
        <f ca="1">Language!A$390</f>
        <v xml:space="preserve">    незавершенные инвестиции</v>
      </c>
      <c r="C331" s="40" t="str">
        <f t="shared" ca="1" si="616"/>
        <v>тыс. EUR</v>
      </c>
      <c r="D331" s="23" t="s">
        <v>844</v>
      </c>
      <c r="F331" s="84">
        <f ca="1">IF(SUM($E337:F337)&gt;0,0,IF($B322&gt;F$29,F329,0))</f>
        <v>0</v>
      </c>
      <c r="G331" s="84">
        <f ca="1">IF(SUM($E337:G337)&gt;0,0,IF($B322&gt;G$29,G329,0))</f>
        <v>0</v>
      </c>
      <c r="H331" s="84">
        <f ca="1">IF(SUM($E337:H337)&gt;0,0,IF($B322&gt;H$29,H329,0))</f>
        <v>0</v>
      </c>
      <c r="I331" s="84">
        <f ca="1">IF(SUM($E337:I337)&gt;0,0,IF($B322&gt;I$29,I329,0))</f>
        <v>0</v>
      </c>
      <c r="J331" s="84">
        <f ca="1">IF(SUM($E337:J337)&gt;0,0,IF($B322&gt;J$29,J329,0))</f>
        <v>0</v>
      </c>
      <c r="K331" s="84">
        <f ca="1">IF(SUM($E337:K337)&gt;0,0,IF($B322&gt;K$29,K329,0))</f>
        <v>0</v>
      </c>
      <c r="L331" s="84">
        <f ca="1">IF(SUM($E337:L337)&gt;0,0,IF($B322&gt;L$29,L329,0))</f>
        <v>0</v>
      </c>
      <c r="M331" s="84">
        <f ca="1">IF(SUM($E337:M337)&gt;0,0,IF($B322&gt;M$29,M329,0))</f>
        <v>0</v>
      </c>
      <c r="N331" s="84">
        <f ca="1">IF(SUM($E337:N337)&gt;0,0,IF($B322&gt;N$29,N329,0))</f>
        <v>0</v>
      </c>
      <c r="O331" s="84">
        <f ca="1">IF(SUM($E337:O337)&gt;0,0,IF($B322&gt;O$29,O329,0))</f>
        <v>0</v>
      </c>
      <c r="P331" s="84">
        <f ca="1">IF(SUM($E337:P337)&gt;0,0,IF($B322&gt;P$29,P329,0))</f>
        <v>0</v>
      </c>
      <c r="Q331" s="84">
        <f ca="1">IF(SUM($E337:Q337)&gt;0,0,IF($B322&gt;Q$29,Q329,0))</f>
        <v>0</v>
      </c>
      <c r="R331" s="84">
        <f ca="1">IF(SUM($E337:R337)&gt;0,0,IF($B322&gt;R$29,R329,0))</f>
        <v>0</v>
      </c>
      <c r="S331" s="84">
        <f ca="1">IF(SUM($E337:S337)&gt;0,0,IF($B322&gt;S$29,S329,0))</f>
        <v>0</v>
      </c>
      <c r="T331" s="84">
        <f ca="1">IF(SUM($E337:T337)&gt;0,0,IF($B322&gt;T$29,T329,0))</f>
        <v>0</v>
      </c>
      <c r="U331" s="84">
        <f ca="1">IF(SUM($E337:U337)&gt;0,0,IF($B322&gt;U$29,U329,0))</f>
        <v>0</v>
      </c>
      <c r="V331" s="84">
        <f ca="1">IF(SUM($E337:V337)&gt;0,0,IF($B322&gt;V$29,V329,0))</f>
        <v>0</v>
      </c>
      <c r="W331" s="84">
        <f ca="1">IF(SUM($E337:W337)&gt;0,0,IF($B322&gt;W$29,W329,0))</f>
        <v>0</v>
      </c>
      <c r="X331" s="84">
        <f ca="1">IF(SUM($E337:X337)&gt;0,0,IF($B322&gt;X$29,X329,0))</f>
        <v>0</v>
      </c>
      <c r="Y331" s="84">
        <f ca="1">IF(SUM($E337:Y337)&gt;0,0,IF($B322&gt;Y$29,Y329,0))</f>
        <v>0</v>
      </c>
      <c r="Z331" s="84">
        <f ca="1">IF(SUM($E337:Z337)&gt;0,0,IF($B322&gt;Z$29,Z329,0))</f>
        <v>0</v>
      </c>
      <c r="AA331" s="84">
        <f ca="1">IF(SUM($E337:AA337)&gt;0,0,IF($B322&gt;AA$29,AA329,0))</f>
        <v>0</v>
      </c>
      <c r="AB331" s="84">
        <f ca="1">IF(SUM($E337:AB337)&gt;0,0,IF($B322&gt;AB$29,AB329,0))</f>
        <v>0</v>
      </c>
      <c r="AC331" s="84">
        <f ca="1">IF(SUM($E337:AC337)&gt;0,0,IF($B322&gt;AC$29,AC329,0))</f>
        <v>0</v>
      </c>
      <c r="AE331" s="11"/>
    </row>
    <row r="332" spans="1:33" s="23" customFormat="1" hidden="1" outlineLevel="2" x14ac:dyDescent="0.2">
      <c r="A332" t="str">
        <f ca="1">Language!A$391</f>
        <v xml:space="preserve">    кредиторская задолженность</v>
      </c>
      <c r="C332" s="40" t="str">
        <f t="shared" ca="1" si="616"/>
        <v>тыс. EUR</v>
      </c>
      <c r="D332" s="23" t="s">
        <v>845</v>
      </c>
      <c r="F332" s="84">
        <f ca="1">IF(OR($B322&lt;=F$29,AND(SUM($F337:F337)&gt;0,$B322&gt;F$29)),$B328-F329,0)</f>
        <v>0</v>
      </c>
      <c r="G332" s="84">
        <f ca="1">IF(OR($B322&lt;=G$29,AND(SUM($F337:G337)&gt;0,$B322&gt;G$29)),$B328-G329,0)</f>
        <v>0</v>
      </c>
      <c r="H332" s="84">
        <f ca="1">IF(OR($B322&lt;=H$29,AND(SUM($F337:H337)&gt;0,$B322&gt;H$29)),$B328-H329,0)</f>
        <v>0</v>
      </c>
      <c r="I332" s="84">
        <f ca="1">IF(OR($B322&lt;=I$29,AND(SUM($F337:I337)&gt;0,$B322&gt;I$29)),$B328-I329,0)</f>
        <v>0</v>
      </c>
      <c r="J332" s="84">
        <f ca="1">IF(OR($B322&lt;=J$29,AND(SUM($F337:J337)&gt;0,$B322&gt;J$29)),$B328-J329,0)</f>
        <v>0</v>
      </c>
      <c r="K332" s="84">
        <f ca="1">IF(OR($B322&lt;=K$29,AND(SUM($F337:K337)&gt;0,$B322&gt;K$29)),$B328-K329,0)</f>
        <v>0</v>
      </c>
      <c r="L332" s="84">
        <f ca="1">IF(OR($B322&lt;=L$29,AND(SUM($F337:L337)&gt;0,$B322&gt;L$29)),$B328-L329,0)</f>
        <v>0</v>
      </c>
      <c r="M332" s="84">
        <f ca="1">IF(OR($B322&lt;=M$29,AND(SUM($F337:M337)&gt;0,$B322&gt;M$29)),$B328-M329,0)</f>
        <v>0</v>
      </c>
      <c r="N332" s="84">
        <f ca="1">IF(OR($B322&lt;=N$29,AND(SUM($F337:N337)&gt;0,$B322&gt;N$29)),$B328-N329,0)</f>
        <v>0</v>
      </c>
      <c r="O332" s="84">
        <f ca="1">IF(OR($B322&lt;=O$29,AND(SUM($F337:O337)&gt;0,$B322&gt;O$29)),$B328-O329,0)</f>
        <v>0</v>
      </c>
      <c r="P332" s="84">
        <f ca="1">IF(OR($B322&lt;=P$29,AND(SUM($F337:P337)&gt;0,$B322&gt;P$29)),$B328-P329,0)</f>
        <v>0</v>
      </c>
      <c r="Q332" s="84">
        <f ca="1">IF(OR($B322&lt;=Q$29,AND(SUM($F337:Q337)&gt;0,$B322&gt;Q$29)),$B328-Q329,0)</f>
        <v>0</v>
      </c>
      <c r="R332" s="84">
        <f ca="1">IF(OR($B322&lt;=R$29,AND(SUM($F337:R337)&gt;0,$B322&gt;R$29)),$B328-R329,0)</f>
        <v>0</v>
      </c>
      <c r="S332" s="84">
        <f ca="1">IF(OR($B322&lt;=S$29,AND(SUM($F337:S337)&gt;0,$B322&gt;S$29)),$B328-S329,0)</f>
        <v>0</v>
      </c>
      <c r="T332" s="84">
        <f ca="1">IF(OR($B322&lt;=T$29,AND(SUM($F337:T337)&gt;0,$B322&gt;T$29)),$B328-T329,0)</f>
        <v>0</v>
      </c>
      <c r="U332" s="84">
        <f ca="1">IF(OR($B322&lt;=U$29,AND(SUM($F337:U337)&gt;0,$B322&gt;U$29)),$B328-U329,0)</f>
        <v>0</v>
      </c>
      <c r="V332" s="84">
        <f ca="1">IF(OR($B322&lt;=V$29,AND(SUM($F337:V337)&gt;0,$B322&gt;V$29)),$B328-V329,0)</f>
        <v>0</v>
      </c>
      <c r="W332" s="84">
        <f ca="1">IF(OR($B322&lt;=W$29,AND(SUM($F337:W337)&gt;0,$B322&gt;W$29)),$B328-W329,0)</f>
        <v>0</v>
      </c>
      <c r="X332" s="84">
        <f ca="1">IF(OR($B322&lt;=X$29,AND(SUM($F337:X337)&gt;0,$B322&gt;X$29)),$B328-X329,0)</f>
        <v>0</v>
      </c>
      <c r="Y332" s="84">
        <f ca="1">IF(OR($B322&lt;=Y$29,AND(SUM($F337:Y337)&gt;0,$B322&gt;Y$29)),$B328-Y329,0)</f>
        <v>0</v>
      </c>
      <c r="Z332" s="84">
        <f ca="1">IF(OR($B322&lt;=Z$29,AND(SUM($F337:Z337)&gt;0,$B322&gt;Z$29)),$B328-Z329,0)</f>
        <v>0</v>
      </c>
      <c r="AA332" s="84">
        <f ca="1">IF(OR($B322&lt;=AA$29,AND(SUM($F337:AA337)&gt;0,$B322&gt;AA$29)),$B328-AA329,0)</f>
        <v>0</v>
      </c>
      <c r="AB332" s="84">
        <f ca="1">IF(OR($B322&lt;=AB$29,AND(SUM($F337:AB337)&gt;0,$B322&gt;AB$29)),$B328-AB329,0)</f>
        <v>0</v>
      </c>
      <c r="AC332" s="84">
        <f ca="1">IF(OR($B322&lt;=AC$29,AND(SUM($F337:AC337)&gt;0,$B322&gt;AC$29)),$B328-AC329,0)</f>
        <v>0</v>
      </c>
      <c r="AE332" s="11"/>
    </row>
    <row r="333" spans="1:33" s="23" customFormat="1" hidden="1" outlineLevel="2" x14ac:dyDescent="0.2">
      <c r="A333" t="str">
        <f ca="1">Language!A$398</f>
        <v xml:space="preserve">    накопленная амортизация</v>
      </c>
      <c r="C333" s="40" t="str">
        <f t="shared" ca="1" si="616"/>
        <v>тыс. EUR</v>
      </c>
      <c r="D333" s="23" t="s">
        <v>842</v>
      </c>
      <c r="F333" s="84">
        <f t="shared" ref="F333:AC333" ca="1" si="627">E333+F324+F323</f>
        <v>0</v>
      </c>
      <c r="G333" s="84">
        <f t="shared" ca="1" si="627"/>
        <v>0</v>
      </c>
      <c r="H333" s="84">
        <f t="shared" ca="1" si="627"/>
        <v>0</v>
      </c>
      <c r="I333" s="84">
        <f t="shared" ca="1" si="627"/>
        <v>0</v>
      </c>
      <c r="J333" s="84">
        <f t="shared" ca="1" si="627"/>
        <v>0</v>
      </c>
      <c r="K333" s="84">
        <f t="shared" ca="1" si="627"/>
        <v>0</v>
      </c>
      <c r="L333" s="84">
        <f t="shared" ca="1" si="627"/>
        <v>0</v>
      </c>
      <c r="M333" s="84">
        <f t="shared" ca="1" si="627"/>
        <v>0</v>
      </c>
      <c r="N333" s="84">
        <f t="shared" ca="1" si="627"/>
        <v>0</v>
      </c>
      <c r="O333" s="84">
        <f t="shared" ca="1" si="627"/>
        <v>0</v>
      </c>
      <c r="P333" s="84">
        <f t="shared" ca="1" si="627"/>
        <v>0</v>
      </c>
      <c r="Q333" s="84">
        <f t="shared" ca="1" si="627"/>
        <v>0</v>
      </c>
      <c r="R333" s="84">
        <f t="shared" ca="1" si="627"/>
        <v>0</v>
      </c>
      <c r="S333" s="84">
        <f t="shared" ca="1" si="627"/>
        <v>0</v>
      </c>
      <c r="T333" s="84">
        <f t="shared" ca="1" si="627"/>
        <v>0</v>
      </c>
      <c r="U333" s="84">
        <f t="shared" ca="1" si="627"/>
        <v>0</v>
      </c>
      <c r="V333" s="84">
        <f t="shared" ca="1" si="627"/>
        <v>0</v>
      </c>
      <c r="W333" s="84">
        <f t="shared" ca="1" si="627"/>
        <v>0</v>
      </c>
      <c r="X333" s="84">
        <f t="shared" ca="1" si="627"/>
        <v>0</v>
      </c>
      <c r="Y333" s="84">
        <f t="shared" ca="1" si="627"/>
        <v>0</v>
      </c>
      <c r="Z333" s="84">
        <f t="shared" ca="1" si="627"/>
        <v>0</v>
      </c>
      <c r="AA333" s="84">
        <f t="shared" ca="1" si="627"/>
        <v>0</v>
      </c>
      <c r="AB333" s="84">
        <f t="shared" ca="1" si="627"/>
        <v>0</v>
      </c>
      <c r="AC333" s="84">
        <f t="shared" ca="1" si="627"/>
        <v>0</v>
      </c>
      <c r="AE333" s="11"/>
    </row>
    <row r="334" spans="1:33" s="23" customFormat="1" hidden="1" outlineLevel="2" x14ac:dyDescent="0.2">
      <c r="A334" t="str">
        <f ca="1">Language!A$392</f>
        <v xml:space="preserve">    остаточная стоимость</v>
      </c>
      <c r="C334" s="40" t="str">
        <f t="shared" ca="1" si="616"/>
        <v>тыс. EUR</v>
      </c>
      <c r="D334" s="23" t="s">
        <v>843</v>
      </c>
      <c r="F334" s="105">
        <f ca="1">IF(SUM($E337:F337)&gt;0.01,0,F330-F333)</f>
        <v>0</v>
      </c>
      <c r="G334" s="105">
        <f ca="1">IF(SUM($E337:G337)&gt;0.01,0,G330-G333)</f>
        <v>0</v>
      </c>
      <c r="H334" s="105">
        <f ca="1">IF(SUM($E337:H337)&gt;0.01,0,H330-H333)</f>
        <v>0</v>
      </c>
      <c r="I334" s="105">
        <f ca="1">IF(SUM($E337:I337)&gt;0.01,0,I330-I333)</f>
        <v>0</v>
      </c>
      <c r="J334" s="105">
        <f ca="1">IF(SUM($E337:J337)&gt;0.01,0,J330-J333)</f>
        <v>0</v>
      </c>
      <c r="K334" s="105">
        <f ca="1">IF(SUM($E337:K337)&gt;0.01,0,K330-K333)</f>
        <v>0</v>
      </c>
      <c r="L334" s="105">
        <f ca="1">IF(SUM($E337:L337)&gt;0.01,0,L330-L333)</f>
        <v>0</v>
      </c>
      <c r="M334" s="105">
        <f ca="1">IF(SUM($E337:M337)&gt;0.01,0,M330-M333)</f>
        <v>0</v>
      </c>
      <c r="N334" s="105">
        <f ca="1">IF(SUM($E337:N337)&gt;0.01,0,N330-N333)</f>
        <v>0</v>
      </c>
      <c r="O334" s="105">
        <f ca="1">IF(SUM($E337:O337)&gt;0.01,0,O330-O333)</f>
        <v>0</v>
      </c>
      <c r="P334" s="105">
        <f ca="1">IF(SUM($E337:P337)&gt;0.01,0,P330-P333)</f>
        <v>0</v>
      </c>
      <c r="Q334" s="105">
        <f ca="1">IF(SUM($E337:Q337)&gt;0.01,0,Q330-Q333)</f>
        <v>0</v>
      </c>
      <c r="R334" s="105">
        <f ca="1">IF(SUM($E337:R337)&gt;0.01,0,R330-R333)</f>
        <v>0</v>
      </c>
      <c r="S334" s="105">
        <f ca="1">IF(SUM($E337:S337)&gt;0.01,0,S330-S333)</f>
        <v>0</v>
      </c>
      <c r="T334" s="105">
        <f ca="1">IF(SUM($E337:T337)&gt;0.01,0,T330-T333)</f>
        <v>0</v>
      </c>
      <c r="U334" s="105">
        <f ca="1">IF(SUM($E337:U337)&gt;0.01,0,U330-U333)</f>
        <v>0</v>
      </c>
      <c r="V334" s="105">
        <f ca="1">IF(SUM($E337:V337)&gt;0.01,0,V330-V333)</f>
        <v>0</v>
      </c>
      <c r="W334" s="105">
        <f ca="1">IF(SUM($E337:W337)&gt;0.01,0,W330-W333)</f>
        <v>0</v>
      </c>
      <c r="X334" s="105">
        <f ca="1">IF(SUM($E337:X337)&gt;0.01,0,X330-X333)</f>
        <v>0</v>
      </c>
      <c r="Y334" s="105">
        <f ca="1">IF(SUM($E337:Y337)&gt;0.01,0,Y330-Y333)</f>
        <v>0</v>
      </c>
      <c r="Z334" s="105">
        <f ca="1">IF(SUM($E337:Z337)&gt;0.01,0,Z330-Z333)</f>
        <v>0</v>
      </c>
      <c r="AA334" s="105">
        <f ca="1">IF(SUM($E337:AA337)&gt;0.01,0,AA330-AA333)</f>
        <v>0</v>
      </c>
      <c r="AB334" s="105">
        <f ca="1">IF(SUM($E337:AB337)&gt;0.01,0,AB330-AB333)</f>
        <v>0</v>
      </c>
      <c r="AC334" s="105">
        <f ca="1">IF(SUM($E337:AC337)&gt;0.01,0,AC330-AC333)</f>
        <v>0</v>
      </c>
      <c r="AE334" s="11"/>
    </row>
    <row r="335" spans="1:33" s="23" customFormat="1" hidden="1" outlineLevel="2" x14ac:dyDescent="0.2">
      <c r="A335" t="str">
        <f ca="1">Language!A$399</f>
        <v xml:space="preserve">    НДС к ранее осуществленным инвестициям</v>
      </c>
      <c r="B335" s="261">
        <f>B321*B325</f>
        <v>0</v>
      </c>
      <c r="C335" s="40" t="str">
        <f t="shared" ca="1" si="616"/>
        <v>тыс. EUR</v>
      </c>
      <c r="D335" s="23" t="s">
        <v>836</v>
      </c>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E335" s="11"/>
    </row>
    <row r="336" spans="1:33" s="23" customFormat="1" hidden="1" outlineLevel="2" x14ac:dyDescent="0.2">
      <c r="A336" t="str">
        <f ca="1">Language!A$400</f>
        <v xml:space="preserve">    зачет НДС</v>
      </c>
      <c r="C336" s="40" t="str">
        <f t="shared" ca="1" si="616"/>
        <v>тыс. EUR</v>
      </c>
      <c r="D336" s="132" t="s">
        <v>837</v>
      </c>
      <c r="F336" s="110">
        <f ca="1">IF($B326=2,IF($B322=F$29,$B335+$AE325,0),F325+B335)</f>
        <v>0</v>
      </c>
      <c r="G336" s="110">
        <f t="shared" ref="G336:AC336" ca="1" si="628">IF($B326=2,IF($B322=G$29,$B335+$AE325,0),G325)</f>
        <v>0</v>
      </c>
      <c r="H336" s="110">
        <f t="shared" ca="1" si="628"/>
        <v>0</v>
      </c>
      <c r="I336" s="110">
        <f t="shared" ca="1" si="628"/>
        <v>0</v>
      </c>
      <c r="J336" s="110">
        <f t="shared" ca="1" si="628"/>
        <v>0</v>
      </c>
      <c r="K336" s="110">
        <f t="shared" ca="1" si="628"/>
        <v>0</v>
      </c>
      <c r="L336" s="110">
        <f t="shared" ca="1" si="628"/>
        <v>0</v>
      </c>
      <c r="M336" s="110">
        <f t="shared" ca="1" si="628"/>
        <v>0</v>
      </c>
      <c r="N336" s="110">
        <f t="shared" ca="1" si="628"/>
        <v>0</v>
      </c>
      <c r="O336" s="110">
        <f t="shared" ca="1" si="628"/>
        <v>0</v>
      </c>
      <c r="P336" s="110">
        <f t="shared" ca="1" si="628"/>
        <v>0</v>
      </c>
      <c r="Q336" s="110">
        <f t="shared" ca="1" si="628"/>
        <v>0</v>
      </c>
      <c r="R336" s="110">
        <f t="shared" ca="1" si="628"/>
        <v>0</v>
      </c>
      <c r="S336" s="110">
        <f t="shared" ca="1" si="628"/>
        <v>0</v>
      </c>
      <c r="T336" s="110">
        <f t="shared" ca="1" si="628"/>
        <v>0</v>
      </c>
      <c r="U336" s="110">
        <f t="shared" ca="1" si="628"/>
        <v>0</v>
      </c>
      <c r="V336" s="110">
        <f t="shared" ca="1" si="628"/>
        <v>0</v>
      </c>
      <c r="W336" s="110">
        <f t="shared" ca="1" si="628"/>
        <v>0</v>
      </c>
      <c r="X336" s="110">
        <f t="shared" ca="1" si="628"/>
        <v>0</v>
      </c>
      <c r="Y336" s="110">
        <f t="shared" ca="1" si="628"/>
        <v>0</v>
      </c>
      <c r="Z336" s="110">
        <f t="shared" ca="1" si="628"/>
        <v>0</v>
      </c>
      <c r="AA336" s="110">
        <f t="shared" ca="1" si="628"/>
        <v>0</v>
      </c>
      <c r="AB336" s="110">
        <f t="shared" ca="1" si="628"/>
        <v>0</v>
      </c>
      <c r="AC336" s="110">
        <f t="shared" ca="1" si="628"/>
        <v>0</v>
      </c>
      <c r="AE336" s="54">
        <f ca="1">SUM(F336:AC336)</f>
        <v>0</v>
      </c>
    </row>
    <row r="337" spans="1:33" s="23" customFormat="1" hidden="1" outlineLevel="2" x14ac:dyDescent="0.2">
      <c r="A337" s="63" t="str">
        <f ca="1">Language!A$362</f>
        <v xml:space="preserve">    реализация актива (без НДС)</v>
      </c>
      <c r="B337" s="111"/>
      <c r="C337" s="113" t="str">
        <f t="shared" ca="1" si="616"/>
        <v>тыс. EUR</v>
      </c>
      <c r="D337" s="23" t="s">
        <v>838</v>
      </c>
      <c r="E337" s="111"/>
      <c r="F337" s="271">
        <v>0</v>
      </c>
      <c r="G337" s="271">
        <v>0</v>
      </c>
      <c r="H337" s="271">
        <v>0</v>
      </c>
      <c r="I337" s="271">
        <v>0</v>
      </c>
      <c r="J337" s="271">
        <v>0</v>
      </c>
      <c r="K337" s="271">
        <v>0</v>
      </c>
      <c r="L337" s="271">
        <v>0</v>
      </c>
      <c r="M337" s="271">
        <v>0</v>
      </c>
      <c r="N337" s="271">
        <v>0</v>
      </c>
      <c r="O337" s="271">
        <v>0</v>
      </c>
      <c r="P337" s="271">
        <v>0</v>
      </c>
      <c r="Q337" s="271">
        <v>0</v>
      </c>
      <c r="R337" s="271">
        <v>0</v>
      </c>
      <c r="S337" s="271">
        <v>0</v>
      </c>
      <c r="T337" s="271">
        <v>0</v>
      </c>
      <c r="U337" s="271">
        <v>0</v>
      </c>
      <c r="V337" s="271">
        <v>0</v>
      </c>
      <c r="W337" s="271">
        <v>0</v>
      </c>
      <c r="X337" s="271">
        <v>0</v>
      </c>
      <c r="Y337" s="271">
        <v>0</v>
      </c>
      <c r="Z337" s="271">
        <v>0</v>
      </c>
      <c r="AA337" s="271">
        <v>0</v>
      </c>
      <c r="AB337" s="271">
        <v>0</v>
      </c>
      <c r="AC337" s="271">
        <v>0</v>
      </c>
      <c r="AE337" s="54">
        <f>SUM(F337:AC337)</f>
        <v>0</v>
      </c>
    </row>
    <row r="338" spans="1:33" s="23" customFormat="1" hidden="1" outlineLevel="2" x14ac:dyDescent="0.2">
      <c r="A338" s="19" t="str">
        <f ca="1">Language!A$363</f>
        <v xml:space="preserve">    прибыль/убыток от реализации актива</v>
      </c>
      <c r="B338" s="24"/>
      <c r="C338" s="114" t="str">
        <f t="shared" ca="1" si="616"/>
        <v>тыс. EUR</v>
      </c>
      <c r="D338" s="23" t="s">
        <v>839</v>
      </c>
      <c r="E338" s="24"/>
      <c r="F338" s="83">
        <f t="shared" ref="F338:AC338" si="629">IF(F337=0,0,F337-IF(F$29&lt;=$B322,$B328,E334))</f>
        <v>0</v>
      </c>
      <c r="G338" s="83">
        <f t="shared" si="629"/>
        <v>0</v>
      </c>
      <c r="H338" s="83">
        <f t="shared" si="629"/>
        <v>0</v>
      </c>
      <c r="I338" s="83">
        <f t="shared" si="629"/>
        <v>0</v>
      </c>
      <c r="J338" s="83">
        <f t="shared" si="629"/>
        <v>0</v>
      </c>
      <c r="K338" s="83">
        <f t="shared" si="629"/>
        <v>0</v>
      </c>
      <c r="L338" s="83">
        <f t="shared" si="629"/>
        <v>0</v>
      </c>
      <c r="M338" s="83">
        <f t="shared" si="629"/>
        <v>0</v>
      </c>
      <c r="N338" s="83">
        <f t="shared" si="629"/>
        <v>0</v>
      </c>
      <c r="O338" s="83">
        <f t="shared" si="629"/>
        <v>0</v>
      </c>
      <c r="P338" s="83">
        <f t="shared" si="629"/>
        <v>0</v>
      </c>
      <c r="Q338" s="83">
        <f t="shared" si="629"/>
        <v>0</v>
      </c>
      <c r="R338" s="83">
        <f t="shared" si="629"/>
        <v>0</v>
      </c>
      <c r="S338" s="83">
        <f t="shared" si="629"/>
        <v>0</v>
      </c>
      <c r="T338" s="83">
        <f t="shared" si="629"/>
        <v>0</v>
      </c>
      <c r="U338" s="83">
        <f t="shared" si="629"/>
        <v>0</v>
      </c>
      <c r="V338" s="83">
        <f t="shared" si="629"/>
        <v>0</v>
      </c>
      <c r="W338" s="83">
        <f t="shared" si="629"/>
        <v>0</v>
      </c>
      <c r="X338" s="83">
        <f t="shared" si="629"/>
        <v>0</v>
      </c>
      <c r="Y338" s="83">
        <f t="shared" si="629"/>
        <v>0</v>
      </c>
      <c r="Z338" s="83">
        <f t="shared" si="629"/>
        <v>0</v>
      </c>
      <c r="AA338" s="83">
        <f t="shared" si="629"/>
        <v>0</v>
      </c>
      <c r="AB338" s="83">
        <f t="shared" si="629"/>
        <v>0</v>
      </c>
      <c r="AC338" s="83">
        <f t="shared" si="629"/>
        <v>0</v>
      </c>
      <c r="AE338" s="54">
        <f>SUM(F338:AC338)</f>
        <v>0</v>
      </c>
    </row>
    <row r="339" spans="1:33" s="23" customFormat="1" hidden="1" outlineLevel="2" x14ac:dyDescent="0.2">
      <c r="A339" t="str">
        <f ca="1">Language!A$401</f>
        <v xml:space="preserve">    НДС к выручке от реализации актива</v>
      </c>
      <c r="B339" s="272">
        <f>VAT</f>
        <v>0.23</v>
      </c>
      <c r="C339" s="40" t="str">
        <f t="shared" ca="1" si="616"/>
        <v>тыс. EUR</v>
      </c>
      <c r="D339" s="23" t="s">
        <v>811</v>
      </c>
      <c r="F339">
        <f t="shared" ref="F339:T339" si="630">F337*$B339</f>
        <v>0</v>
      </c>
      <c r="G339">
        <f t="shared" si="630"/>
        <v>0</v>
      </c>
      <c r="H339">
        <f t="shared" si="630"/>
        <v>0</v>
      </c>
      <c r="I339">
        <f t="shared" si="630"/>
        <v>0</v>
      </c>
      <c r="J339">
        <f t="shared" si="630"/>
        <v>0</v>
      </c>
      <c r="K339">
        <f t="shared" si="630"/>
        <v>0</v>
      </c>
      <c r="L339">
        <f t="shared" si="630"/>
        <v>0</v>
      </c>
      <c r="M339">
        <f t="shared" si="630"/>
        <v>0</v>
      </c>
      <c r="N339">
        <f t="shared" si="630"/>
        <v>0</v>
      </c>
      <c r="O339">
        <f t="shared" si="630"/>
        <v>0</v>
      </c>
      <c r="P339">
        <f t="shared" si="630"/>
        <v>0</v>
      </c>
      <c r="Q339">
        <f t="shared" si="630"/>
        <v>0</v>
      </c>
      <c r="R339">
        <f t="shared" si="630"/>
        <v>0</v>
      </c>
      <c r="S339">
        <f t="shared" si="630"/>
        <v>0</v>
      </c>
      <c r="T339">
        <f t="shared" si="630"/>
        <v>0</v>
      </c>
      <c r="U339">
        <f t="shared" ref="U339" si="631">U337*$B339</f>
        <v>0</v>
      </c>
      <c r="V339">
        <f t="shared" ref="V339" si="632">V337*$B339</f>
        <v>0</v>
      </c>
      <c r="W339">
        <f t="shared" ref="W339" si="633">W337*$B339</f>
        <v>0</v>
      </c>
      <c r="X339">
        <f t="shared" ref="X339" si="634">X337*$B339</f>
        <v>0</v>
      </c>
      <c r="Y339">
        <f t="shared" ref="Y339" si="635">Y337*$B339</f>
        <v>0</v>
      </c>
      <c r="Z339">
        <f t="shared" ref="Z339" si="636">Z337*$B339</f>
        <v>0</v>
      </c>
      <c r="AA339">
        <f t="shared" ref="AA339" si="637">AA337*$B339</f>
        <v>0</v>
      </c>
      <c r="AB339">
        <f t="shared" ref="AB339:AC339" si="638">AB337*$B339</f>
        <v>0</v>
      </c>
      <c r="AC339">
        <f t="shared" si="638"/>
        <v>0</v>
      </c>
      <c r="AE339" s="54">
        <f>SUM(F339:AC339)</f>
        <v>0</v>
      </c>
    </row>
    <row r="340" spans="1:33" s="23" customFormat="1" outlineLevel="1" x14ac:dyDescent="0.2">
      <c r="A340" s="273"/>
      <c r="B340" s="36" t="str">
        <f ca="1">Language!A$73</f>
        <v>Валюта</v>
      </c>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E340" s="39"/>
      <c r="AF340" s="115"/>
      <c r="AG340" s="115"/>
    </row>
    <row r="341" spans="1:33" s="23" customFormat="1" outlineLevel="1" collapsed="1" x14ac:dyDescent="0.2">
      <c r="A341" t="str">
        <f ca="1">Language!A$382</f>
        <v xml:space="preserve">    величина платежей (с НДС)</v>
      </c>
      <c r="B341" s="254">
        <v>1</v>
      </c>
      <c r="C341" s="40" t="str">
        <f ca="1">CHOOSE(B341,CUR_Main,CUR_Foreign)</f>
        <v>тыс. EUR</v>
      </c>
      <c r="D341" s="16" t="str">
        <f>TEXT(B341,"0")&amp;"_00"</f>
        <v>1_00</v>
      </c>
      <c r="F341" s="275">
        <v>0</v>
      </c>
      <c r="G341" s="275">
        <v>0</v>
      </c>
      <c r="H341" s="275">
        <v>0</v>
      </c>
      <c r="I341" s="275">
        <v>0</v>
      </c>
      <c r="J341" s="275">
        <v>0</v>
      </c>
      <c r="K341" s="275">
        <v>0</v>
      </c>
      <c r="L341" s="275">
        <v>0</v>
      </c>
      <c r="M341" s="275">
        <v>0</v>
      </c>
      <c r="N341" s="275">
        <v>0</v>
      </c>
      <c r="O341" s="275">
        <v>0</v>
      </c>
      <c r="P341" s="275">
        <v>0</v>
      </c>
      <c r="Q341" s="275">
        <v>0</v>
      </c>
      <c r="R341" s="275">
        <v>0</v>
      </c>
      <c r="S341" s="275">
        <v>0</v>
      </c>
      <c r="T341" s="275">
        <v>0</v>
      </c>
      <c r="U341" s="275">
        <v>0</v>
      </c>
      <c r="V341" s="275">
        <v>0</v>
      </c>
      <c r="W341" s="275">
        <v>0</v>
      </c>
      <c r="X341" s="275">
        <v>0</v>
      </c>
      <c r="Y341" s="275">
        <v>0</v>
      </c>
      <c r="Z341" s="275">
        <v>0</v>
      </c>
      <c r="AA341" s="275">
        <v>0</v>
      </c>
      <c r="AB341" s="275">
        <v>0</v>
      </c>
      <c r="AC341" s="275">
        <v>0</v>
      </c>
      <c r="AE341" s="54">
        <f>SUM(F341:AC341)</f>
        <v>0</v>
      </c>
      <c r="AF341" s="115"/>
      <c r="AG341" s="115"/>
    </row>
    <row r="342" spans="1:33" s="23" customFormat="1" hidden="1" outlineLevel="2" x14ac:dyDescent="0.2">
      <c r="A342" t="str">
        <f ca="1">Language!A$384</f>
        <v xml:space="preserve">    ранее осуществленные инвестиции (без НДС)</v>
      </c>
      <c r="B342" s="274">
        <v>0</v>
      </c>
      <c r="C342" s="40" t="str">
        <f ca="1">CUR_Main</f>
        <v>тыс. EUR</v>
      </c>
      <c r="D342" s="23" t="s">
        <v>1227</v>
      </c>
      <c r="AE342" s="11"/>
      <c r="AF342" s="115"/>
      <c r="AG342" s="115"/>
    </row>
    <row r="343" spans="1:33" s="23" customFormat="1" hidden="1" outlineLevel="2" x14ac:dyDescent="0.2">
      <c r="A343" t="str">
        <f ca="1">Language!A$385</f>
        <v xml:space="preserve">    поставить на баланс с</v>
      </c>
      <c r="B343" s="270">
        <f ca="1">MATCH(OFFSET(AE350,0,-2),F350:AC350,0)+1</f>
        <v>2</v>
      </c>
      <c r="C343" s="40" t="str">
        <f ca="1">Language!A$377</f>
        <v>периода</v>
      </c>
      <c r="AE343" s="11"/>
      <c r="AF343" s="115"/>
      <c r="AG343" s="115"/>
    </row>
    <row r="344" spans="1:33" s="23" customFormat="1" hidden="1" outlineLevel="2" x14ac:dyDescent="0.2">
      <c r="A344" t="str">
        <f ca="1">Language!A$394</f>
        <v xml:space="preserve">    амортизация (линейная),       для срока использования:</v>
      </c>
      <c r="B344" s="270">
        <v>20</v>
      </c>
      <c r="C344" s="40" t="str">
        <f ca="1">Language!A$33</f>
        <v>лет</v>
      </c>
      <c r="D344" s="131" t="s">
        <v>762</v>
      </c>
      <c r="F344" s="53">
        <f ca="1">IF(AND($B344&gt;0,SUM($E358:F358)&lt;=0.01),MIN(F351*100%/$B344*PRJ_Step/360,E355+F351-E351),0)</f>
        <v>0</v>
      </c>
      <c r="G344" s="53">
        <f ca="1">IF(AND($B344&gt;0,SUM($E358:G358)&lt;=0.01),MIN(G351*100%/$B344*PRJ_Step/360,F355+G351-F351),0)</f>
        <v>0</v>
      </c>
      <c r="H344" s="53">
        <f ca="1">IF(AND($B344&gt;0,SUM($E358:H358)&lt;=0.01),MIN(H351*100%/$B344*PRJ_Step/360,G355+H351-G351),0)</f>
        <v>0</v>
      </c>
      <c r="I344" s="53">
        <f ca="1">IF(AND($B344&gt;0,SUM($E358:I358)&lt;=0.01),MIN(I351*100%/$B344*PRJ_Step/360,H355+I351-H351),0)</f>
        <v>0</v>
      </c>
      <c r="J344" s="53">
        <f ca="1">IF(AND($B344&gt;0,SUM($E358:J358)&lt;=0.01),MIN(J351*100%/$B344*PRJ_Step/360,I355+J351-I351),0)</f>
        <v>0</v>
      </c>
      <c r="K344" s="53">
        <f ca="1">IF(AND($B344&gt;0,SUM($E358:K358)&lt;=0.01),MIN(K351*100%/$B344*PRJ_Step/360,J355+K351-J351),0)</f>
        <v>0</v>
      </c>
      <c r="L344" s="53">
        <f ca="1">IF(AND($B344&gt;0,SUM($E358:L358)&lt;=0.01),MIN(L351*100%/$B344*PRJ_Step/360,K355+L351-K351),0)</f>
        <v>0</v>
      </c>
      <c r="M344" s="53">
        <f ca="1">IF(AND($B344&gt;0,SUM($E358:M358)&lt;=0.01),MIN(M351*100%/$B344*PRJ_Step/360,L355+M351-L351),0)</f>
        <v>0</v>
      </c>
      <c r="N344" s="53">
        <f ca="1">IF(AND($B344&gt;0,SUM($E358:N358)&lt;=0.01),MIN(N351*100%/$B344*PRJ_Step/360,M355+N351-M351),0)</f>
        <v>0</v>
      </c>
      <c r="O344" s="53">
        <f ca="1">IF(AND($B344&gt;0,SUM($E358:O358)&lt;=0.01),MIN(O351*100%/$B344*PRJ_Step/360,N355+O351-N351),0)</f>
        <v>0</v>
      </c>
      <c r="P344" s="53">
        <f ca="1">IF(AND($B344&gt;0,SUM($E358:P358)&lt;=0.01),MIN(P351*100%/$B344*PRJ_Step/360,O355+P351-O351),0)</f>
        <v>0</v>
      </c>
      <c r="Q344" s="53">
        <f ca="1">IF(AND($B344&gt;0,SUM($E358:Q358)&lt;=0.01),MIN(Q351*100%/$B344*PRJ_Step/360,P355+Q351-P351),0)</f>
        <v>0</v>
      </c>
      <c r="R344" s="53">
        <f ca="1">IF(AND($B344&gt;0,SUM($E358:R358)&lt;=0.01),MIN(R351*100%/$B344*PRJ_Step/360,Q355+R351-Q351),0)</f>
        <v>0</v>
      </c>
      <c r="S344" s="53">
        <f ca="1">IF(AND($B344&gt;0,SUM($E358:S358)&lt;=0.01),MIN(S351*100%/$B344*PRJ_Step/360,R355+S351-R351),0)</f>
        <v>0</v>
      </c>
      <c r="T344" s="53">
        <f ca="1">IF(AND($B344&gt;0,SUM($E358:T358)&lt;=0.01),MIN(T351*100%/$B344*PRJ_Step/360,S355+T351-S351),0)</f>
        <v>0</v>
      </c>
      <c r="U344" s="53">
        <f ca="1">IF(AND($B344&gt;0,SUM($E358:U358)&lt;=0.01),MIN(U351*100%/$B344*PRJ_Step/360,T355+U351-T351),0)</f>
        <v>0</v>
      </c>
      <c r="V344" s="53">
        <f ca="1">IF(AND($B344&gt;0,SUM($E358:V358)&lt;=0.01),MIN(V351*100%/$B344*PRJ_Step/360,U355+V351-U351),0)</f>
        <v>0</v>
      </c>
      <c r="W344" s="53">
        <f ca="1">IF(AND($B344&gt;0,SUM($E358:W358)&lt;=0.01),MIN(W351*100%/$B344*PRJ_Step/360,V355+W351-V351),0)</f>
        <v>0</v>
      </c>
      <c r="X344" s="53">
        <f ca="1">IF(AND($B344&gt;0,SUM($E358:X358)&lt;=0.01),MIN(X351*100%/$B344*PRJ_Step/360,W355+X351-W351),0)</f>
        <v>0</v>
      </c>
      <c r="Y344" s="53">
        <f ca="1">IF(AND($B344&gt;0,SUM($E358:Y358)&lt;=0.01),MIN(Y351*100%/$B344*PRJ_Step/360,X355+Y351-X351),0)</f>
        <v>0</v>
      </c>
      <c r="Z344" s="53">
        <f ca="1">IF(AND($B344&gt;0,SUM($E358:Z358)&lt;=0.01),MIN(Z351*100%/$B344*PRJ_Step/360,Y355+Z351-Y351),0)</f>
        <v>0</v>
      </c>
      <c r="AA344" s="53">
        <f ca="1">IF(AND($B344&gt;0,SUM($E358:AA358)&lt;=0.01),MIN(AA351*100%/$B344*PRJ_Step/360,Z355+AA351-Z351),0)</f>
        <v>0</v>
      </c>
      <c r="AB344" s="53">
        <f ca="1">IF(AND($B344&gt;0,SUM($E358:AB358)&lt;=0.01),MIN(AB351*100%/$B344*PRJ_Step/360,AA355+AB351-AA351),0)</f>
        <v>0</v>
      </c>
      <c r="AC344" s="53">
        <f ca="1">IF(AND($B344&gt;0,SUM($E358:AC358)&lt;=0.01),MIN(AC351*100%/$B344*PRJ_Step/360,AB355+AC351-AB351),0)</f>
        <v>0</v>
      </c>
      <c r="AE344" s="54">
        <f ca="1">SUM(F344:AC344)</f>
        <v>0</v>
      </c>
    </row>
    <row r="345" spans="1:33" s="23" customFormat="1" hidden="1" outlineLevel="2" x14ac:dyDescent="0.2">
      <c r="A345" t="str">
        <f ca="1">Language!A$395</f>
        <v xml:space="preserve">    амортизация (ускоренная),    для срока использования:</v>
      </c>
      <c r="B345" s="270">
        <v>0</v>
      </c>
      <c r="C345" s="40" t="str">
        <f ca="1">Language!A$33</f>
        <v>лет</v>
      </c>
      <c r="D345" s="23" t="s">
        <v>834</v>
      </c>
      <c r="F345" s="84">
        <f ca="1">IF(SUM($E358:F358)&lt;=0.01,IF(OR($B345=0,E355+F351-E351=0),0,IF($B344&gt;0,0,IF(E355+F351-E351&gt;0.2*F351,MIN((E355+F351-E351)*2/$B345*PRJ_Step/360,E355+F351-E351),MIN(E355+F351-E351,F351*PRJ_Step/360/IF($B345&lt;4,1,IF($B345&gt;5,3,2)))))),0)</f>
        <v>0</v>
      </c>
      <c r="G345" s="84">
        <f ca="1">IF(SUM($E358:G358)&lt;=0.01,IF(OR($B345=0,F355+G351-F351=0),0,IF($B344&gt;0,0,IF(F355+G351-F351&gt;0.2*G351,MIN((F355+G351-F351)*2/$B345*PRJ_Step/360,F355+G351-F351),MIN(F355+G351-F351,G351*PRJ_Step/360/IF($B345&lt;4,1,IF($B345&gt;5,3,2)))))),0)</f>
        <v>0</v>
      </c>
      <c r="H345" s="84">
        <f ca="1">IF(SUM($E358:H358)&lt;=0.01,IF(OR($B345=0,G355+H351-G351=0),0,IF($B344&gt;0,0,IF(G355+H351-G351&gt;0.2*H351,MIN((G355+H351-G351)*2/$B345*PRJ_Step/360,G355+H351-G351),MIN(G355+H351-G351,H351*PRJ_Step/360/IF($B345&lt;4,1,IF($B345&gt;5,3,2)))))),0)</f>
        <v>0</v>
      </c>
      <c r="I345" s="84">
        <f ca="1">IF(SUM($E358:I358)&lt;=0.01,IF(OR($B345=0,H355+I351-H351=0),0,IF($B344&gt;0,0,IF(H355+I351-H351&gt;0.2*I351,MIN((H355+I351-H351)*2/$B345*PRJ_Step/360,H355+I351-H351),MIN(H355+I351-H351,I351*PRJ_Step/360/IF($B345&lt;4,1,IF($B345&gt;5,3,2)))))),0)</f>
        <v>0</v>
      </c>
      <c r="J345" s="84">
        <f ca="1">IF(SUM($E358:J358)&lt;=0.01,IF(OR($B345=0,I355+J351-I351=0),0,IF($B344&gt;0,0,IF(I355+J351-I351&gt;0.2*J351,MIN((I355+J351-I351)*2/$B345*PRJ_Step/360,I355+J351-I351),MIN(I355+J351-I351,J351*PRJ_Step/360/IF($B345&lt;4,1,IF($B345&gt;5,3,2)))))),0)</f>
        <v>0</v>
      </c>
      <c r="K345" s="84">
        <f ca="1">IF(SUM($E358:K358)&lt;=0.01,IF(OR($B345=0,J355+K351-J351=0),0,IF($B344&gt;0,0,IF(J355+K351-J351&gt;0.2*K351,MIN((J355+K351-J351)*2/$B345*PRJ_Step/360,J355+K351-J351),MIN(J355+K351-J351,K351*PRJ_Step/360/IF($B345&lt;4,1,IF($B345&gt;5,3,2)))))),0)</f>
        <v>0</v>
      </c>
      <c r="L345" s="84">
        <f ca="1">IF(SUM($E358:L358)&lt;=0.01,IF(OR($B345=0,K355+L351-K351=0),0,IF($B344&gt;0,0,IF(K355+L351-K351&gt;0.2*L351,MIN((K355+L351-K351)*2/$B345*PRJ_Step/360,K355+L351-K351),MIN(K355+L351-K351,L351*PRJ_Step/360/IF($B345&lt;4,1,IF($B345&gt;5,3,2)))))),0)</f>
        <v>0</v>
      </c>
      <c r="M345" s="84">
        <f ca="1">IF(SUM($E358:M358)&lt;=0.01,IF(OR($B345=0,L355+M351-L351=0),0,IF($B344&gt;0,0,IF(L355+M351-L351&gt;0.2*M351,MIN((L355+M351-L351)*2/$B345*PRJ_Step/360,L355+M351-L351),MIN(L355+M351-L351,M351*PRJ_Step/360/IF($B345&lt;4,1,IF($B345&gt;5,3,2)))))),0)</f>
        <v>0</v>
      </c>
      <c r="N345" s="84">
        <f ca="1">IF(SUM($E358:N358)&lt;=0.01,IF(OR($B345=0,M355+N351-M351=0),0,IF($B344&gt;0,0,IF(M355+N351-M351&gt;0.2*N351,MIN((M355+N351-M351)*2/$B345*PRJ_Step/360,M355+N351-M351),MIN(M355+N351-M351,N351*PRJ_Step/360/IF($B345&lt;4,1,IF($B345&gt;5,3,2)))))),0)</f>
        <v>0</v>
      </c>
      <c r="O345" s="84">
        <f ca="1">IF(SUM($E358:O358)&lt;=0.01,IF(OR($B345=0,N355+O351-N351=0),0,IF($B344&gt;0,0,IF(N355+O351-N351&gt;0.2*O351,MIN((N355+O351-N351)*2/$B345*PRJ_Step/360,N355+O351-N351),MIN(N355+O351-N351,O351*PRJ_Step/360/IF($B345&lt;4,1,IF($B345&gt;5,3,2)))))),0)</f>
        <v>0</v>
      </c>
      <c r="P345" s="84">
        <f ca="1">IF(SUM($E358:P358)&lt;=0.01,IF(OR($B345=0,O355+P351-O351=0),0,IF($B344&gt;0,0,IF(O355+P351-O351&gt;0.2*P351,MIN((O355+P351-O351)*2/$B345*PRJ_Step/360,O355+P351-O351),MIN(O355+P351-O351,P351*PRJ_Step/360/IF($B345&lt;4,1,IF($B345&gt;5,3,2)))))),0)</f>
        <v>0</v>
      </c>
      <c r="Q345" s="84">
        <f ca="1">IF(SUM($E358:Q358)&lt;=0.01,IF(OR($B345=0,P355+Q351-P351=0),0,IF($B344&gt;0,0,IF(P355+Q351-P351&gt;0.2*Q351,MIN((P355+Q351-P351)*2/$B345*PRJ_Step/360,P355+Q351-P351),MIN(P355+Q351-P351,Q351*PRJ_Step/360/IF($B345&lt;4,1,IF($B345&gt;5,3,2)))))),0)</f>
        <v>0</v>
      </c>
      <c r="R345" s="84">
        <f ca="1">IF(SUM($E358:R358)&lt;=0.01,IF(OR($B345=0,Q355+R351-Q351=0),0,IF($B344&gt;0,0,IF(Q355+R351-Q351&gt;0.2*R351,MIN((Q355+R351-Q351)*2/$B345*PRJ_Step/360,Q355+R351-Q351),MIN(Q355+R351-Q351,R351*PRJ_Step/360/IF($B345&lt;4,1,IF($B345&gt;5,3,2)))))),0)</f>
        <v>0</v>
      </c>
      <c r="S345" s="84">
        <f ca="1">IF(SUM($E358:S358)&lt;=0.01,IF(OR($B345=0,R355+S351-R351=0),0,IF($B344&gt;0,0,IF(R355+S351-R351&gt;0.2*S351,MIN((R355+S351-R351)*2/$B345*PRJ_Step/360,R355+S351-R351),MIN(R355+S351-R351,S351*PRJ_Step/360/IF($B345&lt;4,1,IF($B345&gt;5,3,2)))))),0)</f>
        <v>0</v>
      </c>
      <c r="T345" s="84">
        <f ca="1">IF(SUM($E358:T358)&lt;=0.01,IF(OR($B345=0,S355+T351-S351=0),0,IF($B344&gt;0,0,IF(S355+T351-S351&gt;0.2*T351,MIN((S355+T351-S351)*2/$B345*PRJ_Step/360,S355+T351-S351),MIN(S355+T351-S351,T351*PRJ_Step/360/IF($B345&lt;4,1,IF($B345&gt;5,3,2)))))),0)</f>
        <v>0</v>
      </c>
      <c r="U345" s="84">
        <f ca="1">IF(SUM($E358:U358)&lt;=0.01,IF(OR($B345=0,T355+U351-T351=0),0,IF($B344&gt;0,0,IF(T355+U351-T351&gt;0.2*U351,MIN((T355+U351-T351)*2/$B345*PRJ_Step/360,T355+U351-T351),MIN(T355+U351-T351,U351*PRJ_Step/360/IF($B345&lt;4,1,IF($B345&gt;5,3,2)))))),0)</f>
        <v>0</v>
      </c>
      <c r="V345" s="84">
        <f ca="1">IF(SUM($E358:V358)&lt;=0.01,IF(OR($B345=0,U355+V351-U351=0),0,IF($B344&gt;0,0,IF(U355+V351-U351&gt;0.2*V351,MIN((U355+V351-U351)*2/$B345*PRJ_Step/360,U355+V351-U351),MIN(U355+V351-U351,V351*PRJ_Step/360/IF($B345&lt;4,1,IF($B345&gt;5,3,2)))))),0)</f>
        <v>0</v>
      </c>
      <c r="W345" s="84">
        <f ca="1">IF(SUM($E358:W358)&lt;=0.01,IF(OR($B345=0,V355+W351-V351=0),0,IF($B344&gt;0,0,IF(V355+W351-V351&gt;0.2*W351,MIN((V355+W351-V351)*2/$B345*PRJ_Step/360,V355+W351-V351),MIN(V355+W351-V351,W351*PRJ_Step/360/IF($B345&lt;4,1,IF($B345&gt;5,3,2)))))),0)</f>
        <v>0</v>
      </c>
      <c r="X345" s="84">
        <f ca="1">IF(SUM($E358:X358)&lt;=0.01,IF(OR($B345=0,W355+X351-W351=0),0,IF($B344&gt;0,0,IF(W355+X351-W351&gt;0.2*X351,MIN((W355+X351-W351)*2/$B345*PRJ_Step/360,W355+X351-W351),MIN(W355+X351-W351,X351*PRJ_Step/360/IF($B345&lt;4,1,IF($B345&gt;5,3,2)))))),0)</f>
        <v>0</v>
      </c>
      <c r="Y345" s="84">
        <f ca="1">IF(SUM($E358:Y358)&lt;=0.01,IF(OR($B345=0,X355+Y351-X351=0),0,IF($B344&gt;0,0,IF(X355+Y351-X351&gt;0.2*Y351,MIN((X355+Y351-X351)*2/$B345*PRJ_Step/360,X355+Y351-X351),MIN(X355+Y351-X351,Y351*PRJ_Step/360/IF($B345&lt;4,1,IF($B345&gt;5,3,2)))))),0)</f>
        <v>0</v>
      </c>
      <c r="Z345" s="84">
        <f ca="1">IF(SUM($E358:Z358)&lt;=0.01,IF(OR($B345=0,Y355+Z351-Y351=0),0,IF($B344&gt;0,0,IF(Y355+Z351-Y351&gt;0.2*Z351,MIN((Y355+Z351-Y351)*2/$B345*PRJ_Step/360,Y355+Z351-Y351),MIN(Y355+Z351-Y351,Z351*PRJ_Step/360/IF($B345&lt;4,1,IF($B345&gt;5,3,2)))))),0)</f>
        <v>0</v>
      </c>
      <c r="AA345" s="84">
        <f ca="1">IF(SUM($E358:AA358)&lt;=0.01,IF(OR($B345=0,Z355+AA351-Z351=0),0,IF($B344&gt;0,0,IF(Z355+AA351-Z351&gt;0.2*AA351,MIN((Z355+AA351-Z351)*2/$B345*PRJ_Step/360,Z355+AA351-Z351),MIN(Z355+AA351-Z351,AA351*PRJ_Step/360/IF($B345&lt;4,1,IF($B345&gt;5,3,2)))))),0)</f>
        <v>0</v>
      </c>
      <c r="AB345" s="84">
        <f ca="1">IF(SUM($E358:AB358)&lt;=0.01,IF(OR($B345=0,AA355+AB351-AA351=0),0,IF($B344&gt;0,0,IF(AA355+AB351-AA351&gt;0.2*AB351,MIN((AA355+AB351-AA351)*2/$B345*PRJ_Step/360,AA355+AB351-AA351),MIN(AA355+AB351-AA351,AB351*PRJ_Step/360/IF($B345&lt;4,1,IF($B345&gt;5,3,2)))))),0)</f>
        <v>0</v>
      </c>
      <c r="AC345" s="84">
        <f ca="1">IF(SUM($E358:AC358)&lt;=0.01,IF(OR($B345=0,AB355+AC351-AB351=0),0,IF($B344&gt;0,0,IF(AB355+AC351-AB351&gt;0.2*AC351,MIN((AB355+AC351-AB351)*2/$B345*PRJ_Step/360,AB355+AC351-AB351),MIN(AB355+AC351-AB351,AC351*PRJ_Step/360/IF($B345&lt;4,1,IF($B345&gt;5,3,2)))))),0)</f>
        <v>0</v>
      </c>
      <c r="AE345" s="54">
        <f ca="1">SUM(F345:AC345)</f>
        <v>0</v>
      </c>
    </row>
    <row r="346" spans="1:33" s="23" customFormat="1" hidden="1" outlineLevel="2" x14ac:dyDescent="0.2">
      <c r="A346" t="str">
        <f ca="1">Language!A$396</f>
        <v xml:space="preserve">    выплаченный НДС</v>
      </c>
      <c r="B346" s="272">
        <f>VAT</f>
        <v>0.23</v>
      </c>
      <c r="C346" s="40" t="str">
        <f ca="1">CUR_Main</f>
        <v>тыс. EUR</v>
      </c>
      <c r="D346" s="23" t="s">
        <v>835</v>
      </c>
      <c r="F346" s="110">
        <f t="shared" ref="F346:T346" si="639">F348*$B346</f>
        <v>0</v>
      </c>
      <c r="G346" s="110">
        <f t="shared" si="639"/>
        <v>0</v>
      </c>
      <c r="H346" s="110">
        <f t="shared" si="639"/>
        <v>0</v>
      </c>
      <c r="I346" s="110">
        <f t="shared" si="639"/>
        <v>0</v>
      </c>
      <c r="J346" s="110">
        <f t="shared" si="639"/>
        <v>0</v>
      </c>
      <c r="K346" s="110">
        <f t="shared" si="639"/>
        <v>0</v>
      </c>
      <c r="L346" s="110">
        <f t="shared" si="639"/>
        <v>0</v>
      </c>
      <c r="M346" s="110">
        <f t="shared" si="639"/>
        <v>0</v>
      </c>
      <c r="N346" s="110">
        <f t="shared" si="639"/>
        <v>0</v>
      </c>
      <c r="O346" s="110">
        <f t="shared" si="639"/>
        <v>0</v>
      </c>
      <c r="P346" s="110">
        <f t="shared" si="639"/>
        <v>0</v>
      </c>
      <c r="Q346" s="110">
        <f t="shared" si="639"/>
        <v>0</v>
      </c>
      <c r="R346" s="110">
        <f t="shared" si="639"/>
        <v>0</v>
      </c>
      <c r="S346" s="110">
        <f t="shared" si="639"/>
        <v>0</v>
      </c>
      <c r="T346" s="110">
        <f t="shared" si="639"/>
        <v>0</v>
      </c>
      <c r="U346" s="110">
        <f t="shared" ref="U346" si="640">U348*$B346</f>
        <v>0</v>
      </c>
      <c r="V346" s="110">
        <f t="shared" ref="V346" si="641">V348*$B346</f>
        <v>0</v>
      </c>
      <c r="W346" s="110">
        <f t="shared" ref="W346" si="642">W348*$B346</f>
        <v>0</v>
      </c>
      <c r="X346" s="110">
        <f t="shared" ref="X346" si="643">X348*$B346</f>
        <v>0</v>
      </c>
      <c r="Y346" s="110">
        <f t="shared" ref="Y346" si="644">Y348*$B346</f>
        <v>0</v>
      </c>
      <c r="Z346" s="110">
        <f t="shared" ref="Z346" si="645">Z348*$B346</f>
        <v>0</v>
      </c>
      <c r="AA346" s="110">
        <f t="shared" ref="AA346" si="646">AA348*$B346</f>
        <v>0</v>
      </c>
      <c r="AB346" s="110">
        <f t="shared" ref="AB346:AC346" si="647">AB348*$B346</f>
        <v>0</v>
      </c>
      <c r="AC346" s="110">
        <f t="shared" si="647"/>
        <v>0</v>
      </c>
      <c r="AE346" s="54">
        <f>SUM(F346:AC346)</f>
        <v>0</v>
      </c>
    </row>
    <row r="347" spans="1:33" s="23" customFormat="1" hidden="1" outlineLevel="2" x14ac:dyDescent="0.2">
      <c r="A347" t="str">
        <f ca="1">Language!A$397</f>
        <v xml:space="preserve">    вариант зачета НДС</v>
      </c>
      <c r="B347" s="254">
        <v>2</v>
      </c>
      <c r="C347" s="85" t="str">
        <f ca="1">CHOOSE(B347,Language!A$373,Language!A$374)</f>
        <v>после постановки актива на баланс</v>
      </c>
      <c r="F347" s="110"/>
      <c r="G347" s="110"/>
      <c r="H347" s="110"/>
      <c r="I347" s="110"/>
      <c r="J347" s="110"/>
      <c r="K347" s="110"/>
      <c r="L347" s="110"/>
      <c r="M347" s="110"/>
      <c r="N347" s="110"/>
      <c r="O347" s="110"/>
      <c r="P347" s="110"/>
      <c r="Q347" s="110"/>
      <c r="R347" s="110"/>
      <c r="S347" s="110"/>
      <c r="T347" s="110"/>
      <c r="U347" s="110"/>
      <c r="V347" s="110"/>
      <c r="W347" s="110"/>
      <c r="X347" s="110"/>
      <c r="Y347" s="110"/>
      <c r="Z347" s="110"/>
      <c r="AA347" s="110"/>
      <c r="AB347" s="110"/>
      <c r="AC347" s="110"/>
      <c r="AE347" s="54"/>
    </row>
    <row r="348" spans="1:33" s="23" customFormat="1" hidden="1" outlineLevel="2" x14ac:dyDescent="0.2">
      <c r="A348" t="str">
        <f ca="1">Language!A$386</f>
        <v xml:space="preserve">    сумма платежей без НДС</v>
      </c>
      <c r="C348" s="40" t="str">
        <f t="shared" ref="C348:C360" ca="1" si="648">CUR_Main</f>
        <v>тыс. EUR</v>
      </c>
      <c r="D348" s="23" t="s">
        <v>2441</v>
      </c>
      <c r="F348" s="84">
        <f t="shared" ref="F348:T348" si="649">F341*IF($B341=1,1,F$88)/(1+$B346)</f>
        <v>0</v>
      </c>
      <c r="G348" s="84">
        <f t="shared" si="649"/>
        <v>0</v>
      </c>
      <c r="H348" s="84">
        <f t="shared" si="649"/>
        <v>0</v>
      </c>
      <c r="I348" s="84">
        <f t="shared" si="649"/>
        <v>0</v>
      </c>
      <c r="J348" s="84">
        <f t="shared" si="649"/>
        <v>0</v>
      </c>
      <c r="K348" s="84">
        <f t="shared" si="649"/>
        <v>0</v>
      </c>
      <c r="L348" s="84">
        <f t="shared" si="649"/>
        <v>0</v>
      </c>
      <c r="M348" s="84">
        <f t="shared" si="649"/>
        <v>0</v>
      </c>
      <c r="N348" s="84">
        <f t="shared" si="649"/>
        <v>0</v>
      </c>
      <c r="O348" s="84">
        <f t="shared" si="649"/>
        <v>0</v>
      </c>
      <c r="P348" s="84">
        <f t="shared" si="649"/>
        <v>0</v>
      </c>
      <c r="Q348" s="84">
        <f t="shared" si="649"/>
        <v>0</v>
      </c>
      <c r="R348" s="84">
        <f t="shared" si="649"/>
        <v>0</v>
      </c>
      <c r="S348" s="84">
        <f t="shared" si="649"/>
        <v>0</v>
      </c>
      <c r="T348" s="84">
        <f t="shared" si="649"/>
        <v>0</v>
      </c>
      <c r="U348" s="84">
        <f t="shared" ref="U348" si="650">U341*IF($B341=1,1,U$88)/(1+$B346)</f>
        <v>0</v>
      </c>
      <c r="V348" s="84">
        <f t="shared" ref="V348" si="651">V341*IF($B341=1,1,V$88)/(1+$B346)</f>
        <v>0</v>
      </c>
      <c r="W348" s="84">
        <f t="shared" ref="W348" si="652">W341*IF($B341=1,1,W$88)/(1+$B346)</f>
        <v>0</v>
      </c>
      <c r="X348" s="84">
        <f t="shared" ref="X348" si="653">X341*IF($B341=1,1,X$88)/(1+$B346)</f>
        <v>0</v>
      </c>
      <c r="Y348" s="84">
        <f t="shared" ref="Y348" si="654">Y341*IF($B341=1,1,Y$88)/(1+$B346)</f>
        <v>0</v>
      </c>
      <c r="Z348" s="84">
        <f t="shared" ref="Z348" si="655">Z341*IF($B341=1,1,Z$88)/(1+$B346)</f>
        <v>0</v>
      </c>
      <c r="AA348" s="84">
        <f t="shared" ref="AA348" si="656">AA341*IF($B341=1,1,AA$88)/(1+$B346)</f>
        <v>0</v>
      </c>
      <c r="AB348" s="84">
        <f t="shared" ref="AB348:AC348" si="657">AB341*IF($B341=1,1,AB$88)/(1+$B346)</f>
        <v>0</v>
      </c>
      <c r="AC348" s="84">
        <f t="shared" si="657"/>
        <v>0</v>
      </c>
      <c r="AE348" s="54">
        <f>SUM(F348:AC348)</f>
        <v>0</v>
      </c>
    </row>
    <row r="349" spans="1:33" s="23" customFormat="1" hidden="1" outlineLevel="2" x14ac:dyDescent="0.2">
      <c r="A349" t="str">
        <f ca="1">Language!A$387</f>
        <v xml:space="preserve">    общая стоимость актива (без НДС)</v>
      </c>
      <c r="B349" s="55">
        <f>AE348+B342</f>
        <v>0</v>
      </c>
      <c r="C349" s="40" t="str">
        <f t="shared" ca="1" si="648"/>
        <v>тыс. EUR</v>
      </c>
      <c r="AE349" s="11"/>
    </row>
    <row r="350" spans="1:33" s="23" customFormat="1" hidden="1" outlineLevel="2" x14ac:dyDescent="0.2">
      <c r="A350" t="str">
        <f ca="1">Language!A$388</f>
        <v xml:space="preserve">    полная сумма вложений в актив (без НДС)</v>
      </c>
      <c r="C350" s="40" t="str">
        <f t="shared" ca="1" si="648"/>
        <v>тыс. EUR</v>
      </c>
      <c r="D350" s="23" t="s">
        <v>840</v>
      </c>
      <c r="F350" s="84">
        <f>B342+F348</f>
        <v>0</v>
      </c>
      <c r="G350" s="84">
        <f t="shared" ref="G350:AC350" si="658">F350+G348</f>
        <v>0</v>
      </c>
      <c r="H350" s="84">
        <f t="shared" si="658"/>
        <v>0</v>
      </c>
      <c r="I350" s="84">
        <f t="shared" si="658"/>
        <v>0</v>
      </c>
      <c r="J350" s="84">
        <f t="shared" si="658"/>
        <v>0</v>
      </c>
      <c r="K350" s="84">
        <f t="shared" si="658"/>
        <v>0</v>
      </c>
      <c r="L350" s="84">
        <f t="shared" si="658"/>
        <v>0</v>
      </c>
      <c r="M350" s="84">
        <f t="shared" si="658"/>
        <v>0</v>
      </c>
      <c r="N350" s="84">
        <f t="shared" si="658"/>
        <v>0</v>
      </c>
      <c r="O350" s="84">
        <f t="shared" si="658"/>
        <v>0</v>
      </c>
      <c r="P350" s="84">
        <f t="shared" si="658"/>
        <v>0</v>
      </c>
      <c r="Q350" s="84">
        <f t="shared" si="658"/>
        <v>0</v>
      </c>
      <c r="R350" s="84">
        <f t="shared" si="658"/>
        <v>0</v>
      </c>
      <c r="S350" s="84">
        <f t="shared" si="658"/>
        <v>0</v>
      </c>
      <c r="T350" s="84">
        <f t="shared" si="658"/>
        <v>0</v>
      </c>
      <c r="U350" s="84">
        <f t="shared" si="658"/>
        <v>0</v>
      </c>
      <c r="V350" s="84">
        <f t="shared" si="658"/>
        <v>0</v>
      </c>
      <c r="W350" s="84">
        <f t="shared" si="658"/>
        <v>0</v>
      </c>
      <c r="X350" s="84">
        <f t="shared" si="658"/>
        <v>0</v>
      </c>
      <c r="Y350" s="84">
        <f t="shared" si="658"/>
        <v>0</v>
      </c>
      <c r="Z350" s="84">
        <f t="shared" si="658"/>
        <v>0</v>
      </c>
      <c r="AA350" s="84">
        <f t="shared" si="658"/>
        <v>0</v>
      </c>
      <c r="AB350" s="84">
        <f t="shared" si="658"/>
        <v>0</v>
      </c>
      <c r="AC350" s="84">
        <f t="shared" si="658"/>
        <v>0</v>
      </c>
      <c r="AE350" s="54"/>
    </row>
    <row r="351" spans="1:33" s="23" customFormat="1" hidden="1" outlineLevel="2" x14ac:dyDescent="0.2">
      <c r="A351" t="str">
        <f ca="1">Language!A$389</f>
        <v xml:space="preserve">    полная балансовая стоимость</v>
      </c>
      <c r="C351" s="40" t="str">
        <f t="shared" ca="1" si="648"/>
        <v>тыс. EUR</v>
      </c>
      <c r="D351" s="23" t="s">
        <v>841</v>
      </c>
      <c r="F351" s="84">
        <f ca="1">IF($B343&lt;=F$29,IF(SUM($E358:F358)&gt;0.01,0,$B349),0)</f>
        <v>0</v>
      </c>
      <c r="G351" s="84">
        <f ca="1">IF($B343&lt;=G$29,IF(SUM($E358:G358)&gt;0.01,0,$B349),0)</f>
        <v>0</v>
      </c>
      <c r="H351" s="84">
        <f ca="1">IF($B343&lt;=H$29,IF(SUM($E358:H358)&gt;0.01,0,$B349),0)</f>
        <v>0</v>
      </c>
      <c r="I351" s="84">
        <f ca="1">IF($B343&lt;=I$29,IF(SUM($E358:I358)&gt;0.01,0,$B349),0)</f>
        <v>0</v>
      </c>
      <c r="J351" s="84">
        <f ca="1">IF($B343&lt;=J$29,IF(SUM($E358:J358)&gt;0.01,0,$B349),0)</f>
        <v>0</v>
      </c>
      <c r="K351" s="84">
        <f ca="1">IF($B343&lt;=K$29,IF(SUM($E358:K358)&gt;0.01,0,$B349),0)</f>
        <v>0</v>
      </c>
      <c r="L351" s="84">
        <f ca="1">IF($B343&lt;=L$29,IF(SUM($E358:L358)&gt;0.01,0,$B349),0)</f>
        <v>0</v>
      </c>
      <c r="M351" s="84">
        <f ca="1">IF($B343&lt;=M$29,IF(SUM($E358:M358)&gt;0.01,0,$B349),0)</f>
        <v>0</v>
      </c>
      <c r="N351" s="84">
        <f ca="1">IF($B343&lt;=N$29,IF(SUM($E358:N358)&gt;0.01,0,$B349),0)</f>
        <v>0</v>
      </c>
      <c r="O351" s="84">
        <f ca="1">IF($B343&lt;=O$29,IF(SUM($E358:O358)&gt;0.01,0,$B349),0)</f>
        <v>0</v>
      </c>
      <c r="P351" s="84">
        <f ca="1">IF($B343&lt;=P$29,IF(SUM($E358:P358)&gt;0.01,0,$B349),0)</f>
        <v>0</v>
      </c>
      <c r="Q351" s="84">
        <f ca="1">IF($B343&lt;=Q$29,IF(SUM($E358:Q358)&gt;0.01,0,$B349),0)</f>
        <v>0</v>
      </c>
      <c r="R351" s="84">
        <f ca="1">IF($B343&lt;=R$29,IF(SUM($E358:R358)&gt;0.01,0,$B349),0)</f>
        <v>0</v>
      </c>
      <c r="S351" s="84">
        <f ca="1">IF($B343&lt;=S$29,IF(SUM($E358:S358)&gt;0.01,0,$B349),0)</f>
        <v>0</v>
      </c>
      <c r="T351" s="84">
        <f ca="1">IF($B343&lt;=T$29,IF(SUM($E358:T358)&gt;0.01,0,$B349),0)</f>
        <v>0</v>
      </c>
      <c r="U351" s="84">
        <f ca="1">IF($B343&lt;=U$29,IF(SUM($E358:U358)&gt;0.01,0,$B349),0)</f>
        <v>0</v>
      </c>
      <c r="V351" s="84">
        <f ca="1">IF($B343&lt;=V$29,IF(SUM($E358:V358)&gt;0.01,0,$B349),0)</f>
        <v>0</v>
      </c>
      <c r="W351" s="84">
        <f ca="1">IF($B343&lt;=W$29,IF(SUM($E358:W358)&gt;0.01,0,$B349),0)</f>
        <v>0</v>
      </c>
      <c r="X351" s="84">
        <f ca="1">IF($B343&lt;=X$29,IF(SUM($E358:X358)&gt;0.01,0,$B349),0)</f>
        <v>0</v>
      </c>
      <c r="Y351" s="84">
        <f ca="1">IF($B343&lt;=Y$29,IF(SUM($E358:Y358)&gt;0.01,0,$B349),0)</f>
        <v>0</v>
      </c>
      <c r="Z351" s="84">
        <f ca="1">IF($B343&lt;=Z$29,IF(SUM($E358:Z358)&gt;0.01,0,$B349),0)</f>
        <v>0</v>
      </c>
      <c r="AA351" s="84">
        <f ca="1">IF($B343&lt;=AA$29,IF(SUM($E358:AA358)&gt;0.01,0,$B349),0)</f>
        <v>0</v>
      </c>
      <c r="AB351" s="84">
        <f ca="1">IF($B343&lt;=AB$29,IF(SUM($E358:AB358)&gt;0.01,0,$B349),0)</f>
        <v>0</v>
      </c>
      <c r="AC351" s="84">
        <f ca="1">IF($B343&lt;=AC$29,IF(SUM($E358:AC358)&gt;0.01,0,$B349),0)</f>
        <v>0</v>
      </c>
      <c r="AE351" s="11"/>
    </row>
    <row r="352" spans="1:33" s="23" customFormat="1" hidden="1" outlineLevel="2" x14ac:dyDescent="0.2">
      <c r="A352" t="str">
        <f ca="1">Language!A$390</f>
        <v xml:space="preserve">    незавершенные инвестиции</v>
      </c>
      <c r="C352" s="40" t="str">
        <f t="shared" ca="1" si="648"/>
        <v>тыс. EUR</v>
      </c>
      <c r="D352" s="23" t="s">
        <v>844</v>
      </c>
      <c r="F352" s="84">
        <f ca="1">IF(SUM($E358:F358)&gt;0,0,IF($B343&gt;F$29,F350,0))</f>
        <v>0</v>
      </c>
      <c r="G352" s="84">
        <f ca="1">IF(SUM($E358:G358)&gt;0,0,IF($B343&gt;G$29,G350,0))</f>
        <v>0</v>
      </c>
      <c r="H352" s="84">
        <f ca="1">IF(SUM($E358:H358)&gt;0,0,IF($B343&gt;H$29,H350,0))</f>
        <v>0</v>
      </c>
      <c r="I352" s="84">
        <f ca="1">IF(SUM($E358:I358)&gt;0,0,IF($B343&gt;I$29,I350,0))</f>
        <v>0</v>
      </c>
      <c r="J352" s="84">
        <f ca="1">IF(SUM($E358:J358)&gt;0,0,IF($B343&gt;J$29,J350,0))</f>
        <v>0</v>
      </c>
      <c r="K352" s="84">
        <f ca="1">IF(SUM($E358:K358)&gt;0,0,IF($B343&gt;K$29,K350,0))</f>
        <v>0</v>
      </c>
      <c r="L352" s="84">
        <f ca="1">IF(SUM($E358:L358)&gt;0,0,IF($B343&gt;L$29,L350,0))</f>
        <v>0</v>
      </c>
      <c r="M352" s="84">
        <f ca="1">IF(SUM($E358:M358)&gt;0,0,IF($B343&gt;M$29,M350,0))</f>
        <v>0</v>
      </c>
      <c r="N352" s="84">
        <f ca="1">IF(SUM($E358:N358)&gt;0,0,IF($B343&gt;N$29,N350,0))</f>
        <v>0</v>
      </c>
      <c r="O352" s="84">
        <f ca="1">IF(SUM($E358:O358)&gt;0,0,IF($B343&gt;O$29,O350,0))</f>
        <v>0</v>
      </c>
      <c r="P352" s="84">
        <f ca="1">IF(SUM($E358:P358)&gt;0,0,IF($B343&gt;P$29,P350,0))</f>
        <v>0</v>
      </c>
      <c r="Q352" s="84">
        <f ca="1">IF(SUM($E358:Q358)&gt;0,0,IF($B343&gt;Q$29,Q350,0))</f>
        <v>0</v>
      </c>
      <c r="R352" s="84">
        <f ca="1">IF(SUM($E358:R358)&gt;0,0,IF($B343&gt;R$29,R350,0))</f>
        <v>0</v>
      </c>
      <c r="S352" s="84">
        <f ca="1">IF(SUM($E358:S358)&gt;0,0,IF($B343&gt;S$29,S350,0))</f>
        <v>0</v>
      </c>
      <c r="T352" s="84">
        <f ca="1">IF(SUM($E358:T358)&gt;0,0,IF($B343&gt;T$29,T350,0))</f>
        <v>0</v>
      </c>
      <c r="U352" s="84">
        <f ca="1">IF(SUM($E358:U358)&gt;0,0,IF($B343&gt;U$29,U350,0))</f>
        <v>0</v>
      </c>
      <c r="V352" s="84">
        <f ca="1">IF(SUM($E358:V358)&gt;0,0,IF($B343&gt;V$29,V350,0))</f>
        <v>0</v>
      </c>
      <c r="W352" s="84">
        <f ca="1">IF(SUM($E358:W358)&gt;0,0,IF($B343&gt;W$29,W350,0))</f>
        <v>0</v>
      </c>
      <c r="X352" s="84">
        <f ca="1">IF(SUM($E358:X358)&gt;0,0,IF($B343&gt;X$29,X350,0))</f>
        <v>0</v>
      </c>
      <c r="Y352" s="84">
        <f ca="1">IF(SUM($E358:Y358)&gt;0,0,IF($B343&gt;Y$29,Y350,0))</f>
        <v>0</v>
      </c>
      <c r="Z352" s="84">
        <f ca="1">IF(SUM($E358:Z358)&gt;0,0,IF($B343&gt;Z$29,Z350,0))</f>
        <v>0</v>
      </c>
      <c r="AA352" s="84">
        <f ca="1">IF(SUM($E358:AA358)&gt;0,0,IF($B343&gt;AA$29,AA350,0))</f>
        <v>0</v>
      </c>
      <c r="AB352" s="84">
        <f ca="1">IF(SUM($E358:AB358)&gt;0,0,IF($B343&gt;AB$29,AB350,0))</f>
        <v>0</v>
      </c>
      <c r="AC352" s="84">
        <f ca="1">IF(SUM($E358:AC358)&gt;0,0,IF($B343&gt;AC$29,AC350,0))</f>
        <v>0</v>
      </c>
      <c r="AE352" s="11"/>
    </row>
    <row r="353" spans="1:32" s="23" customFormat="1" hidden="1" outlineLevel="2" x14ac:dyDescent="0.2">
      <c r="A353" t="str">
        <f ca="1">Language!A$391</f>
        <v xml:space="preserve">    кредиторская задолженность</v>
      </c>
      <c r="C353" s="40" t="str">
        <f t="shared" ca="1" si="648"/>
        <v>тыс. EUR</v>
      </c>
      <c r="D353" s="23" t="s">
        <v>845</v>
      </c>
      <c r="F353" s="84">
        <f ca="1">IF(OR($B343&lt;=F$29,AND(SUM($F358:F358)&gt;0,$B343&gt;F$29)),$B349-F350,0)</f>
        <v>0</v>
      </c>
      <c r="G353" s="84">
        <f ca="1">IF(OR($B343&lt;=G$29,AND(SUM($F358:G358)&gt;0,$B343&gt;G$29)),$B349-G350,0)</f>
        <v>0</v>
      </c>
      <c r="H353" s="84">
        <f ca="1">IF(OR($B343&lt;=H$29,AND(SUM($F358:H358)&gt;0,$B343&gt;H$29)),$B349-H350,0)</f>
        <v>0</v>
      </c>
      <c r="I353" s="84">
        <f ca="1">IF(OR($B343&lt;=I$29,AND(SUM($F358:I358)&gt;0,$B343&gt;I$29)),$B349-I350,0)</f>
        <v>0</v>
      </c>
      <c r="J353" s="84">
        <f ca="1">IF(OR($B343&lt;=J$29,AND(SUM($F358:J358)&gt;0,$B343&gt;J$29)),$B349-J350,0)</f>
        <v>0</v>
      </c>
      <c r="K353" s="84">
        <f ca="1">IF(OR($B343&lt;=K$29,AND(SUM($F358:K358)&gt;0,$B343&gt;K$29)),$B349-K350,0)</f>
        <v>0</v>
      </c>
      <c r="L353" s="84">
        <f ca="1">IF(OR($B343&lt;=L$29,AND(SUM($F358:L358)&gt;0,$B343&gt;L$29)),$B349-L350,0)</f>
        <v>0</v>
      </c>
      <c r="M353" s="84">
        <f ca="1">IF(OR($B343&lt;=M$29,AND(SUM($F358:M358)&gt;0,$B343&gt;M$29)),$B349-M350,0)</f>
        <v>0</v>
      </c>
      <c r="N353" s="84">
        <f ca="1">IF(OR($B343&lt;=N$29,AND(SUM($F358:N358)&gt;0,$B343&gt;N$29)),$B349-N350,0)</f>
        <v>0</v>
      </c>
      <c r="O353" s="84">
        <f ca="1">IF(OR($B343&lt;=O$29,AND(SUM($F358:O358)&gt;0,$B343&gt;O$29)),$B349-O350,0)</f>
        <v>0</v>
      </c>
      <c r="P353" s="84">
        <f ca="1">IF(OR($B343&lt;=P$29,AND(SUM($F358:P358)&gt;0,$B343&gt;P$29)),$B349-P350,0)</f>
        <v>0</v>
      </c>
      <c r="Q353" s="84">
        <f ca="1">IF(OR($B343&lt;=Q$29,AND(SUM($F358:Q358)&gt;0,$B343&gt;Q$29)),$B349-Q350,0)</f>
        <v>0</v>
      </c>
      <c r="R353" s="84">
        <f ca="1">IF(OR($B343&lt;=R$29,AND(SUM($F358:R358)&gt;0,$B343&gt;R$29)),$B349-R350,0)</f>
        <v>0</v>
      </c>
      <c r="S353" s="84">
        <f ca="1">IF(OR($B343&lt;=S$29,AND(SUM($F358:S358)&gt;0,$B343&gt;S$29)),$B349-S350,0)</f>
        <v>0</v>
      </c>
      <c r="T353" s="84">
        <f ca="1">IF(OR($B343&lt;=T$29,AND(SUM($F358:T358)&gt;0,$B343&gt;T$29)),$B349-T350,0)</f>
        <v>0</v>
      </c>
      <c r="U353" s="84">
        <f ca="1">IF(OR($B343&lt;=U$29,AND(SUM($F358:U358)&gt;0,$B343&gt;U$29)),$B349-U350,0)</f>
        <v>0</v>
      </c>
      <c r="V353" s="84">
        <f ca="1">IF(OR($B343&lt;=V$29,AND(SUM($F358:V358)&gt;0,$B343&gt;V$29)),$B349-V350,0)</f>
        <v>0</v>
      </c>
      <c r="W353" s="84">
        <f ca="1">IF(OR($B343&lt;=W$29,AND(SUM($F358:W358)&gt;0,$B343&gt;W$29)),$B349-W350,0)</f>
        <v>0</v>
      </c>
      <c r="X353" s="84">
        <f ca="1">IF(OR($B343&lt;=X$29,AND(SUM($F358:X358)&gt;0,$B343&gt;X$29)),$B349-X350,0)</f>
        <v>0</v>
      </c>
      <c r="Y353" s="84">
        <f ca="1">IF(OR($B343&lt;=Y$29,AND(SUM($F358:Y358)&gt;0,$B343&gt;Y$29)),$B349-Y350,0)</f>
        <v>0</v>
      </c>
      <c r="Z353" s="84">
        <f ca="1">IF(OR($B343&lt;=Z$29,AND(SUM($F358:Z358)&gt;0,$B343&gt;Z$29)),$B349-Z350,0)</f>
        <v>0</v>
      </c>
      <c r="AA353" s="84">
        <f ca="1">IF(OR($B343&lt;=AA$29,AND(SUM($F358:AA358)&gt;0,$B343&gt;AA$29)),$B349-AA350,0)</f>
        <v>0</v>
      </c>
      <c r="AB353" s="84">
        <f ca="1">IF(OR($B343&lt;=AB$29,AND(SUM($F358:AB358)&gt;0,$B343&gt;AB$29)),$B349-AB350,0)</f>
        <v>0</v>
      </c>
      <c r="AC353" s="84">
        <f ca="1">IF(OR($B343&lt;=AC$29,AND(SUM($F358:AC358)&gt;0,$B343&gt;AC$29)),$B349-AC350,0)</f>
        <v>0</v>
      </c>
      <c r="AE353" s="11"/>
    </row>
    <row r="354" spans="1:32" s="23" customFormat="1" hidden="1" outlineLevel="2" x14ac:dyDescent="0.2">
      <c r="A354" t="str">
        <f ca="1">Language!A$398</f>
        <v xml:space="preserve">    накопленная амортизация</v>
      </c>
      <c r="C354" s="40" t="str">
        <f t="shared" ca="1" si="648"/>
        <v>тыс. EUR</v>
      </c>
      <c r="D354" s="23" t="s">
        <v>842</v>
      </c>
      <c r="F354" s="84">
        <f t="shared" ref="F354:AC354" ca="1" si="659">E354+F345+F344</f>
        <v>0</v>
      </c>
      <c r="G354" s="84">
        <f t="shared" ca="1" si="659"/>
        <v>0</v>
      </c>
      <c r="H354" s="84">
        <f t="shared" ca="1" si="659"/>
        <v>0</v>
      </c>
      <c r="I354" s="84">
        <f t="shared" ca="1" si="659"/>
        <v>0</v>
      </c>
      <c r="J354" s="84">
        <f t="shared" ca="1" si="659"/>
        <v>0</v>
      </c>
      <c r="K354" s="84">
        <f t="shared" ca="1" si="659"/>
        <v>0</v>
      </c>
      <c r="L354" s="84">
        <f t="shared" ca="1" si="659"/>
        <v>0</v>
      </c>
      <c r="M354" s="84">
        <f t="shared" ca="1" si="659"/>
        <v>0</v>
      </c>
      <c r="N354" s="84">
        <f t="shared" ca="1" si="659"/>
        <v>0</v>
      </c>
      <c r="O354" s="84">
        <f t="shared" ca="1" si="659"/>
        <v>0</v>
      </c>
      <c r="P354" s="84">
        <f t="shared" ca="1" si="659"/>
        <v>0</v>
      </c>
      <c r="Q354" s="84">
        <f t="shared" ca="1" si="659"/>
        <v>0</v>
      </c>
      <c r="R354" s="84">
        <f t="shared" ca="1" si="659"/>
        <v>0</v>
      </c>
      <c r="S354" s="84">
        <f t="shared" ca="1" si="659"/>
        <v>0</v>
      </c>
      <c r="T354" s="84">
        <f t="shared" ca="1" si="659"/>
        <v>0</v>
      </c>
      <c r="U354" s="84">
        <f t="shared" ca="1" si="659"/>
        <v>0</v>
      </c>
      <c r="V354" s="84">
        <f t="shared" ca="1" si="659"/>
        <v>0</v>
      </c>
      <c r="W354" s="84">
        <f t="shared" ca="1" si="659"/>
        <v>0</v>
      </c>
      <c r="X354" s="84">
        <f t="shared" ca="1" si="659"/>
        <v>0</v>
      </c>
      <c r="Y354" s="84">
        <f t="shared" ca="1" si="659"/>
        <v>0</v>
      </c>
      <c r="Z354" s="84">
        <f t="shared" ca="1" si="659"/>
        <v>0</v>
      </c>
      <c r="AA354" s="84">
        <f t="shared" ca="1" si="659"/>
        <v>0</v>
      </c>
      <c r="AB354" s="84">
        <f t="shared" ca="1" si="659"/>
        <v>0</v>
      </c>
      <c r="AC354" s="84">
        <f t="shared" ca="1" si="659"/>
        <v>0</v>
      </c>
      <c r="AE354" s="11"/>
    </row>
    <row r="355" spans="1:32" s="23" customFormat="1" hidden="1" outlineLevel="2" x14ac:dyDescent="0.2">
      <c r="A355" t="str">
        <f ca="1">Language!A$392</f>
        <v xml:space="preserve">    остаточная стоимость</v>
      </c>
      <c r="C355" s="40" t="str">
        <f t="shared" ca="1" si="648"/>
        <v>тыс. EUR</v>
      </c>
      <c r="D355" s="23" t="s">
        <v>843</v>
      </c>
      <c r="F355" s="105">
        <f ca="1">IF(SUM($E358:F358)&gt;0.01,0,F351-F354)</f>
        <v>0</v>
      </c>
      <c r="G355" s="105">
        <f ca="1">IF(SUM($E358:G358)&gt;0.01,0,G351-G354)</f>
        <v>0</v>
      </c>
      <c r="H355" s="105">
        <f ca="1">IF(SUM($E358:H358)&gt;0.01,0,H351-H354)</f>
        <v>0</v>
      </c>
      <c r="I355" s="105">
        <f ca="1">IF(SUM($E358:I358)&gt;0.01,0,I351-I354)</f>
        <v>0</v>
      </c>
      <c r="J355" s="105">
        <f ca="1">IF(SUM($E358:J358)&gt;0.01,0,J351-J354)</f>
        <v>0</v>
      </c>
      <c r="K355" s="105">
        <f ca="1">IF(SUM($E358:K358)&gt;0.01,0,K351-K354)</f>
        <v>0</v>
      </c>
      <c r="L355" s="105">
        <f ca="1">IF(SUM($E358:L358)&gt;0.01,0,L351-L354)</f>
        <v>0</v>
      </c>
      <c r="M355" s="105">
        <f ca="1">IF(SUM($E358:M358)&gt;0.01,0,M351-M354)</f>
        <v>0</v>
      </c>
      <c r="N355" s="105">
        <f ca="1">IF(SUM($E358:N358)&gt;0.01,0,N351-N354)</f>
        <v>0</v>
      </c>
      <c r="O355" s="105">
        <f ca="1">IF(SUM($E358:O358)&gt;0.01,0,O351-O354)</f>
        <v>0</v>
      </c>
      <c r="P355" s="105">
        <f ca="1">IF(SUM($E358:P358)&gt;0.01,0,P351-P354)</f>
        <v>0</v>
      </c>
      <c r="Q355" s="105">
        <f ca="1">IF(SUM($E358:Q358)&gt;0.01,0,Q351-Q354)</f>
        <v>0</v>
      </c>
      <c r="R355" s="105">
        <f ca="1">IF(SUM($E358:R358)&gt;0.01,0,R351-R354)</f>
        <v>0</v>
      </c>
      <c r="S355" s="105">
        <f ca="1">IF(SUM($E358:S358)&gt;0.01,0,S351-S354)</f>
        <v>0</v>
      </c>
      <c r="T355" s="105">
        <f ca="1">IF(SUM($E358:T358)&gt;0.01,0,T351-T354)</f>
        <v>0</v>
      </c>
      <c r="U355" s="105">
        <f ca="1">IF(SUM($E358:U358)&gt;0.01,0,U351-U354)</f>
        <v>0</v>
      </c>
      <c r="V355" s="105">
        <f ca="1">IF(SUM($E358:V358)&gt;0.01,0,V351-V354)</f>
        <v>0</v>
      </c>
      <c r="W355" s="105">
        <f ca="1">IF(SUM($E358:W358)&gt;0.01,0,W351-W354)</f>
        <v>0</v>
      </c>
      <c r="X355" s="105">
        <f ca="1">IF(SUM($E358:X358)&gt;0.01,0,X351-X354)</f>
        <v>0</v>
      </c>
      <c r="Y355" s="105">
        <f ca="1">IF(SUM($E358:Y358)&gt;0.01,0,Y351-Y354)</f>
        <v>0</v>
      </c>
      <c r="Z355" s="105">
        <f ca="1">IF(SUM($E358:Z358)&gt;0.01,0,Z351-Z354)</f>
        <v>0</v>
      </c>
      <c r="AA355" s="105">
        <f ca="1">IF(SUM($E358:AA358)&gt;0.01,0,AA351-AA354)</f>
        <v>0</v>
      </c>
      <c r="AB355" s="105">
        <f ca="1">IF(SUM($E358:AB358)&gt;0.01,0,AB351-AB354)</f>
        <v>0</v>
      </c>
      <c r="AC355" s="105">
        <f ca="1">IF(SUM($E358:AC358)&gt;0.01,0,AC351-AC354)</f>
        <v>0</v>
      </c>
      <c r="AE355" s="11"/>
    </row>
    <row r="356" spans="1:32" s="23" customFormat="1" hidden="1" outlineLevel="2" x14ac:dyDescent="0.2">
      <c r="A356" t="str">
        <f ca="1">Language!A$399</f>
        <v xml:space="preserve">    НДС к ранее осуществленным инвестициям</v>
      </c>
      <c r="B356" s="261">
        <f>B342*B346</f>
        <v>0</v>
      </c>
      <c r="C356" s="40" t="str">
        <f t="shared" ca="1" si="648"/>
        <v>тыс. EUR</v>
      </c>
      <c r="D356" s="23" t="s">
        <v>836</v>
      </c>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E356" s="11"/>
    </row>
    <row r="357" spans="1:32" s="23" customFormat="1" hidden="1" outlineLevel="2" x14ac:dyDescent="0.2">
      <c r="A357" t="str">
        <f ca="1">Language!A$400</f>
        <v xml:space="preserve">    зачет НДС</v>
      </c>
      <c r="C357" s="40" t="str">
        <f t="shared" ca="1" si="648"/>
        <v>тыс. EUR</v>
      </c>
      <c r="D357" s="132" t="s">
        <v>837</v>
      </c>
      <c r="F357" s="110">
        <f ca="1">IF($B347=2,IF($B343=F$29,$B356+$AE346,0),F346+B356)</f>
        <v>0</v>
      </c>
      <c r="G357" s="110">
        <f t="shared" ref="G357:AC357" ca="1" si="660">IF($B347=2,IF($B343=G$29,$B356+$AE346,0),G346)</f>
        <v>0</v>
      </c>
      <c r="H357" s="110">
        <f t="shared" ca="1" si="660"/>
        <v>0</v>
      </c>
      <c r="I357" s="110">
        <f t="shared" ca="1" si="660"/>
        <v>0</v>
      </c>
      <c r="J357" s="110">
        <f t="shared" ca="1" si="660"/>
        <v>0</v>
      </c>
      <c r="K357" s="110">
        <f t="shared" ca="1" si="660"/>
        <v>0</v>
      </c>
      <c r="L357" s="110">
        <f t="shared" ca="1" si="660"/>
        <v>0</v>
      </c>
      <c r="M357" s="110">
        <f t="shared" ca="1" si="660"/>
        <v>0</v>
      </c>
      <c r="N357" s="110">
        <f t="shared" ca="1" si="660"/>
        <v>0</v>
      </c>
      <c r="O357" s="110">
        <f t="shared" ca="1" si="660"/>
        <v>0</v>
      </c>
      <c r="P357" s="110">
        <f t="shared" ca="1" si="660"/>
        <v>0</v>
      </c>
      <c r="Q357" s="110">
        <f t="shared" ca="1" si="660"/>
        <v>0</v>
      </c>
      <c r="R357" s="110">
        <f t="shared" ca="1" si="660"/>
        <v>0</v>
      </c>
      <c r="S357" s="110">
        <f t="shared" ca="1" si="660"/>
        <v>0</v>
      </c>
      <c r="T357" s="110">
        <f t="shared" ca="1" si="660"/>
        <v>0</v>
      </c>
      <c r="U357" s="110">
        <f t="shared" ca="1" si="660"/>
        <v>0</v>
      </c>
      <c r="V357" s="110">
        <f t="shared" ca="1" si="660"/>
        <v>0</v>
      </c>
      <c r="W357" s="110">
        <f t="shared" ca="1" si="660"/>
        <v>0</v>
      </c>
      <c r="X357" s="110">
        <f t="shared" ca="1" si="660"/>
        <v>0</v>
      </c>
      <c r="Y357" s="110">
        <f t="shared" ca="1" si="660"/>
        <v>0</v>
      </c>
      <c r="Z357" s="110">
        <f t="shared" ca="1" si="660"/>
        <v>0</v>
      </c>
      <c r="AA357" s="110">
        <f t="shared" ca="1" si="660"/>
        <v>0</v>
      </c>
      <c r="AB357" s="110">
        <f t="shared" ca="1" si="660"/>
        <v>0</v>
      </c>
      <c r="AC357" s="110">
        <f t="shared" ca="1" si="660"/>
        <v>0</v>
      </c>
      <c r="AE357" s="54">
        <f ca="1">SUM(F357:AC357)</f>
        <v>0</v>
      </c>
    </row>
    <row r="358" spans="1:32" s="23" customFormat="1" hidden="1" outlineLevel="2" x14ac:dyDescent="0.2">
      <c r="A358" s="63" t="str">
        <f ca="1">Language!A$362</f>
        <v xml:space="preserve">    реализация актива (без НДС)</v>
      </c>
      <c r="B358" s="111"/>
      <c r="C358" s="113" t="str">
        <f t="shared" ca="1" si="648"/>
        <v>тыс. EUR</v>
      </c>
      <c r="D358" s="23" t="s">
        <v>838</v>
      </c>
      <c r="E358" s="111"/>
      <c r="F358" s="271">
        <v>0</v>
      </c>
      <c r="G358" s="271">
        <v>0</v>
      </c>
      <c r="H358" s="271">
        <v>0</v>
      </c>
      <c r="I358" s="271">
        <v>0</v>
      </c>
      <c r="J358" s="271">
        <v>0</v>
      </c>
      <c r="K358" s="271">
        <v>0</v>
      </c>
      <c r="L358" s="271">
        <v>0</v>
      </c>
      <c r="M358" s="271">
        <v>0</v>
      </c>
      <c r="N358" s="271">
        <v>0</v>
      </c>
      <c r="O358" s="271">
        <v>0</v>
      </c>
      <c r="P358" s="271">
        <v>0</v>
      </c>
      <c r="Q358" s="271">
        <v>0</v>
      </c>
      <c r="R358" s="271">
        <v>0</v>
      </c>
      <c r="S358" s="271">
        <v>0</v>
      </c>
      <c r="T358" s="271">
        <v>0</v>
      </c>
      <c r="U358" s="271">
        <v>0</v>
      </c>
      <c r="V358" s="271">
        <v>0</v>
      </c>
      <c r="W358" s="271">
        <v>0</v>
      </c>
      <c r="X358" s="271">
        <v>0</v>
      </c>
      <c r="Y358" s="271">
        <v>0</v>
      </c>
      <c r="Z358" s="271">
        <v>0</v>
      </c>
      <c r="AA358" s="271">
        <v>0</v>
      </c>
      <c r="AB358" s="271">
        <v>0</v>
      </c>
      <c r="AC358" s="271">
        <v>0</v>
      </c>
      <c r="AE358" s="54">
        <f>SUM(F358:AC358)</f>
        <v>0</v>
      </c>
    </row>
    <row r="359" spans="1:32" s="23" customFormat="1" hidden="1" outlineLevel="2" x14ac:dyDescent="0.2">
      <c r="A359" s="19" t="str">
        <f ca="1">Language!A$363</f>
        <v xml:space="preserve">    прибыль/убыток от реализации актива</v>
      </c>
      <c r="B359" s="24"/>
      <c r="C359" s="114" t="str">
        <f t="shared" ca="1" si="648"/>
        <v>тыс. EUR</v>
      </c>
      <c r="D359" s="23" t="s">
        <v>839</v>
      </c>
      <c r="E359" s="24"/>
      <c r="F359" s="83">
        <f t="shared" ref="F359:AC359" si="661">IF(F358=0,0,F358-IF(F$29&lt;=$B343,$B349,E355))</f>
        <v>0</v>
      </c>
      <c r="G359" s="83">
        <f t="shared" si="661"/>
        <v>0</v>
      </c>
      <c r="H359" s="83">
        <f t="shared" si="661"/>
        <v>0</v>
      </c>
      <c r="I359" s="83">
        <f t="shared" si="661"/>
        <v>0</v>
      </c>
      <c r="J359" s="83">
        <f t="shared" si="661"/>
        <v>0</v>
      </c>
      <c r="K359" s="83">
        <f t="shared" si="661"/>
        <v>0</v>
      </c>
      <c r="L359" s="83">
        <f t="shared" si="661"/>
        <v>0</v>
      </c>
      <c r="M359" s="83">
        <f t="shared" si="661"/>
        <v>0</v>
      </c>
      <c r="N359" s="83">
        <f t="shared" si="661"/>
        <v>0</v>
      </c>
      <c r="O359" s="83">
        <f t="shared" si="661"/>
        <v>0</v>
      </c>
      <c r="P359" s="83">
        <f t="shared" si="661"/>
        <v>0</v>
      </c>
      <c r="Q359" s="83">
        <f t="shared" si="661"/>
        <v>0</v>
      </c>
      <c r="R359" s="83">
        <f t="shared" si="661"/>
        <v>0</v>
      </c>
      <c r="S359" s="83">
        <f t="shared" si="661"/>
        <v>0</v>
      </c>
      <c r="T359" s="83">
        <f t="shared" si="661"/>
        <v>0</v>
      </c>
      <c r="U359" s="83">
        <f t="shared" si="661"/>
        <v>0</v>
      </c>
      <c r="V359" s="83">
        <f t="shared" si="661"/>
        <v>0</v>
      </c>
      <c r="W359" s="83">
        <f t="shared" si="661"/>
        <v>0</v>
      </c>
      <c r="X359" s="83">
        <f t="shared" si="661"/>
        <v>0</v>
      </c>
      <c r="Y359" s="83">
        <f t="shared" si="661"/>
        <v>0</v>
      </c>
      <c r="Z359" s="83">
        <f t="shared" si="661"/>
        <v>0</v>
      </c>
      <c r="AA359" s="83">
        <f t="shared" si="661"/>
        <v>0</v>
      </c>
      <c r="AB359" s="83">
        <f t="shared" si="661"/>
        <v>0</v>
      </c>
      <c r="AC359" s="83">
        <f t="shared" si="661"/>
        <v>0</v>
      </c>
      <c r="AE359" s="54">
        <f>SUM(F359:AC359)</f>
        <v>0</v>
      </c>
    </row>
    <row r="360" spans="1:32" s="23" customFormat="1" hidden="1" outlineLevel="2" x14ac:dyDescent="0.2">
      <c r="A360" t="str">
        <f ca="1">Language!A$401</f>
        <v xml:space="preserve">    НДС к выручке от реализации актива</v>
      </c>
      <c r="B360" s="272">
        <f>VAT</f>
        <v>0.23</v>
      </c>
      <c r="C360" s="40" t="str">
        <f t="shared" ca="1" si="648"/>
        <v>тыс. EUR</v>
      </c>
      <c r="D360" s="23" t="s">
        <v>811</v>
      </c>
      <c r="F360">
        <f t="shared" ref="F360:T360" si="662">F358*$B360</f>
        <v>0</v>
      </c>
      <c r="G360">
        <f t="shared" si="662"/>
        <v>0</v>
      </c>
      <c r="H360">
        <f t="shared" si="662"/>
        <v>0</v>
      </c>
      <c r="I360">
        <f t="shared" si="662"/>
        <v>0</v>
      </c>
      <c r="J360">
        <f t="shared" si="662"/>
        <v>0</v>
      </c>
      <c r="K360">
        <f t="shared" si="662"/>
        <v>0</v>
      </c>
      <c r="L360">
        <f t="shared" si="662"/>
        <v>0</v>
      </c>
      <c r="M360">
        <f t="shared" si="662"/>
        <v>0</v>
      </c>
      <c r="N360">
        <f t="shared" si="662"/>
        <v>0</v>
      </c>
      <c r="O360">
        <f t="shared" si="662"/>
        <v>0</v>
      </c>
      <c r="P360">
        <f t="shared" si="662"/>
        <v>0</v>
      </c>
      <c r="Q360">
        <f t="shared" si="662"/>
        <v>0</v>
      </c>
      <c r="R360">
        <f t="shared" si="662"/>
        <v>0</v>
      </c>
      <c r="S360">
        <f t="shared" si="662"/>
        <v>0</v>
      </c>
      <c r="T360">
        <f t="shared" si="662"/>
        <v>0</v>
      </c>
      <c r="U360">
        <f t="shared" ref="U360" si="663">U358*$B360</f>
        <v>0</v>
      </c>
      <c r="V360">
        <f t="shared" ref="V360" si="664">V358*$B360</f>
        <v>0</v>
      </c>
      <c r="W360">
        <f t="shared" ref="W360" si="665">W358*$B360</f>
        <v>0</v>
      </c>
      <c r="X360">
        <f t="shared" ref="X360" si="666">X358*$B360</f>
        <v>0</v>
      </c>
      <c r="Y360">
        <f t="shared" ref="Y360" si="667">Y358*$B360</f>
        <v>0</v>
      </c>
      <c r="Z360">
        <f t="shared" ref="Z360" si="668">Z358*$B360</f>
        <v>0</v>
      </c>
      <c r="AA360">
        <f t="shared" ref="AA360" si="669">AA358*$B360</f>
        <v>0</v>
      </c>
      <c r="AB360">
        <f t="shared" ref="AB360:AC360" si="670">AB358*$B360</f>
        <v>0</v>
      </c>
      <c r="AC360">
        <f t="shared" si="670"/>
        <v>0</v>
      </c>
      <c r="AE360" s="54">
        <f>SUM(F360:AC360)</f>
        <v>0</v>
      </c>
    </row>
    <row r="361" spans="1:32" outlineLevel="1" x14ac:dyDescent="0.2"/>
    <row r="362" spans="1:32" outlineLevel="1" x14ac:dyDescent="0.2">
      <c r="A362" s="35" t="str">
        <f ca="1">Language!A402</f>
        <v>Оборудование и другие активы</v>
      </c>
      <c r="D362">
        <v>3</v>
      </c>
      <c r="E362" s="48">
        <v>24</v>
      </c>
    </row>
    <row r="363" spans="1:32" s="23" customFormat="1" outlineLevel="1" x14ac:dyDescent="0.2">
      <c r="A363" s="273" t="str">
        <f>Инвестиции!A3</f>
        <v>Оборудование</v>
      </c>
      <c r="B363" s="36" t="str">
        <f ca="1">Language!A$73</f>
        <v>Валюта</v>
      </c>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E363" s="39"/>
    </row>
    <row r="364" spans="1:32" s="23" customFormat="1" outlineLevel="1" collapsed="1" x14ac:dyDescent="0.2">
      <c r="A364" t="str">
        <f ca="1">CHOOSE(B367,Language!A$383,Language!A$382)</f>
        <v xml:space="preserve">    величина платежей (с НДС)</v>
      </c>
      <c r="B364" s="254">
        <v>1</v>
      </c>
      <c r="C364" s="40" t="str">
        <f ca="1">CHOOSE(B364,CUR_Main,CUR_Foreign)</f>
        <v>тыс. EUR</v>
      </c>
      <c r="D364" s="16" t="str">
        <f>TEXT(B364,"0")&amp;"_00"</f>
        <v>1_00</v>
      </c>
      <c r="F364" s="275">
        <v>0</v>
      </c>
      <c r="G364" s="275">
        <v>0</v>
      </c>
      <c r="H364" s="275">
        <f>Инвестиции!C3/1000*0.3</f>
        <v>3875.8255543220339</v>
      </c>
      <c r="I364" s="275">
        <v>0</v>
      </c>
      <c r="J364" s="275">
        <f>Инвестиции!C3/1000*0.5</f>
        <v>6459.7092572033898</v>
      </c>
      <c r="K364" s="275">
        <f>Инвестиции!C3/1000*0.2</f>
        <v>2583.8837028813559</v>
      </c>
      <c r="L364" s="275">
        <v>0</v>
      </c>
      <c r="M364" s="275">
        <v>0</v>
      </c>
      <c r="N364" s="275">
        <v>0</v>
      </c>
      <c r="O364" s="275">
        <v>0</v>
      </c>
      <c r="P364" s="275">
        <v>0</v>
      </c>
      <c r="Q364" s="275">
        <v>0</v>
      </c>
      <c r="R364" s="275">
        <v>0</v>
      </c>
      <c r="S364" s="275">
        <v>0</v>
      </c>
      <c r="T364" s="275">
        <v>0</v>
      </c>
      <c r="U364" s="275">
        <v>0</v>
      </c>
      <c r="V364" s="275">
        <v>0</v>
      </c>
      <c r="W364" s="275">
        <v>0</v>
      </c>
      <c r="X364" s="275">
        <v>0</v>
      </c>
      <c r="Y364" s="275">
        <v>0</v>
      </c>
      <c r="Z364" s="275">
        <v>0</v>
      </c>
      <c r="AA364" s="275">
        <v>0</v>
      </c>
      <c r="AB364" s="275">
        <v>0</v>
      </c>
      <c r="AC364" s="275">
        <v>0</v>
      </c>
      <c r="AE364" s="54">
        <f>SUM(F364:AC364)</f>
        <v>12919.41851440678</v>
      </c>
    </row>
    <row r="365" spans="1:32" s="23" customFormat="1" hidden="1" outlineLevel="2" x14ac:dyDescent="0.2">
      <c r="A365" t="str">
        <f ca="1">Language!A$384</f>
        <v xml:space="preserve">    ранее осуществленные инвестиции (без НДС)</v>
      </c>
      <c r="B365" s="274">
        <f>F48*IF(B$37=1,1,F$88)</f>
        <v>0</v>
      </c>
      <c r="C365" s="40" t="str">
        <f ca="1">CUR_Main</f>
        <v>тыс. EUR</v>
      </c>
      <c r="D365" s="23" t="s">
        <v>1227</v>
      </c>
      <c r="AE365" s="11"/>
    </row>
    <row r="366" spans="1:32" s="23" customFormat="1" hidden="1" outlineLevel="2" x14ac:dyDescent="0.2">
      <c r="A366" t="str">
        <f ca="1">Language!A$385</f>
        <v xml:space="preserve">    поставить на баланс с</v>
      </c>
      <c r="B366" s="270">
        <v>5</v>
      </c>
      <c r="C366" s="40" t="str">
        <f ca="1">Language!A$377</f>
        <v>периода</v>
      </c>
      <c r="AE366" s="11"/>
    </row>
    <row r="367" spans="1:32" s="16" customFormat="1" hidden="1" outlineLevel="2" x14ac:dyDescent="0.2">
      <c r="A367" s="74" t="str">
        <f ca="1">Language!A$403</f>
        <v xml:space="preserve">    импорт?</v>
      </c>
      <c r="B367" s="254">
        <v>2</v>
      </c>
      <c r="C367" s="116" t="str">
        <f ca="1">CHOOSE(B367,Language!A$375,Language!A$376)</f>
        <v>нет</v>
      </c>
      <c r="D367" s="46"/>
      <c r="E367" s="46"/>
      <c r="F367" s="110"/>
      <c r="G367" s="110"/>
      <c r="H367" s="110"/>
      <c r="I367" s="110"/>
      <c r="J367" s="110"/>
      <c r="K367" s="110"/>
      <c r="L367" s="110"/>
      <c r="M367" s="110"/>
      <c r="N367" s="110"/>
      <c r="O367" s="110"/>
      <c r="P367" s="110"/>
      <c r="Q367" s="110"/>
      <c r="R367" s="110"/>
      <c r="S367" s="110"/>
      <c r="T367" s="110"/>
      <c r="U367" s="110"/>
      <c r="V367" s="110"/>
      <c r="W367" s="110"/>
      <c r="X367" s="110"/>
      <c r="Y367" s="110"/>
      <c r="Z367" s="110"/>
      <c r="AA367" s="110"/>
      <c r="AB367" s="110"/>
      <c r="AC367" s="110"/>
      <c r="AD367" s="110"/>
      <c r="AE367" s="117"/>
      <c r="AF367" s="110"/>
    </row>
    <row r="368" spans="1:32" s="16" customFormat="1" hidden="1" outlineLevel="2" x14ac:dyDescent="0.2">
      <c r="A368" s="74" t="str">
        <f ca="1">Language!A$404</f>
        <v xml:space="preserve">    пересечение границы при импорте</v>
      </c>
      <c r="B368" s="258">
        <v>1</v>
      </c>
      <c r="C368" s="17" t="str">
        <f ca="1">Language!A$378</f>
        <v>период</v>
      </c>
      <c r="F368" s="110"/>
      <c r="G368" s="110"/>
      <c r="H368" s="110"/>
      <c r="I368" s="110"/>
      <c r="J368" s="110"/>
      <c r="K368" s="110"/>
      <c r="L368" s="110"/>
      <c r="M368" s="110"/>
      <c r="N368" s="110"/>
      <c r="O368" s="110"/>
      <c r="P368" s="110"/>
      <c r="Q368" s="110"/>
      <c r="R368" s="110"/>
      <c r="S368" s="110"/>
      <c r="T368" s="110"/>
      <c r="U368" s="110"/>
      <c r="V368" s="110"/>
      <c r="W368" s="110"/>
      <c r="X368" s="110"/>
      <c r="Y368" s="110"/>
      <c r="Z368" s="110"/>
      <c r="AA368" s="110"/>
      <c r="AB368" s="110"/>
      <c r="AC368" s="110"/>
      <c r="AD368" s="110"/>
      <c r="AE368" s="117"/>
      <c r="AF368" s="110"/>
    </row>
    <row r="369" spans="1:32" s="16" customFormat="1" hidden="1" outlineLevel="2" x14ac:dyDescent="0.2">
      <c r="A369" s="74" t="str">
        <f ca="1">Language!A$405</f>
        <v xml:space="preserve">    импортная пошлина</v>
      </c>
      <c r="B369" s="276">
        <f>IF(B367=1,10%,0%)</f>
        <v>0</v>
      </c>
      <c r="C369" s="114" t="str">
        <f ca="1">CUR_Main</f>
        <v>тыс. EUR</v>
      </c>
      <c r="D369" s="46" t="s">
        <v>1066</v>
      </c>
      <c r="E369" s="46"/>
      <c r="F369" s="83">
        <f t="shared" ref="F369:AC369" si="671">IF($B367=1,IF($B368&gt;0,IF(F$29=$B368,$AE364*IF($B364=1,1,F$88)*$B369,0),0),0)</f>
        <v>0</v>
      </c>
      <c r="G369" s="83">
        <f t="shared" si="671"/>
        <v>0</v>
      </c>
      <c r="H369" s="83">
        <f t="shared" si="671"/>
        <v>0</v>
      </c>
      <c r="I369" s="83">
        <f t="shared" si="671"/>
        <v>0</v>
      </c>
      <c r="J369" s="83">
        <f t="shared" si="671"/>
        <v>0</v>
      </c>
      <c r="K369" s="83">
        <f t="shared" si="671"/>
        <v>0</v>
      </c>
      <c r="L369" s="83">
        <f t="shared" si="671"/>
        <v>0</v>
      </c>
      <c r="M369" s="83">
        <f t="shared" si="671"/>
        <v>0</v>
      </c>
      <c r="N369" s="83">
        <f t="shared" si="671"/>
        <v>0</v>
      </c>
      <c r="O369" s="83">
        <f t="shared" si="671"/>
        <v>0</v>
      </c>
      <c r="P369" s="83">
        <f t="shared" si="671"/>
        <v>0</v>
      </c>
      <c r="Q369" s="83">
        <f t="shared" si="671"/>
        <v>0</v>
      </c>
      <c r="R369" s="83">
        <f t="shared" si="671"/>
        <v>0</v>
      </c>
      <c r="S369" s="83">
        <f t="shared" si="671"/>
        <v>0</v>
      </c>
      <c r="T369" s="83">
        <f t="shared" si="671"/>
        <v>0</v>
      </c>
      <c r="U369" s="83">
        <f t="shared" si="671"/>
        <v>0</v>
      </c>
      <c r="V369" s="83">
        <f t="shared" si="671"/>
        <v>0</v>
      </c>
      <c r="W369" s="83">
        <f t="shared" si="671"/>
        <v>0</v>
      </c>
      <c r="X369" s="83">
        <f t="shared" si="671"/>
        <v>0</v>
      </c>
      <c r="Y369" s="83">
        <f t="shared" si="671"/>
        <v>0</v>
      </c>
      <c r="Z369" s="83">
        <f t="shared" si="671"/>
        <v>0</v>
      </c>
      <c r="AA369" s="83">
        <f t="shared" si="671"/>
        <v>0</v>
      </c>
      <c r="AB369" s="83">
        <f t="shared" si="671"/>
        <v>0</v>
      </c>
      <c r="AC369" s="83">
        <f t="shared" si="671"/>
        <v>0</v>
      </c>
      <c r="AD369" s="110"/>
      <c r="AE369" s="54">
        <f>SUM(F369:AC369)</f>
        <v>0</v>
      </c>
      <c r="AF369" s="117"/>
    </row>
    <row r="370" spans="1:32" s="23" customFormat="1" hidden="1" outlineLevel="2" x14ac:dyDescent="0.2">
      <c r="A370" t="str">
        <f ca="1">Language!A$394</f>
        <v xml:space="preserve">    амортизация (линейная),       для срока использования:</v>
      </c>
      <c r="B370" s="270">
        <v>10</v>
      </c>
      <c r="C370" s="40" t="str">
        <f ca="1">Language!A$33</f>
        <v>лет</v>
      </c>
      <c r="D370" s="131" t="s">
        <v>762</v>
      </c>
      <c r="F370" s="53">
        <f>IF(AND($B370&gt;0,SUM($E384:F384)&lt;=0.01),MIN(F377*100%/$B370*PRJ_Step/360,E381+F377-E377),0)</f>
        <v>0</v>
      </c>
      <c r="G370" s="53">
        <f>IF(AND($B370&gt;0,SUM($E384:G384)&lt;=0.01),MIN(G377*100%/$B370*PRJ_Step/360,F381+G377-F377),0)</f>
        <v>0</v>
      </c>
      <c r="H370" s="53">
        <f>IF(AND($B370&gt;0,SUM($E384:H384)&lt;=0.01),MIN(H377*100%/$B370*PRJ_Step/360,G381+H377-G377),0)</f>
        <v>0</v>
      </c>
      <c r="I370" s="53">
        <f>IF(AND($B370&gt;0,SUM($E384:I384)&lt;=0.01),MIN(I377*100%/$B370*PRJ_Step/360,H381+I377-H377),0)</f>
        <v>0</v>
      </c>
      <c r="J370" s="53">
        <f>IF(AND($B370&gt;0,SUM($E384:J384)&lt;=0.01),MIN(J377*100%/$B370*PRJ_Step/360,I381+J377-I377),0)</f>
        <v>262.5898072033898</v>
      </c>
      <c r="K370" s="53">
        <f>IF(AND($B370&gt;0,SUM($E384:K384)&lt;=0.01),MIN(K377*100%/$B370*PRJ_Step/360,J381+K377-J377),0)</f>
        <v>262.5898072033898</v>
      </c>
      <c r="L370" s="53">
        <f>IF(AND($B370&gt;0,SUM($E384:L384)&lt;=0.01),MIN(L377*100%/$B370*PRJ_Step/360,K381+L377-K377),0)</f>
        <v>262.5898072033898</v>
      </c>
      <c r="M370" s="53">
        <f>IF(AND($B370&gt;0,SUM($E384:M384)&lt;=0.01),MIN(M377*100%/$B370*PRJ_Step/360,L381+M377-L377),0)</f>
        <v>262.5898072033898</v>
      </c>
      <c r="N370" s="53">
        <f>IF(AND($B370&gt;0,SUM($E384:N384)&lt;=0.01),MIN(N377*100%/$B370*PRJ_Step/360,M381+N377-M377),0)</f>
        <v>262.5898072033898</v>
      </c>
      <c r="O370" s="53">
        <f>IF(AND($B370&gt;0,SUM($E384:O384)&lt;=0.01),MIN(O377*100%/$B370*PRJ_Step/360,N381+O377-N377),0)</f>
        <v>262.5898072033898</v>
      </c>
      <c r="P370" s="53">
        <f>IF(AND($B370&gt;0,SUM($E384:P384)&lt;=0.01),MIN(P377*100%/$B370*PRJ_Step/360,O381+P377-O377),0)</f>
        <v>262.5898072033898</v>
      </c>
      <c r="Q370" s="53">
        <f>IF(AND($B370&gt;0,SUM($E384:Q384)&lt;=0.01),MIN(Q377*100%/$B370*PRJ_Step/360,P381+Q377-P377),0)</f>
        <v>262.5898072033898</v>
      </c>
      <c r="R370" s="53">
        <f>IF(AND($B370&gt;0,SUM($E384:R384)&lt;=0.01),MIN(R377*100%/$B370*PRJ_Step/360,Q381+R377-Q377),0)</f>
        <v>262.5898072033898</v>
      </c>
      <c r="S370" s="53">
        <f>IF(AND($B370&gt;0,SUM($E384:S384)&lt;=0.01),MIN(S377*100%/$B370*PRJ_Step/360,R381+S377-R377),0)</f>
        <v>262.5898072033898</v>
      </c>
      <c r="T370" s="53">
        <f>IF(AND($B370&gt;0,SUM($E384:T384)&lt;=0.01),MIN(T377*100%/$B370*PRJ_Step/360,S381+T377-S377),0)</f>
        <v>262.5898072033898</v>
      </c>
      <c r="U370" s="53">
        <f>IF(AND($B370&gt;0,SUM($E384:U384)&lt;=0.01),MIN(U377*100%/$B370*PRJ_Step/360,T381+U377-T377),0)</f>
        <v>262.5898072033898</v>
      </c>
      <c r="V370" s="53">
        <f>IF(AND($B370&gt;0,SUM($E384:V384)&lt;=0.01),MIN(V377*100%/$B370*PRJ_Step/360,U381+V377-U377),0)</f>
        <v>262.5898072033898</v>
      </c>
      <c r="W370" s="53">
        <f>IF(AND($B370&gt;0,SUM($E384:W384)&lt;=0.01),MIN(W377*100%/$B370*PRJ_Step/360,V381+W377-V377),0)</f>
        <v>262.5898072033898</v>
      </c>
      <c r="X370" s="53">
        <f>IF(AND($B370&gt;0,SUM($E384:X384)&lt;=0.01),MIN(X377*100%/$B370*PRJ_Step/360,W381+X377-W377),0)</f>
        <v>262.5898072033898</v>
      </c>
      <c r="Y370" s="53">
        <f>IF(AND($B370&gt;0,SUM($E384:Y384)&lt;=0.01),MIN(Y377*100%/$B370*PRJ_Step/360,X381+Y377-X377),0)</f>
        <v>262.5898072033898</v>
      </c>
      <c r="Z370" s="53">
        <f>IF(AND($B370&gt;0,SUM($E384:Z384)&lt;=0.01),MIN(Z377*100%/$B370*PRJ_Step/360,Y381+Z377-Y377),0)</f>
        <v>262.5898072033898</v>
      </c>
      <c r="AA370" s="53">
        <f>IF(AND($B370&gt;0,SUM($E384:AA384)&lt;=0.01),MIN(AA377*100%/$B370*PRJ_Step/360,Z381+AA377-Z377),0)</f>
        <v>262.5898072033898</v>
      </c>
      <c r="AB370" s="53">
        <f>IF(AND($B370&gt;0,SUM($E384:AB384)&lt;=0.01),MIN(AB377*100%/$B370*PRJ_Step/360,AA381+AB377-AA377),0)</f>
        <v>262.5898072033898</v>
      </c>
      <c r="AC370" s="53">
        <f>IF(AND($B370&gt;0,SUM($E384:AC384)&lt;=0.01),MIN(AC377*100%/$B370*PRJ_Step/360,AB381+AC377-AB377),0)</f>
        <v>262.5898072033898</v>
      </c>
      <c r="AE370" s="54">
        <f>SUM(F370:AC370)</f>
        <v>5251.7961440677946</v>
      </c>
    </row>
    <row r="371" spans="1:32" s="23" customFormat="1" hidden="1" outlineLevel="2" x14ac:dyDescent="0.2">
      <c r="A371" t="str">
        <f ca="1">Language!A$395</f>
        <v xml:space="preserve">    амортизация (ускоренная),    для срока использования:</v>
      </c>
      <c r="B371" s="270">
        <v>0</v>
      </c>
      <c r="C371" s="40" t="str">
        <f ca="1">Language!A$33</f>
        <v>лет</v>
      </c>
      <c r="D371" s="23" t="s">
        <v>834</v>
      </c>
      <c r="F371" s="53">
        <f>IF(SUM($E384:F384)&lt;=0.01,IF(OR($B371=0,E381+F377-E377=0),0,IF($B370&gt;0,0,IF(E381+F377-E377&gt;0.2*F377,MIN((E381+F377-E377)*2/$B371*PRJ_Step/360,E381+F377-E377),MIN(E381+F377-E377,F377*PRJ_Step/360/IF($B371&lt;4,1,IF($B371&gt;5,3,2)))))),0)</f>
        <v>0</v>
      </c>
      <c r="G371" s="53">
        <f>IF(SUM($E384:G384)&lt;=0.01,IF(OR($B371=0,F381+G377-F377=0),0,IF($B370&gt;0,0,IF(F381+G377-F377&gt;0.2*G377,MIN((F381+G377-F377)*2/$B371*PRJ_Step/360,F381+G377-F377),MIN(F381+G377-F377,G377*PRJ_Step/360/IF($B371&lt;4,1,IF($B371&gt;5,3,2)))))),0)</f>
        <v>0</v>
      </c>
      <c r="H371" s="53">
        <f>IF(SUM($E384:H384)&lt;=0.01,IF(OR($B371=0,G381+H377-G377=0),0,IF($B370&gt;0,0,IF(G381+H377-G377&gt;0.2*H377,MIN((G381+H377-G377)*2/$B371*PRJ_Step/360,G381+H377-G377),MIN(G381+H377-G377,H377*PRJ_Step/360/IF($B371&lt;4,1,IF($B371&gt;5,3,2)))))),0)</f>
        <v>0</v>
      </c>
      <c r="I371" s="53">
        <f>IF(SUM($E384:I384)&lt;=0.01,IF(OR($B371=0,H381+I377-H377=0),0,IF($B370&gt;0,0,IF(H381+I377-H377&gt;0.2*I377,MIN((H381+I377-H377)*2/$B371*PRJ_Step/360,H381+I377-H377),MIN(H381+I377-H377,I377*PRJ_Step/360/IF($B371&lt;4,1,IF($B371&gt;5,3,2)))))),0)</f>
        <v>0</v>
      </c>
      <c r="J371" s="53">
        <f>IF(SUM($E384:J384)&lt;=0.01,IF(OR($B371=0,I381+J377-I377=0),0,IF($B370&gt;0,0,IF(I381+J377-I377&gt;0.2*J377,MIN((I381+J377-I377)*2/$B371*PRJ_Step/360,I381+J377-I377),MIN(I381+J377-I377,J377*PRJ_Step/360/IF($B371&lt;4,1,IF($B371&gt;5,3,2)))))),0)</f>
        <v>0</v>
      </c>
      <c r="K371" s="53">
        <f>IF(SUM($E384:K384)&lt;=0.01,IF(OR($B371=0,J381+K377-J377=0),0,IF($B370&gt;0,0,IF(J381+K377-J377&gt;0.2*K377,MIN((J381+K377-J377)*2/$B371*PRJ_Step/360,J381+K377-J377),MIN(J381+K377-J377,K377*PRJ_Step/360/IF($B371&lt;4,1,IF($B371&gt;5,3,2)))))),0)</f>
        <v>0</v>
      </c>
      <c r="L371" s="53">
        <f>IF(SUM($E384:L384)&lt;=0.01,IF(OR($B371=0,K381+L377-K377=0),0,IF($B370&gt;0,0,IF(K381+L377-K377&gt;0.2*L377,MIN((K381+L377-K377)*2/$B371*PRJ_Step/360,K381+L377-K377),MIN(K381+L377-K377,L377*PRJ_Step/360/IF($B371&lt;4,1,IF($B371&gt;5,3,2)))))),0)</f>
        <v>0</v>
      </c>
      <c r="M371" s="53">
        <f>IF(SUM($E384:M384)&lt;=0.01,IF(OR($B371=0,L381+M377-L377=0),0,IF($B370&gt;0,0,IF(L381+M377-L377&gt;0.2*M377,MIN((L381+M377-L377)*2/$B371*PRJ_Step/360,L381+M377-L377),MIN(L381+M377-L377,M377*PRJ_Step/360/IF($B371&lt;4,1,IF($B371&gt;5,3,2)))))),0)</f>
        <v>0</v>
      </c>
      <c r="N371" s="53">
        <f>IF(SUM($E384:N384)&lt;=0.01,IF(OR($B371=0,M381+N377-M377=0),0,IF($B370&gt;0,0,IF(M381+N377-M377&gt;0.2*N377,MIN((M381+N377-M377)*2/$B371*PRJ_Step/360,M381+N377-M377),MIN(M381+N377-M377,N377*PRJ_Step/360/IF($B371&lt;4,1,IF($B371&gt;5,3,2)))))),0)</f>
        <v>0</v>
      </c>
      <c r="O371" s="53">
        <f>IF(SUM($E384:O384)&lt;=0.01,IF(OR($B371=0,N381+O377-N377=0),0,IF($B370&gt;0,0,IF(N381+O377-N377&gt;0.2*O377,MIN((N381+O377-N377)*2/$B371*PRJ_Step/360,N381+O377-N377),MIN(N381+O377-N377,O377*PRJ_Step/360/IF($B371&lt;4,1,IF($B371&gt;5,3,2)))))),0)</f>
        <v>0</v>
      </c>
      <c r="P371" s="53">
        <f>IF(SUM($E384:P384)&lt;=0.01,IF(OR($B371=0,O381+P377-O377=0),0,IF($B370&gt;0,0,IF(O381+P377-O377&gt;0.2*P377,MIN((O381+P377-O377)*2/$B371*PRJ_Step/360,O381+P377-O377),MIN(O381+P377-O377,P377*PRJ_Step/360/IF($B371&lt;4,1,IF($B371&gt;5,3,2)))))),0)</f>
        <v>0</v>
      </c>
      <c r="Q371" s="53">
        <f>IF(SUM($E384:Q384)&lt;=0.01,IF(OR($B371=0,P381+Q377-P377=0),0,IF($B370&gt;0,0,IF(P381+Q377-P377&gt;0.2*Q377,MIN((P381+Q377-P377)*2/$B371*PRJ_Step/360,P381+Q377-P377),MIN(P381+Q377-P377,Q377*PRJ_Step/360/IF($B371&lt;4,1,IF($B371&gt;5,3,2)))))),0)</f>
        <v>0</v>
      </c>
      <c r="R371" s="53">
        <f>IF(SUM($E384:R384)&lt;=0.01,IF(OR($B371=0,Q381+R377-Q377=0),0,IF($B370&gt;0,0,IF(Q381+R377-Q377&gt;0.2*R377,MIN((Q381+R377-Q377)*2/$B371*PRJ_Step/360,Q381+R377-Q377),MIN(Q381+R377-Q377,R377*PRJ_Step/360/IF($B371&lt;4,1,IF($B371&gt;5,3,2)))))),0)</f>
        <v>0</v>
      </c>
      <c r="S371" s="53">
        <f>IF(SUM($E384:S384)&lt;=0.01,IF(OR($B371=0,R381+S377-R377=0),0,IF($B370&gt;0,0,IF(R381+S377-R377&gt;0.2*S377,MIN((R381+S377-R377)*2/$B371*PRJ_Step/360,R381+S377-R377),MIN(R381+S377-R377,S377*PRJ_Step/360/IF($B371&lt;4,1,IF($B371&gt;5,3,2)))))),0)</f>
        <v>0</v>
      </c>
      <c r="T371" s="53">
        <f>IF(SUM($E384:T384)&lt;=0.01,IF(OR($B371=0,S381+T377-S377=0),0,IF($B370&gt;0,0,IF(S381+T377-S377&gt;0.2*T377,MIN((S381+T377-S377)*2/$B371*PRJ_Step/360,S381+T377-S377),MIN(S381+T377-S377,T377*PRJ_Step/360/IF($B371&lt;4,1,IF($B371&gt;5,3,2)))))),0)</f>
        <v>0</v>
      </c>
      <c r="U371" s="53">
        <f>IF(SUM($E384:U384)&lt;=0.01,IF(OR($B371=0,T381+U377-T377=0),0,IF($B370&gt;0,0,IF(T381+U377-T377&gt;0.2*U377,MIN((T381+U377-T377)*2/$B371*PRJ_Step/360,T381+U377-T377),MIN(T381+U377-T377,U377*PRJ_Step/360/IF($B371&lt;4,1,IF($B371&gt;5,3,2)))))),0)</f>
        <v>0</v>
      </c>
      <c r="V371" s="53">
        <f>IF(SUM($E384:V384)&lt;=0.01,IF(OR($B371=0,U381+V377-U377=0),0,IF($B370&gt;0,0,IF(U381+V377-U377&gt;0.2*V377,MIN((U381+V377-U377)*2/$B371*PRJ_Step/360,U381+V377-U377),MIN(U381+V377-U377,V377*PRJ_Step/360/IF($B371&lt;4,1,IF($B371&gt;5,3,2)))))),0)</f>
        <v>0</v>
      </c>
      <c r="W371" s="53">
        <f>IF(SUM($E384:W384)&lt;=0.01,IF(OR($B371=0,V381+W377-V377=0),0,IF($B370&gt;0,0,IF(V381+W377-V377&gt;0.2*W377,MIN((V381+W377-V377)*2/$B371*PRJ_Step/360,V381+W377-V377),MIN(V381+W377-V377,W377*PRJ_Step/360/IF($B371&lt;4,1,IF($B371&gt;5,3,2)))))),0)</f>
        <v>0</v>
      </c>
      <c r="X371" s="53">
        <f>IF(SUM($E384:X384)&lt;=0.01,IF(OR($B371=0,W381+X377-W377=0),0,IF($B370&gt;0,0,IF(W381+X377-W377&gt;0.2*X377,MIN((W381+X377-W377)*2/$B371*PRJ_Step/360,W381+X377-W377),MIN(W381+X377-W377,X377*PRJ_Step/360/IF($B371&lt;4,1,IF($B371&gt;5,3,2)))))),0)</f>
        <v>0</v>
      </c>
      <c r="Y371" s="53">
        <f>IF(SUM($E384:Y384)&lt;=0.01,IF(OR($B371=0,X381+Y377-X377=0),0,IF($B370&gt;0,0,IF(X381+Y377-X377&gt;0.2*Y377,MIN((X381+Y377-X377)*2/$B371*PRJ_Step/360,X381+Y377-X377),MIN(X381+Y377-X377,Y377*PRJ_Step/360/IF($B371&lt;4,1,IF($B371&gt;5,3,2)))))),0)</f>
        <v>0</v>
      </c>
      <c r="Z371" s="53">
        <f>IF(SUM($E384:Z384)&lt;=0.01,IF(OR($B371=0,Y381+Z377-Y377=0),0,IF($B370&gt;0,0,IF(Y381+Z377-Y377&gt;0.2*Z377,MIN((Y381+Z377-Y377)*2/$B371*PRJ_Step/360,Y381+Z377-Y377),MIN(Y381+Z377-Y377,Z377*PRJ_Step/360/IF($B371&lt;4,1,IF($B371&gt;5,3,2)))))),0)</f>
        <v>0</v>
      </c>
      <c r="AA371" s="53">
        <f>IF(SUM($E384:AA384)&lt;=0.01,IF(OR($B371=0,Z381+AA377-Z377=0),0,IF($B370&gt;0,0,IF(Z381+AA377-Z377&gt;0.2*AA377,MIN((Z381+AA377-Z377)*2/$B371*PRJ_Step/360,Z381+AA377-Z377),MIN(Z381+AA377-Z377,AA377*PRJ_Step/360/IF($B371&lt;4,1,IF($B371&gt;5,3,2)))))),0)</f>
        <v>0</v>
      </c>
      <c r="AB371" s="53">
        <f>IF(SUM($E384:AB384)&lt;=0.01,IF(OR($B371=0,AA381+AB377-AA377=0),0,IF($B370&gt;0,0,IF(AA381+AB377-AA377&gt;0.2*AB377,MIN((AA381+AB377-AA377)*2/$B371*PRJ_Step/360,AA381+AB377-AA377),MIN(AA381+AB377-AA377,AB377*PRJ_Step/360/IF($B371&lt;4,1,IF($B371&gt;5,3,2)))))),0)</f>
        <v>0</v>
      </c>
      <c r="AC371" s="53">
        <f>IF(SUM($E384:AC384)&lt;=0.01,IF(OR($B371=0,AB381+AC377-AB377=0),0,IF($B370&gt;0,0,IF(AB381+AC377-AB377&gt;0.2*AC377,MIN((AB381+AC377-AB377)*2/$B371*PRJ_Step/360,AB381+AC377-AB377),MIN(AB381+AC377-AB377,AC377*PRJ_Step/360/IF($B371&lt;4,1,IF($B371&gt;5,3,2)))))),0)</f>
        <v>0</v>
      </c>
      <c r="AE371" s="54">
        <f>SUM(F371:AC371)</f>
        <v>0</v>
      </c>
    </row>
    <row r="372" spans="1:32" s="23" customFormat="1" hidden="1" outlineLevel="2" x14ac:dyDescent="0.2">
      <c r="A372" t="str">
        <f ca="1">Language!A$396</f>
        <v xml:space="preserve">    выплаченный НДС</v>
      </c>
      <c r="B372" s="272">
        <v>0.23</v>
      </c>
      <c r="C372" s="40" t="str">
        <f ca="1">CUR_Main</f>
        <v>тыс. EUR</v>
      </c>
      <c r="D372" s="23" t="s">
        <v>835</v>
      </c>
      <c r="F372" s="110">
        <f t="shared" ref="F372:T372" si="672">IF($B367=2,F374*$B372,IF(F$29=$B368,$B375*$B372,0))</f>
        <v>0</v>
      </c>
      <c r="G372" s="110">
        <f t="shared" si="672"/>
        <v>0</v>
      </c>
      <c r="H372" s="110">
        <f t="shared" si="672"/>
        <v>724.747867881356</v>
      </c>
      <c r="I372" s="110">
        <f t="shared" si="672"/>
        <v>0</v>
      </c>
      <c r="J372" s="110">
        <f t="shared" si="672"/>
        <v>1207.9131131355932</v>
      </c>
      <c r="K372" s="110">
        <f t="shared" si="672"/>
        <v>483.16524525423733</v>
      </c>
      <c r="L372" s="110">
        <f t="shared" si="672"/>
        <v>0</v>
      </c>
      <c r="M372" s="110">
        <f t="shared" si="672"/>
        <v>0</v>
      </c>
      <c r="N372" s="110">
        <f t="shared" si="672"/>
        <v>0</v>
      </c>
      <c r="O372" s="110">
        <f t="shared" si="672"/>
        <v>0</v>
      </c>
      <c r="P372" s="110">
        <f t="shared" si="672"/>
        <v>0</v>
      </c>
      <c r="Q372" s="110">
        <f t="shared" si="672"/>
        <v>0</v>
      </c>
      <c r="R372" s="110">
        <f t="shared" si="672"/>
        <v>0</v>
      </c>
      <c r="S372" s="110">
        <f t="shared" si="672"/>
        <v>0</v>
      </c>
      <c r="T372" s="110">
        <f t="shared" si="672"/>
        <v>0</v>
      </c>
      <c r="U372" s="110">
        <f t="shared" ref="U372" si="673">IF($B367=2,U374*$B372,IF(U$29=$B368,$B375*$B372,0))</f>
        <v>0</v>
      </c>
      <c r="V372" s="110">
        <f t="shared" ref="V372" si="674">IF($B367=2,V374*$B372,IF(V$29=$B368,$B375*$B372,0))</f>
        <v>0</v>
      </c>
      <c r="W372" s="110">
        <f t="shared" ref="W372" si="675">IF($B367=2,W374*$B372,IF(W$29=$B368,$B375*$B372,0))</f>
        <v>0</v>
      </c>
      <c r="X372" s="110">
        <f t="shared" ref="X372" si="676">IF($B367=2,X374*$B372,IF(X$29=$B368,$B375*$B372,0))</f>
        <v>0</v>
      </c>
      <c r="Y372" s="110">
        <f t="shared" ref="Y372" si="677">IF($B367=2,Y374*$B372,IF(Y$29=$B368,$B375*$B372,0))</f>
        <v>0</v>
      </c>
      <c r="Z372" s="110">
        <f t="shared" ref="Z372" si="678">IF($B367=2,Z374*$B372,IF(Z$29=$B368,$B375*$B372,0))</f>
        <v>0</v>
      </c>
      <c r="AA372" s="110">
        <f t="shared" ref="AA372" si="679">IF($B367=2,AA374*$B372,IF(AA$29=$B368,$B375*$B372,0))</f>
        <v>0</v>
      </c>
      <c r="AB372" s="110">
        <f t="shared" ref="AB372:AC372" si="680">IF($B367=2,AB374*$B372,IF(AB$29=$B368,$B375*$B372,0))</f>
        <v>0</v>
      </c>
      <c r="AC372" s="110">
        <f t="shared" si="680"/>
        <v>0</v>
      </c>
      <c r="AE372" s="54">
        <f>SUM(F372:AC372)</f>
        <v>2415.8262262711869</v>
      </c>
    </row>
    <row r="373" spans="1:32" s="23" customFormat="1" hidden="1" outlineLevel="2" x14ac:dyDescent="0.2">
      <c r="A373" t="str">
        <f ca="1">Language!A$397</f>
        <v xml:space="preserve">    вариант зачета НДС</v>
      </c>
      <c r="B373" s="254">
        <v>2</v>
      </c>
      <c r="C373" s="85" t="str">
        <f ca="1">CHOOSE(B373,Language!A$373,Language!A$374)</f>
        <v>после постановки актива на баланс</v>
      </c>
      <c r="F373" s="110"/>
      <c r="G373" s="110"/>
      <c r="H373" s="110"/>
      <c r="I373" s="110"/>
      <c r="J373" s="110"/>
      <c r="K373" s="110"/>
      <c r="L373" s="110"/>
      <c r="M373" s="110"/>
      <c r="N373" s="110"/>
      <c r="O373" s="110"/>
      <c r="P373" s="110"/>
      <c r="Q373" s="110"/>
      <c r="R373" s="110"/>
      <c r="S373" s="110"/>
      <c r="T373" s="110"/>
      <c r="U373" s="110"/>
      <c r="V373" s="110"/>
      <c r="W373" s="110"/>
      <c r="X373" s="110"/>
      <c r="Y373" s="110"/>
      <c r="Z373" s="110"/>
      <c r="AA373" s="110"/>
      <c r="AB373" s="110"/>
      <c r="AC373" s="110"/>
      <c r="AE373" s="54"/>
    </row>
    <row r="374" spans="1:32" s="23" customFormat="1" hidden="1" outlineLevel="2" x14ac:dyDescent="0.2">
      <c r="A374" t="str">
        <f ca="1">Language!A$386</f>
        <v xml:space="preserve">    сумма платежей без НДС</v>
      </c>
      <c r="C374" s="40" t="str">
        <f t="shared" ref="C374:C386" ca="1" si="681">CUR_Main</f>
        <v>тыс. EUR</v>
      </c>
      <c r="D374" s="23" t="s">
        <v>2441</v>
      </c>
      <c r="F374" s="84">
        <f t="shared" ref="F374:T374" si="682">IF($B367=2,F364*IF($B364=1,1,F$88)/(1+$B372),F364*IF($B364=1,1,F$88))</f>
        <v>0</v>
      </c>
      <c r="G374" s="84">
        <f t="shared" si="682"/>
        <v>0</v>
      </c>
      <c r="H374" s="84">
        <f t="shared" si="682"/>
        <v>3151.077686440678</v>
      </c>
      <c r="I374" s="84">
        <f t="shared" si="682"/>
        <v>0</v>
      </c>
      <c r="J374" s="84">
        <f t="shared" si="682"/>
        <v>5251.7961440677964</v>
      </c>
      <c r="K374" s="84">
        <f t="shared" si="682"/>
        <v>2100.7184576271188</v>
      </c>
      <c r="L374" s="84">
        <f t="shared" si="682"/>
        <v>0</v>
      </c>
      <c r="M374" s="84">
        <f t="shared" si="682"/>
        <v>0</v>
      </c>
      <c r="N374" s="84">
        <f t="shared" si="682"/>
        <v>0</v>
      </c>
      <c r="O374" s="84">
        <f t="shared" si="682"/>
        <v>0</v>
      </c>
      <c r="P374" s="84">
        <f t="shared" si="682"/>
        <v>0</v>
      </c>
      <c r="Q374" s="84">
        <f t="shared" si="682"/>
        <v>0</v>
      </c>
      <c r="R374" s="84">
        <f t="shared" si="682"/>
        <v>0</v>
      </c>
      <c r="S374" s="84">
        <f t="shared" si="682"/>
        <v>0</v>
      </c>
      <c r="T374" s="84">
        <f t="shared" si="682"/>
        <v>0</v>
      </c>
      <c r="U374" s="84">
        <f t="shared" ref="U374" si="683">IF($B367=2,U364*IF($B364=1,1,U$88)/(1+$B372),U364*IF($B364=1,1,U$88))</f>
        <v>0</v>
      </c>
      <c r="V374" s="84">
        <f t="shared" ref="V374" si="684">IF($B367=2,V364*IF($B364=1,1,V$88)/(1+$B372),V364*IF($B364=1,1,V$88))</f>
        <v>0</v>
      </c>
      <c r="W374" s="84">
        <f t="shared" ref="W374" si="685">IF($B367=2,W364*IF($B364=1,1,W$88)/(1+$B372),W364*IF($B364=1,1,W$88))</f>
        <v>0</v>
      </c>
      <c r="X374" s="84">
        <f t="shared" ref="X374" si="686">IF($B367=2,X364*IF($B364=1,1,X$88)/(1+$B372),X364*IF($B364=1,1,X$88))</f>
        <v>0</v>
      </c>
      <c r="Y374" s="84">
        <f t="shared" ref="Y374" si="687">IF($B367=2,Y364*IF($B364=1,1,Y$88)/(1+$B372),Y364*IF($B364=1,1,Y$88))</f>
        <v>0</v>
      </c>
      <c r="Z374" s="84">
        <f t="shared" ref="Z374" si="688">IF($B367=2,Z364*IF($B364=1,1,Z$88)/(1+$B372),Z364*IF($B364=1,1,Z$88))</f>
        <v>0</v>
      </c>
      <c r="AA374" s="84">
        <f t="shared" ref="AA374" si="689">IF($B367=2,AA364*IF($B364=1,1,AA$88)/(1+$B372),AA364*IF($B364=1,1,AA$88))</f>
        <v>0</v>
      </c>
      <c r="AB374" s="84">
        <f t="shared" ref="AB374:AC374" si="690">IF($B367=2,AB364*IF($B364=1,1,AB$88)/(1+$B372),AB364*IF($B364=1,1,AB$88))</f>
        <v>0</v>
      </c>
      <c r="AC374" s="84">
        <f t="shared" si="690"/>
        <v>0</v>
      </c>
      <c r="AE374" s="54">
        <f>SUM(F374:AC374)</f>
        <v>10503.592288135593</v>
      </c>
    </row>
    <row r="375" spans="1:32" s="23" customFormat="1" hidden="1" outlineLevel="2" x14ac:dyDescent="0.2">
      <c r="A375" t="str">
        <f ca="1">Language!A$387</f>
        <v xml:space="preserve">    общая стоимость актива (без НДС)</v>
      </c>
      <c r="B375" s="55">
        <f>AE374+B365+AE369</f>
        <v>10503.592288135593</v>
      </c>
      <c r="C375" s="40" t="str">
        <f t="shared" ca="1" si="681"/>
        <v>тыс. EUR</v>
      </c>
      <c r="AE375" s="11"/>
    </row>
    <row r="376" spans="1:32" s="23" customFormat="1" hidden="1" outlineLevel="2" x14ac:dyDescent="0.2">
      <c r="A376" t="str">
        <f ca="1">Language!A$388</f>
        <v xml:space="preserve">    полная сумма вложений в актив (без НДС)</v>
      </c>
      <c r="C376" s="40" t="str">
        <f t="shared" ca="1" si="681"/>
        <v>тыс. EUR</v>
      </c>
      <c r="D376" s="23" t="s">
        <v>840</v>
      </c>
      <c r="F376" s="53">
        <f>B365+F374+F369</f>
        <v>0</v>
      </c>
      <c r="G376" s="53">
        <f t="shared" ref="G376:AC376" si="691">F376+G374+G369</f>
        <v>0</v>
      </c>
      <c r="H376" s="53">
        <f t="shared" si="691"/>
        <v>3151.077686440678</v>
      </c>
      <c r="I376" s="53">
        <f t="shared" si="691"/>
        <v>3151.077686440678</v>
      </c>
      <c r="J376" s="53">
        <f t="shared" si="691"/>
        <v>8402.8738305084735</v>
      </c>
      <c r="K376" s="53">
        <f t="shared" si="691"/>
        <v>10503.592288135593</v>
      </c>
      <c r="L376" s="53">
        <f t="shared" si="691"/>
        <v>10503.592288135593</v>
      </c>
      <c r="M376" s="53">
        <f t="shared" si="691"/>
        <v>10503.592288135593</v>
      </c>
      <c r="N376" s="53">
        <f t="shared" si="691"/>
        <v>10503.592288135593</v>
      </c>
      <c r="O376" s="53">
        <f t="shared" si="691"/>
        <v>10503.592288135593</v>
      </c>
      <c r="P376" s="53">
        <f t="shared" si="691"/>
        <v>10503.592288135593</v>
      </c>
      <c r="Q376" s="53">
        <f t="shared" si="691"/>
        <v>10503.592288135593</v>
      </c>
      <c r="R376" s="53">
        <f t="shared" si="691"/>
        <v>10503.592288135593</v>
      </c>
      <c r="S376" s="53">
        <f t="shared" si="691"/>
        <v>10503.592288135593</v>
      </c>
      <c r="T376" s="53">
        <f t="shared" si="691"/>
        <v>10503.592288135593</v>
      </c>
      <c r="U376" s="53">
        <f t="shared" si="691"/>
        <v>10503.592288135593</v>
      </c>
      <c r="V376" s="53">
        <f t="shared" si="691"/>
        <v>10503.592288135593</v>
      </c>
      <c r="W376" s="53">
        <f t="shared" si="691"/>
        <v>10503.592288135593</v>
      </c>
      <c r="X376" s="53">
        <f t="shared" si="691"/>
        <v>10503.592288135593</v>
      </c>
      <c r="Y376" s="53">
        <f t="shared" si="691"/>
        <v>10503.592288135593</v>
      </c>
      <c r="Z376" s="53">
        <f t="shared" si="691"/>
        <v>10503.592288135593</v>
      </c>
      <c r="AA376" s="53">
        <f t="shared" si="691"/>
        <v>10503.592288135593</v>
      </c>
      <c r="AB376" s="53">
        <f t="shared" si="691"/>
        <v>10503.592288135593</v>
      </c>
      <c r="AC376" s="53">
        <f t="shared" si="691"/>
        <v>10503.592288135593</v>
      </c>
      <c r="AE376" s="54"/>
    </row>
    <row r="377" spans="1:32" s="23" customFormat="1" hidden="1" outlineLevel="2" x14ac:dyDescent="0.2">
      <c r="A377" t="str">
        <f ca="1">Language!A$389</f>
        <v xml:space="preserve">    полная балансовая стоимость</v>
      </c>
      <c r="C377" s="40" t="str">
        <f t="shared" ca="1" si="681"/>
        <v>тыс. EUR</v>
      </c>
      <c r="D377" s="23" t="s">
        <v>841</v>
      </c>
      <c r="F377" s="53">
        <f>IF($B366&lt;=F$29,IF(SUM($E384:F384)&gt;0.01,0,$B375),0)</f>
        <v>0</v>
      </c>
      <c r="G377" s="53">
        <f>IF($B366&lt;=G$29,IF(SUM($E384:G384)&gt;0.01,0,$B375),0)</f>
        <v>0</v>
      </c>
      <c r="H377" s="53">
        <f>IF($B366&lt;=H$29,IF(SUM($E384:H384)&gt;0.01,0,$B375),0)</f>
        <v>0</v>
      </c>
      <c r="I377" s="53">
        <f>IF($B366&lt;=I$29,IF(SUM($E384:I384)&gt;0.01,0,$B375),0)</f>
        <v>0</v>
      </c>
      <c r="J377" s="53">
        <f>IF($B366&lt;=J$29,IF(SUM($E384:J384)&gt;0.01,0,$B375),0)</f>
        <v>10503.592288135593</v>
      </c>
      <c r="K377" s="53">
        <f>IF($B366&lt;=K$29,IF(SUM($E384:K384)&gt;0.01,0,$B375),0)</f>
        <v>10503.592288135593</v>
      </c>
      <c r="L377" s="53">
        <f>IF($B366&lt;=L$29,IF(SUM($E384:L384)&gt;0.01,0,$B375),0)</f>
        <v>10503.592288135593</v>
      </c>
      <c r="M377" s="53">
        <f>IF($B366&lt;=M$29,IF(SUM($E384:M384)&gt;0.01,0,$B375),0)</f>
        <v>10503.592288135593</v>
      </c>
      <c r="N377" s="53">
        <f>IF($B366&lt;=N$29,IF(SUM($E384:N384)&gt;0.01,0,$B375),0)</f>
        <v>10503.592288135593</v>
      </c>
      <c r="O377" s="53">
        <f>IF($B366&lt;=O$29,IF(SUM($E384:O384)&gt;0.01,0,$B375),0)</f>
        <v>10503.592288135593</v>
      </c>
      <c r="P377" s="53">
        <f>IF($B366&lt;=P$29,IF(SUM($E384:P384)&gt;0.01,0,$B375),0)</f>
        <v>10503.592288135593</v>
      </c>
      <c r="Q377" s="53">
        <f>IF($B366&lt;=Q$29,IF(SUM($E384:Q384)&gt;0.01,0,$B375),0)</f>
        <v>10503.592288135593</v>
      </c>
      <c r="R377" s="53">
        <f>IF($B366&lt;=R$29,IF(SUM($E384:R384)&gt;0.01,0,$B375),0)</f>
        <v>10503.592288135593</v>
      </c>
      <c r="S377" s="53">
        <f>IF($B366&lt;=S$29,IF(SUM($E384:S384)&gt;0.01,0,$B375),0)</f>
        <v>10503.592288135593</v>
      </c>
      <c r="T377" s="53">
        <f>IF($B366&lt;=T$29,IF(SUM($E384:T384)&gt;0.01,0,$B375),0)</f>
        <v>10503.592288135593</v>
      </c>
      <c r="U377" s="53">
        <f>IF($B366&lt;=U$29,IF(SUM($E384:U384)&gt;0.01,0,$B375),0)</f>
        <v>10503.592288135593</v>
      </c>
      <c r="V377" s="53">
        <f>IF($B366&lt;=V$29,IF(SUM($E384:V384)&gt;0.01,0,$B375),0)</f>
        <v>10503.592288135593</v>
      </c>
      <c r="W377" s="53">
        <f>IF($B366&lt;=W$29,IF(SUM($E384:W384)&gt;0.01,0,$B375),0)</f>
        <v>10503.592288135593</v>
      </c>
      <c r="X377" s="53">
        <f>IF($B366&lt;=X$29,IF(SUM($E384:X384)&gt;0.01,0,$B375),0)</f>
        <v>10503.592288135593</v>
      </c>
      <c r="Y377" s="53">
        <f>IF($B366&lt;=Y$29,IF(SUM($E384:Y384)&gt;0.01,0,$B375),0)</f>
        <v>10503.592288135593</v>
      </c>
      <c r="Z377" s="53">
        <f>IF($B366&lt;=Z$29,IF(SUM($E384:Z384)&gt;0.01,0,$B375),0)</f>
        <v>10503.592288135593</v>
      </c>
      <c r="AA377" s="53">
        <f>IF($B366&lt;=AA$29,IF(SUM($E384:AA384)&gt;0.01,0,$B375),0)</f>
        <v>10503.592288135593</v>
      </c>
      <c r="AB377" s="53">
        <f>IF($B366&lt;=AB$29,IF(SUM($E384:AB384)&gt;0.01,0,$B375),0)</f>
        <v>10503.592288135593</v>
      </c>
      <c r="AC377" s="53">
        <f>IF($B366&lt;=AC$29,IF(SUM($E384:AC384)&gt;0.01,0,$B375),0)</f>
        <v>10503.592288135593</v>
      </c>
      <c r="AE377" s="11"/>
    </row>
    <row r="378" spans="1:32" s="23" customFormat="1" hidden="1" outlineLevel="2" x14ac:dyDescent="0.2">
      <c r="A378" t="str">
        <f ca="1">Language!A$390</f>
        <v xml:space="preserve">    незавершенные инвестиции</v>
      </c>
      <c r="C378" s="40" t="str">
        <f t="shared" ca="1" si="681"/>
        <v>тыс. EUR</v>
      </c>
      <c r="D378" s="23" t="s">
        <v>844</v>
      </c>
      <c r="F378" s="53">
        <f>IF(SUM($E384:F384)&gt;0,0,IF($B366&gt;F$29,F376,0))</f>
        <v>0</v>
      </c>
      <c r="G378" s="53">
        <f>IF(SUM($E384:G384)&gt;0,0,IF($B366&gt;G$29,G376,0))</f>
        <v>0</v>
      </c>
      <c r="H378" s="53">
        <f>IF(SUM($E384:H384)&gt;0,0,IF($B366&gt;H$29,H376,0))</f>
        <v>3151.077686440678</v>
      </c>
      <c r="I378" s="53">
        <f>IF(SUM($E384:I384)&gt;0,0,IF($B366&gt;I$29,I376,0))</f>
        <v>3151.077686440678</v>
      </c>
      <c r="J378" s="53">
        <f>IF(SUM($E384:J384)&gt;0,0,IF($B366&gt;J$29,J376,0))</f>
        <v>0</v>
      </c>
      <c r="K378" s="53">
        <f>IF(SUM($E384:K384)&gt;0,0,IF($B366&gt;K$29,K376,0))</f>
        <v>0</v>
      </c>
      <c r="L378" s="53">
        <f>IF(SUM($E384:L384)&gt;0,0,IF($B366&gt;L$29,L376,0))</f>
        <v>0</v>
      </c>
      <c r="M378" s="53">
        <f>IF(SUM($E384:M384)&gt;0,0,IF($B366&gt;M$29,M376,0))</f>
        <v>0</v>
      </c>
      <c r="N378" s="53">
        <f>IF(SUM($E384:N384)&gt;0,0,IF($B366&gt;N$29,N376,0))</f>
        <v>0</v>
      </c>
      <c r="O378" s="53">
        <f>IF(SUM($E384:O384)&gt;0,0,IF($B366&gt;O$29,O376,0))</f>
        <v>0</v>
      </c>
      <c r="P378" s="53">
        <f>IF(SUM($E384:P384)&gt;0,0,IF($B366&gt;P$29,P376,0))</f>
        <v>0</v>
      </c>
      <c r="Q378" s="53">
        <f>IF(SUM($E384:Q384)&gt;0,0,IF($B366&gt;Q$29,Q376,0))</f>
        <v>0</v>
      </c>
      <c r="R378" s="53">
        <f>IF(SUM($E384:R384)&gt;0,0,IF($B366&gt;R$29,R376,0))</f>
        <v>0</v>
      </c>
      <c r="S378" s="53">
        <f>IF(SUM($E384:S384)&gt;0,0,IF($B366&gt;S$29,S376,0))</f>
        <v>0</v>
      </c>
      <c r="T378" s="53">
        <f>IF(SUM($E384:T384)&gt;0,0,IF($B366&gt;T$29,T376,0))</f>
        <v>0</v>
      </c>
      <c r="U378" s="53">
        <f>IF(SUM($E384:U384)&gt;0,0,IF($B366&gt;U$29,U376,0))</f>
        <v>0</v>
      </c>
      <c r="V378" s="53">
        <f>IF(SUM($E384:V384)&gt;0,0,IF($B366&gt;V$29,V376,0))</f>
        <v>0</v>
      </c>
      <c r="W378" s="53">
        <f>IF(SUM($E384:W384)&gt;0,0,IF($B366&gt;W$29,W376,0))</f>
        <v>0</v>
      </c>
      <c r="X378" s="53">
        <f>IF(SUM($E384:X384)&gt;0,0,IF($B366&gt;X$29,X376,0))</f>
        <v>0</v>
      </c>
      <c r="Y378" s="53">
        <f>IF(SUM($E384:Y384)&gt;0,0,IF($B366&gt;Y$29,Y376,0))</f>
        <v>0</v>
      </c>
      <c r="Z378" s="53">
        <f>IF(SUM($E384:Z384)&gt;0,0,IF($B366&gt;Z$29,Z376,0))</f>
        <v>0</v>
      </c>
      <c r="AA378" s="53">
        <f>IF(SUM($E384:AA384)&gt;0,0,IF($B366&gt;AA$29,AA376,0))</f>
        <v>0</v>
      </c>
      <c r="AB378" s="53">
        <f>IF(SUM($E384:AB384)&gt;0,0,IF($B366&gt;AB$29,AB376,0))</f>
        <v>0</v>
      </c>
      <c r="AC378" s="53">
        <f>IF(SUM($E384:AC384)&gt;0,0,IF($B366&gt;AC$29,AC376,0))</f>
        <v>0</v>
      </c>
      <c r="AE378" s="11"/>
    </row>
    <row r="379" spans="1:32" s="23" customFormat="1" hidden="1" outlineLevel="2" x14ac:dyDescent="0.2">
      <c r="A379" t="str">
        <f ca="1">Language!A$391</f>
        <v xml:space="preserve">    кредиторская задолженность</v>
      </c>
      <c r="C379" s="40" t="str">
        <f t="shared" ca="1" si="681"/>
        <v>тыс. EUR</v>
      </c>
      <c r="D379" s="23" t="s">
        <v>845</v>
      </c>
      <c r="F379" s="53">
        <f>IF(OR($B366&lt;=F$29,AND(SUM($F384:F384)&gt;0,$B366&gt;F$29)),$B375-F376,0)</f>
        <v>0</v>
      </c>
      <c r="G379" s="53">
        <f>IF(OR($B366&lt;=G$29,AND(SUM($F384:G384)&gt;0,$B366&gt;G$29)),$B375-G376,0)</f>
        <v>0</v>
      </c>
      <c r="H379" s="53">
        <f>IF(OR($B366&lt;=H$29,AND(SUM($F384:H384)&gt;0,$B366&gt;H$29)),$B375-H376,0)</f>
        <v>0</v>
      </c>
      <c r="I379" s="53">
        <f>IF(OR($B366&lt;=I$29,AND(SUM($F384:I384)&gt;0,$B366&gt;I$29)),$B375-I376,0)</f>
        <v>0</v>
      </c>
      <c r="J379" s="53">
        <f>IF(OR($B366&lt;=J$29,AND(SUM($F384:J384)&gt;0,$B366&gt;J$29)),$B375-J376,0)</f>
        <v>2100.7184576271193</v>
      </c>
      <c r="K379" s="53">
        <f>IF(OR($B366&lt;=K$29,AND(SUM($F384:K384)&gt;0,$B366&gt;K$29)),$B375-K376,0)</f>
        <v>0</v>
      </c>
      <c r="L379" s="53">
        <f>IF(OR($B366&lt;=L$29,AND(SUM($F384:L384)&gt;0,$B366&gt;L$29)),$B375-L376,0)</f>
        <v>0</v>
      </c>
      <c r="M379" s="53">
        <f>IF(OR($B366&lt;=M$29,AND(SUM($F384:M384)&gt;0,$B366&gt;M$29)),$B375-M376,0)</f>
        <v>0</v>
      </c>
      <c r="N379" s="53">
        <f>IF(OR($B366&lt;=N$29,AND(SUM($F384:N384)&gt;0,$B366&gt;N$29)),$B375-N376,0)</f>
        <v>0</v>
      </c>
      <c r="O379" s="53">
        <f>IF(OR($B366&lt;=O$29,AND(SUM($F384:O384)&gt;0,$B366&gt;O$29)),$B375-O376,0)</f>
        <v>0</v>
      </c>
      <c r="P379" s="53">
        <f>IF(OR($B366&lt;=P$29,AND(SUM($F384:P384)&gt;0,$B366&gt;P$29)),$B375-P376,0)</f>
        <v>0</v>
      </c>
      <c r="Q379" s="53">
        <f>IF(OR($B366&lt;=Q$29,AND(SUM($F384:Q384)&gt;0,$B366&gt;Q$29)),$B375-Q376,0)</f>
        <v>0</v>
      </c>
      <c r="R379" s="53">
        <f>IF(OR($B366&lt;=R$29,AND(SUM($F384:R384)&gt;0,$B366&gt;R$29)),$B375-R376,0)</f>
        <v>0</v>
      </c>
      <c r="S379" s="53">
        <f>IF(OR($B366&lt;=S$29,AND(SUM($F384:S384)&gt;0,$B366&gt;S$29)),$B375-S376,0)</f>
        <v>0</v>
      </c>
      <c r="T379" s="53">
        <f>IF(OR($B366&lt;=T$29,AND(SUM($F384:T384)&gt;0,$B366&gt;T$29)),$B375-T376,0)</f>
        <v>0</v>
      </c>
      <c r="U379" s="53">
        <f>IF(OR($B366&lt;=U$29,AND(SUM($F384:U384)&gt;0,$B366&gt;U$29)),$B375-U376,0)</f>
        <v>0</v>
      </c>
      <c r="V379" s="53">
        <f>IF(OR($B366&lt;=V$29,AND(SUM($F384:V384)&gt;0,$B366&gt;V$29)),$B375-V376,0)</f>
        <v>0</v>
      </c>
      <c r="W379" s="53">
        <f>IF(OR($B366&lt;=W$29,AND(SUM($F384:W384)&gt;0,$B366&gt;W$29)),$B375-W376,0)</f>
        <v>0</v>
      </c>
      <c r="X379" s="53">
        <f>IF(OR($B366&lt;=X$29,AND(SUM($F384:X384)&gt;0,$B366&gt;X$29)),$B375-X376,0)</f>
        <v>0</v>
      </c>
      <c r="Y379" s="53">
        <f>IF(OR($B366&lt;=Y$29,AND(SUM($F384:Y384)&gt;0,$B366&gt;Y$29)),$B375-Y376,0)</f>
        <v>0</v>
      </c>
      <c r="Z379" s="53">
        <f>IF(OR($B366&lt;=Z$29,AND(SUM($F384:Z384)&gt;0,$B366&gt;Z$29)),$B375-Z376,0)</f>
        <v>0</v>
      </c>
      <c r="AA379" s="53">
        <f>IF(OR($B366&lt;=AA$29,AND(SUM($F384:AA384)&gt;0,$B366&gt;AA$29)),$B375-AA376,0)</f>
        <v>0</v>
      </c>
      <c r="AB379" s="53">
        <f>IF(OR($B366&lt;=AB$29,AND(SUM($F384:AB384)&gt;0,$B366&gt;AB$29)),$B375-AB376,0)</f>
        <v>0</v>
      </c>
      <c r="AC379" s="53">
        <f>IF(OR($B366&lt;=AC$29,AND(SUM($F384:AC384)&gt;0,$B366&gt;AC$29)),$B375-AC376,0)</f>
        <v>0</v>
      </c>
      <c r="AE379" s="11"/>
    </row>
    <row r="380" spans="1:32" s="23" customFormat="1" hidden="1" outlineLevel="2" x14ac:dyDescent="0.2">
      <c r="A380" t="str">
        <f ca="1">Language!A$398</f>
        <v xml:space="preserve">    накопленная амортизация</v>
      </c>
      <c r="C380" s="40" t="str">
        <f t="shared" ca="1" si="681"/>
        <v>тыс. EUR</v>
      </c>
      <c r="D380" s="23" t="s">
        <v>842</v>
      </c>
      <c r="F380" s="53">
        <f t="shared" ref="F380:AC380" si="692">E380+F371+F370</f>
        <v>0</v>
      </c>
      <c r="G380" s="53">
        <f t="shared" si="692"/>
        <v>0</v>
      </c>
      <c r="H380" s="53">
        <f t="shared" si="692"/>
        <v>0</v>
      </c>
      <c r="I380" s="53">
        <f t="shared" si="692"/>
        <v>0</v>
      </c>
      <c r="J380" s="53">
        <f t="shared" si="692"/>
        <v>262.5898072033898</v>
      </c>
      <c r="K380" s="53">
        <f t="shared" si="692"/>
        <v>525.17961440677959</v>
      </c>
      <c r="L380" s="53">
        <f t="shared" si="692"/>
        <v>787.76942161016939</v>
      </c>
      <c r="M380" s="53">
        <f t="shared" si="692"/>
        <v>1050.3592288135592</v>
      </c>
      <c r="N380" s="53">
        <f t="shared" si="692"/>
        <v>1312.9490360169489</v>
      </c>
      <c r="O380" s="53">
        <f t="shared" si="692"/>
        <v>1575.5388432203385</v>
      </c>
      <c r="P380" s="53">
        <f t="shared" si="692"/>
        <v>1838.1286504237282</v>
      </c>
      <c r="Q380" s="53">
        <f t="shared" si="692"/>
        <v>2100.7184576271179</v>
      </c>
      <c r="R380" s="53">
        <f t="shared" si="692"/>
        <v>2363.3082648305076</v>
      </c>
      <c r="S380" s="53">
        <f t="shared" si="692"/>
        <v>2625.8980720338973</v>
      </c>
      <c r="T380" s="53">
        <f t="shared" si="692"/>
        <v>2888.487879237287</v>
      </c>
      <c r="U380" s="53">
        <f t="shared" si="692"/>
        <v>3151.0776864406766</v>
      </c>
      <c r="V380" s="53">
        <f t="shared" si="692"/>
        <v>3413.6674936440663</v>
      </c>
      <c r="W380" s="53">
        <f t="shared" si="692"/>
        <v>3676.257300847456</v>
      </c>
      <c r="X380" s="53">
        <f t="shared" si="692"/>
        <v>3938.8471080508457</v>
      </c>
      <c r="Y380" s="53">
        <f t="shared" si="692"/>
        <v>4201.4369152542358</v>
      </c>
      <c r="Z380" s="53">
        <f t="shared" si="692"/>
        <v>4464.0267224576255</v>
      </c>
      <c r="AA380" s="53">
        <f t="shared" si="692"/>
        <v>4726.6165296610152</v>
      </c>
      <c r="AB380" s="53">
        <f t="shared" si="692"/>
        <v>4989.2063368644049</v>
      </c>
      <c r="AC380" s="53">
        <f t="shared" si="692"/>
        <v>5251.7961440677946</v>
      </c>
      <c r="AE380" s="11"/>
    </row>
    <row r="381" spans="1:32" s="23" customFormat="1" hidden="1" outlineLevel="2" x14ac:dyDescent="0.2">
      <c r="A381" t="str">
        <f ca="1">Language!A$392</f>
        <v xml:space="preserve">    остаточная стоимость</v>
      </c>
      <c r="C381" s="40" t="str">
        <f t="shared" ca="1" si="681"/>
        <v>тыс. EUR</v>
      </c>
      <c r="D381" s="23" t="s">
        <v>843</v>
      </c>
      <c r="F381" s="43">
        <f>IF(SUM($E384:F384)&gt;0.01,0,F377-F380)</f>
        <v>0</v>
      </c>
      <c r="G381" s="43">
        <f>IF(SUM($E384:G384)&gt;0.01,0,G377-G380)</f>
        <v>0</v>
      </c>
      <c r="H381" s="43">
        <f>IF(SUM($E384:H384)&gt;0.01,0,H377-H380)</f>
        <v>0</v>
      </c>
      <c r="I381" s="43">
        <f>IF(SUM($E384:I384)&gt;0.01,0,I377-I380)</f>
        <v>0</v>
      </c>
      <c r="J381" s="43">
        <f>IF(SUM($E384:J384)&gt;0.01,0,J377-J380)</f>
        <v>10241.002480932202</v>
      </c>
      <c r="K381" s="43">
        <f>IF(SUM($E384:K384)&gt;0.01,0,K377-K380)</f>
        <v>9978.4126737288134</v>
      </c>
      <c r="L381" s="43">
        <f>IF(SUM($E384:L384)&gt;0.01,0,L377-L380)</f>
        <v>9715.8228665254228</v>
      </c>
      <c r="M381" s="43">
        <f>IF(SUM($E384:M384)&gt;0.01,0,M377-M380)</f>
        <v>9453.233059322034</v>
      </c>
      <c r="N381" s="43">
        <f>IF(SUM($E384:N384)&gt;0.01,0,N377-N380)</f>
        <v>9190.6432521186434</v>
      </c>
      <c r="O381" s="43">
        <f>IF(SUM($E384:O384)&gt;0.01,0,O377-O380)</f>
        <v>8928.0534449152547</v>
      </c>
      <c r="P381" s="43">
        <f>IF(SUM($E384:P384)&gt;0.01,0,P377-P380)</f>
        <v>8665.4636377118641</v>
      </c>
      <c r="Q381" s="43">
        <f>IF(SUM($E384:Q384)&gt;0.01,0,Q377-Q380)</f>
        <v>8402.8738305084753</v>
      </c>
      <c r="R381" s="43">
        <f>IF(SUM($E384:R384)&gt;0.01,0,R377-R380)</f>
        <v>8140.2840233050847</v>
      </c>
      <c r="S381" s="43">
        <f>IF(SUM($E384:S384)&gt;0.01,0,S377-S380)</f>
        <v>7877.6942161016959</v>
      </c>
      <c r="T381" s="43">
        <f>IF(SUM($E384:T384)&gt;0.01,0,T377-T380)</f>
        <v>7615.1044088983053</v>
      </c>
      <c r="U381" s="43">
        <f>IF(SUM($E384:U384)&gt;0.01,0,U377-U380)</f>
        <v>7352.5146016949166</v>
      </c>
      <c r="V381" s="43">
        <f>IF(SUM($E384:V384)&gt;0.01,0,V377-V380)</f>
        <v>7089.924794491526</v>
      </c>
      <c r="W381" s="43">
        <f>IF(SUM($E384:W384)&gt;0.01,0,W377-W380)</f>
        <v>6827.3349872881372</v>
      </c>
      <c r="X381" s="43">
        <f>IF(SUM($E384:X384)&gt;0.01,0,X377-X380)</f>
        <v>6564.7451800847466</v>
      </c>
      <c r="Y381" s="43">
        <f>IF(SUM($E384:Y384)&gt;0.01,0,Y377-Y380)</f>
        <v>6302.1553728813569</v>
      </c>
      <c r="Z381" s="43">
        <f>IF(SUM($E384:Z384)&gt;0.01,0,Z377-Z380)</f>
        <v>6039.5655656779672</v>
      </c>
      <c r="AA381" s="43">
        <f>IF(SUM($E384:AA384)&gt;0.01,0,AA377-AA380)</f>
        <v>5776.9757584745776</v>
      </c>
      <c r="AB381" s="43">
        <f>IF(SUM($E384:AB384)&gt;0.01,0,AB377-AB380)</f>
        <v>5514.3859512711879</v>
      </c>
      <c r="AC381" s="43">
        <f>IF(SUM($E384:AC384)&gt;0.01,0,AC377-AC380)</f>
        <v>5251.7961440677982</v>
      </c>
      <c r="AE381" s="11"/>
    </row>
    <row r="382" spans="1:32" s="23" customFormat="1" hidden="1" outlineLevel="2" x14ac:dyDescent="0.2">
      <c r="A382" t="str">
        <f ca="1">Language!A$399</f>
        <v xml:space="preserve">    НДС к ранее осуществленным инвестициям</v>
      </c>
      <c r="B382" s="261">
        <f>B365*B372</f>
        <v>0</v>
      </c>
      <c r="C382" s="40" t="str">
        <f t="shared" ca="1" si="681"/>
        <v>тыс. EUR</v>
      </c>
      <c r="D382" s="23" t="s">
        <v>836</v>
      </c>
      <c r="AE382" s="11"/>
    </row>
    <row r="383" spans="1:32" s="23" customFormat="1" hidden="1" outlineLevel="2" x14ac:dyDescent="0.2">
      <c r="A383" t="str">
        <f ca="1">Language!A$400</f>
        <v xml:space="preserve">    зачет НДС</v>
      </c>
      <c r="C383" s="40" t="str">
        <f t="shared" ca="1" si="681"/>
        <v>тыс. EUR</v>
      </c>
      <c r="D383" s="132" t="s">
        <v>837</v>
      </c>
      <c r="F383" s="110">
        <f>IF($B373=2,IF($B366=F$29,$B382+$AE372,0),F372+B382)</f>
        <v>0</v>
      </c>
      <c r="G383" s="110">
        <f t="shared" ref="G383:AC383" si="693">IF($B373=2,IF($B366=G$29,$B382+$AE372,0),G372)</f>
        <v>0</v>
      </c>
      <c r="H383" s="110">
        <f t="shared" si="693"/>
        <v>0</v>
      </c>
      <c r="I383" s="110">
        <f t="shared" si="693"/>
        <v>0</v>
      </c>
      <c r="J383" s="110">
        <f t="shared" si="693"/>
        <v>2415.8262262711869</v>
      </c>
      <c r="K383" s="110">
        <f t="shared" si="693"/>
        <v>0</v>
      </c>
      <c r="L383" s="110">
        <f t="shared" si="693"/>
        <v>0</v>
      </c>
      <c r="M383" s="110">
        <f t="shared" si="693"/>
        <v>0</v>
      </c>
      <c r="N383" s="110">
        <f t="shared" si="693"/>
        <v>0</v>
      </c>
      <c r="O383" s="110">
        <f t="shared" si="693"/>
        <v>0</v>
      </c>
      <c r="P383" s="110">
        <f t="shared" si="693"/>
        <v>0</v>
      </c>
      <c r="Q383" s="110">
        <f t="shared" si="693"/>
        <v>0</v>
      </c>
      <c r="R383" s="110">
        <f t="shared" si="693"/>
        <v>0</v>
      </c>
      <c r="S383" s="110">
        <f t="shared" si="693"/>
        <v>0</v>
      </c>
      <c r="T383" s="110">
        <f t="shared" si="693"/>
        <v>0</v>
      </c>
      <c r="U383" s="110">
        <f t="shared" si="693"/>
        <v>0</v>
      </c>
      <c r="V383" s="110">
        <f t="shared" si="693"/>
        <v>0</v>
      </c>
      <c r="W383" s="110">
        <f t="shared" si="693"/>
        <v>0</v>
      </c>
      <c r="X383" s="110">
        <f t="shared" si="693"/>
        <v>0</v>
      </c>
      <c r="Y383" s="110">
        <f t="shared" si="693"/>
        <v>0</v>
      </c>
      <c r="Z383" s="110">
        <f t="shared" si="693"/>
        <v>0</v>
      </c>
      <c r="AA383" s="110">
        <f t="shared" si="693"/>
        <v>0</v>
      </c>
      <c r="AB383" s="110">
        <f t="shared" si="693"/>
        <v>0</v>
      </c>
      <c r="AC383" s="110">
        <f t="shared" si="693"/>
        <v>0</v>
      </c>
      <c r="AE383" s="54">
        <f>SUM(F383:AC383)</f>
        <v>2415.8262262711869</v>
      </c>
    </row>
    <row r="384" spans="1:32" s="23" customFormat="1" hidden="1" outlineLevel="2" x14ac:dyDescent="0.2">
      <c r="A384" s="63" t="str">
        <f ca="1">Language!A$362</f>
        <v xml:space="preserve">    реализация актива (без НДС)</v>
      </c>
      <c r="B384" s="111"/>
      <c r="C384" s="113" t="str">
        <f t="shared" ca="1" si="681"/>
        <v>тыс. EUR</v>
      </c>
      <c r="D384" s="23" t="s">
        <v>838</v>
      </c>
      <c r="E384" s="111"/>
      <c r="F384" s="271">
        <v>0</v>
      </c>
      <c r="G384" s="271">
        <v>0</v>
      </c>
      <c r="H384" s="271">
        <v>0</v>
      </c>
      <c r="I384" s="271">
        <v>0</v>
      </c>
      <c r="J384" s="271">
        <v>0</v>
      </c>
      <c r="K384" s="271">
        <v>0</v>
      </c>
      <c r="L384" s="271">
        <v>0</v>
      </c>
      <c r="M384" s="271">
        <v>0</v>
      </c>
      <c r="N384" s="271">
        <v>0</v>
      </c>
      <c r="O384" s="271">
        <v>0</v>
      </c>
      <c r="P384" s="271">
        <v>0</v>
      </c>
      <c r="Q384" s="271">
        <v>0</v>
      </c>
      <c r="R384" s="271">
        <v>0</v>
      </c>
      <c r="S384" s="271">
        <v>0</v>
      </c>
      <c r="T384" s="271">
        <v>0</v>
      </c>
      <c r="U384" s="271">
        <v>0</v>
      </c>
      <c r="V384" s="271">
        <v>0</v>
      </c>
      <c r="W384" s="271">
        <v>0</v>
      </c>
      <c r="X384" s="271">
        <v>0</v>
      </c>
      <c r="Y384" s="271">
        <v>0</v>
      </c>
      <c r="Z384" s="271">
        <v>0</v>
      </c>
      <c r="AA384" s="271">
        <v>0</v>
      </c>
      <c r="AB384" s="271">
        <v>0</v>
      </c>
      <c r="AC384" s="271">
        <v>0</v>
      </c>
      <c r="AE384" s="54">
        <f>SUM(F384:AC384)</f>
        <v>0</v>
      </c>
    </row>
    <row r="385" spans="1:32" s="23" customFormat="1" hidden="1" outlineLevel="2" x14ac:dyDescent="0.2">
      <c r="A385" s="19" t="str">
        <f ca="1">Language!A$363</f>
        <v xml:space="preserve">    прибыль/убыток от реализации актива</v>
      </c>
      <c r="B385" s="24"/>
      <c r="C385" s="114" t="str">
        <f t="shared" ca="1" si="681"/>
        <v>тыс. EUR</v>
      </c>
      <c r="D385" s="23" t="s">
        <v>839</v>
      </c>
      <c r="E385" s="24"/>
      <c r="F385" s="110">
        <f t="shared" ref="F385:AC385" si="694">IF(F384=0,0,F384-IF(F$29&lt;=$B366,$B375,E381))</f>
        <v>0</v>
      </c>
      <c r="G385" s="110">
        <f t="shared" si="694"/>
        <v>0</v>
      </c>
      <c r="H385" s="110">
        <f t="shared" si="694"/>
        <v>0</v>
      </c>
      <c r="I385" s="110">
        <f t="shared" si="694"/>
        <v>0</v>
      </c>
      <c r="J385" s="110">
        <f t="shared" si="694"/>
        <v>0</v>
      </c>
      <c r="K385" s="110">
        <f t="shared" si="694"/>
        <v>0</v>
      </c>
      <c r="L385" s="110">
        <f t="shared" si="694"/>
        <v>0</v>
      </c>
      <c r="M385" s="110">
        <f t="shared" si="694"/>
        <v>0</v>
      </c>
      <c r="N385" s="110">
        <f t="shared" si="694"/>
        <v>0</v>
      </c>
      <c r="O385" s="110">
        <f t="shared" si="694"/>
        <v>0</v>
      </c>
      <c r="P385" s="110">
        <f t="shared" si="694"/>
        <v>0</v>
      </c>
      <c r="Q385" s="110">
        <f t="shared" si="694"/>
        <v>0</v>
      </c>
      <c r="R385" s="110">
        <f t="shared" si="694"/>
        <v>0</v>
      </c>
      <c r="S385" s="110">
        <f t="shared" si="694"/>
        <v>0</v>
      </c>
      <c r="T385" s="110">
        <f t="shared" si="694"/>
        <v>0</v>
      </c>
      <c r="U385" s="110">
        <f t="shared" si="694"/>
        <v>0</v>
      </c>
      <c r="V385" s="110">
        <f t="shared" si="694"/>
        <v>0</v>
      </c>
      <c r="W385" s="110">
        <f t="shared" si="694"/>
        <v>0</v>
      </c>
      <c r="X385" s="110">
        <f t="shared" si="694"/>
        <v>0</v>
      </c>
      <c r="Y385" s="110">
        <f t="shared" si="694"/>
        <v>0</v>
      </c>
      <c r="Z385" s="110">
        <f t="shared" si="694"/>
        <v>0</v>
      </c>
      <c r="AA385" s="110">
        <f t="shared" si="694"/>
        <v>0</v>
      </c>
      <c r="AB385" s="110">
        <f t="shared" si="694"/>
        <v>0</v>
      </c>
      <c r="AC385" s="110">
        <f t="shared" si="694"/>
        <v>0</v>
      </c>
      <c r="AE385" s="54">
        <f>SUM(F385:AC385)</f>
        <v>0</v>
      </c>
    </row>
    <row r="386" spans="1:32" s="23" customFormat="1" hidden="1" outlineLevel="2" x14ac:dyDescent="0.2">
      <c r="A386" t="str">
        <f ca="1">Language!A$401</f>
        <v xml:space="preserve">    НДС к выручке от реализации актива</v>
      </c>
      <c r="B386" s="272">
        <f>VAT</f>
        <v>0.23</v>
      </c>
      <c r="C386" s="40" t="str">
        <f t="shared" ca="1" si="681"/>
        <v>тыс. EUR</v>
      </c>
      <c r="D386" s="23" t="s">
        <v>811</v>
      </c>
      <c r="F386">
        <f t="shared" ref="F386:T386" si="695">F384*$B386</f>
        <v>0</v>
      </c>
      <c r="G386">
        <f t="shared" si="695"/>
        <v>0</v>
      </c>
      <c r="H386">
        <f t="shared" si="695"/>
        <v>0</v>
      </c>
      <c r="I386">
        <f t="shared" si="695"/>
        <v>0</v>
      </c>
      <c r="J386">
        <f t="shared" si="695"/>
        <v>0</v>
      </c>
      <c r="K386">
        <f t="shared" si="695"/>
        <v>0</v>
      </c>
      <c r="L386">
        <f t="shared" si="695"/>
        <v>0</v>
      </c>
      <c r="M386">
        <f t="shared" si="695"/>
        <v>0</v>
      </c>
      <c r="N386">
        <f t="shared" si="695"/>
        <v>0</v>
      </c>
      <c r="O386">
        <f t="shared" si="695"/>
        <v>0</v>
      </c>
      <c r="P386">
        <f t="shared" si="695"/>
        <v>0</v>
      </c>
      <c r="Q386">
        <f t="shared" si="695"/>
        <v>0</v>
      </c>
      <c r="R386">
        <f t="shared" si="695"/>
        <v>0</v>
      </c>
      <c r="S386">
        <f t="shared" si="695"/>
        <v>0</v>
      </c>
      <c r="T386">
        <f t="shared" si="695"/>
        <v>0</v>
      </c>
      <c r="U386">
        <f t="shared" ref="U386" si="696">U384*$B386</f>
        <v>0</v>
      </c>
      <c r="V386">
        <f t="shared" ref="V386" si="697">V384*$B386</f>
        <v>0</v>
      </c>
      <c r="W386">
        <f t="shared" ref="W386" si="698">W384*$B386</f>
        <v>0</v>
      </c>
      <c r="X386">
        <f t="shared" ref="X386" si="699">X384*$B386</f>
        <v>0</v>
      </c>
      <c r="Y386">
        <f t="shared" ref="Y386" si="700">Y384*$B386</f>
        <v>0</v>
      </c>
      <c r="Z386">
        <f t="shared" ref="Z386" si="701">Z384*$B386</f>
        <v>0</v>
      </c>
      <c r="AA386">
        <f t="shared" ref="AA386" si="702">AA384*$B386</f>
        <v>0</v>
      </c>
      <c r="AB386">
        <f t="shared" ref="AB386:AC386" si="703">AB384*$B386</f>
        <v>0</v>
      </c>
      <c r="AC386">
        <f t="shared" si="703"/>
        <v>0</v>
      </c>
      <c r="AE386" s="54">
        <f>SUM(F386:AC386)</f>
        <v>0</v>
      </c>
    </row>
    <row r="387" spans="1:32" s="23" customFormat="1" outlineLevel="1" x14ac:dyDescent="0.2">
      <c r="A387" s="273" t="str">
        <f>Инвестиции!A16</f>
        <v>Непредвиденные расходы (3%)</v>
      </c>
      <c r="B387" s="36" t="str">
        <f ca="1">Language!A$73</f>
        <v>Валюта</v>
      </c>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E387" s="39"/>
    </row>
    <row r="388" spans="1:32" s="23" customFormat="1" outlineLevel="1" collapsed="1" x14ac:dyDescent="0.2">
      <c r="A388" t="str">
        <f ca="1">CHOOSE(B391,Language!A$383,Language!A$382)</f>
        <v xml:space="preserve">    величина платежей (с НДС)</v>
      </c>
      <c r="B388" s="254">
        <v>1</v>
      </c>
      <c r="C388" s="40" t="str">
        <f ca="1">CHOOSE(B388,CUR_Main,CUR_Foreign)</f>
        <v>тыс. EUR</v>
      </c>
      <c r="D388" s="16" t="str">
        <f>TEXT(B388,"0")&amp;"_00"</f>
        <v>1_00</v>
      </c>
      <c r="F388" s="275">
        <v>0</v>
      </c>
      <c r="G388" s="275">
        <v>0</v>
      </c>
      <c r="H388" s="275">
        <v>0</v>
      </c>
      <c r="I388" s="275">
        <v>0</v>
      </c>
      <c r="J388" s="275">
        <f>Инвестиции!C16/1000</f>
        <v>390.58255543220332</v>
      </c>
      <c r="K388" s="275">
        <v>0</v>
      </c>
      <c r="L388" s="275">
        <v>0</v>
      </c>
      <c r="M388" s="275">
        <v>0</v>
      </c>
      <c r="N388" s="275">
        <v>0</v>
      </c>
      <c r="O388" s="275">
        <v>0</v>
      </c>
      <c r="P388" s="275">
        <v>0</v>
      </c>
      <c r="Q388" s="275">
        <v>0</v>
      </c>
      <c r="R388" s="275">
        <v>0</v>
      </c>
      <c r="S388" s="275">
        <v>0</v>
      </c>
      <c r="T388" s="275">
        <v>0</v>
      </c>
      <c r="U388" s="275">
        <v>0</v>
      </c>
      <c r="V388" s="275">
        <v>0</v>
      </c>
      <c r="W388" s="275">
        <v>0</v>
      </c>
      <c r="X388" s="275">
        <v>0</v>
      </c>
      <c r="Y388" s="275">
        <v>0</v>
      </c>
      <c r="Z388" s="275">
        <v>0</v>
      </c>
      <c r="AA388" s="275">
        <v>0</v>
      </c>
      <c r="AB388" s="275">
        <v>0</v>
      </c>
      <c r="AC388" s="275">
        <v>0</v>
      </c>
      <c r="AE388" s="54">
        <f>SUM(F388:AC388)</f>
        <v>390.58255543220332</v>
      </c>
    </row>
    <row r="389" spans="1:32" s="23" customFormat="1" hidden="1" outlineLevel="2" x14ac:dyDescent="0.2">
      <c r="A389" t="str">
        <f ca="1">Language!A$384</f>
        <v xml:space="preserve">    ранее осуществленные инвестиции (без НДС)</v>
      </c>
      <c r="B389" s="274">
        <v>0</v>
      </c>
      <c r="C389" s="40" t="str">
        <f ca="1">CUR_Main</f>
        <v>тыс. EUR</v>
      </c>
      <c r="D389" s="23" t="s">
        <v>1227</v>
      </c>
      <c r="AE389" s="11"/>
    </row>
    <row r="390" spans="1:32" s="23" customFormat="1" hidden="1" outlineLevel="2" x14ac:dyDescent="0.2">
      <c r="A390" t="str">
        <f ca="1">Language!A$385</f>
        <v xml:space="preserve">    поставить на баланс с</v>
      </c>
      <c r="B390" s="270">
        <v>5</v>
      </c>
      <c r="C390" s="40" t="str">
        <f ca="1">Language!A$377</f>
        <v>периода</v>
      </c>
      <c r="AE390" s="11"/>
    </row>
    <row r="391" spans="1:32" s="16" customFormat="1" hidden="1" outlineLevel="2" x14ac:dyDescent="0.2">
      <c r="A391" s="74" t="str">
        <f ca="1">Language!A$403</f>
        <v xml:space="preserve">    импорт?</v>
      </c>
      <c r="B391" s="254">
        <v>2</v>
      </c>
      <c r="C391" s="116" t="str">
        <f ca="1">CHOOSE(B391,Language!A$375,Language!A$376)</f>
        <v>нет</v>
      </c>
      <c r="D391" s="46"/>
      <c r="E391" s="46"/>
      <c r="F391" s="110"/>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7"/>
      <c r="AF391" s="110"/>
    </row>
    <row r="392" spans="1:32" s="16" customFormat="1" hidden="1" outlineLevel="2" x14ac:dyDescent="0.2">
      <c r="A392" s="74" t="str">
        <f ca="1">Language!A$404</f>
        <v xml:space="preserve">    пересечение границы при импорте</v>
      </c>
      <c r="B392" s="258">
        <v>1</v>
      </c>
      <c r="C392" s="17" t="str">
        <f ca="1">Language!A$378</f>
        <v>период</v>
      </c>
      <c r="F392" s="110"/>
      <c r="G392" s="110"/>
      <c r="H392" s="110"/>
      <c r="I392" s="110"/>
      <c r="J392" s="110"/>
      <c r="K392" s="110"/>
      <c r="L392" s="110"/>
      <c r="M392" s="110"/>
      <c r="N392" s="110"/>
      <c r="O392" s="110"/>
      <c r="P392" s="110"/>
      <c r="Q392" s="110"/>
      <c r="R392" s="110"/>
      <c r="S392" s="110"/>
      <c r="T392" s="110"/>
      <c r="U392" s="110"/>
      <c r="V392" s="110"/>
      <c r="W392" s="110"/>
      <c r="X392" s="110"/>
      <c r="Y392" s="110"/>
      <c r="Z392" s="110"/>
      <c r="AA392" s="110"/>
      <c r="AB392" s="110"/>
      <c r="AC392" s="110"/>
      <c r="AD392" s="110"/>
      <c r="AE392" s="117"/>
      <c r="AF392" s="110"/>
    </row>
    <row r="393" spans="1:32" s="16" customFormat="1" hidden="1" outlineLevel="2" x14ac:dyDescent="0.2">
      <c r="A393" s="74" t="str">
        <f ca="1">Language!A$405</f>
        <v xml:space="preserve">    импортная пошлина</v>
      </c>
      <c r="B393" s="276">
        <f>IF(B391=1,10%,0%)</f>
        <v>0</v>
      </c>
      <c r="C393" s="114" t="str">
        <f ca="1">CUR_Main</f>
        <v>тыс. EUR</v>
      </c>
      <c r="D393" s="46" t="s">
        <v>1066</v>
      </c>
      <c r="E393" s="46"/>
      <c r="F393" s="83">
        <f t="shared" ref="F393:AC393" si="704">IF($B391=1,IF($B392&gt;0,IF(F$29=$B392,$AE388*IF($B388=1,1,F$88)*$B393,0),0),0)</f>
        <v>0</v>
      </c>
      <c r="G393" s="83">
        <f t="shared" si="704"/>
        <v>0</v>
      </c>
      <c r="H393" s="83">
        <f t="shared" si="704"/>
        <v>0</v>
      </c>
      <c r="I393" s="83">
        <f t="shared" si="704"/>
        <v>0</v>
      </c>
      <c r="J393" s="83">
        <f t="shared" si="704"/>
        <v>0</v>
      </c>
      <c r="K393" s="83">
        <f t="shared" si="704"/>
        <v>0</v>
      </c>
      <c r="L393" s="83">
        <f t="shared" si="704"/>
        <v>0</v>
      </c>
      <c r="M393" s="83">
        <f t="shared" si="704"/>
        <v>0</v>
      </c>
      <c r="N393" s="83">
        <f t="shared" si="704"/>
        <v>0</v>
      </c>
      <c r="O393" s="83">
        <f t="shared" si="704"/>
        <v>0</v>
      </c>
      <c r="P393" s="83">
        <f t="shared" si="704"/>
        <v>0</v>
      </c>
      <c r="Q393" s="83">
        <f t="shared" si="704"/>
        <v>0</v>
      </c>
      <c r="R393" s="83">
        <f t="shared" si="704"/>
        <v>0</v>
      </c>
      <c r="S393" s="83">
        <f t="shared" si="704"/>
        <v>0</v>
      </c>
      <c r="T393" s="83">
        <f t="shared" si="704"/>
        <v>0</v>
      </c>
      <c r="U393" s="83">
        <f t="shared" si="704"/>
        <v>0</v>
      </c>
      <c r="V393" s="83">
        <f t="shared" si="704"/>
        <v>0</v>
      </c>
      <c r="W393" s="83">
        <f t="shared" si="704"/>
        <v>0</v>
      </c>
      <c r="X393" s="83">
        <f t="shared" si="704"/>
        <v>0</v>
      </c>
      <c r="Y393" s="83">
        <f t="shared" si="704"/>
        <v>0</v>
      </c>
      <c r="Z393" s="83">
        <f t="shared" si="704"/>
        <v>0</v>
      </c>
      <c r="AA393" s="83">
        <f t="shared" si="704"/>
        <v>0</v>
      </c>
      <c r="AB393" s="83">
        <f t="shared" si="704"/>
        <v>0</v>
      </c>
      <c r="AC393" s="83">
        <f t="shared" si="704"/>
        <v>0</v>
      </c>
      <c r="AD393" s="110"/>
      <c r="AE393" s="54">
        <f>SUM(F393:AC393)</f>
        <v>0</v>
      </c>
      <c r="AF393" s="117"/>
    </row>
    <row r="394" spans="1:32" s="23" customFormat="1" hidden="1" outlineLevel="2" x14ac:dyDescent="0.2">
      <c r="A394" t="str">
        <f ca="1">Language!A$394</f>
        <v xml:space="preserve">    амортизация (линейная),       для срока использования:</v>
      </c>
      <c r="B394" s="270">
        <v>5</v>
      </c>
      <c r="C394" s="40" t="str">
        <f ca="1">Language!A$33</f>
        <v>лет</v>
      </c>
      <c r="D394" s="131" t="s">
        <v>762</v>
      </c>
      <c r="F394" s="53">
        <f>IF(AND($B394&gt;0,SUM($E408:F408)&lt;=0.01),MIN(F401*100%/$B394*PRJ_Step/360,E405+F401-E401),0)</f>
        <v>0</v>
      </c>
      <c r="G394" s="53">
        <f>IF(AND($B394&gt;0,SUM($E408:G408)&lt;=0.01),MIN(G401*100%/$B394*PRJ_Step/360,F405+G401-F401),0)</f>
        <v>0</v>
      </c>
      <c r="H394" s="53">
        <f>IF(AND($B394&gt;0,SUM($E408:H408)&lt;=0.01),MIN(H401*100%/$B394*PRJ_Step/360,G405+H401-G401),0)</f>
        <v>0</v>
      </c>
      <c r="I394" s="53">
        <f>IF(AND($B394&gt;0,SUM($E408:I408)&lt;=0.01),MIN(I401*100%/$B394*PRJ_Step/360,H405+I401-H401),0)</f>
        <v>0</v>
      </c>
      <c r="J394" s="53">
        <f>IF(AND($B394&gt;0,SUM($E408:J408)&lt;=0.01),MIN(J401*100%/$B394*PRJ_Step/360,I405+J401-I401),0)</f>
        <v>15.877339651715582</v>
      </c>
      <c r="K394" s="53">
        <f>IF(AND($B394&gt;0,SUM($E408:K408)&lt;=0.01),MIN(K401*100%/$B394*PRJ_Step/360,J405+K401-J401),0)</f>
        <v>15.877339651715582</v>
      </c>
      <c r="L394" s="53">
        <f>IF(AND($B394&gt;0,SUM($E408:L408)&lt;=0.01),MIN(L401*100%/$B394*PRJ_Step/360,K405+L401-K401),0)</f>
        <v>15.877339651715582</v>
      </c>
      <c r="M394" s="53">
        <f>IF(AND($B394&gt;0,SUM($E408:M408)&lt;=0.01),MIN(M401*100%/$B394*PRJ_Step/360,L405+M401-L401),0)</f>
        <v>15.877339651715582</v>
      </c>
      <c r="N394" s="53">
        <f>IF(AND($B394&gt;0,SUM($E408:N408)&lt;=0.01),MIN(N401*100%/$B394*PRJ_Step/360,M405+N401-M401),0)</f>
        <v>15.877339651715582</v>
      </c>
      <c r="O394" s="53">
        <f>IF(AND($B394&gt;0,SUM($E408:O408)&lt;=0.01),MIN(O401*100%/$B394*PRJ_Step/360,N405+O401-N401),0)</f>
        <v>15.877339651715582</v>
      </c>
      <c r="P394" s="53">
        <f>IF(AND($B394&gt;0,SUM($E408:P408)&lt;=0.01),MIN(P401*100%/$B394*PRJ_Step/360,O405+P401-O401),0)</f>
        <v>15.877339651715582</v>
      </c>
      <c r="Q394" s="53">
        <f>IF(AND($B394&gt;0,SUM($E408:Q408)&lt;=0.01),MIN(Q401*100%/$B394*PRJ_Step/360,P405+Q401-P401),0)</f>
        <v>15.877339651715582</v>
      </c>
      <c r="R394" s="53">
        <f>IF(AND($B394&gt;0,SUM($E408:R408)&lt;=0.01),MIN(R401*100%/$B394*PRJ_Step/360,Q405+R401-Q401),0)</f>
        <v>15.877339651715582</v>
      </c>
      <c r="S394" s="53">
        <f>IF(AND($B394&gt;0,SUM($E408:S408)&lt;=0.01),MIN(S401*100%/$B394*PRJ_Step/360,R405+S401-R401),0)</f>
        <v>15.877339651715582</v>
      </c>
      <c r="T394" s="53">
        <f>IF(AND($B394&gt;0,SUM($E408:T408)&lt;=0.01),MIN(T401*100%/$B394*PRJ_Step/360,S405+T401-S401),0)</f>
        <v>15.877339651715582</v>
      </c>
      <c r="U394" s="53">
        <f>IF(AND($B394&gt;0,SUM($E408:U408)&lt;=0.01),MIN(U401*100%/$B394*PRJ_Step/360,T405+U401-T401),0)</f>
        <v>15.877339651715582</v>
      </c>
      <c r="V394" s="53">
        <f>IF(AND($B394&gt;0,SUM($E408:V408)&lt;=0.01),MIN(V401*100%/$B394*PRJ_Step/360,U405+V401-U401),0)</f>
        <v>15.877339651715582</v>
      </c>
      <c r="W394" s="53">
        <f>IF(AND($B394&gt;0,SUM($E408:W408)&lt;=0.01),MIN(W401*100%/$B394*PRJ_Step/360,V405+W401-V401),0)</f>
        <v>15.877339651715582</v>
      </c>
      <c r="X394" s="53">
        <f>IF(AND($B394&gt;0,SUM($E408:X408)&lt;=0.01),MIN(X401*100%/$B394*PRJ_Step/360,W405+X401-W401),0)</f>
        <v>15.877339651715582</v>
      </c>
      <c r="Y394" s="53">
        <f>IF(AND($B394&gt;0,SUM($E408:Y408)&lt;=0.01),MIN(Y401*100%/$B394*PRJ_Step/360,X405+Y401-X401),0)</f>
        <v>15.877339651715582</v>
      </c>
      <c r="Z394" s="53">
        <f>IF(AND($B394&gt;0,SUM($E408:Z408)&lt;=0.01),MIN(Z401*100%/$B394*PRJ_Step/360,Y405+Z401-Y401),0)</f>
        <v>15.877339651715582</v>
      </c>
      <c r="AA394" s="53">
        <f>IF(AND($B394&gt;0,SUM($E408:AA408)&lt;=0.01),MIN(AA401*100%/$B394*PRJ_Step/360,Z405+AA401-Z401),0)</f>
        <v>15.877339651715582</v>
      </c>
      <c r="AB394" s="53">
        <f>IF(AND($B394&gt;0,SUM($E408:AB408)&lt;=0.01),MIN(AB401*100%/$B394*PRJ_Step/360,AA405+AB401-AA401),0)</f>
        <v>15.877339651715582</v>
      </c>
      <c r="AC394" s="53">
        <f>IF(AND($B394&gt;0,SUM($E408:AC408)&lt;=0.01),MIN(AC401*100%/$B394*PRJ_Step/360,AB405+AC401-AB401),0)</f>
        <v>15.877339651715582</v>
      </c>
      <c r="AE394" s="54">
        <f>SUM(F394:AC394)</f>
        <v>317.54679303431163</v>
      </c>
    </row>
    <row r="395" spans="1:32" s="23" customFormat="1" hidden="1" outlineLevel="2" x14ac:dyDescent="0.2">
      <c r="A395" t="str">
        <f ca="1">Language!A$395</f>
        <v xml:space="preserve">    амортизация (ускоренная),    для срока использования:</v>
      </c>
      <c r="B395" s="270">
        <v>0</v>
      </c>
      <c r="C395" s="40" t="str">
        <f ca="1">Language!A$33</f>
        <v>лет</v>
      </c>
      <c r="D395" s="23" t="s">
        <v>834</v>
      </c>
      <c r="F395" s="53">
        <f>IF(SUM($E408:F408)&lt;=0.01,IF(OR($B395=0,E405+F401-E401=0),0,IF($B394&gt;0,0,IF(E405+F401-E401&gt;0.2*F401,MIN((E405+F401-E401)*2/$B395*PRJ_Step/360,E405+F401-E401),MIN(E405+F401-E401,F401*PRJ_Step/360/IF($B395&lt;4,1,IF($B395&gt;5,3,2)))))),0)</f>
        <v>0</v>
      </c>
      <c r="G395" s="53">
        <f>IF(SUM($E408:G408)&lt;=0.01,IF(OR($B395=0,F405+G401-F401=0),0,IF($B394&gt;0,0,IF(F405+G401-F401&gt;0.2*G401,MIN((F405+G401-F401)*2/$B395*PRJ_Step/360,F405+G401-F401),MIN(F405+G401-F401,G401*PRJ_Step/360/IF($B395&lt;4,1,IF($B395&gt;5,3,2)))))),0)</f>
        <v>0</v>
      </c>
      <c r="H395" s="53">
        <f>IF(SUM($E408:H408)&lt;=0.01,IF(OR($B395=0,G405+H401-G401=0),0,IF($B394&gt;0,0,IF(G405+H401-G401&gt;0.2*H401,MIN((G405+H401-G401)*2/$B395*PRJ_Step/360,G405+H401-G401),MIN(G405+H401-G401,H401*PRJ_Step/360/IF($B395&lt;4,1,IF($B395&gt;5,3,2)))))),0)</f>
        <v>0</v>
      </c>
      <c r="I395" s="53">
        <f>IF(SUM($E408:I408)&lt;=0.01,IF(OR($B395=0,H405+I401-H401=0),0,IF($B394&gt;0,0,IF(H405+I401-H401&gt;0.2*I401,MIN((H405+I401-H401)*2/$B395*PRJ_Step/360,H405+I401-H401),MIN(H405+I401-H401,I401*PRJ_Step/360/IF($B395&lt;4,1,IF($B395&gt;5,3,2)))))),0)</f>
        <v>0</v>
      </c>
      <c r="J395" s="53">
        <f>IF(SUM($E408:J408)&lt;=0.01,IF(OR($B395=0,I405+J401-I401=0),0,IF($B394&gt;0,0,IF(I405+J401-I401&gt;0.2*J401,MIN((I405+J401-I401)*2/$B395*PRJ_Step/360,I405+J401-I401),MIN(I405+J401-I401,J401*PRJ_Step/360/IF($B395&lt;4,1,IF($B395&gt;5,3,2)))))),0)</f>
        <v>0</v>
      </c>
      <c r="K395" s="53">
        <f>IF(SUM($E408:K408)&lt;=0.01,IF(OR($B395=0,J405+K401-J401=0),0,IF($B394&gt;0,0,IF(J405+K401-J401&gt;0.2*K401,MIN((J405+K401-J401)*2/$B395*PRJ_Step/360,J405+K401-J401),MIN(J405+K401-J401,K401*PRJ_Step/360/IF($B395&lt;4,1,IF($B395&gt;5,3,2)))))),0)</f>
        <v>0</v>
      </c>
      <c r="L395" s="53">
        <f>IF(SUM($E408:L408)&lt;=0.01,IF(OR($B395=0,K405+L401-K401=0),0,IF($B394&gt;0,0,IF(K405+L401-K401&gt;0.2*L401,MIN((K405+L401-K401)*2/$B395*PRJ_Step/360,K405+L401-K401),MIN(K405+L401-K401,L401*PRJ_Step/360/IF($B395&lt;4,1,IF($B395&gt;5,3,2)))))),0)</f>
        <v>0</v>
      </c>
      <c r="M395" s="53">
        <f>IF(SUM($E408:M408)&lt;=0.01,IF(OR($B395=0,L405+M401-L401=0),0,IF($B394&gt;0,0,IF(L405+M401-L401&gt;0.2*M401,MIN((L405+M401-L401)*2/$B395*PRJ_Step/360,L405+M401-L401),MIN(L405+M401-L401,M401*PRJ_Step/360/IF($B395&lt;4,1,IF($B395&gt;5,3,2)))))),0)</f>
        <v>0</v>
      </c>
      <c r="N395" s="53">
        <f>IF(SUM($E408:N408)&lt;=0.01,IF(OR($B395=0,M405+N401-M401=0),0,IF($B394&gt;0,0,IF(M405+N401-M401&gt;0.2*N401,MIN((M405+N401-M401)*2/$B395*PRJ_Step/360,M405+N401-M401),MIN(M405+N401-M401,N401*PRJ_Step/360/IF($B395&lt;4,1,IF($B395&gt;5,3,2)))))),0)</f>
        <v>0</v>
      </c>
      <c r="O395" s="53">
        <f>IF(SUM($E408:O408)&lt;=0.01,IF(OR($B395=0,N405+O401-N401=0),0,IF($B394&gt;0,0,IF(N405+O401-N401&gt;0.2*O401,MIN((N405+O401-N401)*2/$B395*PRJ_Step/360,N405+O401-N401),MIN(N405+O401-N401,O401*PRJ_Step/360/IF($B395&lt;4,1,IF($B395&gt;5,3,2)))))),0)</f>
        <v>0</v>
      </c>
      <c r="P395" s="53">
        <f>IF(SUM($E408:P408)&lt;=0.01,IF(OR($B395=0,O405+P401-O401=0),0,IF($B394&gt;0,0,IF(O405+P401-O401&gt;0.2*P401,MIN((O405+P401-O401)*2/$B395*PRJ_Step/360,O405+P401-O401),MIN(O405+P401-O401,P401*PRJ_Step/360/IF($B395&lt;4,1,IF($B395&gt;5,3,2)))))),0)</f>
        <v>0</v>
      </c>
      <c r="Q395" s="53">
        <f>IF(SUM($E408:Q408)&lt;=0.01,IF(OR($B395=0,P405+Q401-P401=0),0,IF($B394&gt;0,0,IF(P405+Q401-P401&gt;0.2*Q401,MIN((P405+Q401-P401)*2/$B395*PRJ_Step/360,P405+Q401-P401),MIN(P405+Q401-P401,Q401*PRJ_Step/360/IF($B395&lt;4,1,IF($B395&gt;5,3,2)))))),0)</f>
        <v>0</v>
      </c>
      <c r="R395" s="53">
        <f>IF(SUM($E408:R408)&lt;=0.01,IF(OR($B395=0,Q405+R401-Q401=0),0,IF($B394&gt;0,0,IF(Q405+R401-Q401&gt;0.2*R401,MIN((Q405+R401-Q401)*2/$B395*PRJ_Step/360,Q405+R401-Q401),MIN(Q405+R401-Q401,R401*PRJ_Step/360/IF($B395&lt;4,1,IF($B395&gt;5,3,2)))))),0)</f>
        <v>0</v>
      </c>
      <c r="S395" s="53">
        <f>IF(SUM($E408:S408)&lt;=0.01,IF(OR($B395=0,R405+S401-R401=0),0,IF($B394&gt;0,0,IF(R405+S401-R401&gt;0.2*S401,MIN((R405+S401-R401)*2/$B395*PRJ_Step/360,R405+S401-R401),MIN(R405+S401-R401,S401*PRJ_Step/360/IF($B395&lt;4,1,IF($B395&gt;5,3,2)))))),0)</f>
        <v>0</v>
      </c>
      <c r="T395" s="53">
        <f>IF(SUM($E408:T408)&lt;=0.01,IF(OR($B395=0,S405+T401-S401=0),0,IF($B394&gt;0,0,IF(S405+T401-S401&gt;0.2*T401,MIN((S405+T401-S401)*2/$B395*PRJ_Step/360,S405+T401-S401),MIN(S405+T401-S401,T401*PRJ_Step/360/IF($B395&lt;4,1,IF($B395&gt;5,3,2)))))),0)</f>
        <v>0</v>
      </c>
      <c r="U395" s="53">
        <f>IF(SUM($E408:U408)&lt;=0.01,IF(OR($B395=0,T405+U401-T401=0),0,IF($B394&gt;0,0,IF(T405+U401-T401&gt;0.2*U401,MIN((T405+U401-T401)*2/$B395*PRJ_Step/360,T405+U401-T401),MIN(T405+U401-T401,U401*PRJ_Step/360/IF($B395&lt;4,1,IF($B395&gt;5,3,2)))))),0)</f>
        <v>0</v>
      </c>
      <c r="V395" s="53">
        <f>IF(SUM($E408:V408)&lt;=0.01,IF(OR($B395=0,U405+V401-U401=0),0,IF($B394&gt;0,0,IF(U405+V401-U401&gt;0.2*V401,MIN((U405+V401-U401)*2/$B395*PRJ_Step/360,U405+V401-U401),MIN(U405+V401-U401,V401*PRJ_Step/360/IF($B395&lt;4,1,IF($B395&gt;5,3,2)))))),0)</f>
        <v>0</v>
      </c>
      <c r="W395" s="53">
        <f>IF(SUM($E408:W408)&lt;=0.01,IF(OR($B395=0,V405+W401-V401=0),0,IF($B394&gt;0,0,IF(V405+W401-V401&gt;0.2*W401,MIN((V405+W401-V401)*2/$B395*PRJ_Step/360,V405+W401-V401),MIN(V405+W401-V401,W401*PRJ_Step/360/IF($B395&lt;4,1,IF($B395&gt;5,3,2)))))),0)</f>
        <v>0</v>
      </c>
      <c r="X395" s="53">
        <f>IF(SUM($E408:X408)&lt;=0.01,IF(OR($B395=0,W405+X401-W401=0),0,IF($B394&gt;0,0,IF(W405+X401-W401&gt;0.2*X401,MIN((W405+X401-W401)*2/$B395*PRJ_Step/360,W405+X401-W401),MIN(W405+X401-W401,X401*PRJ_Step/360/IF($B395&lt;4,1,IF($B395&gt;5,3,2)))))),0)</f>
        <v>0</v>
      </c>
      <c r="Y395" s="53">
        <f>IF(SUM($E408:Y408)&lt;=0.01,IF(OR($B395=0,X405+Y401-X401=0),0,IF($B394&gt;0,0,IF(X405+Y401-X401&gt;0.2*Y401,MIN((X405+Y401-X401)*2/$B395*PRJ_Step/360,X405+Y401-X401),MIN(X405+Y401-X401,Y401*PRJ_Step/360/IF($B395&lt;4,1,IF($B395&gt;5,3,2)))))),0)</f>
        <v>0</v>
      </c>
      <c r="Z395" s="53">
        <f>IF(SUM($E408:Z408)&lt;=0.01,IF(OR($B395=0,Y405+Z401-Y401=0),0,IF($B394&gt;0,0,IF(Y405+Z401-Y401&gt;0.2*Z401,MIN((Y405+Z401-Y401)*2/$B395*PRJ_Step/360,Y405+Z401-Y401),MIN(Y405+Z401-Y401,Z401*PRJ_Step/360/IF($B395&lt;4,1,IF($B395&gt;5,3,2)))))),0)</f>
        <v>0</v>
      </c>
      <c r="AA395" s="53">
        <f>IF(SUM($E408:AA408)&lt;=0.01,IF(OR($B395=0,Z405+AA401-Z401=0),0,IF($B394&gt;0,0,IF(Z405+AA401-Z401&gt;0.2*AA401,MIN((Z405+AA401-Z401)*2/$B395*PRJ_Step/360,Z405+AA401-Z401),MIN(Z405+AA401-Z401,AA401*PRJ_Step/360/IF($B395&lt;4,1,IF($B395&gt;5,3,2)))))),0)</f>
        <v>0</v>
      </c>
      <c r="AB395" s="53">
        <f>IF(SUM($E408:AB408)&lt;=0.01,IF(OR($B395=0,AA405+AB401-AA401=0),0,IF($B394&gt;0,0,IF(AA405+AB401-AA401&gt;0.2*AB401,MIN((AA405+AB401-AA401)*2/$B395*PRJ_Step/360,AA405+AB401-AA401),MIN(AA405+AB401-AA401,AB401*PRJ_Step/360/IF($B395&lt;4,1,IF($B395&gt;5,3,2)))))),0)</f>
        <v>0</v>
      </c>
      <c r="AC395" s="53">
        <f>IF(SUM($E408:AC408)&lt;=0.01,IF(OR($B395=0,AB405+AC401-AB401=0),0,IF($B394&gt;0,0,IF(AB405+AC401-AB401&gt;0.2*AC401,MIN((AB405+AC401-AB401)*2/$B395*PRJ_Step/360,AB405+AC401-AB401),MIN(AB405+AC401-AB401,AC401*PRJ_Step/360/IF($B395&lt;4,1,IF($B395&gt;5,3,2)))))),0)</f>
        <v>0</v>
      </c>
      <c r="AE395" s="54">
        <f>SUM(F395:AC395)</f>
        <v>0</v>
      </c>
    </row>
    <row r="396" spans="1:32" s="23" customFormat="1" hidden="1" outlineLevel="2" x14ac:dyDescent="0.2">
      <c r="A396" t="str">
        <f ca="1">Language!A$396</f>
        <v xml:space="preserve">    выплаченный НДС</v>
      </c>
      <c r="B396" s="272">
        <f>VAT</f>
        <v>0.23</v>
      </c>
      <c r="C396" s="40" t="str">
        <f ca="1">CUR_Main</f>
        <v>тыс. EUR</v>
      </c>
      <c r="D396" s="23" t="s">
        <v>835</v>
      </c>
      <c r="F396" s="110">
        <f t="shared" ref="F396:AC396" si="705">IF($B391=2,F398*$B396,IF(F$29=$B392,$B399*$B396,0))</f>
        <v>0</v>
      </c>
      <c r="G396" s="110">
        <f t="shared" si="705"/>
        <v>0</v>
      </c>
      <c r="H396" s="110">
        <f t="shared" si="705"/>
        <v>0</v>
      </c>
      <c r="I396" s="110">
        <f t="shared" si="705"/>
        <v>0</v>
      </c>
      <c r="J396" s="110">
        <f t="shared" si="705"/>
        <v>73.035762397891673</v>
      </c>
      <c r="K396" s="110">
        <f t="shared" si="705"/>
        <v>0</v>
      </c>
      <c r="L396" s="110">
        <f t="shared" si="705"/>
        <v>0</v>
      </c>
      <c r="M396" s="110">
        <f t="shared" si="705"/>
        <v>0</v>
      </c>
      <c r="N396" s="110">
        <f t="shared" si="705"/>
        <v>0</v>
      </c>
      <c r="O396" s="110">
        <f t="shared" si="705"/>
        <v>0</v>
      </c>
      <c r="P396" s="110">
        <f t="shared" si="705"/>
        <v>0</v>
      </c>
      <c r="Q396" s="110">
        <f t="shared" si="705"/>
        <v>0</v>
      </c>
      <c r="R396" s="110">
        <f t="shared" si="705"/>
        <v>0</v>
      </c>
      <c r="S396" s="110">
        <f t="shared" si="705"/>
        <v>0</v>
      </c>
      <c r="T396" s="110">
        <f t="shared" si="705"/>
        <v>0</v>
      </c>
      <c r="U396" s="110">
        <f t="shared" si="705"/>
        <v>0</v>
      </c>
      <c r="V396" s="110">
        <f t="shared" si="705"/>
        <v>0</v>
      </c>
      <c r="W396" s="110">
        <f t="shared" si="705"/>
        <v>0</v>
      </c>
      <c r="X396" s="110">
        <f t="shared" si="705"/>
        <v>0</v>
      </c>
      <c r="Y396" s="110">
        <f t="shared" si="705"/>
        <v>0</v>
      </c>
      <c r="Z396" s="110">
        <f t="shared" si="705"/>
        <v>0</v>
      </c>
      <c r="AA396" s="110">
        <f t="shared" si="705"/>
        <v>0</v>
      </c>
      <c r="AB396" s="110">
        <f t="shared" si="705"/>
        <v>0</v>
      </c>
      <c r="AC396" s="110">
        <f t="shared" si="705"/>
        <v>0</v>
      </c>
      <c r="AE396" s="54">
        <f>SUM(F396:AC396)</f>
        <v>73.035762397891673</v>
      </c>
    </row>
    <row r="397" spans="1:32" s="23" customFormat="1" hidden="1" outlineLevel="2" x14ac:dyDescent="0.2">
      <c r="A397" t="str">
        <f ca="1">Language!A$397</f>
        <v xml:space="preserve">    вариант зачета НДС</v>
      </c>
      <c r="B397" s="254">
        <v>2</v>
      </c>
      <c r="C397" s="85" t="str">
        <f ca="1">CHOOSE(B397,Language!A$373,Language!A$374)</f>
        <v>после постановки актива на баланс</v>
      </c>
      <c r="F397" s="110"/>
      <c r="G397" s="110"/>
      <c r="H397" s="110"/>
      <c r="I397" s="110"/>
      <c r="J397" s="110"/>
      <c r="K397" s="110"/>
      <c r="L397" s="110"/>
      <c r="M397" s="110"/>
      <c r="N397" s="110"/>
      <c r="O397" s="110"/>
      <c r="P397" s="110"/>
      <c r="Q397" s="110"/>
      <c r="R397" s="110"/>
      <c r="S397" s="110"/>
      <c r="T397" s="110"/>
      <c r="U397" s="110"/>
      <c r="V397" s="110"/>
      <c r="W397" s="110"/>
      <c r="X397" s="110"/>
      <c r="Y397" s="110"/>
      <c r="Z397" s="110"/>
      <c r="AA397" s="110"/>
      <c r="AB397" s="110"/>
      <c r="AC397" s="110"/>
      <c r="AE397" s="54"/>
    </row>
    <row r="398" spans="1:32" s="23" customFormat="1" hidden="1" outlineLevel="2" x14ac:dyDescent="0.2">
      <c r="A398" t="str">
        <f ca="1">Language!A$386</f>
        <v xml:space="preserve">    сумма платежей без НДС</v>
      </c>
      <c r="C398" s="40" t="str">
        <f t="shared" ref="C398:C410" ca="1" si="706">CUR_Main</f>
        <v>тыс. EUR</v>
      </c>
      <c r="D398" s="23" t="s">
        <v>2441</v>
      </c>
      <c r="F398" s="84">
        <f t="shared" ref="F398:AC398" si="707">IF($B391=2,F388*IF($B388=1,1,F$88)/(1+$B396),F388*IF($B388=1,1,F$88))</f>
        <v>0</v>
      </c>
      <c r="G398" s="84">
        <f t="shared" si="707"/>
        <v>0</v>
      </c>
      <c r="H398" s="84">
        <f t="shared" si="707"/>
        <v>0</v>
      </c>
      <c r="I398" s="84">
        <f t="shared" si="707"/>
        <v>0</v>
      </c>
      <c r="J398" s="84">
        <f t="shared" si="707"/>
        <v>317.54679303431163</v>
      </c>
      <c r="K398" s="84">
        <f t="shared" si="707"/>
        <v>0</v>
      </c>
      <c r="L398" s="84">
        <f t="shared" si="707"/>
        <v>0</v>
      </c>
      <c r="M398" s="84">
        <f t="shared" si="707"/>
        <v>0</v>
      </c>
      <c r="N398" s="84">
        <f t="shared" si="707"/>
        <v>0</v>
      </c>
      <c r="O398" s="84">
        <f t="shared" si="707"/>
        <v>0</v>
      </c>
      <c r="P398" s="84">
        <f t="shared" si="707"/>
        <v>0</v>
      </c>
      <c r="Q398" s="84">
        <f t="shared" si="707"/>
        <v>0</v>
      </c>
      <c r="R398" s="84">
        <f t="shared" si="707"/>
        <v>0</v>
      </c>
      <c r="S398" s="84">
        <f t="shared" si="707"/>
        <v>0</v>
      </c>
      <c r="T398" s="84">
        <f t="shared" si="707"/>
        <v>0</v>
      </c>
      <c r="U398" s="84">
        <f t="shared" si="707"/>
        <v>0</v>
      </c>
      <c r="V398" s="84">
        <f t="shared" si="707"/>
        <v>0</v>
      </c>
      <c r="W398" s="84">
        <f t="shared" si="707"/>
        <v>0</v>
      </c>
      <c r="X398" s="84">
        <f t="shared" si="707"/>
        <v>0</v>
      </c>
      <c r="Y398" s="84">
        <f t="shared" si="707"/>
        <v>0</v>
      </c>
      <c r="Z398" s="84">
        <f t="shared" si="707"/>
        <v>0</v>
      </c>
      <c r="AA398" s="84">
        <f t="shared" si="707"/>
        <v>0</v>
      </c>
      <c r="AB398" s="84">
        <f t="shared" si="707"/>
        <v>0</v>
      </c>
      <c r="AC398" s="84">
        <f t="shared" si="707"/>
        <v>0</v>
      </c>
      <c r="AE398" s="54">
        <f>SUM(F398:AC398)</f>
        <v>317.54679303431163</v>
      </c>
    </row>
    <row r="399" spans="1:32" s="23" customFormat="1" hidden="1" outlineLevel="2" x14ac:dyDescent="0.2">
      <c r="A399" t="str">
        <f ca="1">Language!A$387</f>
        <v xml:space="preserve">    общая стоимость актива (без НДС)</v>
      </c>
      <c r="B399" s="55">
        <f>AE398+B389+AE393</f>
        <v>317.54679303431163</v>
      </c>
      <c r="C399" s="40" t="str">
        <f t="shared" ca="1" si="706"/>
        <v>тыс. EUR</v>
      </c>
      <c r="AE399" s="11"/>
    </row>
    <row r="400" spans="1:32" s="23" customFormat="1" hidden="1" outlineLevel="2" x14ac:dyDescent="0.2">
      <c r="A400" t="str">
        <f ca="1">Language!A$388</f>
        <v xml:space="preserve">    полная сумма вложений в актив (без НДС)</v>
      </c>
      <c r="C400" s="40" t="str">
        <f t="shared" ca="1" si="706"/>
        <v>тыс. EUR</v>
      </c>
      <c r="D400" s="23" t="s">
        <v>840</v>
      </c>
      <c r="F400" s="53">
        <f>B389+F398+F393</f>
        <v>0</v>
      </c>
      <c r="G400" s="53">
        <f t="shared" ref="G400" si="708">F400+G398+G393</f>
        <v>0</v>
      </c>
      <c r="H400" s="53">
        <f t="shared" ref="H400" si="709">G400+H398+H393</f>
        <v>0</v>
      </c>
      <c r="I400" s="53">
        <f t="shared" ref="I400" si="710">H400+I398+I393</f>
        <v>0</v>
      </c>
      <c r="J400" s="53">
        <f t="shared" ref="J400" si="711">I400+J398+J393</f>
        <v>317.54679303431163</v>
      </c>
      <c r="K400" s="53">
        <f t="shared" ref="K400" si="712">J400+K398+K393</f>
        <v>317.54679303431163</v>
      </c>
      <c r="L400" s="53">
        <f t="shared" ref="L400" si="713">K400+L398+L393</f>
        <v>317.54679303431163</v>
      </c>
      <c r="M400" s="53">
        <f t="shared" ref="M400" si="714">L400+M398+M393</f>
        <v>317.54679303431163</v>
      </c>
      <c r="N400" s="53">
        <f t="shared" ref="N400" si="715">M400+N398+N393</f>
        <v>317.54679303431163</v>
      </c>
      <c r="O400" s="53">
        <f t="shared" ref="O400" si="716">N400+O398+O393</f>
        <v>317.54679303431163</v>
      </c>
      <c r="P400" s="53">
        <f t="shared" ref="P400" si="717">O400+P398+P393</f>
        <v>317.54679303431163</v>
      </c>
      <c r="Q400" s="53">
        <f t="shared" ref="Q400" si="718">P400+Q398+Q393</f>
        <v>317.54679303431163</v>
      </c>
      <c r="R400" s="53">
        <f t="shared" ref="R400" si="719">Q400+R398+R393</f>
        <v>317.54679303431163</v>
      </c>
      <c r="S400" s="53">
        <f t="shared" ref="S400" si="720">R400+S398+S393</f>
        <v>317.54679303431163</v>
      </c>
      <c r="T400" s="53">
        <f t="shared" ref="T400" si="721">S400+T398+T393</f>
        <v>317.54679303431163</v>
      </c>
      <c r="U400" s="53">
        <f t="shared" ref="U400" si="722">T400+U398+U393</f>
        <v>317.54679303431163</v>
      </c>
      <c r="V400" s="53">
        <f t="shared" ref="V400" si="723">U400+V398+V393</f>
        <v>317.54679303431163</v>
      </c>
      <c r="W400" s="53">
        <f t="shared" ref="W400" si="724">V400+W398+W393</f>
        <v>317.54679303431163</v>
      </c>
      <c r="X400" s="53">
        <f t="shared" ref="X400" si="725">W400+X398+X393</f>
        <v>317.54679303431163</v>
      </c>
      <c r="Y400" s="53">
        <f t="shared" ref="Y400" si="726">X400+Y398+Y393</f>
        <v>317.54679303431163</v>
      </c>
      <c r="Z400" s="53">
        <f t="shared" ref="Z400" si="727">Y400+Z398+Z393</f>
        <v>317.54679303431163</v>
      </c>
      <c r="AA400" s="53">
        <f t="shared" ref="AA400" si="728">Z400+AA398+AA393</f>
        <v>317.54679303431163</v>
      </c>
      <c r="AB400" s="53">
        <f t="shared" ref="AB400" si="729">AA400+AB398+AB393</f>
        <v>317.54679303431163</v>
      </c>
      <c r="AC400" s="53">
        <f t="shared" ref="AC400" si="730">AB400+AC398+AC393</f>
        <v>317.54679303431163</v>
      </c>
      <c r="AE400" s="54"/>
    </row>
    <row r="401" spans="1:32" s="23" customFormat="1" hidden="1" outlineLevel="2" x14ac:dyDescent="0.2">
      <c r="A401" t="str">
        <f ca="1">Language!A$389</f>
        <v xml:space="preserve">    полная балансовая стоимость</v>
      </c>
      <c r="C401" s="40" t="str">
        <f t="shared" ca="1" si="706"/>
        <v>тыс. EUR</v>
      </c>
      <c r="D401" s="23" t="s">
        <v>841</v>
      </c>
      <c r="F401" s="53">
        <f>IF($B390&lt;=F$29,IF(SUM($E408:F408)&gt;0.01,0,$B399),0)</f>
        <v>0</v>
      </c>
      <c r="G401" s="53">
        <f>IF($B390&lt;=G$29,IF(SUM($E408:G408)&gt;0.01,0,$B399),0)</f>
        <v>0</v>
      </c>
      <c r="H401" s="53">
        <f>IF($B390&lt;=H$29,IF(SUM($E408:H408)&gt;0.01,0,$B399),0)</f>
        <v>0</v>
      </c>
      <c r="I401" s="53">
        <f>IF($B390&lt;=I$29,IF(SUM($E408:I408)&gt;0.01,0,$B399),0)</f>
        <v>0</v>
      </c>
      <c r="J401" s="53">
        <f>IF($B390&lt;=J$29,IF(SUM($E408:J408)&gt;0.01,0,$B399),0)</f>
        <v>317.54679303431163</v>
      </c>
      <c r="K401" s="53">
        <f>IF($B390&lt;=K$29,IF(SUM($E408:K408)&gt;0.01,0,$B399),0)</f>
        <v>317.54679303431163</v>
      </c>
      <c r="L401" s="53">
        <f>IF($B390&lt;=L$29,IF(SUM($E408:L408)&gt;0.01,0,$B399),0)</f>
        <v>317.54679303431163</v>
      </c>
      <c r="M401" s="53">
        <f>IF($B390&lt;=M$29,IF(SUM($E408:M408)&gt;0.01,0,$B399),0)</f>
        <v>317.54679303431163</v>
      </c>
      <c r="N401" s="53">
        <f>IF($B390&lt;=N$29,IF(SUM($E408:N408)&gt;0.01,0,$B399),0)</f>
        <v>317.54679303431163</v>
      </c>
      <c r="O401" s="53">
        <f>IF($B390&lt;=O$29,IF(SUM($E408:O408)&gt;0.01,0,$B399),0)</f>
        <v>317.54679303431163</v>
      </c>
      <c r="P401" s="53">
        <f>IF($B390&lt;=P$29,IF(SUM($E408:P408)&gt;0.01,0,$B399),0)</f>
        <v>317.54679303431163</v>
      </c>
      <c r="Q401" s="53">
        <f>IF($B390&lt;=Q$29,IF(SUM($E408:Q408)&gt;0.01,0,$B399),0)</f>
        <v>317.54679303431163</v>
      </c>
      <c r="R401" s="53">
        <f>IF($B390&lt;=R$29,IF(SUM($E408:R408)&gt;0.01,0,$B399),0)</f>
        <v>317.54679303431163</v>
      </c>
      <c r="S401" s="53">
        <f>IF($B390&lt;=S$29,IF(SUM($E408:S408)&gt;0.01,0,$B399),0)</f>
        <v>317.54679303431163</v>
      </c>
      <c r="T401" s="53">
        <f>IF($B390&lt;=T$29,IF(SUM($E408:T408)&gt;0.01,0,$B399),0)</f>
        <v>317.54679303431163</v>
      </c>
      <c r="U401" s="53">
        <f>IF($B390&lt;=U$29,IF(SUM($E408:U408)&gt;0.01,0,$B399),0)</f>
        <v>317.54679303431163</v>
      </c>
      <c r="V401" s="53">
        <f>IF($B390&lt;=V$29,IF(SUM($E408:V408)&gt;0.01,0,$B399),0)</f>
        <v>317.54679303431163</v>
      </c>
      <c r="W401" s="53">
        <f>IF($B390&lt;=W$29,IF(SUM($E408:W408)&gt;0.01,0,$B399),0)</f>
        <v>317.54679303431163</v>
      </c>
      <c r="X401" s="53">
        <f>IF($B390&lt;=X$29,IF(SUM($E408:X408)&gt;0.01,0,$B399),0)</f>
        <v>317.54679303431163</v>
      </c>
      <c r="Y401" s="53">
        <f>IF($B390&lt;=Y$29,IF(SUM($E408:Y408)&gt;0.01,0,$B399),0)</f>
        <v>317.54679303431163</v>
      </c>
      <c r="Z401" s="53">
        <f>IF($B390&lt;=Z$29,IF(SUM($E408:Z408)&gt;0.01,0,$B399),0)</f>
        <v>317.54679303431163</v>
      </c>
      <c r="AA401" s="53">
        <f>IF($B390&lt;=AA$29,IF(SUM($E408:AA408)&gt;0.01,0,$B399),0)</f>
        <v>317.54679303431163</v>
      </c>
      <c r="AB401" s="53">
        <f>IF($B390&lt;=AB$29,IF(SUM($E408:AB408)&gt;0.01,0,$B399),0)</f>
        <v>317.54679303431163</v>
      </c>
      <c r="AC401" s="53">
        <f>IF($B390&lt;=AC$29,IF(SUM($E408:AC408)&gt;0.01,0,$B399),0)</f>
        <v>317.54679303431163</v>
      </c>
      <c r="AE401" s="11"/>
    </row>
    <row r="402" spans="1:32" s="23" customFormat="1" hidden="1" outlineLevel="2" x14ac:dyDescent="0.2">
      <c r="A402" t="str">
        <f ca="1">Language!A$390</f>
        <v xml:space="preserve">    незавершенные инвестиции</v>
      </c>
      <c r="C402" s="40" t="str">
        <f t="shared" ca="1" si="706"/>
        <v>тыс. EUR</v>
      </c>
      <c r="D402" s="23" t="s">
        <v>844</v>
      </c>
      <c r="F402" s="53">
        <f>IF(SUM($E408:F408)&gt;0,0,IF($B390&gt;F$29,F400,0))</f>
        <v>0</v>
      </c>
      <c r="G402" s="53">
        <f>IF(SUM($E408:G408)&gt;0,0,IF($B390&gt;G$29,G400,0))</f>
        <v>0</v>
      </c>
      <c r="H402" s="53">
        <f>IF(SUM($E408:H408)&gt;0,0,IF($B390&gt;H$29,H400,0))</f>
        <v>0</v>
      </c>
      <c r="I402" s="53">
        <f>IF(SUM($E408:I408)&gt;0,0,IF($B390&gt;I$29,I400,0))</f>
        <v>0</v>
      </c>
      <c r="J402" s="53">
        <f>IF(SUM($E408:J408)&gt;0,0,IF($B390&gt;J$29,J400,0))</f>
        <v>0</v>
      </c>
      <c r="K402" s="53">
        <f>IF(SUM($E408:K408)&gt;0,0,IF($B390&gt;K$29,K400,0))</f>
        <v>0</v>
      </c>
      <c r="L402" s="53">
        <f>IF(SUM($E408:L408)&gt;0,0,IF($B390&gt;L$29,L400,0))</f>
        <v>0</v>
      </c>
      <c r="M402" s="53">
        <f>IF(SUM($E408:M408)&gt;0,0,IF($B390&gt;M$29,M400,0))</f>
        <v>0</v>
      </c>
      <c r="N402" s="53">
        <f>IF(SUM($E408:N408)&gt;0,0,IF($B390&gt;N$29,N400,0))</f>
        <v>0</v>
      </c>
      <c r="O402" s="53">
        <f>IF(SUM($E408:O408)&gt;0,0,IF($B390&gt;O$29,O400,0))</f>
        <v>0</v>
      </c>
      <c r="P402" s="53">
        <f>IF(SUM($E408:P408)&gt;0,0,IF($B390&gt;P$29,P400,0))</f>
        <v>0</v>
      </c>
      <c r="Q402" s="53">
        <f>IF(SUM($E408:Q408)&gt;0,0,IF($B390&gt;Q$29,Q400,0))</f>
        <v>0</v>
      </c>
      <c r="R402" s="53">
        <f>IF(SUM($E408:R408)&gt;0,0,IF($B390&gt;R$29,R400,0))</f>
        <v>0</v>
      </c>
      <c r="S402" s="53">
        <f>IF(SUM($E408:S408)&gt;0,0,IF($B390&gt;S$29,S400,0))</f>
        <v>0</v>
      </c>
      <c r="T402" s="53">
        <f>IF(SUM($E408:T408)&gt;0,0,IF($B390&gt;T$29,T400,0))</f>
        <v>0</v>
      </c>
      <c r="U402" s="53">
        <f>IF(SUM($E408:U408)&gt;0,0,IF($B390&gt;U$29,U400,0))</f>
        <v>0</v>
      </c>
      <c r="V402" s="53">
        <f>IF(SUM($E408:V408)&gt;0,0,IF($B390&gt;V$29,V400,0))</f>
        <v>0</v>
      </c>
      <c r="W402" s="53">
        <f>IF(SUM($E408:W408)&gt;0,0,IF($B390&gt;W$29,W400,0))</f>
        <v>0</v>
      </c>
      <c r="X402" s="53">
        <f>IF(SUM($E408:X408)&gt;0,0,IF($B390&gt;X$29,X400,0))</f>
        <v>0</v>
      </c>
      <c r="Y402" s="53">
        <f>IF(SUM($E408:Y408)&gt;0,0,IF($B390&gt;Y$29,Y400,0))</f>
        <v>0</v>
      </c>
      <c r="Z402" s="53">
        <f>IF(SUM($E408:Z408)&gt;0,0,IF($B390&gt;Z$29,Z400,0))</f>
        <v>0</v>
      </c>
      <c r="AA402" s="53">
        <f>IF(SUM($E408:AA408)&gt;0,0,IF($B390&gt;AA$29,AA400,0))</f>
        <v>0</v>
      </c>
      <c r="AB402" s="53">
        <f>IF(SUM($E408:AB408)&gt;0,0,IF($B390&gt;AB$29,AB400,0))</f>
        <v>0</v>
      </c>
      <c r="AC402" s="53">
        <f>IF(SUM($E408:AC408)&gt;0,0,IF($B390&gt;AC$29,AC400,0))</f>
        <v>0</v>
      </c>
      <c r="AE402" s="11"/>
    </row>
    <row r="403" spans="1:32" s="23" customFormat="1" hidden="1" outlineLevel="2" x14ac:dyDescent="0.2">
      <c r="A403" t="str">
        <f ca="1">Language!A$391</f>
        <v xml:space="preserve">    кредиторская задолженность</v>
      </c>
      <c r="C403" s="40" t="str">
        <f t="shared" ca="1" si="706"/>
        <v>тыс. EUR</v>
      </c>
      <c r="D403" s="23" t="s">
        <v>845</v>
      </c>
      <c r="F403" s="53">
        <f>IF(OR($B390&lt;=F$29,AND(SUM($F408:F408)&gt;0,$B390&gt;F$29)),$B399-F400,0)</f>
        <v>0</v>
      </c>
      <c r="G403" s="53">
        <f>IF(OR($B390&lt;=G$29,AND(SUM($F408:G408)&gt;0,$B390&gt;G$29)),$B399-G400,0)</f>
        <v>0</v>
      </c>
      <c r="H403" s="53">
        <f>IF(OR($B390&lt;=H$29,AND(SUM($F408:H408)&gt;0,$B390&gt;H$29)),$B399-H400,0)</f>
        <v>0</v>
      </c>
      <c r="I403" s="53">
        <f>IF(OR($B390&lt;=I$29,AND(SUM($F408:I408)&gt;0,$B390&gt;I$29)),$B399-I400,0)</f>
        <v>0</v>
      </c>
      <c r="J403" s="53">
        <f>IF(OR($B390&lt;=J$29,AND(SUM($F408:J408)&gt;0,$B390&gt;J$29)),$B399-J400,0)</f>
        <v>0</v>
      </c>
      <c r="K403" s="53">
        <f>IF(OR($B390&lt;=K$29,AND(SUM($F408:K408)&gt;0,$B390&gt;K$29)),$B399-K400,0)</f>
        <v>0</v>
      </c>
      <c r="L403" s="53">
        <f>IF(OR($B390&lt;=L$29,AND(SUM($F408:L408)&gt;0,$B390&gt;L$29)),$B399-L400,0)</f>
        <v>0</v>
      </c>
      <c r="M403" s="53">
        <f>IF(OR($B390&lt;=M$29,AND(SUM($F408:M408)&gt;0,$B390&gt;M$29)),$B399-M400,0)</f>
        <v>0</v>
      </c>
      <c r="N403" s="53">
        <f>IF(OR($B390&lt;=N$29,AND(SUM($F408:N408)&gt;0,$B390&gt;N$29)),$B399-N400,0)</f>
        <v>0</v>
      </c>
      <c r="O403" s="53">
        <f>IF(OR($B390&lt;=O$29,AND(SUM($F408:O408)&gt;0,$B390&gt;O$29)),$B399-O400,0)</f>
        <v>0</v>
      </c>
      <c r="P403" s="53">
        <f>IF(OR($B390&lt;=P$29,AND(SUM($F408:P408)&gt;0,$B390&gt;P$29)),$B399-P400,0)</f>
        <v>0</v>
      </c>
      <c r="Q403" s="53">
        <f>IF(OR($B390&lt;=Q$29,AND(SUM($F408:Q408)&gt;0,$B390&gt;Q$29)),$B399-Q400,0)</f>
        <v>0</v>
      </c>
      <c r="R403" s="53">
        <f>IF(OR($B390&lt;=R$29,AND(SUM($F408:R408)&gt;0,$B390&gt;R$29)),$B399-R400,0)</f>
        <v>0</v>
      </c>
      <c r="S403" s="53">
        <f>IF(OR($B390&lt;=S$29,AND(SUM($F408:S408)&gt;0,$B390&gt;S$29)),$B399-S400,0)</f>
        <v>0</v>
      </c>
      <c r="T403" s="53">
        <f>IF(OR($B390&lt;=T$29,AND(SUM($F408:T408)&gt;0,$B390&gt;T$29)),$B399-T400,0)</f>
        <v>0</v>
      </c>
      <c r="U403" s="53">
        <f>IF(OR($B390&lt;=U$29,AND(SUM($F408:U408)&gt;0,$B390&gt;U$29)),$B399-U400,0)</f>
        <v>0</v>
      </c>
      <c r="V403" s="53">
        <f>IF(OR($B390&lt;=V$29,AND(SUM($F408:V408)&gt;0,$B390&gt;V$29)),$B399-V400,0)</f>
        <v>0</v>
      </c>
      <c r="W403" s="53">
        <f>IF(OR($B390&lt;=W$29,AND(SUM($F408:W408)&gt;0,$B390&gt;W$29)),$B399-W400,0)</f>
        <v>0</v>
      </c>
      <c r="X403" s="53">
        <f>IF(OR($B390&lt;=X$29,AND(SUM($F408:X408)&gt;0,$B390&gt;X$29)),$B399-X400,0)</f>
        <v>0</v>
      </c>
      <c r="Y403" s="53">
        <f>IF(OR($B390&lt;=Y$29,AND(SUM($F408:Y408)&gt;0,$B390&gt;Y$29)),$B399-Y400,0)</f>
        <v>0</v>
      </c>
      <c r="Z403" s="53">
        <f>IF(OR($B390&lt;=Z$29,AND(SUM($F408:Z408)&gt;0,$B390&gt;Z$29)),$B399-Z400,0)</f>
        <v>0</v>
      </c>
      <c r="AA403" s="53">
        <f>IF(OR($B390&lt;=AA$29,AND(SUM($F408:AA408)&gt;0,$B390&gt;AA$29)),$B399-AA400,0)</f>
        <v>0</v>
      </c>
      <c r="AB403" s="53">
        <f>IF(OR($B390&lt;=AB$29,AND(SUM($F408:AB408)&gt;0,$B390&gt;AB$29)),$B399-AB400,0)</f>
        <v>0</v>
      </c>
      <c r="AC403" s="53">
        <f>IF(OR($B390&lt;=AC$29,AND(SUM($F408:AC408)&gt;0,$B390&gt;AC$29)),$B399-AC400,0)</f>
        <v>0</v>
      </c>
      <c r="AE403" s="11"/>
    </row>
    <row r="404" spans="1:32" s="23" customFormat="1" hidden="1" outlineLevel="2" x14ac:dyDescent="0.2">
      <c r="A404" t="str">
        <f ca="1">Language!A$398</f>
        <v xml:space="preserve">    накопленная амортизация</v>
      </c>
      <c r="C404" s="40" t="str">
        <f t="shared" ca="1" si="706"/>
        <v>тыс. EUR</v>
      </c>
      <c r="D404" s="23" t="s">
        <v>842</v>
      </c>
      <c r="F404" s="53">
        <f t="shared" ref="F404" si="731">E404+F395+F394</f>
        <v>0</v>
      </c>
      <c r="G404" s="53">
        <f t="shared" ref="G404" si="732">F404+G395+G394</f>
        <v>0</v>
      </c>
      <c r="H404" s="53">
        <f t="shared" ref="H404" si="733">G404+H395+H394</f>
        <v>0</v>
      </c>
      <c r="I404" s="53">
        <f t="shared" ref="I404" si="734">H404+I395+I394</f>
        <v>0</v>
      </c>
      <c r="J404" s="53">
        <f t="shared" ref="J404" si="735">I404+J395+J394</f>
        <v>15.877339651715582</v>
      </c>
      <c r="K404" s="53">
        <f t="shared" ref="K404" si="736">J404+K395+K394</f>
        <v>31.754679303431164</v>
      </c>
      <c r="L404" s="53">
        <f t="shared" ref="L404" si="737">K404+L395+L394</f>
        <v>47.632018955146748</v>
      </c>
      <c r="M404" s="53">
        <f t="shared" ref="M404" si="738">L404+M395+M394</f>
        <v>63.509358606862328</v>
      </c>
      <c r="N404" s="53">
        <f t="shared" ref="N404" si="739">M404+N395+N394</f>
        <v>79.386698258577908</v>
      </c>
      <c r="O404" s="53">
        <f t="shared" ref="O404" si="740">N404+O395+O394</f>
        <v>95.264037910293496</v>
      </c>
      <c r="P404" s="53">
        <f t="shared" ref="P404" si="741">O404+P395+P394</f>
        <v>111.14137756200908</v>
      </c>
      <c r="Q404" s="53">
        <f t="shared" ref="Q404" si="742">P404+Q395+Q394</f>
        <v>127.01871721372467</v>
      </c>
      <c r="R404" s="53">
        <f t="shared" ref="R404" si="743">Q404+R395+R394</f>
        <v>142.89605686544024</v>
      </c>
      <c r="S404" s="53">
        <f t="shared" ref="S404" si="744">R404+S395+S394</f>
        <v>158.77339651715582</v>
      </c>
      <c r="T404" s="53">
        <f t="shared" ref="T404" si="745">S404+T395+T394</f>
        <v>174.65073616887139</v>
      </c>
      <c r="U404" s="53">
        <f t="shared" ref="U404" si="746">T404+U395+U394</f>
        <v>190.52807582058696</v>
      </c>
      <c r="V404" s="53">
        <f t="shared" ref="V404" si="747">U404+V395+V394</f>
        <v>206.40541547230254</v>
      </c>
      <c r="W404" s="53">
        <f t="shared" ref="W404" si="748">V404+W395+W394</f>
        <v>222.28275512401811</v>
      </c>
      <c r="X404" s="53">
        <f t="shared" ref="X404" si="749">W404+X395+X394</f>
        <v>238.16009477573368</v>
      </c>
      <c r="Y404" s="53">
        <f t="shared" ref="Y404" si="750">X404+Y395+Y394</f>
        <v>254.03743442744926</v>
      </c>
      <c r="Z404" s="53">
        <f t="shared" ref="Z404" si="751">Y404+Z395+Z394</f>
        <v>269.91477407916483</v>
      </c>
      <c r="AA404" s="53">
        <f t="shared" ref="AA404" si="752">Z404+AA395+AA394</f>
        <v>285.79211373088043</v>
      </c>
      <c r="AB404" s="53">
        <f t="shared" ref="AB404" si="753">AA404+AB395+AB394</f>
        <v>301.66945338259603</v>
      </c>
      <c r="AC404" s="53">
        <f t="shared" ref="AC404" si="754">AB404+AC395+AC394</f>
        <v>317.54679303431163</v>
      </c>
      <c r="AE404" s="11"/>
    </row>
    <row r="405" spans="1:32" s="23" customFormat="1" hidden="1" outlineLevel="2" x14ac:dyDescent="0.2">
      <c r="A405" t="str">
        <f ca="1">Language!A$392</f>
        <v xml:space="preserve">    остаточная стоимость</v>
      </c>
      <c r="C405" s="40" t="str">
        <f t="shared" ca="1" si="706"/>
        <v>тыс. EUR</v>
      </c>
      <c r="D405" s="23" t="s">
        <v>843</v>
      </c>
      <c r="F405" s="43">
        <f>IF(SUM($E408:F408)&gt;0.01,0,F401-F404)</f>
        <v>0</v>
      </c>
      <c r="G405" s="43">
        <f>IF(SUM($E408:G408)&gt;0.01,0,G401-G404)</f>
        <v>0</v>
      </c>
      <c r="H405" s="43">
        <f>IF(SUM($E408:H408)&gt;0.01,0,H401-H404)</f>
        <v>0</v>
      </c>
      <c r="I405" s="43">
        <f>IF(SUM($E408:I408)&gt;0.01,0,I401-I404)</f>
        <v>0</v>
      </c>
      <c r="J405" s="43">
        <f>IF(SUM($E408:J408)&gt;0.01,0,J401-J404)</f>
        <v>301.66945338259603</v>
      </c>
      <c r="K405" s="43">
        <f>IF(SUM($E408:K408)&gt;0.01,0,K401-K404)</f>
        <v>285.79211373088049</v>
      </c>
      <c r="L405" s="43">
        <f>IF(SUM($E408:L408)&gt;0.01,0,L401-L404)</f>
        <v>269.91477407916489</v>
      </c>
      <c r="M405" s="43">
        <f>IF(SUM($E408:M408)&gt;0.01,0,M401-M404)</f>
        <v>254.03743442744931</v>
      </c>
      <c r="N405" s="43">
        <f>IF(SUM($E408:N408)&gt;0.01,0,N401-N404)</f>
        <v>238.16009477573374</v>
      </c>
      <c r="O405" s="43">
        <f>IF(SUM($E408:O408)&gt;0.01,0,O401-O404)</f>
        <v>222.28275512401814</v>
      </c>
      <c r="P405" s="43">
        <f>IF(SUM($E408:P408)&gt;0.01,0,P401-P404)</f>
        <v>206.40541547230254</v>
      </c>
      <c r="Q405" s="43">
        <f>IF(SUM($E408:Q408)&gt;0.01,0,Q401-Q404)</f>
        <v>190.52807582058696</v>
      </c>
      <c r="R405" s="43">
        <f>IF(SUM($E408:R408)&gt;0.01,0,R401-R404)</f>
        <v>174.65073616887139</v>
      </c>
      <c r="S405" s="43">
        <f>IF(SUM($E408:S408)&gt;0.01,0,S401-S404)</f>
        <v>158.77339651715582</v>
      </c>
      <c r="T405" s="43">
        <f>IF(SUM($E408:T408)&gt;0.01,0,T401-T404)</f>
        <v>142.89605686544024</v>
      </c>
      <c r="U405" s="43">
        <f>IF(SUM($E408:U408)&gt;0.01,0,U401-U404)</f>
        <v>127.01871721372467</v>
      </c>
      <c r="V405" s="43">
        <f>IF(SUM($E408:V408)&gt;0.01,0,V401-V404)</f>
        <v>111.1413775620091</v>
      </c>
      <c r="W405" s="43">
        <f>IF(SUM($E408:W408)&gt;0.01,0,W401-W404)</f>
        <v>95.264037910293524</v>
      </c>
      <c r="X405" s="43">
        <f>IF(SUM($E408:X408)&gt;0.01,0,X401-X404)</f>
        <v>79.386698258577951</v>
      </c>
      <c r="Y405" s="43">
        <f>IF(SUM($E408:Y408)&gt;0.01,0,Y401-Y404)</f>
        <v>63.509358606862378</v>
      </c>
      <c r="Z405" s="43">
        <f>IF(SUM($E408:Z408)&gt;0.01,0,Z401-Z404)</f>
        <v>47.632018955146805</v>
      </c>
      <c r="AA405" s="43">
        <f>IF(SUM($E408:AA408)&gt;0.01,0,AA401-AA404)</f>
        <v>31.754679303431203</v>
      </c>
      <c r="AB405" s="43">
        <f>IF(SUM($E408:AB408)&gt;0.01,0,AB401-AB404)</f>
        <v>15.877339651715602</v>
      </c>
      <c r="AC405" s="43">
        <f>IF(SUM($E408:AC408)&gt;0.01,0,AC401-AC404)</f>
        <v>0</v>
      </c>
      <c r="AE405" s="11"/>
    </row>
    <row r="406" spans="1:32" s="23" customFormat="1" hidden="1" outlineLevel="2" x14ac:dyDescent="0.2">
      <c r="A406" t="str">
        <f ca="1">Language!A$399</f>
        <v xml:space="preserve">    НДС к ранее осуществленным инвестициям</v>
      </c>
      <c r="B406" s="261">
        <f>B389*B396</f>
        <v>0</v>
      </c>
      <c r="C406" s="40" t="str">
        <f t="shared" ca="1" si="706"/>
        <v>тыс. EUR</v>
      </c>
      <c r="D406" s="23" t="s">
        <v>836</v>
      </c>
      <c r="AE406" s="11"/>
    </row>
    <row r="407" spans="1:32" s="23" customFormat="1" hidden="1" outlineLevel="2" x14ac:dyDescent="0.2">
      <c r="A407" t="str">
        <f ca="1">Language!A$400</f>
        <v xml:space="preserve">    зачет НДС</v>
      </c>
      <c r="C407" s="40" t="str">
        <f t="shared" ca="1" si="706"/>
        <v>тыс. EUR</v>
      </c>
      <c r="D407" s="132" t="s">
        <v>837</v>
      </c>
      <c r="F407" s="110">
        <f>IF($B397=2,IF($B390=F$29,$B406+$AE396,0),F396+B406)</f>
        <v>0</v>
      </c>
      <c r="G407" s="110">
        <f t="shared" ref="G407:AC407" si="755">IF($B397=2,IF($B390=G$29,$B406+$AE396,0),G396)</f>
        <v>0</v>
      </c>
      <c r="H407" s="110">
        <f t="shared" si="755"/>
        <v>0</v>
      </c>
      <c r="I407" s="110">
        <f t="shared" si="755"/>
        <v>0</v>
      </c>
      <c r="J407" s="110">
        <f t="shared" si="755"/>
        <v>73.035762397891673</v>
      </c>
      <c r="K407" s="110">
        <f t="shared" si="755"/>
        <v>0</v>
      </c>
      <c r="L407" s="110">
        <f t="shared" si="755"/>
        <v>0</v>
      </c>
      <c r="M407" s="110">
        <f t="shared" si="755"/>
        <v>0</v>
      </c>
      <c r="N407" s="110">
        <f t="shared" si="755"/>
        <v>0</v>
      </c>
      <c r="O407" s="110">
        <f t="shared" si="755"/>
        <v>0</v>
      </c>
      <c r="P407" s="110">
        <f t="shared" si="755"/>
        <v>0</v>
      </c>
      <c r="Q407" s="110">
        <f t="shared" si="755"/>
        <v>0</v>
      </c>
      <c r="R407" s="110">
        <f t="shared" si="755"/>
        <v>0</v>
      </c>
      <c r="S407" s="110">
        <f t="shared" si="755"/>
        <v>0</v>
      </c>
      <c r="T407" s="110">
        <f t="shared" si="755"/>
        <v>0</v>
      </c>
      <c r="U407" s="110">
        <f t="shared" si="755"/>
        <v>0</v>
      </c>
      <c r="V407" s="110">
        <f t="shared" si="755"/>
        <v>0</v>
      </c>
      <c r="W407" s="110">
        <f t="shared" si="755"/>
        <v>0</v>
      </c>
      <c r="X407" s="110">
        <f t="shared" si="755"/>
        <v>0</v>
      </c>
      <c r="Y407" s="110">
        <f t="shared" si="755"/>
        <v>0</v>
      </c>
      <c r="Z407" s="110">
        <f t="shared" si="755"/>
        <v>0</v>
      </c>
      <c r="AA407" s="110">
        <f t="shared" si="755"/>
        <v>0</v>
      </c>
      <c r="AB407" s="110">
        <f t="shared" si="755"/>
        <v>0</v>
      </c>
      <c r="AC407" s="110">
        <f t="shared" si="755"/>
        <v>0</v>
      </c>
      <c r="AE407" s="54">
        <f>SUM(F407:AC407)</f>
        <v>73.035762397891673</v>
      </c>
    </row>
    <row r="408" spans="1:32" s="23" customFormat="1" hidden="1" outlineLevel="2" x14ac:dyDescent="0.2">
      <c r="A408" s="63" t="str">
        <f ca="1">Language!A$362</f>
        <v xml:space="preserve">    реализация актива (без НДС)</v>
      </c>
      <c r="B408" s="111"/>
      <c r="C408" s="113" t="str">
        <f t="shared" ca="1" si="706"/>
        <v>тыс. EUR</v>
      </c>
      <c r="D408" s="23" t="s">
        <v>838</v>
      </c>
      <c r="E408" s="111"/>
      <c r="F408" s="271">
        <v>0</v>
      </c>
      <c r="G408" s="271">
        <v>0</v>
      </c>
      <c r="H408" s="271">
        <v>0</v>
      </c>
      <c r="I408" s="271">
        <v>0</v>
      </c>
      <c r="J408" s="271">
        <v>0</v>
      </c>
      <c r="K408" s="271">
        <v>0</v>
      </c>
      <c r="L408" s="271">
        <v>0</v>
      </c>
      <c r="M408" s="271">
        <v>0</v>
      </c>
      <c r="N408" s="271">
        <v>0</v>
      </c>
      <c r="O408" s="271">
        <v>0</v>
      </c>
      <c r="P408" s="271">
        <v>0</v>
      </c>
      <c r="Q408" s="271">
        <v>0</v>
      </c>
      <c r="R408" s="271">
        <v>0</v>
      </c>
      <c r="S408" s="271">
        <v>0</v>
      </c>
      <c r="T408" s="271">
        <v>0</v>
      </c>
      <c r="U408" s="271">
        <v>0</v>
      </c>
      <c r="V408" s="271">
        <v>0</v>
      </c>
      <c r="W408" s="271">
        <v>0</v>
      </c>
      <c r="X408" s="271">
        <v>0</v>
      </c>
      <c r="Y408" s="271">
        <v>0</v>
      </c>
      <c r="Z408" s="271">
        <v>0</v>
      </c>
      <c r="AA408" s="271">
        <v>0</v>
      </c>
      <c r="AB408" s="271">
        <v>0</v>
      </c>
      <c r="AC408" s="271">
        <v>0</v>
      </c>
      <c r="AE408" s="54">
        <f>SUM(F408:AC408)</f>
        <v>0</v>
      </c>
    </row>
    <row r="409" spans="1:32" s="23" customFormat="1" hidden="1" outlineLevel="2" x14ac:dyDescent="0.2">
      <c r="A409" s="19" t="str">
        <f ca="1">Language!A$363</f>
        <v xml:space="preserve">    прибыль/убыток от реализации актива</v>
      </c>
      <c r="B409" s="24"/>
      <c r="C409" s="114" t="str">
        <f t="shared" ca="1" si="706"/>
        <v>тыс. EUR</v>
      </c>
      <c r="D409" s="23" t="s">
        <v>839</v>
      </c>
      <c r="E409" s="24"/>
      <c r="F409" s="110">
        <f t="shared" ref="F409" si="756">IF(F408=0,0,F408-IF(F$29&lt;=$B390,$B399,E405))</f>
        <v>0</v>
      </c>
      <c r="G409" s="110">
        <f t="shared" ref="G409" si="757">IF(G408=0,0,G408-IF(G$29&lt;=$B390,$B399,F405))</f>
        <v>0</v>
      </c>
      <c r="H409" s="110">
        <f t="shared" ref="H409" si="758">IF(H408=0,0,H408-IF(H$29&lt;=$B390,$B399,G405))</f>
        <v>0</v>
      </c>
      <c r="I409" s="110">
        <f t="shared" ref="I409" si="759">IF(I408=0,0,I408-IF(I$29&lt;=$B390,$B399,H405))</f>
        <v>0</v>
      </c>
      <c r="J409" s="110">
        <f t="shared" ref="J409" si="760">IF(J408=0,0,J408-IF(J$29&lt;=$B390,$B399,I405))</f>
        <v>0</v>
      </c>
      <c r="K409" s="110">
        <f t="shared" ref="K409" si="761">IF(K408=0,0,K408-IF(K$29&lt;=$B390,$B399,J405))</f>
        <v>0</v>
      </c>
      <c r="L409" s="110">
        <f t="shared" ref="L409" si="762">IF(L408=0,0,L408-IF(L$29&lt;=$B390,$B399,K405))</f>
        <v>0</v>
      </c>
      <c r="M409" s="110">
        <f t="shared" ref="M409" si="763">IF(M408=0,0,M408-IF(M$29&lt;=$B390,$B399,L405))</f>
        <v>0</v>
      </c>
      <c r="N409" s="110">
        <f t="shared" ref="N409" si="764">IF(N408=0,0,N408-IF(N$29&lt;=$B390,$B399,M405))</f>
        <v>0</v>
      </c>
      <c r="O409" s="110">
        <f t="shared" ref="O409" si="765">IF(O408=0,0,O408-IF(O$29&lt;=$B390,$B399,N405))</f>
        <v>0</v>
      </c>
      <c r="P409" s="110">
        <f t="shared" ref="P409" si="766">IF(P408=0,0,P408-IF(P$29&lt;=$B390,$B399,O405))</f>
        <v>0</v>
      </c>
      <c r="Q409" s="110">
        <f t="shared" ref="Q409" si="767">IF(Q408=0,0,Q408-IF(Q$29&lt;=$B390,$B399,P405))</f>
        <v>0</v>
      </c>
      <c r="R409" s="110">
        <f t="shared" ref="R409" si="768">IF(R408=0,0,R408-IF(R$29&lt;=$B390,$B399,Q405))</f>
        <v>0</v>
      </c>
      <c r="S409" s="110">
        <f t="shared" ref="S409" si="769">IF(S408=0,0,S408-IF(S$29&lt;=$B390,$B399,R405))</f>
        <v>0</v>
      </c>
      <c r="T409" s="110">
        <f t="shared" ref="T409" si="770">IF(T408=0,0,T408-IF(T$29&lt;=$B390,$B399,S405))</f>
        <v>0</v>
      </c>
      <c r="U409" s="110">
        <f t="shared" ref="U409" si="771">IF(U408=0,0,U408-IF(U$29&lt;=$B390,$B399,T405))</f>
        <v>0</v>
      </c>
      <c r="V409" s="110">
        <f t="shared" ref="V409" si="772">IF(V408=0,0,V408-IF(V$29&lt;=$B390,$B399,U405))</f>
        <v>0</v>
      </c>
      <c r="W409" s="110">
        <f t="shared" ref="W409" si="773">IF(W408=0,0,W408-IF(W$29&lt;=$B390,$B399,V405))</f>
        <v>0</v>
      </c>
      <c r="X409" s="110">
        <f t="shared" ref="X409" si="774">IF(X408=0,0,X408-IF(X$29&lt;=$B390,$B399,W405))</f>
        <v>0</v>
      </c>
      <c r="Y409" s="110">
        <f t="shared" ref="Y409" si="775">IF(Y408=0,0,Y408-IF(Y$29&lt;=$B390,$B399,X405))</f>
        <v>0</v>
      </c>
      <c r="Z409" s="110">
        <f t="shared" ref="Z409" si="776">IF(Z408=0,0,Z408-IF(Z$29&lt;=$B390,$B399,Y405))</f>
        <v>0</v>
      </c>
      <c r="AA409" s="110">
        <f t="shared" ref="AA409" si="777">IF(AA408=0,0,AA408-IF(AA$29&lt;=$B390,$B399,Z405))</f>
        <v>0</v>
      </c>
      <c r="AB409" s="110">
        <f t="shared" ref="AB409" si="778">IF(AB408=0,0,AB408-IF(AB$29&lt;=$B390,$B399,AA405))</f>
        <v>0</v>
      </c>
      <c r="AC409" s="110">
        <f t="shared" ref="AC409" si="779">IF(AC408=0,0,AC408-IF(AC$29&lt;=$B390,$B399,AB405))</f>
        <v>0</v>
      </c>
      <c r="AE409" s="54">
        <f>SUM(F409:AC409)</f>
        <v>0</v>
      </c>
    </row>
    <row r="410" spans="1:32" s="23" customFormat="1" hidden="1" outlineLevel="2" x14ac:dyDescent="0.2">
      <c r="A410" t="str">
        <f ca="1">Language!A$401</f>
        <v xml:space="preserve">    НДС к выручке от реализации актива</v>
      </c>
      <c r="B410" s="272">
        <f>VAT</f>
        <v>0.23</v>
      </c>
      <c r="C410" s="40" t="str">
        <f t="shared" ca="1" si="706"/>
        <v>тыс. EUR</v>
      </c>
      <c r="D410" s="23" t="s">
        <v>811</v>
      </c>
      <c r="F410">
        <f t="shared" ref="F410:AC410" si="780">F408*$B410</f>
        <v>0</v>
      </c>
      <c r="G410">
        <f t="shared" si="780"/>
        <v>0</v>
      </c>
      <c r="H410">
        <f t="shared" si="780"/>
        <v>0</v>
      </c>
      <c r="I410">
        <f t="shared" si="780"/>
        <v>0</v>
      </c>
      <c r="J410">
        <f t="shared" si="780"/>
        <v>0</v>
      </c>
      <c r="K410">
        <f t="shared" si="780"/>
        <v>0</v>
      </c>
      <c r="L410">
        <f t="shared" si="780"/>
        <v>0</v>
      </c>
      <c r="M410">
        <f t="shared" si="780"/>
        <v>0</v>
      </c>
      <c r="N410">
        <f t="shared" si="780"/>
        <v>0</v>
      </c>
      <c r="O410">
        <f t="shared" si="780"/>
        <v>0</v>
      </c>
      <c r="P410">
        <f t="shared" si="780"/>
        <v>0</v>
      </c>
      <c r="Q410">
        <f t="shared" si="780"/>
        <v>0</v>
      </c>
      <c r="R410">
        <f t="shared" si="780"/>
        <v>0</v>
      </c>
      <c r="S410">
        <f t="shared" si="780"/>
        <v>0</v>
      </c>
      <c r="T410">
        <f t="shared" si="780"/>
        <v>0</v>
      </c>
      <c r="U410">
        <f t="shared" si="780"/>
        <v>0</v>
      </c>
      <c r="V410">
        <f t="shared" si="780"/>
        <v>0</v>
      </c>
      <c r="W410">
        <f t="shared" si="780"/>
        <v>0</v>
      </c>
      <c r="X410">
        <f t="shared" si="780"/>
        <v>0</v>
      </c>
      <c r="Y410">
        <f t="shared" si="780"/>
        <v>0</v>
      </c>
      <c r="Z410">
        <f t="shared" si="780"/>
        <v>0</v>
      </c>
      <c r="AA410">
        <f t="shared" si="780"/>
        <v>0</v>
      </c>
      <c r="AB410">
        <f t="shared" si="780"/>
        <v>0</v>
      </c>
      <c r="AC410">
        <f t="shared" si="780"/>
        <v>0</v>
      </c>
      <c r="AE410" s="54">
        <f>SUM(F410:AC410)</f>
        <v>0</v>
      </c>
    </row>
    <row r="411" spans="1:32" s="23" customFormat="1" outlineLevel="1" x14ac:dyDescent="0.2">
      <c r="A411" s="273"/>
      <c r="B411" s="36" t="str">
        <f ca="1">Language!A$73</f>
        <v>Валюта</v>
      </c>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E411" s="39"/>
    </row>
    <row r="412" spans="1:32" s="23" customFormat="1" outlineLevel="1" collapsed="1" x14ac:dyDescent="0.2">
      <c r="A412" t="str">
        <f ca="1">CHOOSE(B415,Language!A$383,Language!A$382)</f>
        <v xml:space="preserve">    величина платежей (с НДС)</v>
      </c>
      <c r="B412" s="254">
        <v>1</v>
      </c>
      <c r="C412" s="40" t="str">
        <f ca="1">CHOOSE(B412,CUR_Main,CUR_Foreign)</f>
        <v>тыс. EUR</v>
      </c>
      <c r="D412" s="16" t="str">
        <f>TEXT(B412,"0")&amp;"_00"</f>
        <v>1_00</v>
      </c>
      <c r="F412" s="275">
        <v>0</v>
      </c>
      <c r="G412" s="275">
        <v>0</v>
      </c>
      <c r="H412" s="275">
        <v>0</v>
      </c>
      <c r="I412" s="275">
        <v>0</v>
      </c>
      <c r="J412" s="275">
        <v>0</v>
      </c>
      <c r="K412" s="275">
        <v>0</v>
      </c>
      <c r="L412" s="275">
        <v>0</v>
      </c>
      <c r="M412" s="275">
        <v>0</v>
      </c>
      <c r="N412" s="275">
        <v>0</v>
      </c>
      <c r="O412" s="275">
        <v>0</v>
      </c>
      <c r="P412" s="275">
        <v>0</v>
      </c>
      <c r="Q412" s="275">
        <v>0</v>
      </c>
      <c r="R412" s="275">
        <v>0</v>
      </c>
      <c r="S412" s="275">
        <v>0</v>
      </c>
      <c r="T412" s="275">
        <v>0</v>
      </c>
      <c r="U412" s="275">
        <v>0</v>
      </c>
      <c r="V412" s="275">
        <v>0</v>
      </c>
      <c r="W412" s="275">
        <v>0</v>
      </c>
      <c r="X412" s="275">
        <v>0</v>
      </c>
      <c r="Y412" s="275">
        <v>0</v>
      </c>
      <c r="Z412" s="275">
        <v>0</v>
      </c>
      <c r="AA412" s="275">
        <v>0</v>
      </c>
      <c r="AB412" s="275">
        <v>0</v>
      </c>
      <c r="AC412" s="275">
        <v>0</v>
      </c>
      <c r="AE412" s="54">
        <f>SUM(F412:AC412)</f>
        <v>0</v>
      </c>
    </row>
    <row r="413" spans="1:32" s="23" customFormat="1" hidden="1" outlineLevel="2" x14ac:dyDescent="0.2">
      <c r="A413" t="str">
        <f ca="1">Language!A$384</f>
        <v xml:space="preserve">    ранее осуществленные инвестиции (без НДС)</v>
      </c>
      <c r="B413" s="274">
        <v>0</v>
      </c>
      <c r="C413" s="40" t="str">
        <f ca="1">CUR_Main</f>
        <v>тыс. EUR</v>
      </c>
      <c r="D413" s="23" t="s">
        <v>1227</v>
      </c>
      <c r="AE413" s="11"/>
    </row>
    <row r="414" spans="1:32" s="23" customFormat="1" hidden="1" outlineLevel="2" x14ac:dyDescent="0.2">
      <c r="A414" t="str">
        <f ca="1">Language!A$385</f>
        <v xml:space="preserve">    поставить на баланс с</v>
      </c>
      <c r="B414" s="270">
        <v>5</v>
      </c>
      <c r="C414" s="40" t="str">
        <f ca="1">Language!A$377</f>
        <v>периода</v>
      </c>
      <c r="AE414" s="11"/>
    </row>
    <row r="415" spans="1:32" s="16" customFormat="1" hidden="1" outlineLevel="2" x14ac:dyDescent="0.2">
      <c r="A415" s="74" t="str">
        <f ca="1">Language!A$403</f>
        <v xml:space="preserve">    импорт?</v>
      </c>
      <c r="B415" s="254">
        <v>2</v>
      </c>
      <c r="C415" s="116" t="str">
        <f ca="1">CHOOSE(B415,Language!A$375,Language!A$376)</f>
        <v>нет</v>
      </c>
      <c r="D415" s="46"/>
      <c r="E415" s="46"/>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7"/>
      <c r="AF415" s="110"/>
    </row>
    <row r="416" spans="1:32" s="16" customFormat="1" hidden="1" outlineLevel="2" x14ac:dyDescent="0.2">
      <c r="A416" s="74" t="str">
        <f ca="1">Language!A$404</f>
        <v xml:space="preserve">    пересечение границы при импорте</v>
      </c>
      <c r="B416" s="258">
        <v>1</v>
      </c>
      <c r="C416" s="17" t="str">
        <f ca="1">Language!A$378</f>
        <v>период</v>
      </c>
      <c r="F416" s="110"/>
      <c r="G416" s="110"/>
      <c r="H416" s="110"/>
      <c r="I416" s="110"/>
      <c r="J416" s="110"/>
      <c r="K416" s="110"/>
      <c r="L416" s="110"/>
      <c r="M416" s="110"/>
      <c r="N416" s="110"/>
      <c r="O416" s="110"/>
      <c r="P416" s="110"/>
      <c r="Q416" s="110"/>
      <c r="R416" s="110"/>
      <c r="S416" s="110"/>
      <c r="T416" s="110"/>
      <c r="U416" s="110"/>
      <c r="V416" s="110"/>
      <c r="W416" s="110"/>
      <c r="X416" s="110"/>
      <c r="Y416" s="110"/>
      <c r="Z416" s="110"/>
      <c r="AA416" s="110"/>
      <c r="AB416" s="110"/>
      <c r="AC416" s="110"/>
      <c r="AD416" s="110"/>
      <c r="AE416" s="117"/>
      <c r="AF416" s="110"/>
    </row>
    <row r="417" spans="1:32" s="16" customFormat="1" hidden="1" outlineLevel="2" x14ac:dyDescent="0.2">
      <c r="A417" s="74" t="str">
        <f ca="1">Language!A$405</f>
        <v xml:space="preserve">    импортная пошлина</v>
      </c>
      <c r="B417" s="276">
        <f>IF(B415=1,10%,0%)</f>
        <v>0</v>
      </c>
      <c r="C417" s="114" t="str">
        <f ca="1">CUR_Main</f>
        <v>тыс. EUR</v>
      </c>
      <c r="D417" s="46" t="s">
        <v>1066</v>
      </c>
      <c r="E417" s="46"/>
      <c r="F417" s="83">
        <f t="shared" ref="F417:AC417" si="781">IF($B415=1,IF($B416&gt;0,IF(F$29=$B416,$AE412*IF($B412=1,1,F$88)*$B417,0),0),0)</f>
        <v>0</v>
      </c>
      <c r="G417" s="83">
        <f t="shared" si="781"/>
        <v>0</v>
      </c>
      <c r="H417" s="83">
        <f t="shared" si="781"/>
        <v>0</v>
      </c>
      <c r="I417" s="83">
        <f t="shared" si="781"/>
        <v>0</v>
      </c>
      <c r="J417" s="83">
        <f t="shared" si="781"/>
        <v>0</v>
      </c>
      <c r="K417" s="83">
        <f t="shared" si="781"/>
        <v>0</v>
      </c>
      <c r="L417" s="83">
        <f t="shared" si="781"/>
        <v>0</v>
      </c>
      <c r="M417" s="83">
        <f t="shared" si="781"/>
        <v>0</v>
      </c>
      <c r="N417" s="83">
        <f t="shared" si="781"/>
        <v>0</v>
      </c>
      <c r="O417" s="83">
        <f t="shared" si="781"/>
        <v>0</v>
      </c>
      <c r="P417" s="83">
        <f t="shared" si="781"/>
        <v>0</v>
      </c>
      <c r="Q417" s="83">
        <f t="shared" si="781"/>
        <v>0</v>
      </c>
      <c r="R417" s="83">
        <f t="shared" si="781"/>
        <v>0</v>
      </c>
      <c r="S417" s="83">
        <f t="shared" si="781"/>
        <v>0</v>
      </c>
      <c r="T417" s="83">
        <f t="shared" si="781"/>
        <v>0</v>
      </c>
      <c r="U417" s="83">
        <f t="shared" si="781"/>
        <v>0</v>
      </c>
      <c r="V417" s="83">
        <f t="shared" si="781"/>
        <v>0</v>
      </c>
      <c r="W417" s="83">
        <f t="shared" si="781"/>
        <v>0</v>
      </c>
      <c r="X417" s="83">
        <f t="shared" si="781"/>
        <v>0</v>
      </c>
      <c r="Y417" s="83">
        <f t="shared" si="781"/>
        <v>0</v>
      </c>
      <c r="Z417" s="83">
        <f t="shared" si="781"/>
        <v>0</v>
      </c>
      <c r="AA417" s="83">
        <f t="shared" si="781"/>
        <v>0</v>
      </c>
      <c r="AB417" s="83">
        <f t="shared" si="781"/>
        <v>0</v>
      </c>
      <c r="AC417" s="83">
        <f t="shared" si="781"/>
        <v>0</v>
      </c>
      <c r="AD417" s="110"/>
      <c r="AE417" s="54">
        <f>SUM(F417:AC417)</f>
        <v>0</v>
      </c>
      <c r="AF417" s="117"/>
    </row>
    <row r="418" spans="1:32" s="23" customFormat="1" hidden="1" outlineLevel="2" x14ac:dyDescent="0.2">
      <c r="A418" t="str">
        <f ca="1">Language!A$394</f>
        <v xml:space="preserve">    амортизация (линейная),       для срока использования:</v>
      </c>
      <c r="B418" s="270">
        <v>0</v>
      </c>
      <c r="C418" s="40" t="str">
        <f ca="1">Language!A$33</f>
        <v>лет</v>
      </c>
      <c r="D418" s="131" t="s">
        <v>762</v>
      </c>
      <c r="F418" s="53">
        <f>IF(AND($B418&gt;0,SUM($E432:F432)&lt;=0.01),MIN(F425*100%/$B418*PRJ_Step/360,E429+F425-E425),0)</f>
        <v>0</v>
      </c>
      <c r="G418" s="53">
        <f>IF(AND($B418&gt;0,SUM($E432:G432)&lt;=0.01),MIN(G425*100%/$B418*PRJ_Step/360,F429+G425-F425),0)</f>
        <v>0</v>
      </c>
      <c r="H418" s="53">
        <f>IF(AND($B418&gt;0,SUM($E432:H432)&lt;=0.01),MIN(H425*100%/$B418*PRJ_Step/360,G429+H425-G425),0)</f>
        <v>0</v>
      </c>
      <c r="I418" s="53">
        <f>IF(AND($B418&gt;0,SUM($E432:I432)&lt;=0.01),MIN(I425*100%/$B418*PRJ_Step/360,H429+I425-H425),0)</f>
        <v>0</v>
      </c>
      <c r="J418" s="53">
        <f>IF(AND($B418&gt;0,SUM($E432:J432)&lt;=0.01),MIN(J425*100%/$B418*PRJ_Step/360,I429+J425-I425),0)</f>
        <v>0</v>
      </c>
      <c r="K418" s="53">
        <f>IF(AND($B418&gt;0,SUM($E432:K432)&lt;=0.01),MIN(K425*100%/$B418*PRJ_Step/360,J429+K425-J425),0)</f>
        <v>0</v>
      </c>
      <c r="L418" s="53">
        <f>IF(AND($B418&gt;0,SUM($E432:L432)&lt;=0.01),MIN(L425*100%/$B418*PRJ_Step/360,K429+L425-K425),0)</f>
        <v>0</v>
      </c>
      <c r="M418" s="53">
        <f>IF(AND($B418&gt;0,SUM($E432:M432)&lt;=0.01),MIN(M425*100%/$B418*PRJ_Step/360,L429+M425-L425),0)</f>
        <v>0</v>
      </c>
      <c r="N418" s="53">
        <f>IF(AND($B418&gt;0,SUM($E432:N432)&lt;=0.01),MIN(N425*100%/$B418*PRJ_Step/360,M429+N425-M425),0)</f>
        <v>0</v>
      </c>
      <c r="O418" s="53">
        <f>IF(AND($B418&gt;0,SUM($E432:O432)&lt;=0.01),MIN(O425*100%/$B418*PRJ_Step/360,N429+O425-N425),0)</f>
        <v>0</v>
      </c>
      <c r="P418" s="53">
        <f>IF(AND($B418&gt;0,SUM($E432:P432)&lt;=0.01),MIN(P425*100%/$B418*PRJ_Step/360,O429+P425-O425),0)</f>
        <v>0</v>
      </c>
      <c r="Q418" s="53">
        <f>IF(AND($B418&gt;0,SUM($E432:Q432)&lt;=0.01),MIN(Q425*100%/$B418*PRJ_Step/360,P429+Q425-P425),0)</f>
        <v>0</v>
      </c>
      <c r="R418" s="53">
        <f>IF(AND($B418&gt;0,SUM($E432:R432)&lt;=0.01),MIN(R425*100%/$B418*PRJ_Step/360,Q429+R425-Q425),0)</f>
        <v>0</v>
      </c>
      <c r="S418" s="53">
        <f>IF(AND($B418&gt;0,SUM($E432:S432)&lt;=0.01),MIN(S425*100%/$B418*PRJ_Step/360,R429+S425-R425),0)</f>
        <v>0</v>
      </c>
      <c r="T418" s="53">
        <f>IF(AND($B418&gt;0,SUM($E432:T432)&lt;=0.01),MIN(T425*100%/$B418*PRJ_Step/360,S429+T425-S425),0)</f>
        <v>0</v>
      </c>
      <c r="U418" s="53">
        <f>IF(AND($B418&gt;0,SUM($E432:U432)&lt;=0.01),MIN(U425*100%/$B418*PRJ_Step/360,T429+U425-T425),0)</f>
        <v>0</v>
      </c>
      <c r="V418" s="53">
        <f>IF(AND($B418&gt;0,SUM($E432:V432)&lt;=0.01),MIN(V425*100%/$B418*PRJ_Step/360,U429+V425-U425),0)</f>
        <v>0</v>
      </c>
      <c r="W418" s="53">
        <f>IF(AND($B418&gt;0,SUM($E432:W432)&lt;=0.01),MIN(W425*100%/$B418*PRJ_Step/360,V429+W425-V425),0)</f>
        <v>0</v>
      </c>
      <c r="X418" s="53">
        <f>IF(AND($B418&gt;0,SUM($E432:X432)&lt;=0.01),MIN(X425*100%/$B418*PRJ_Step/360,W429+X425-W425),0)</f>
        <v>0</v>
      </c>
      <c r="Y418" s="53">
        <f>IF(AND($B418&gt;0,SUM($E432:Y432)&lt;=0.01),MIN(Y425*100%/$B418*PRJ_Step/360,X429+Y425-X425),0)</f>
        <v>0</v>
      </c>
      <c r="Z418" s="53">
        <f>IF(AND($B418&gt;0,SUM($E432:Z432)&lt;=0.01),MIN(Z425*100%/$B418*PRJ_Step/360,Y429+Z425-Y425),0)</f>
        <v>0</v>
      </c>
      <c r="AA418" s="53">
        <f>IF(AND($B418&gt;0,SUM($E432:AA432)&lt;=0.01),MIN(AA425*100%/$B418*PRJ_Step/360,Z429+AA425-Z425),0)</f>
        <v>0</v>
      </c>
      <c r="AB418" s="53">
        <f>IF(AND($B418&gt;0,SUM($E432:AB432)&lt;=0.01),MIN(AB425*100%/$B418*PRJ_Step/360,AA429+AB425-AA425),0)</f>
        <v>0</v>
      </c>
      <c r="AC418" s="53">
        <f>IF(AND($B418&gt;0,SUM($E432:AC432)&lt;=0.01),MIN(AC425*100%/$B418*PRJ_Step/360,AB429+AC425-AB425),0)</f>
        <v>0</v>
      </c>
      <c r="AE418" s="54">
        <f>SUM(F418:AC418)</f>
        <v>0</v>
      </c>
    </row>
    <row r="419" spans="1:32" s="23" customFormat="1" hidden="1" outlineLevel="2" x14ac:dyDescent="0.2">
      <c r="A419" t="str">
        <f ca="1">Language!A$395</f>
        <v xml:space="preserve">    амортизация (ускоренная),    для срока использования:</v>
      </c>
      <c r="B419" s="270">
        <v>0</v>
      </c>
      <c r="C419" s="40" t="str">
        <f ca="1">Language!A$33</f>
        <v>лет</v>
      </c>
      <c r="D419" s="23" t="s">
        <v>834</v>
      </c>
      <c r="F419" s="53">
        <f>IF(SUM($E432:F432)&lt;=0.01,IF(OR($B419=0,E429+F425-E425=0),0,IF($B418&gt;0,0,IF(E429+F425-E425&gt;0.2*F425,MIN((E429+F425-E425)*2/$B419*PRJ_Step/360,E429+F425-E425),MIN(E429+F425-E425,F425*PRJ_Step/360/IF($B419&lt;4,1,IF($B419&gt;5,3,2)))))),0)</f>
        <v>0</v>
      </c>
      <c r="G419" s="53">
        <f>IF(SUM($E432:G432)&lt;=0.01,IF(OR($B419=0,F429+G425-F425=0),0,IF($B418&gt;0,0,IF(F429+G425-F425&gt;0.2*G425,MIN((F429+G425-F425)*2/$B419*PRJ_Step/360,F429+G425-F425),MIN(F429+G425-F425,G425*PRJ_Step/360/IF($B419&lt;4,1,IF($B419&gt;5,3,2)))))),0)</f>
        <v>0</v>
      </c>
      <c r="H419" s="53">
        <f>IF(SUM($E432:H432)&lt;=0.01,IF(OR($B419=0,G429+H425-G425=0),0,IF($B418&gt;0,0,IF(G429+H425-G425&gt;0.2*H425,MIN((G429+H425-G425)*2/$B419*PRJ_Step/360,G429+H425-G425),MIN(G429+H425-G425,H425*PRJ_Step/360/IF($B419&lt;4,1,IF($B419&gt;5,3,2)))))),0)</f>
        <v>0</v>
      </c>
      <c r="I419" s="53">
        <f>IF(SUM($E432:I432)&lt;=0.01,IF(OR($B419=0,H429+I425-H425=0),0,IF($B418&gt;0,0,IF(H429+I425-H425&gt;0.2*I425,MIN((H429+I425-H425)*2/$B419*PRJ_Step/360,H429+I425-H425),MIN(H429+I425-H425,I425*PRJ_Step/360/IF($B419&lt;4,1,IF($B419&gt;5,3,2)))))),0)</f>
        <v>0</v>
      </c>
      <c r="J419" s="53">
        <f>IF(SUM($E432:J432)&lt;=0.01,IF(OR($B419=0,I429+J425-I425=0),0,IF($B418&gt;0,0,IF(I429+J425-I425&gt;0.2*J425,MIN((I429+J425-I425)*2/$B419*PRJ_Step/360,I429+J425-I425),MIN(I429+J425-I425,J425*PRJ_Step/360/IF($B419&lt;4,1,IF($B419&gt;5,3,2)))))),0)</f>
        <v>0</v>
      </c>
      <c r="K419" s="53">
        <f>IF(SUM($E432:K432)&lt;=0.01,IF(OR($B419=0,J429+K425-J425=0),0,IF($B418&gt;0,0,IF(J429+K425-J425&gt;0.2*K425,MIN((J429+K425-J425)*2/$B419*PRJ_Step/360,J429+K425-J425),MIN(J429+K425-J425,K425*PRJ_Step/360/IF($B419&lt;4,1,IF($B419&gt;5,3,2)))))),0)</f>
        <v>0</v>
      </c>
      <c r="L419" s="53">
        <f>IF(SUM($E432:L432)&lt;=0.01,IF(OR($B419=0,K429+L425-K425=0),0,IF($B418&gt;0,0,IF(K429+L425-K425&gt;0.2*L425,MIN((K429+L425-K425)*2/$B419*PRJ_Step/360,K429+L425-K425),MIN(K429+L425-K425,L425*PRJ_Step/360/IF($B419&lt;4,1,IF($B419&gt;5,3,2)))))),0)</f>
        <v>0</v>
      </c>
      <c r="M419" s="53">
        <f>IF(SUM($E432:M432)&lt;=0.01,IF(OR($B419=0,L429+M425-L425=0),0,IF($B418&gt;0,0,IF(L429+M425-L425&gt;0.2*M425,MIN((L429+M425-L425)*2/$B419*PRJ_Step/360,L429+M425-L425),MIN(L429+M425-L425,M425*PRJ_Step/360/IF($B419&lt;4,1,IF($B419&gt;5,3,2)))))),0)</f>
        <v>0</v>
      </c>
      <c r="N419" s="53">
        <f>IF(SUM($E432:N432)&lt;=0.01,IF(OR($B419=0,M429+N425-M425=0),0,IF($B418&gt;0,0,IF(M429+N425-M425&gt;0.2*N425,MIN((M429+N425-M425)*2/$B419*PRJ_Step/360,M429+N425-M425),MIN(M429+N425-M425,N425*PRJ_Step/360/IF($B419&lt;4,1,IF($B419&gt;5,3,2)))))),0)</f>
        <v>0</v>
      </c>
      <c r="O419" s="53">
        <f>IF(SUM($E432:O432)&lt;=0.01,IF(OR($B419=0,N429+O425-N425=0),0,IF($B418&gt;0,0,IF(N429+O425-N425&gt;0.2*O425,MIN((N429+O425-N425)*2/$B419*PRJ_Step/360,N429+O425-N425),MIN(N429+O425-N425,O425*PRJ_Step/360/IF($B419&lt;4,1,IF($B419&gt;5,3,2)))))),0)</f>
        <v>0</v>
      </c>
      <c r="P419" s="53">
        <f>IF(SUM($E432:P432)&lt;=0.01,IF(OR($B419=0,O429+P425-O425=0),0,IF($B418&gt;0,0,IF(O429+P425-O425&gt;0.2*P425,MIN((O429+P425-O425)*2/$B419*PRJ_Step/360,O429+P425-O425),MIN(O429+P425-O425,P425*PRJ_Step/360/IF($B419&lt;4,1,IF($B419&gt;5,3,2)))))),0)</f>
        <v>0</v>
      </c>
      <c r="Q419" s="53">
        <f>IF(SUM($E432:Q432)&lt;=0.01,IF(OR($B419=0,P429+Q425-P425=0),0,IF($B418&gt;0,0,IF(P429+Q425-P425&gt;0.2*Q425,MIN((P429+Q425-P425)*2/$B419*PRJ_Step/360,P429+Q425-P425),MIN(P429+Q425-P425,Q425*PRJ_Step/360/IF($B419&lt;4,1,IF($B419&gt;5,3,2)))))),0)</f>
        <v>0</v>
      </c>
      <c r="R419" s="53">
        <f>IF(SUM($E432:R432)&lt;=0.01,IF(OR($B419=0,Q429+R425-Q425=0),0,IF($B418&gt;0,0,IF(Q429+R425-Q425&gt;0.2*R425,MIN((Q429+R425-Q425)*2/$B419*PRJ_Step/360,Q429+R425-Q425),MIN(Q429+R425-Q425,R425*PRJ_Step/360/IF($B419&lt;4,1,IF($B419&gt;5,3,2)))))),0)</f>
        <v>0</v>
      </c>
      <c r="S419" s="53">
        <f>IF(SUM($E432:S432)&lt;=0.01,IF(OR($B419=0,R429+S425-R425=0),0,IF($B418&gt;0,0,IF(R429+S425-R425&gt;0.2*S425,MIN((R429+S425-R425)*2/$B419*PRJ_Step/360,R429+S425-R425),MIN(R429+S425-R425,S425*PRJ_Step/360/IF($B419&lt;4,1,IF($B419&gt;5,3,2)))))),0)</f>
        <v>0</v>
      </c>
      <c r="T419" s="53">
        <f>IF(SUM($E432:T432)&lt;=0.01,IF(OR($B419=0,S429+T425-S425=0),0,IF($B418&gt;0,0,IF(S429+T425-S425&gt;0.2*T425,MIN((S429+T425-S425)*2/$B419*PRJ_Step/360,S429+T425-S425),MIN(S429+T425-S425,T425*PRJ_Step/360/IF($B419&lt;4,1,IF($B419&gt;5,3,2)))))),0)</f>
        <v>0</v>
      </c>
      <c r="U419" s="53">
        <f>IF(SUM($E432:U432)&lt;=0.01,IF(OR($B419=0,T429+U425-T425=0),0,IF($B418&gt;0,0,IF(T429+U425-T425&gt;0.2*U425,MIN((T429+U425-T425)*2/$B419*PRJ_Step/360,T429+U425-T425),MIN(T429+U425-T425,U425*PRJ_Step/360/IF($B419&lt;4,1,IF($B419&gt;5,3,2)))))),0)</f>
        <v>0</v>
      </c>
      <c r="V419" s="53">
        <f>IF(SUM($E432:V432)&lt;=0.01,IF(OR($B419=0,U429+V425-U425=0),0,IF($B418&gt;0,0,IF(U429+V425-U425&gt;0.2*V425,MIN((U429+V425-U425)*2/$B419*PRJ_Step/360,U429+V425-U425),MIN(U429+V425-U425,V425*PRJ_Step/360/IF($B419&lt;4,1,IF($B419&gt;5,3,2)))))),0)</f>
        <v>0</v>
      </c>
      <c r="W419" s="53">
        <f>IF(SUM($E432:W432)&lt;=0.01,IF(OR($B419=0,V429+W425-V425=0),0,IF($B418&gt;0,0,IF(V429+W425-V425&gt;0.2*W425,MIN((V429+W425-V425)*2/$B419*PRJ_Step/360,V429+W425-V425),MIN(V429+W425-V425,W425*PRJ_Step/360/IF($B419&lt;4,1,IF($B419&gt;5,3,2)))))),0)</f>
        <v>0</v>
      </c>
      <c r="X419" s="53">
        <f>IF(SUM($E432:X432)&lt;=0.01,IF(OR($B419=0,W429+X425-W425=0),0,IF($B418&gt;0,0,IF(W429+X425-W425&gt;0.2*X425,MIN((W429+X425-W425)*2/$B419*PRJ_Step/360,W429+X425-W425),MIN(W429+X425-W425,X425*PRJ_Step/360/IF($B419&lt;4,1,IF($B419&gt;5,3,2)))))),0)</f>
        <v>0</v>
      </c>
      <c r="Y419" s="53">
        <f>IF(SUM($E432:Y432)&lt;=0.01,IF(OR($B419=0,X429+Y425-X425=0),0,IF($B418&gt;0,0,IF(X429+Y425-X425&gt;0.2*Y425,MIN((X429+Y425-X425)*2/$B419*PRJ_Step/360,X429+Y425-X425),MIN(X429+Y425-X425,Y425*PRJ_Step/360/IF($B419&lt;4,1,IF($B419&gt;5,3,2)))))),0)</f>
        <v>0</v>
      </c>
      <c r="Z419" s="53">
        <f>IF(SUM($E432:Z432)&lt;=0.01,IF(OR($B419=0,Y429+Z425-Y425=0),0,IF($B418&gt;0,0,IF(Y429+Z425-Y425&gt;0.2*Z425,MIN((Y429+Z425-Y425)*2/$B419*PRJ_Step/360,Y429+Z425-Y425),MIN(Y429+Z425-Y425,Z425*PRJ_Step/360/IF($B419&lt;4,1,IF($B419&gt;5,3,2)))))),0)</f>
        <v>0</v>
      </c>
      <c r="AA419" s="53">
        <f>IF(SUM($E432:AA432)&lt;=0.01,IF(OR($B419=0,Z429+AA425-Z425=0),0,IF($B418&gt;0,0,IF(Z429+AA425-Z425&gt;0.2*AA425,MIN((Z429+AA425-Z425)*2/$B419*PRJ_Step/360,Z429+AA425-Z425),MIN(Z429+AA425-Z425,AA425*PRJ_Step/360/IF($B419&lt;4,1,IF($B419&gt;5,3,2)))))),0)</f>
        <v>0</v>
      </c>
      <c r="AB419" s="53">
        <f>IF(SUM($E432:AB432)&lt;=0.01,IF(OR($B419=0,AA429+AB425-AA425=0),0,IF($B418&gt;0,0,IF(AA429+AB425-AA425&gt;0.2*AB425,MIN((AA429+AB425-AA425)*2/$B419*PRJ_Step/360,AA429+AB425-AA425),MIN(AA429+AB425-AA425,AB425*PRJ_Step/360/IF($B419&lt;4,1,IF($B419&gt;5,3,2)))))),0)</f>
        <v>0</v>
      </c>
      <c r="AC419" s="53">
        <f>IF(SUM($E432:AC432)&lt;=0.01,IF(OR($B419=0,AB429+AC425-AB425=0),0,IF($B418&gt;0,0,IF(AB429+AC425-AB425&gt;0.2*AC425,MIN((AB429+AC425-AB425)*2/$B419*PRJ_Step/360,AB429+AC425-AB425),MIN(AB429+AC425-AB425,AC425*PRJ_Step/360/IF($B419&lt;4,1,IF($B419&gt;5,3,2)))))),0)</f>
        <v>0</v>
      </c>
      <c r="AE419" s="54">
        <f>SUM(F419:AC419)</f>
        <v>0</v>
      </c>
    </row>
    <row r="420" spans="1:32" s="23" customFormat="1" hidden="1" outlineLevel="2" x14ac:dyDescent="0.2">
      <c r="A420" t="str">
        <f ca="1">Language!A$396</f>
        <v xml:space="preserve">    выплаченный НДС</v>
      </c>
      <c r="B420" s="272">
        <f>VAT</f>
        <v>0.23</v>
      </c>
      <c r="C420" s="40" t="str">
        <f ca="1">CUR_Main</f>
        <v>тыс. EUR</v>
      </c>
      <c r="D420" s="23" t="s">
        <v>835</v>
      </c>
      <c r="F420" s="110">
        <f t="shared" ref="F420:X420" si="782">IF($B415=2,F422*$B420,IF(F$29=$B416,$B423*$B420,0))</f>
        <v>0</v>
      </c>
      <c r="G420" s="110">
        <f t="shared" si="782"/>
        <v>0</v>
      </c>
      <c r="H420" s="110">
        <f t="shared" si="782"/>
        <v>0</v>
      </c>
      <c r="I420" s="110">
        <f t="shared" si="782"/>
        <v>0</v>
      </c>
      <c r="J420" s="110">
        <f t="shared" si="782"/>
        <v>0</v>
      </c>
      <c r="K420" s="110">
        <f t="shared" si="782"/>
        <v>0</v>
      </c>
      <c r="L420" s="110">
        <f t="shared" si="782"/>
        <v>0</v>
      </c>
      <c r="M420" s="110">
        <f t="shared" si="782"/>
        <v>0</v>
      </c>
      <c r="N420" s="110">
        <f t="shared" si="782"/>
        <v>0</v>
      </c>
      <c r="O420" s="110">
        <f t="shared" si="782"/>
        <v>0</v>
      </c>
      <c r="P420" s="110">
        <f t="shared" si="782"/>
        <v>0</v>
      </c>
      <c r="Q420" s="110">
        <f t="shared" si="782"/>
        <v>0</v>
      </c>
      <c r="R420" s="110">
        <f t="shared" si="782"/>
        <v>0</v>
      </c>
      <c r="S420" s="110">
        <f t="shared" si="782"/>
        <v>0</v>
      </c>
      <c r="T420" s="110">
        <f t="shared" si="782"/>
        <v>0</v>
      </c>
      <c r="U420" s="110">
        <f t="shared" si="782"/>
        <v>0</v>
      </c>
      <c r="V420" s="110">
        <f t="shared" si="782"/>
        <v>0</v>
      </c>
      <c r="W420" s="110">
        <f t="shared" si="782"/>
        <v>0</v>
      </c>
      <c r="X420" s="110">
        <f t="shared" si="782"/>
        <v>0</v>
      </c>
      <c r="Y420" s="110">
        <f t="shared" ref="Y420" si="783">IF($B415=2,Y422*$B420,IF(Y$29=$B416,$B423*$B420,0))</f>
        <v>0</v>
      </c>
      <c r="Z420" s="110">
        <f t="shared" ref="Z420" si="784">IF($B415=2,Z422*$B420,IF(Z$29=$B416,$B423*$B420,0))</f>
        <v>0</v>
      </c>
      <c r="AA420" s="110">
        <f t="shared" ref="AA420" si="785">IF($B415=2,AA422*$B420,IF(AA$29=$B416,$B423*$B420,0))</f>
        <v>0</v>
      </c>
      <c r="AB420" s="110">
        <f t="shared" ref="AB420:AC420" si="786">IF($B415=2,AB422*$B420,IF(AB$29=$B416,$B423*$B420,0))</f>
        <v>0</v>
      </c>
      <c r="AC420" s="110">
        <f t="shared" si="786"/>
        <v>0</v>
      </c>
      <c r="AE420" s="54">
        <f>SUM(F420:AC420)</f>
        <v>0</v>
      </c>
    </row>
    <row r="421" spans="1:32" s="23" customFormat="1" hidden="1" outlineLevel="2" x14ac:dyDescent="0.2">
      <c r="A421" t="str">
        <f ca="1">Language!A$397</f>
        <v xml:space="preserve">    вариант зачета НДС</v>
      </c>
      <c r="B421" s="254">
        <v>2</v>
      </c>
      <c r="C421" s="85" t="str">
        <f ca="1">CHOOSE(B421,Language!A$373,Language!A$374)</f>
        <v>после постановки актива на баланс</v>
      </c>
      <c r="F421" s="110"/>
      <c r="G421" s="110"/>
      <c r="H421" s="110"/>
      <c r="I421" s="110"/>
      <c r="J421" s="110"/>
      <c r="K421" s="110"/>
      <c r="L421" s="110"/>
      <c r="M421" s="110"/>
      <c r="N421" s="110"/>
      <c r="O421" s="110"/>
      <c r="P421" s="110"/>
      <c r="Q421" s="110"/>
      <c r="R421" s="110"/>
      <c r="S421" s="110"/>
      <c r="T421" s="110"/>
      <c r="U421" s="110"/>
      <c r="V421" s="110"/>
      <c r="W421" s="110"/>
      <c r="X421" s="110"/>
      <c r="Y421" s="110"/>
      <c r="Z421" s="110"/>
      <c r="AA421" s="110"/>
      <c r="AB421" s="110"/>
      <c r="AC421" s="110"/>
      <c r="AE421" s="54"/>
    </row>
    <row r="422" spans="1:32" s="23" customFormat="1" hidden="1" outlineLevel="2" x14ac:dyDescent="0.2">
      <c r="A422" t="str">
        <f ca="1">Language!A$386</f>
        <v xml:space="preserve">    сумма платежей без НДС</v>
      </c>
      <c r="C422" s="40" t="str">
        <f t="shared" ref="C422:C434" ca="1" si="787">CUR_Main</f>
        <v>тыс. EUR</v>
      </c>
      <c r="D422" s="23" t="s">
        <v>2441</v>
      </c>
      <c r="F422" s="84">
        <f t="shared" ref="F422:X422" si="788">IF($B415=2,F412*IF($B412=1,1,F$88)/(1+$B420),F412*IF($B412=1,1,F$88))</f>
        <v>0</v>
      </c>
      <c r="G422" s="84">
        <f t="shared" si="788"/>
        <v>0</v>
      </c>
      <c r="H422" s="84">
        <f t="shared" si="788"/>
        <v>0</v>
      </c>
      <c r="I422" s="84">
        <f t="shared" si="788"/>
        <v>0</v>
      </c>
      <c r="J422" s="84">
        <f t="shared" si="788"/>
        <v>0</v>
      </c>
      <c r="K422" s="84">
        <f t="shared" si="788"/>
        <v>0</v>
      </c>
      <c r="L422" s="84">
        <f t="shared" si="788"/>
        <v>0</v>
      </c>
      <c r="M422" s="84">
        <f t="shared" si="788"/>
        <v>0</v>
      </c>
      <c r="N422" s="84">
        <f t="shared" si="788"/>
        <v>0</v>
      </c>
      <c r="O422" s="84">
        <f t="shared" si="788"/>
        <v>0</v>
      </c>
      <c r="P422" s="84">
        <f t="shared" si="788"/>
        <v>0</v>
      </c>
      <c r="Q422" s="84">
        <f t="shared" si="788"/>
        <v>0</v>
      </c>
      <c r="R422" s="84">
        <f t="shared" si="788"/>
        <v>0</v>
      </c>
      <c r="S422" s="84">
        <f t="shared" si="788"/>
        <v>0</v>
      </c>
      <c r="T422" s="84">
        <f t="shared" si="788"/>
        <v>0</v>
      </c>
      <c r="U422" s="84">
        <f t="shared" si="788"/>
        <v>0</v>
      </c>
      <c r="V422" s="84">
        <f t="shared" si="788"/>
        <v>0</v>
      </c>
      <c r="W422" s="84">
        <f t="shared" si="788"/>
        <v>0</v>
      </c>
      <c r="X422" s="84">
        <f t="shared" si="788"/>
        <v>0</v>
      </c>
      <c r="Y422" s="84">
        <f t="shared" ref="Y422" si="789">IF($B415=2,Y412*IF($B412=1,1,Y$88)/(1+$B420),Y412*IF($B412=1,1,Y$88))</f>
        <v>0</v>
      </c>
      <c r="Z422" s="84">
        <f t="shared" ref="Z422" si="790">IF($B415=2,Z412*IF($B412=1,1,Z$88)/(1+$B420),Z412*IF($B412=1,1,Z$88))</f>
        <v>0</v>
      </c>
      <c r="AA422" s="84">
        <f t="shared" ref="AA422" si="791">IF($B415=2,AA412*IF($B412=1,1,AA$88)/(1+$B420),AA412*IF($B412=1,1,AA$88))</f>
        <v>0</v>
      </c>
      <c r="AB422" s="84">
        <f t="shared" ref="AB422:AC422" si="792">IF($B415=2,AB412*IF($B412=1,1,AB$88)/(1+$B420),AB412*IF($B412=1,1,AB$88))</f>
        <v>0</v>
      </c>
      <c r="AC422" s="84">
        <f t="shared" si="792"/>
        <v>0</v>
      </c>
      <c r="AE422" s="54">
        <f>SUM(F422:AC422)</f>
        <v>0</v>
      </c>
    </row>
    <row r="423" spans="1:32" s="23" customFormat="1" hidden="1" outlineLevel="2" x14ac:dyDescent="0.2">
      <c r="A423" t="str">
        <f ca="1">Language!A$387</f>
        <v xml:space="preserve">    общая стоимость актива (без НДС)</v>
      </c>
      <c r="B423" s="55">
        <f>AE422+B413+AE417</f>
        <v>0</v>
      </c>
      <c r="C423" s="40" t="str">
        <f t="shared" ca="1" si="787"/>
        <v>тыс. EUR</v>
      </c>
      <c r="AE423" s="11"/>
    </row>
    <row r="424" spans="1:32" s="23" customFormat="1" hidden="1" outlineLevel="2" x14ac:dyDescent="0.2">
      <c r="A424" t="str">
        <f ca="1">Language!A$388</f>
        <v xml:space="preserve">    полная сумма вложений в актив (без НДС)</v>
      </c>
      <c r="C424" s="40" t="str">
        <f t="shared" ca="1" si="787"/>
        <v>тыс. EUR</v>
      </c>
      <c r="D424" s="23" t="s">
        <v>840</v>
      </c>
      <c r="F424" s="53">
        <f>B413+F422+F417</f>
        <v>0</v>
      </c>
      <c r="G424" s="53">
        <f t="shared" ref="G424" si="793">F424+G422+G417</f>
        <v>0</v>
      </c>
      <c r="H424" s="53">
        <f t="shared" ref="H424" si="794">G424+H422+H417</f>
        <v>0</v>
      </c>
      <c r="I424" s="53">
        <f t="shared" ref="I424" si="795">H424+I422+I417</f>
        <v>0</v>
      </c>
      <c r="J424" s="53">
        <f t="shared" ref="J424" si="796">I424+J422+J417</f>
        <v>0</v>
      </c>
      <c r="K424" s="53">
        <f t="shared" ref="K424" si="797">J424+K422+K417</f>
        <v>0</v>
      </c>
      <c r="L424" s="53">
        <f t="shared" ref="L424" si="798">K424+L422+L417</f>
        <v>0</v>
      </c>
      <c r="M424" s="53">
        <f t="shared" ref="M424" si="799">L424+M422+M417</f>
        <v>0</v>
      </c>
      <c r="N424" s="53">
        <f t="shared" ref="N424" si="800">M424+N422+N417</f>
        <v>0</v>
      </c>
      <c r="O424" s="53">
        <f t="shared" ref="O424" si="801">N424+O422+O417</f>
        <v>0</v>
      </c>
      <c r="P424" s="53">
        <f t="shared" ref="P424" si="802">O424+P422+P417</f>
        <v>0</v>
      </c>
      <c r="Q424" s="53">
        <f t="shared" ref="Q424" si="803">P424+Q422+Q417</f>
        <v>0</v>
      </c>
      <c r="R424" s="53">
        <f t="shared" ref="R424" si="804">Q424+R422+R417</f>
        <v>0</v>
      </c>
      <c r="S424" s="53">
        <f t="shared" ref="S424" si="805">R424+S422+S417</f>
        <v>0</v>
      </c>
      <c r="T424" s="53">
        <f t="shared" ref="T424" si="806">S424+T422+T417</f>
        <v>0</v>
      </c>
      <c r="U424" s="53">
        <f t="shared" ref="U424" si="807">T424+U422+U417</f>
        <v>0</v>
      </c>
      <c r="V424" s="53">
        <f t="shared" ref="V424" si="808">U424+V422+V417</f>
        <v>0</v>
      </c>
      <c r="W424" s="53">
        <f t="shared" ref="W424" si="809">V424+W422+W417</f>
        <v>0</v>
      </c>
      <c r="X424" s="53">
        <f t="shared" ref="X424:AC424" si="810">W424+X422+X417</f>
        <v>0</v>
      </c>
      <c r="Y424" s="53">
        <f t="shared" si="810"/>
        <v>0</v>
      </c>
      <c r="Z424" s="53">
        <f t="shared" si="810"/>
        <v>0</v>
      </c>
      <c r="AA424" s="53">
        <f t="shared" si="810"/>
        <v>0</v>
      </c>
      <c r="AB424" s="53">
        <f t="shared" si="810"/>
        <v>0</v>
      </c>
      <c r="AC424" s="53">
        <f t="shared" si="810"/>
        <v>0</v>
      </c>
      <c r="AE424" s="54"/>
    </row>
    <row r="425" spans="1:32" s="23" customFormat="1" hidden="1" outlineLevel="2" x14ac:dyDescent="0.2">
      <c r="A425" t="str">
        <f ca="1">Language!A$389</f>
        <v xml:space="preserve">    полная балансовая стоимость</v>
      </c>
      <c r="C425" s="40" t="str">
        <f t="shared" ca="1" si="787"/>
        <v>тыс. EUR</v>
      </c>
      <c r="D425" s="23" t="s">
        <v>841</v>
      </c>
      <c r="F425" s="53">
        <f>IF($B414&lt;=F$29,IF(SUM($E432:F432)&gt;0.01,0,$B423),0)</f>
        <v>0</v>
      </c>
      <c r="G425" s="53">
        <f>IF($B414&lt;=G$29,IF(SUM($E432:G432)&gt;0.01,0,$B423),0)</f>
        <v>0</v>
      </c>
      <c r="H425" s="53">
        <f>IF($B414&lt;=H$29,IF(SUM($E432:H432)&gt;0.01,0,$B423),0)</f>
        <v>0</v>
      </c>
      <c r="I425" s="53">
        <f>IF($B414&lt;=I$29,IF(SUM($E432:I432)&gt;0.01,0,$B423),0)</f>
        <v>0</v>
      </c>
      <c r="J425" s="53">
        <f>IF($B414&lt;=J$29,IF(SUM($E432:J432)&gt;0.01,0,$B423),0)</f>
        <v>0</v>
      </c>
      <c r="K425" s="53">
        <f>IF($B414&lt;=K$29,IF(SUM($E432:K432)&gt;0.01,0,$B423),0)</f>
        <v>0</v>
      </c>
      <c r="L425" s="53">
        <f>IF($B414&lt;=L$29,IF(SUM($E432:L432)&gt;0.01,0,$B423),0)</f>
        <v>0</v>
      </c>
      <c r="M425" s="53">
        <f>IF($B414&lt;=M$29,IF(SUM($E432:M432)&gt;0.01,0,$B423),0)</f>
        <v>0</v>
      </c>
      <c r="N425" s="53">
        <f>IF($B414&lt;=N$29,IF(SUM($E432:N432)&gt;0.01,0,$B423),0)</f>
        <v>0</v>
      </c>
      <c r="O425" s="53">
        <f>IF($B414&lt;=O$29,IF(SUM($E432:O432)&gt;0.01,0,$B423),0)</f>
        <v>0</v>
      </c>
      <c r="P425" s="53">
        <f>IF($B414&lt;=P$29,IF(SUM($E432:P432)&gt;0.01,0,$B423),0)</f>
        <v>0</v>
      </c>
      <c r="Q425" s="53">
        <f>IF($B414&lt;=Q$29,IF(SUM($E432:Q432)&gt;0.01,0,$B423),0)</f>
        <v>0</v>
      </c>
      <c r="R425" s="53">
        <f>IF($B414&lt;=R$29,IF(SUM($E432:R432)&gt;0.01,0,$B423),0)</f>
        <v>0</v>
      </c>
      <c r="S425" s="53">
        <f>IF($B414&lt;=S$29,IF(SUM($E432:S432)&gt;0.01,0,$B423),0)</f>
        <v>0</v>
      </c>
      <c r="T425" s="53">
        <f>IF($B414&lt;=T$29,IF(SUM($E432:T432)&gt;0.01,0,$B423),0)</f>
        <v>0</v>
      </c>
      <c r="U425" s="53">
        <f>IF($B414&lt;=U$29,IF(SUM($E432:U432)&gt;0.01,0,$B423),0)</f>
        <v>0</v>
      </c>
      <c r="V425" s="53">
        <f>IF($B414&lt;=V$29,IF(SUM($E432:V432)&gt;0.01,0,$B423),0)</f>
        <v>0</v>
      </c>
      <c r="W425" s="53">
        <f>IF($B414&lt;=W$29,IF(SUM($E432:W432)&gt;0.01,0,$B423),0)</f>
        <v>0</v>
      </c>
      <c r="X425" s="53">
        <f>IF($B414&lt;=X$29,IF(SUM($E432:X432)&gt;0.01,0,$B423),0)</f>
        <v>0</v>
      </c>
      <c r="Y425" s="53">
        <f>IF($B414&lt;=Y$29,IF(SUM($E432:Y432)&gt;0.01,0,$B423),0)</f>
        <v>0</v>
      </c>
      <c r="Z425" s="53">
        <f>IF($B414&lt;=Z$29,IF(SUM($E432:Z432)&gt;0.01,0,$B423),0)</f>
        <v>0</v>
      </c>
      <c r="AA425" s="53">
        <f>IF($B414&lt;=AA$29,IF(SUM($E432:AA432)&gt;0.01,0,$B423),0)</f>
        <v>0</v>
      </c>
      <c r="AB425" s="53">
        <f>IF($B414&lt;=AB$29,IF(SUM($E432:AB432)&gt;0.01,0,$B423),0)</f>
        <v>0</v>
      </c>
      <c r="AC425" s="53">
        <f>IF($B414&lt;=AC$29,IF(SUM($E432:AC432)&gt;0.01,0,$B423),0)</f>
        <v>0</v>
      </c>
      <c r="AE425" s="11"/>
    </row>
    <row r="426" spans="1:32" s="23" customFormat="1" hidden="1" outlineLevel="2" x14ac:dyDescent="0.2">
      <c r="A426" t="str">
        <f ca="1">Language!A$390</f>
        <v xml:space="preserve">    незавершенные инвестиции</v>
      </c>
      <c r="C426" s="40" t="str">
        <f t="shared" ca="1" si="787"/>
        <v>тыс. EUR</v>
      </c>
      <c r="D426" s="23" t="s">
        <v>844</v>
      </c>
      <c r="F426" s="53">
        <f>IF(SUM($E432:F432)&gt;0,0,IF($B414&gt;F$29,F424,0))</f>
        <v>0</v>
      </c>
      <c r="G426" s="53">
        <f>IF(SUM($E432:G432)&gt;0,0,IF($B414&gt;G$29,G424,0))</f>
        <v>0</v>
      </c>
      <c r="H426" s="53">
        <f>IF(SUM($E432:H432)&gt;0,0,IF($B414&gt;H$29,H424,0))</f>
        <v>0</v>
      </c>
      <c r="I426" s="53">
        <f>IF(SUM($E432:I432)&gt;0,0,IF($B414&gt;I$29,I424,0))</f>
        <v>0</v>
      </c>
      <c r="J426" s="53">
        <f>IF(SUM($E432:J432)&gt;0,0,IF($B414&gt;J$29,J424,0))</f>
        <v>0</v>
      </c>
      <c r="K426" s="53">
        <f>IF(SUM($E432:K432)&gt;0,0,IF($B414&gt;K$29,K424,0))</f>
        <v>0</v>
      </c>
      <c r="L426" s="53">
        <f>IF(SUM($E432:L432)&gt;0,0,IF($B414&gt;L$29,L424,0))</f>
        <v>0</v>
      </c>
      <c r="M426" s="53">
        <f>IF(SUM($E432:M432)&gt;0,0,IF($B414&gt;M$29,M424,0))</f>
        <v>0</v>
      </c>
      <c r="N426" s="53">
        <f>IF(SUM($E432:N432)&gt;0,0,IF($B414&gt;N$29,N424,0))</f>
        <v>0</v>
      </c>
      <c r="O426" s="53">
        <f>IF(SUM($E432:O432)&gt;0,0,IF($B414&gt;O$29,O424,0))</f>
        <v>0</v>
      </c>
      <c r="P426" s="53">
        <f>IF(SUM($E432:P432)&gt;0,0,IF($B414&gt;P$29,P424,0))</f>
        <v>0</v>
      </c>
      <c r="Q426" s="53">
        <f>IF(SUM($E432:Q432)&gt;0,0,IF($B414&gt;Q$29,Q424,0))</f>
        <v>0</v>
      </c>
      <c r="R426" s="53">
        <f>IF(SUM($E432:R432)&gt;0,0,IF($B414&gt;R$29,R424,0))</f>
        <v>0</v>
      </c>
      <c r="S426" s="53">
        <f>IF(SUM($E432:S432)&gt;0,0,IF($B414&gt;S$29,S424,0))</f>
        <v>0</v>
      </c>
      <c r="T426" s="53">
        <f>IF(SUM($E432:T432)&gt;0,0,IF($B414&gt;T$29,T424,0))</f>
        <v>0</v>
      </c>
      <c r="U426" s="53">
        <f>IF(SUM($E432:U432)&gt;0,0,IF($B414&gt;U$29,U424,0))</f>
        <v>0</v>
      </c>
      <c r="V426" s="53">
        <f>IF(SUM($E432:V432)&gt;0,0,IF($B414&gt;V$29,V424,0))</f>
        <v>0</v>
      </c>
      <c r="W426" s="53">
        <f>IF(SUM($E432:W432)&gt;0,0,IF($B414&gt;W$29,W424,0))</f>
        <v>0</v>
      </c>
      <c r="X426" s="53">
        <f>IF(SUM($E432:X432)&gt;0,0,IF($B414&gt;X$29,X424,0))</f>
        <v>0</v>
      </c>
      <c r="Y426" s="53">
        <f>IF(SUM($E432:Y432)&gt;0,0,IF($B414&gt;Y$29,Y424,0))</f>
        <v>0</v>
      </c>
      <c r="Z426" s="53">
        <f>IF(SUM($E432:Z432)&gt;0,0,IF($B414&gt;Z$29,Z424,0))</f>
        <v>0</v>
      </c>
      <c r="AA426" s="53">
        <f>IF(SUM($E432:AA432)&gt;0,0,IF($B414&gt;AA$29,AA424,0))</f>
        <v>0</v>
      </c>
      <c r="AB426" s="53">
        <f>IF(SUM($E432:AB432)&gt;0,0,IF($B414&gt;AB$29,AB424,0))</f>
        <v>0</v>
      </c>
      <c r="AC426" s="53">
        <f>IF(SUM($E432:AC432)&gt;0,0,IF($B414&gt;AC$29,AC424,0))</f>
        <v>0</v>
      </c>
      <c r="AE426" s="11"/>
    </row>
    <row r="427" spans="1:32" s="23" customFormat="1" hidden="1" outlineLevel="2" x14ac:dyDescent="0.2">
      <c r="A427" t="str">
        <f ca="1">Language!A$391</f>
        <v xml:space="preserve">    кредиторская задолженность</v>
      </c>
      <c r="C427" s="40" t="str">
        <f t="shared" ca="1" si="787"/>
        <v>тыс. EUR</v>
      </c>
      <c r="D427" s="23" t="s">
        <v>845</v>
      </c>
      <c r="F427" s="53">
        <f>IF(OR($B414&lt;=F$29,AND(SUM($F432:F432)&gt;0,$B414&gt;F$29)),$B423-F424,0)</f>
        <v>0</v>
      </c>
      <c r="G427" s="53">
        <f>IF(OR($B414&lt;=G$29,AND(SUM($F432:G432)&gt;0,$B414&gt;G$29)),$B423-G424,0)</f>
        <v>0</v>
      </c>
      <c r="H427" s="53">
        <f>IF(OR($B414&lt;=H$29,AND(SUM($F432:H432)&gt;0,$B414&gt;H$29)),$B423-H424,0)</f>
        <v>0</v>
      </c>
      <c r="I427" s="53">
        <f>IF(OR($B414&lt;=I$29,AND(SUM($F432:I432)&gt;0,$B414&gt;I$29)),$B423-I424,0)</f>
        <v>0</v>
      </c>
      <c r="J427" s="53">
        <f>IF(OR($B414&lt;=J$29,AND(SUM($F432:J432)&gt;0,$B414&gt;J$29)),$B423-J424,0)</f>
        <v>0</v>
      </c>
      <c r="K427" s="53">
        <f>IF(OR($B414&lt;=K$29,AND(SUM($F432:K432)&gt;0,$B414&gt;K$29)),$B423-K424,0)</f>
        <v>0</v>
      </c>
      <c r="L427" s="53">
        <f>IF(OR($B414&lt;=L$29,AND(SUM($F432:L432)&gt;0,$B414&gt;L$29)),$B423-L424,0)</f>
        <v>0</v>
      </c>
      <c r="M427" s="53">
        <f>IF(OR($B414&lt;=M$29,AND(SUM($F432:M432)&gt;0,$B414&gt;M$29)),$B423-M424,0)</f>
        <v>0</v>
      </c>
      <c r="N427" s="53">
        <f>IF(OR($B414&lt;=N$29,AND(SUM($F432:N432)&gt;0,$B414&gt;N$29)),$B423-N424,0)</f>
        <v>0</v>
      </c>
      <c r="O427" s="53">
        <f>IF(OR($B414&lt;=O$29,AND(SUM($F432:O432)&gt;0,$B414&gt;O$29)),$B423-O424,0)</f>
        <v>0</v>
      </c>
      <c r="P427" s="53">
        <f>IF(OR($B414&lt;=P$29,AND(SUM($F432:P432)&gt;0,$B414&gt;P$29)),$B423-P424,0)</f>
        <v>0</v>
      </c>
      <c r="Q427" s="53">
        <f>IF(OR($B414&lt;=Q$29,AND(SUM($F432:Q432)&gt;0,$B414&gt;Q$29)),$B423-Q424,0)</f>
        <v>0</v>
      </c>
      <c r="R427" s="53">
        <f>IF(OR($B414&lt;=R$29,AND(SUM($F432:R432)&gt;0,$B414&gt;R$29)),$B423-R424,0)</f>
        <v>0</v>
      </c>
      <c r="S427" s="53">
        <f>IF(OR($B414&lt;=S$29,AND(SUM($F432:S432)&gt;0,$B414&gt;S$29)),$B423-S424,0)</f>
        <v>0</v>
      </c>
      <c r="T427" s="53">
        <f>IF(OR($B414&lt;=T$29,AND(SUM($F432:T432)&gt;0,$B414&gt;T$29)),$B423-T424,0)</f>
        <v>0</v>
      </c>
      <c r="U427" s="53">
        <f>IF(OR($B414&lt;=U$29,AND(SUM($F432:U432)&gt;0,$B414&gt;U$29)),$B423-U424,0)</f>
        <v>0</v>
      </c>
      <c r="V427" s="53">
        <f>IF(OR($B414&lt;=V$29,AND(SUM($F432:V432)&gt;0,$B414&gt;V$29)),$B423-V424,0)</f>
        <v>0</v>
      </c>
      <c r="W427" s="53">
        <f>IF(OR($B414&lt;=W$29,AND(SUM($F432:W432)&gt;0,$B414&gt;W$29)),$B423-W424,0)</f>
        <v>0</v>
      </c>
      <c r="X427" s="53">
        <f>IF(OR($B414&lt;=X$29,AND(SUM($F432:X432)&gt;0,$B414&gt;X$29)),$B423-X424,0)</f>
        <v>0</v>
      </c>
      <c r="Y427" s="53">
        <f>IF(OR($B414&lt;=Y$29,AND(SUM($F432:Y432)&gt;0,$B414&gt;Y$29)),$B423-Y424,0)</f>
        <v>0</v>
      </c>
      <c r="Z427" s="53">
        <f>IF(OR($B414&lt;=Z$29,AND(SUM($F432:Z432)&gt;0,$B414&gt;Z$29)),$B423-Z424,0)</f>
        <v>0</v>
      </c>
      <c r="AA427" s="53">
        <f>IF(OR($B414&lt;=AA$29,AND(SUM($F432:AA432)&gt;0,$B414&gt;AA$29)),$B423-AA424,0)</f>
        <v>0</v>
      </c>
      <c r="AB427" s="53">
        <f>IF(OR($B414&lt;=AB$29,AND(SUM($F432:AB432)&gt;0,$B414&gt;AB$29)),$B423-AB424,0)</f>
        <v>0</v>
      </c>
      <c r="AC427" s="53">
        <f>IF(OR($B414&lt;=AC$29,AND(SUM($F432:AC432)&gt;0,$B414&gt;AC$29)),$B423-AC424,0)</f>
        <v>0</v>
      </c>
      <c r="AE427" s="11"/>
    </row>
    <row r="428" spans="1:32" s="23" customFormat="1" hidden="1" outlineLevel="2" x14ac:dyDescent="0.2">
      <c r="A428" t="str">
        <f ca="1">Language!A$398</f>
        <v xml:space="preserve">    накопленная амортизация</v>
      </c>
      <c r="C428" s="40" t="str">
        <f t="shared" ca="1" si="787"/>
        <v>тыс. EUR</v>
      </c>
      <c r="D428" s="23" t="s">
        <v>842</v>
      </c>
      <c r="F428" s="53">
        <f t="shared" ref="F428" si="811">E428+F419+F418</f>
        <v>0</v>
      </c>
      <c r="G428" s="53">
        <f t="shared" ref="G428" si="812">F428+G419+G418</f>
        <v>0</v>
      </c>
      <c r="H428" s="53">
        <f t="shared" ref="H428" si="813">G428+H419+H418</f>
        <v>0</v>
      </c>
      <c r="I428" s="53">
        <f t="shared" ref="I428" si="814">H428+I419+I418</f>
        <v>0</v>
      </c>
      <c r="J428" s="53">
        <f t="shared" ref="J428" si="815">I428+J419+J418</f>
        <v>0</v>
      </c>
      <c r="K428" s="53">
        <f t="shared" ref="K428" si="816">J428+K419+K418</f>
        <v>0</v>
      </c>
      <c r="L428" s="53">
        <f t="shared" ref="L428" si="817">K428+L419+L418</f>
        <v>0</v>
      </c>
      <c r="M428" s="53">
        <f t="shared" ref="M428" si="818">L428+M419+M418</f>
        <v>0</v>
      </c>
      <c r="N428" s="53">
        <f t="shared" ref="N428" si="819">M428+N419+N418</f>
        <v>0</v>
      </c>
      <c r="O428" s="53">
        <f t="shared" ref="O428" si="820">N428+O419+O418</f>
        <v>0</v>
      </c>
      <c r="P428" s="53">
        <f t="shared" ref="P428" si="821">O428+P419+P418</f>
        <v>0</v>
      </c>
      <c r="Q428" s="53">
        <f t="shared" ref="Q428" si="822">P428+Q419+Q418</f>
        <v>0</v>
      </c>
      <c r="R428" s="53">
        <f t="shared" ref="R428" si="823">Q428+R419+R418</f>
        <v>0</v>
      </c>
      <c r="S428" s="53">
        <f t="shared" ref="S428" si="824">R428+S419+S418</f>
        <v>0</v>
      </c>
      <c r="T428" s="53">
        <f t="shared" ref="T428" si="825">S428+T419+T418</f>
        <v>0</v>
      </c>
      <c r="U428" s="53">
        <f t="shared" ref="U428" si="826">T428+U419+U418</f>
        <v>0</v>
      </c>
      <c r="V428" s="53">
        <f t="shared" ref="V428" si="827">U428+V419+V418</f>
        <v>0</v>
      </c>
      <c r="W428" s="53">
        <f t="shared" ref="W428" si="828">V428+W419+W418</f>
        <v>0</v>
      </c>
      <c r="X428" s="53">
        <f t="shared" ref="X428:AC428" si="829">W428+X419+X418</f>
        <v>0</v>
      </c>
      <c r="Y428" s="53">
        <f t="shared" si="829"/>
        <v>0</v>
      </c>
      <c r="Z428" s="53">
        <f t="shared" si="829"/>
        <v>0</v>
      </c>
      <c r="AA428" s="53">
        <f t="shared" si="829"/>
        <v>0</v>
      </c>
      <c r="AB428" s="53">
        <f t="shared" si="829"/>
        <v>0</v>
      </c>
      <c r="AC428" s="53">
        <f t="shared" si="829"/>
        <v>0</v>
      </c>
      <c r="AE428" s="11"/>
    </row>
    <row r="429" spans="1:32" s="23" customFormat="1" hidden="1" outlineLevel="2" x14ac:dyDescent="0.2">
      <c r="A429" t="str">
        <f ca="1">Language!A$392</f>
        <v xml:space="preserve">    остаточная стоимость</v>
      </c>
      <c r="C429" s="40" t="str">
        <f t="shared" ca="1" si="787"/>
        <v>тыс. EUR</v>
      </c>
      <c r="D429" s="23" t="s">
        <v>843</v>
      </c>
      <c r="F429" s="43">
        <f>IF(SUM($E432:F432)&gt;0.01,0,F425-F428)</f>
        <v>0</v>
      </c>
      <c r="G429" s="43">
        <f>IF(SUM($E432:G432)&gt;0.01,0,G425-G428)</f>
        <v>0</v>
      </c>
      <c r="H429" s="43">
        <f>IF(SUM($E432:H432)&gt;0.01,0,H425-H428)</f>
        <v>0</v>
      </c>
      <c r="I429" s="43">
        <f>IF(SUM($E432:I432)&gt;0.01,0,I425-I428)</f>
        <v>0</v>
      </c>
      <c r="J429" s="43">
        <f>IF(SUM($E432:J432)&gt;0.01,0,J425-J428)</f>
        <v>0</v>
      </c>
      <c r="K429" s="43">
        <f>IF(SUM($E432:K432)&gt;0.01,0,K425-K428)</f>
        <v>0</v>
      </c>
      <c r="L429" s="43">
        <f>IF(SUM($E432:L432)&gt;0.01,0,L425-L428)</f>
        <v>0</v>
      </c>
      <c r="M429" s="43">
        <f>IF(SUM($E432:M432)&gt;0.01,0,M425-M428)</f>
        <v>0</v>
      </c>
      <c r="N429" s="43">
        <f>IF(SUM($E432:N432)&gt;0.01,0,N425-N428)</f>
        <v>0</v>
      </c>
      <c r="O429" s="43">
        <f>IF(SUM($E432:O432)&gt;0.01,0,O425-O428)</f>
        <v>0</v>
      </c>
      <c r="P429" s="43">
        <f>IF(SUM($E432:P432)&gt;0.01,0,P425-P428)</f>
        <v>0</v>
      </c>
      <c r="Q429" s="43">
        <f>IF(SUM($E432:Q432)&gt;0.01,0,Q425-Q428)</f>
        <v>0</v>
      </c>
      <c r="R429" s="43">
        <f>IF(SUM($E432:R432)&gt;0.01,0,R425-R428)</f>
        <v>0</v>
      </c>
      <c r="S429" s="43">
        <f>IF(SUM($E432:S432)&gt;0.01,0,S425-S428)</f>
        <v>0</v>
      </c>
      <c r="T429" s="43">
        <f>IF(SUM($E432:T432)&gt;0.01,0,T425-T428)</f>
        <v>0</v>
      </c>
      <c r="U429" s="43">
        <f>IF(SUM($E432:U432)&gt;0.01,0,U425-U428)</f>
        <v>0</v>
      </c>
      <c r="V429" s="43">
        <f>IF(SUM($E432:V432)&gt;0.01,0,V425-V428)</f>
        <v>0</v>
      </c>
      <c r="W429" s="43">
        <f>IF(SUM($E432:W432)&gt;0.01,0,W425-W428)</f>
        <v>0</v>
      </c>
      <c r="X429" s="43">
        <f>IF(SUM($E432:X432)&gt;0.01,0,X425-X428)</f>
        <v>0</v>
      </c>
      <c r="Y429" s="43">
        <f>IF(SUM($E432:Y432)&gt;0.01,0,Y425-Y428)</f>
        <v>0</v>
      </c>
      <c r="Z429" s="43">
        <f>IF(SUM($E432:Z432)&gt;0.01,0,Z425-Z428)</f>
        <v>0</v>
      </c>
      <c r="AA429" s="43">
        <f>IF(SUM($E432:AA432)&gt;0.01,0,AA425-AA428)</f>
        <v>0</v>
      </c>
      <c r="AB429" s="43">
        <f>IF(SUM($E432:AB432)&gt;0.01,0,AB425-AB428)</f>
        <v>0</v>
      </c>
      <c r="AC429" s="43">
        <f>IF(SUM($E432:AC432)&gt;0.01,0,AC425-AC428)</f>
        <v>0</v>
      </c>
      <c r="AE429" s="11"/>
    </row>
    <row r="430" spans="1:32" s="23" customFormat="1" hidden="1" outlineLevel="2" x14ac:dyDescent="0.2">
      <c r="A430" t="str">
        <f ca="1">Language!A$399</f>
        <v xml:space="preserve">    НДС к ранее осуществленным инвестициям</v>
      </c>
      <c r="B430" s="261">
        <f>B413*B420</f>
        <v>0</v>
      </c>
      <c r="C430" s="40" t="str">
        <f t="shared" ca="1" si="787"/>
        <v>тыс. EUR</v>
      </c>
      <c r="D430" s="23" t="s">
        <v>836</v>
      </c>
      <c r="AE430" s="11"/>
    </row>
    <row r="431" spans="1:32" s="23" customFormat="1" hidden="1" outlineLevel="2" x14ac:dyDescent="0.2">
      <c r="A431" t="str">
        <f ca="1">Language!A$400</f>
        <v xml:space="preserve">    зачет НДС</v>
      </c>
      <c r="C431" s="40" t="str">
        <f t="shared" ca="1" si="787"/>
        <v>тыс. EUR</v>
      </c>
      <c r="D431" s="132" t="s">
        <v>837</v>
      </c>
      <c r="F431" s="110">
        <f>IF($B421=2,IF($B414=F$29,$B430+$AE420,0),F420+B430)</f>
        <v>0</v>
      </c>
      <c r="G431" s="110">
        <f t="shared" ref="G431:AC431" si="830">IF($B421=2,IF($B414=G$29,$B430+$AE420,0),G420)</f>
        <v>0</v>
      </c>
      <c r="H431" s="110">
        <f t="shared" si="830"/>
        <v>0</v>
      </c>
      <c r="I431" s="110">
        <f t="shared" si="830"/>
        <v>0</v>
      </c>
      <c r="J431" s="110">
        <f t="shared" si="830"/>
        <v>0</v>
      </c>
      <c r="K431" s="110">
        <f t="shared" si="830"/>
        <v>0</v>
      </c>
      <c r="L431" s="110">
        <f t="shared" si="830"/>
        <v>0</v>
      </c>
      <c r="M431" s="110">
        <f t="shared" si="830"/>
        <v>0</v>
      </c>
      <c r="N431" s="110">
        <f t="shared" si="830"/>
        <v>0</v>
      </c>
      <c r="O431" s="110">
        <f t="shared" si="830"/>
        <v>0</v>
      </c>
      <c r="P431" s="110">
        <f t="shared" si="830"/>
        <v>0</v>
      </c>
      <c r="Q431" s="110">
        <f t="shared" si="830"/>
        <v>0</v>
      </c>
      <c r="R431" s="110">
        <f t="shared" si="830"/>
        <v>0</v>
      </c>
      <c r="S431" s="110">
        <f t="shared" si="830"/>
        <v>0</v>
      </c>
      <c r="T431" s="110">
        <f t="shared" si="830"/>
        <v>0</v>
      </c>
      <c r="U431" s="110">
        <f t="shared" si="830"/>
        <v>0</v>
      </c>
      <c r="V431" s="110">
        <f t="shared" si="830"/>
        <v>0</v>
      </c>
      <c r="W431" s="110">
        <f t="shared" si="830"/>
        <v>0</v>
      </c>
      <c r="X431" s="110">
        <f t="shared" si="830"/>
        <v>0</v>
      </c>
      <c r="Y431" s="110">
        <f t="shared" si="830"/>
        <v>0</v>
      </c>
      <c r="Z431" s="110">
        <f t="shared" si="830"/>
        <v>0</v>
      </c>
      <c r="AA431" s="110">
        <f t="shared" si="830"/>
        <v>0</v>
      </c>
      <c r="AB431" s="110">
        <f t="shared" si="830"/>
        <v>0</v>
      </c>
      <c r="AC431" s="110">
        <f t="shared" si="830"/>
        <v>0</v>
      </c>
      <c r="AE431" s="54">
        <f>SUM(F431:AC431)</f>
        <v>0</v>
      </c>
    </row>
    <row r="432" spans="1:32" s="23" customFormat="1" hidden="1" outlineLevel="2" x14ac:dyDescent="0.2">
      <c r="A432" s="63" t="str">
        <f ca="1">Language!A$362</f>
        <v xml:space="preserve">    реализация актива (без НДС)</v>
      </c>
      <c r="B432" s="111"/>
      <c r="C432" s="113" t="str">
        <f t="shared" ca="1" si="787"/>
        <v>тыс. EUR</v>
      </c>
      <c r="D432" s="23" t="s">
        <v>838</v>
      </c>
      <c r="E432" s="111"/>
      <c r="F432" s="271">
        <v>0</v>
      </c>
      <c r="G432" s="271">
        <v>0</v>
      </c>
      <c r="H432" s="271">
        <v>0</v>
      </c>
      <c r="I432" s="271">
        <v>0</v>
      </c>
      <c r="J432" s="271">
        <v>0</v>
      </c>
      <c r="K432" s="271">
        <v>0</v>
      </c>
      <c r="L432" s="271">
        <v>0</v>
      </c>
      <c r="M432" s="271">
        <v>0</v>
      </c>
      <c r="N432" s="271">
        <v>0</v>
      </c>
      <c r="O432" s="271">
        <v>0</v>
      </c>
      <c r="P432" s="271">
        <v>0</v>
      </c>
      <c r="Q432" s="271">
        <v>0</v>
      </c>
      <c r="R432" s="271">
        <v>0</v>
      </c>
      <c r="S432" s="271">
        <v>0</v>
      </c>
      <c r="T432" s="271">
        <v>0</v>
      </c>
      <c r="U432" s="271">
        <v>0</v>
      </c>
      <c r="V432" s="271">
        <v>0</v>
      </c>
      <c r="W432" s="271">
        <v>0</v>
      </c>
      <c r="X432" s="271">
        <v>0</v>
      </c>
      <c r="Y432" s="271">
        <v>0</v>
      </c>
      <c r="Z432" s="271">
        <v>0</v>
      </c>
      <c r="AA432" s="271">
        <v>0</v>
      </c>
      <c r="AB432" s="271">
        <v>0</v>
      </c>
      <c r="AC432" s="271">
        <v>0</v>
      </c>
      <c r="AE432" s="54">
        <f>SUM(F432:AC432)</f>
        <v>0</v>
      </c>
    </row>
    <row r="433" spans="1:31" s="23" customFormat="1" hidden="1" outlineLevel="2" x14ac:dyDescent="0.2">
      <c r="A433" s="19" t="str">
        <f ca="1">Language!A$363</f>
        <v xml:space="preserve">    прибыль/убыток от реализации актива</v>
      </c>
      <c r="B433" s="24"/>
      <c r="C433" s="114" t="str">
        <f t="shared" ca="1" si="787"/>
        <v>тыс. EUR</v>
      </c>
      <c r="D433" s="23" t="s">
        <v>839</v>
      </c>
      <c r="E433" s="24"/>
      <c r="F433" s="110">
        <f t="shared" ref="F433" si="831">IF(F432=0,0,F432-IF(F$29&lt;=$B414,$B423,E429))</f>
        <v>0</v>
      </c>
      <c r="G433" s="110">
        <f t="shared" ref="G433" si="832">IF(G432=0,0,G432-IF(G$29&lt;=$B414,$B423,F429))</f>
        <v>0</v>
      </c>
      <c r="H433" s="110">
        <f t="shared" ref="H433" si="833">IF(H432=0,0,H432-IF(H$29&lt;=$B414,$B423,G429))</f>
        <v>0</v>
      </c>
      <c r="I433" s="110">
        <f t="shared" ref="I433" si="834">IF(I432=0,0,I432-IF(I$29&lt;=$B414,$B423,H429))</f>
        <v>0</v>
      </c>
      <c r="J433" s="110">
        <f t="shared" ref="J433" si="835">IF(J432=0,0,J432-IF(J$29&lt;=$B414,$B423,I429))</f>
        <v>0</v>
      </c>
      <c r="K433" s="110">
        <f t="shared" ref="K433" si="836">IF(K432=0,0,K432-IF(K$29&lt;=$B414,$B423,J429))</f>
        <v>0</v>
      </c>
      <c r="L433" s="110">
        <f t="shared" ref="L433" si="837">IF(L432=0,0,L432-IF(L$29&lt;=$B414,$B423,K429))</f>
        <v>0</v>
      </c>
      <c r="M433" s="110">
        <f t="shared" ref="M433" si="838">IF(M432=0,0,M432-IF(M$29&lt;=$B414,$B423,L429))</f>
        <v>0</v>
      </c>
      <c r="N433" s="110">
        <f t="shared" ref="N433" si="839">IF(N432=0,0,N432-IF(N$29&lt;=$B414,$B423,M429))</f>
        <v>0</v>
      </c>
      <c r="O433" s="110">
        <f t="shared" ref="O433" si="840">IF(O432=0,0,O432-IF(O$29&lt;=$B414,$B423,N429))</f>
        <v>0</v>
      </c>
      <c r="P433" s="110">
        <f t="shared" ref="P433" si="841">IF(P432=0,0,P432-IF(P$29&lt;=$B414,$B423,O429))</f>
        <v>0</v>
      </c>
      <c r="Q433" s="110">
        <f t="shared" ref="Q433" si="842">IF(Q432=0,0,Q432-IF(Q$29&lt;=$B414,$B423,P429))</f>
        <v>0</v>
      </c>
      <c r="R433" s="110">
        <f t="shared" ref="R433" si="843">IF(R432=0,0,R432-IF(R$29&lt;=$B414,$B423,Q429))</f>
        <v>0</v>
      </c>
      <c r="S433" s="110">
        <f t="shared" ref="S433" si="844">IF(S432=0,0,S432-IF(S$29&lt;=$B414,$B423,R429))</f>
        <v>0</v>
      </c>
      <c r="T433" s="110">
        <f t="shared" ref="T433" si="845">IF(T432=0,0,T432-IF(T$29&lt;=$B414,$B423,S429))</f>
        <v>0</v>
      </c>
      <c r="U433" s="110">
        <f t="shared" ref="U433" si="846">IF(U432=0,0,U432-IF(U$29&lt;=$B414,$B423,T429))</f>
        <v>0</v>
      </c>
      <c r="V433" s="110">
        <f t="shared" ref="V433" si="847">IF(V432=0,0,V432-IF(V$29&lt;=$B414,$B423,U429))</f>
        <v>0</v>
      </c>
      <c r="W433" s="110">
        <f t="shared" ref="W433" si="848">IF(W432=0,0,W432-IF(W$29&lt;=$B414,$B423,V429))</f>
        <v>0</v>
      </c>
      <c r="X433" s="110">
        <f t="shared" ref="X433:AC433" si="849">IF(X432=0,0,X432-IF(X$29&lt;=$B414,$B423,W429))</f>
        <v>0</v>
      </c>
      <c r="Y433" s="110">
        <f t="shared" si="849"/>
        <v>0</v>
      </c>
      <c r="Z433" s="110">
        <f t="shared" si="849"/>
        <v>0</v>
      </c>
      <c r="AA433" s="110">
        <f t="shared" si="849"/>
        <v>0</v>
      </c>
      <c r="AB433" s="110">
        <f t="shared" si="849"/>
        <v>0</v>
      </c>
      <c r="AC433" s="110">
        <f t="shared" si="849"/>
        <v>0</v>
      </c>
      <c r="AE433" s="54">
        <f>SUM(F433:AC433)</f>
        <v>0</v>
      </c>
    </row>
    <row r="434" spans="1:31" s="23" customFormat="1" hidden="1" outlineLevel="2" x14ac:dyDescent="0.2">
      <c r="A434" t="str">
        <f ca="1">Language!A$401</f>
        <v xml:space="preserve">    НДС к выручке от реализации актива</v>
      </c>
      <c r="B434" s="272">
        <f>VAT</f>
        <v>0.23</v>
      </c>
      <c r="C434" s="40" t="str">
        <f t="shared" ca="1" si="787"/>
        <v>тыс. EUR</v>
      </c>
      <c r="D434" s="23" t="s">
        <v>811</v>
      </c>
      <c r="F434">
        <f t="shared" ref="F434:X434" si="850">F432*$B434</f>
        <v>0</v>
      </c>
      <c r="G434">
        <f t="shared" si="850"/>
        <v>0</v>
      </c>
      <c r="H434">
        <f t="shared" si="850"/>
        <v>0</v>
      </c>
      <c r="I434">
        <f t="shared" si="850"/>
        <v>0</v>
      </c>
      <c r="J434">
        <f t="shared" si="850"/>
        <v>0</v>
      </c>
      <c r="K434">
        <f t="shared" si="850"/>
        <v>0</v>
      </c>
      <c r="L434">
        <f t="shared" si="850"/>
        <v>0</v>
      </c>
      <c r="M434">
        <f t="shared" si="850"/>
        <v>0</v>
      </c>
      <c r="N434">
        <f t="shared" si="850"/>
        <v>0</v>
      </c>
      <c r="O434">
        <f t="shared" si="850"/>
        <v>0</v>
      </c>
      <c r="P434">
        <f t="shared" si="850"/>
        <v>0</v>
      </c>
      <c r="Q434">
        <f t="shared" si="850"/>
        <v>0</v>
      </c>
      <c r="R434">
        <f t="shared" si="850"/>
        <v>0</v>
      </c>
      <c r="S434">
        <f t="shared" si="850"/>
        <v>0</v>
      </c>
      <c r="T434">
        <f t="shared" si="850"/>
        <v>0</v>
      </c>
      <c r="U434">
        <f t="shared" si="850"/>
        <v>0</v>
      </c>
      <c r="V434">
        <f t="shared" si="850"/>
        <v>0</v>
      </c>
      <c r="W434">
        <f t="shared" si="850"/>
        <v>0</v>
      </c>
      <c r="X434">
        <f t="shared" si="850"/>
        <v>0</v>
      </c>
      <c r="Y434">
        <f t="shared" ref="Y434" si="851">Y432*$B434</f>
        <v>0</v>
      </c>
      <c r="Z434">
        <f t="shared" ref="Z434" si="852">Z432*$B434</f>
        <v>0</v>
      </c>
      <c r="AA434">
        <f t="shared" ref="AA434" si="853">AA432*$B434</f>
        <v>0</v>
      </c>
      <c r="AB434">
        <f t="shared" ref="AB434:AC434" si="854">AB432*$B434</f>
        <v>0</v>
      </c>
      <c r="AC434">
        <f t="shared" si="854"/>
        <v>0</v>
      </c>
      <c r="AE434" s="54">
        <f>SUM(F434:AC434)</f>
        <v>0</v>
      </c>
    </row>
    <row r="435" spans="1:31" ht="12" customHeight="1" outlineLevel="1" x14ac:dyDescent="0.2">
      <c r="A435" s="35"/>
    </row>
    <row r="436" spans="1:31" s="23" customFormat="1" outlineLevel="1" x14ac:dyDescent="0.2">
      <c r="A436" s="129" t="str">
        <f ca="1">Language!A$406</f>
        <v>Нематериальные активы</v>
      </c>
      <c r="D436" s="23">
        <v>1</v>
      </c>
      <c r="E436" s="52">
        <v>21</v>
      </c>
      <c r="AE436" s="11"/>
    </row>
    <row r="437" spans="1:31" s="23" customFormat="1" outlineLevel="1" x14ac:dyDescent="0.2">
      <c r="A437" s="273" t="str">
        <f>Инвестиции!A11</f>
        <v>Получение разрешительной документации</v>
      </c>
      <c r="B437" s="36" t="str">
        <f ca="1">Language!A$73</f>
        <v>Валюта</v>
      </c>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E437" s="39"/>
    </row>
    <row r="438" spans="1:31" s="23" customFormat="1" outlineLevel="1" collapsed="1" x14ac:dyDescent="0.2">
      <c r="A438" t="str">
        <f ca="1">Language!A$382</f>
        <v xml:space="preserve">    величина платежей (с НДС)</v>
      </c>
      <c r="B438" s="254">
        <v>1</v>
      </c>
      <c r="C438" s="40" t="str">
        <f ca="1">CHOOSE(B438,CUR_Main,CUR_Foreign)</f>
        <v>тыс. EUR</v>
      </c>
      <c r="D438" s="16" t="str">
        <f>TEXT(B438,"0")&amp;"_00"</f>
        <v>1_00</v>
      </c>
      <c r="F438" s="275">
        <v>0</v>
      </c>
      <c r="G438" s="275">
        <v>0</v>
      </c>
      <c r="H438" s="275">
        <f>Инвестиции!C11/1000</f>
        <v>100</v>
      </c>
      <c r="I438" s="275">
        <v>0</v>
      </c>
      <c r="J438" s="275">
        <v>0</v>
      </c>
      <c r="K438" s="275">
        <v>0</v>
      </c>
      <c r="L438" s="275">
        <v>0</v>
      </c>
      <c r="M438" s="275">
        <v>0</v>
      </c>
      <c r="N438" s="275">
        <v>0</v>
      </c>
      <c r="O438" s="275">
        <v>0</v>
      </c>
      <c r="P438" s="275">
        <v>0</v>
      </c>
      <c r="Q438" s="275">
        <v>0</v>
      </c>
      <c r="R438" s="275">
        <v>0</v>
      </c>
      <c r="S438" s="275">
        <v>0</v>
      </c>
      <c r="T438" s="275">
        <v>0</v>
      </c>
      <c r="U438" s="275">
        <v>0</v>
      </c>
      <c r="V438" s="275">
        <v>0</v>
      </c>
      <c r="W438" s="275">
        <v>0</v>
      </c>
      <c r="X438" s="275">
        <v>0</v>
      </c>
      <c r="Y438" s="275">
        <v>0</v>
      </c>
      <c r="Z438" s="275">
        <v>0</v>
      </c>
      <c r="AA438" s="275">
        <v>0</v>
      </c>
      <c r="AB438" s="275">
        <v>0</v>
      </c>
      <c r="AC438" s="275">
        <v>0</v>
      </c>
      <c r="AE438" s="54">
        <f>SUM(F438:AC438)</f>
        <v>100</v>
      </c>
    </row>
    <row r="439" spans="1:31" s="23" customFormat="1" hidden="1" outlineLevel="2" x14ac:dyDescent="0.2">
      <c r="A439" t="str">
        <f ca="1">Language!A$384</f>
        <v xml:space="preserve">    ранее осуществленные инвестиции (без НДС)</v>
      </c>
      <c r="B439" s="274">
        <f>F47*IF(B$37=1,1,F$88)</f>
        <v>0</v>
      </c>
      <c r="C439" s="40" t="str">
        <f ca="1">CUR_Main</f>
        <v>тыс. EUR</v>
      </c>
      <c r="D439" s="23" t="s">
        <v>1227</v>
      </c>
      <c r="AE439" s="11"/>
    </row>
    <row r="440" spans="1:31" s="23" customFormat="1" hidden="1" outlineLevel="2" x14ac:dyDescent="0.2">
      <c r="A440" t="str">
        <f ca="1">Language!A$385</f>
        <v xml:space="preserve">    поставить на баланс с</v>
      </c>
      <c r="B440" s="270">
        <v>5</v>
      </c>
      <c r="C440" s="40" t="str">
        <f ca="1">Language!A$377</f>
        <v>периода</v>
      </c>
      <c r="AE440" s="11"/>
    </row>
    <row r="441" spans="1:31" s="23" customFormat="1" hidden="1" outlineLevel="2" x14ac:dyDescent="0.2">
      <c r="A441" t="str">
        <f ca="1">Language!A$394</f>
        <v xml:space="preserve">    амортизация (линейная),       для срока использования:</v>
      </c>
      <c r="B441" s="270">
        <v>0</v>
      </c>
      <c r="C441" s="40" t="str">
        <f ca="1">Language!A$33</f>
        <v>лет</v>
      </c>
      <c r="D441" s="131" t="s">
        <v>762</v>
      </c>
      <c r="F441" s="53">
        <f>IF(AND($B441&gt;0,SUM($E455:F455)&lt;=0.01),MIN(F448*100%/$B441*PRJ_Step/360,E452+F448-E448),0)</f>
        <v>0</v>
      </c>
      <c r="G441" s="53">
        <f>IF(AND($B441&gt;0,SUM($E455:G455)&lt;=0.01),MIN(G448*100%/$B441*PRJ_Step/360,F452+G448-F448),0)</f>
        <v>0</v>
      </c>
      <c r="H441" s="53">
        <f>IF(AND($B441&gt;0,SUM($E455:H455)&lt;=0.01),MIN(H448*100%/$B441*PRJ_Step/360,G452+H448-G448),0)</f>
        <v>0</v>
      </c>
      <c r="I441" s="53">
        <f>IF(AND($B441&gt;0,SUM($E455:I455)&lt;=0.01),MIN(I448*100%/$B441*PRJ_Step/360,H452+I448-H448),0)</f>
        <v>0</v>
      </c>
      <c r="J441" s="53">
        <f>IF(AND($B441&gt;0,SUM($E455:J455)&lt;=0.01),MIN(J448*100%/$B441*PRJ_Step/360,I452+J448-I448),0)</f>
        <v>0</v>
      </c>
      <c r="K441" s="53">
        <f>IF(AND($B441&gt;0,SUM($E455:K455)&lt;=0.01),MIN(K448*100%/$B441*PRJ_Step/360,J452+K448-J448),0)</f>
        <v>0</v>
      </c>
      <c r="L441" s="53">
        <f>IF(AND($B441&gt;0,SUM($E455:L455)&lt;=0.01),MIN(L448*100%/$B441*PRJ_Step/360,K452+L448-K448),0)</f>
        <v>0</v>
      </c>
      <c r="M441" s="53">
        <f>IF(AND($B441&gt;0,SUM($E455:M455)&lt;=0.01),MIN(M448*100%/$B441*PRJ_Step/360,L452+M448-L448),0)</f>
        <v>0</v>
      </c>
      <c r="N441" s="53">
        <f>IF(AND($B441&gt;0,SUM($E455:N455)&lt;=0.01),MIN(N448*100%/$B441*PRJ_Step/360,M452+N448-M448),0)</f>
        <v>0</v>
      </c>
      <c r="O441" s="53">
        <f>IF(AND($B441&gt;0,SUM($E455:O455)&lt;=0.01),MIN(O448*100%/$B441*PRJ_Step/360,N452+O448-N448),0)</f>
        <v>0</v>
      </c>
      <c r="P441" s="53">
        <f>IF(AND($B441&gt;0,SUM($E455:P455)&lt;=0.01),MIN(P448*100%/$B441*PRJ_Step/360,O452+P448-O448),0)</f>
        <v>0</v>
      </c>
      <c r="Q441" s="53">
        <f>IF(AND($B441&gt;0,SUM($E455:Q455)&lt;=0.01),MIN(Q448*100%/$B441*PRJ_Step/360,P452+Q448-P448),0)</f>
        <v>0</v>
      </c>
      <c r="R441" s="53">
        <f>IF(AND($B441&gt;0,SUM($E455:R455)&lt;=0.01),MIN(R448*100%/$B441*PRJ_Step/360,Q452+R448-Q448),0)</f>
        <v>0</v>
      </c>
      <c r="S441" s="53">
        <f>IF(AND($B441&gt;0,SUM($E455:S455)&lt;=0.01),MIN(S448*100%/$B441*PRJ_Step/360,R452+S448-R448),0)</f>
        <v>0</v>
      </c>
      <c r="T441" s="53">
        <f>IF(AND($B441&gt;0,SUM($E455:T455)&lt;=0.01),MIN(T448*100%/$B441*PRJ_Step/360,S452+T448-S448),0)</f>
        <v>0</v>
      </c>
      <c r="U441" s="53">
        <f>IF(AND($B441&gt;0,SUM($E455:U455)&lt;=0.01),MIN(U448*100%/$B441*PRJ_Step/360,T452+U448-T448),0)</f>
        <v>0</v>
      </c>
      <c r="V441" s="53">
        <f>IF(AND($B441&gt;0,SUM($E455:V455)&lt;=0.01),MIN(V448*100%/$B441*PRJ_Step/360,U452+V448-U448),0)</f>
        <v>0</v>
      </c>
      <c r="W441" s="53">
        <f>IF(AND($B441&gt;0,SUM($E455:W455)&lt;=0.01),MIN(W448*100%/$B441*PRJ_Step/360,V452+W448-V448),0)</f>
        <v>0</v>
      </c>
      <c r="X441" s="53">
        <f>IF(AND($B441&gt;0,SUM($E455:X455)&lt;=0.01),MIN(X448*100%/$B441*PRJ_Step/360,W452+X448-W448),0)</f>
        <v>0</v>
      </c>
      <c r="Y441" s="53">
        <f>IF(AND($B441&gt;0,SUM($E455:Y455)&lt;=0.01),MIN(Y448*100%/$B441*PRJ_Step/360,X452+Y448-X448),0)</f>
        <v>0</v>
      </c>
      <c r="Z441" s="53">
        <f>IF(AND($B441&gt;0,SUM($E455:Z455)&lt;=0.01),MIN(Z448*100%/$B441*PRJ_Step/360,Y452+Z448-Y448),0)</f>
        <v>0</v>
      </c>
      <c r="AA441" s="53">
        <f>IF(AND($B441&gt;0,SUM($E455:AA455)&lt;=0.01),MIN(AA448*100%/$B441*PRJ_Step/360,Z452+AA448-Z448),0)</f>
        <v>0</v>
      </c>
      <c r="AB441" s="53">
        <f>IF(AND($B441&gt;0,SUM($E455:AB455)&lt;=0.01),MIN(AB448*100%/$B441*PRJ_Step/360,AA452+AB448-AA448),0)</f>
        <v>0</v>
      </c>
      <c r="AC441" s="53">
        <f>IF(AND($B441&gt;0,SUM($E455:AC455)&lt;=0.01),MIN(AC448*100%/$B441*PRJ_Step/360,AB452+AC448-AB448),0)</f>
        <v>0</v>
      </c>
      <c r="AE441" s="54">
        <f>SUM(F441:AC441)</f>
        <v>0</v>
      </c>
    </row>
    <row r="442" spans="1:31" s="23" customFormat="1" hidden="1" outlineLevel="2" x14ac:dyDescent="0.2">
      <c r="A442" t="str">
        <f ca="1">Language!A$395</f>
        <v xml:space="preserve">    амортизация (ускоренная),    для срока использования:</v>
      </c>
      <c r="B442" s="270">
        <v>0</v>
      </c>
      <c r="C442" s="40" t="str">
        <f ca="1">Language!A$33</f>
        <v>лет</v>
      </c>
      <c r="D442" s="23" t="s">
        <v>834</v>
      </c>
      <c r="F442" s="53">
        <f>IF(SUM($E455:F455)&lt;=0.01,IF(OR($B442=0,E452+F448-E448=0),0,IF($B441&gt;0,0,IF(E452+F448-E448&gt;0.2*F448,MIN((E452+F448-E448)*2/$B442*PRJ_Step/360,E452+F448-E448),MIN(E452+F448-E448,F448*PRJ_Step/360/IF($B442&lt;4,1,IF($B442&gt;5,3,2)))))),0)</f>
        <v>0</v>
      </c>
      <c r="G442" s="53">
        <f>IF(SUM($E455:G455)&lt;=0.01,IF(OR($B442=0,F452+G448-F448=0),0,IF($B441&gt;0,0,IF(F452+G448-F448&gt;0.2*G448,MIN((F452+G448-F448)*2/$B442*PRJ_Step/360,F452+G448-F448),MIN(F452+G448-F448,G448*PRJ_Step/360/IF($B442&lt;4,1,IF($B442&gt;5,3,2)))))),0)</f>
        <v>0</v>
      </c>
      <c r="H442" s="53">
        <f>IF(SUM($E455:H455)&lt;=0.01,IF(OR($B442=0,G452+H448-G448=0),0,IF($B441&gt;0,0,IF(G452+H448-G448&gt;0.2*H448,MIN((G452+H448-G448)*2/$B442*PRJ_Step/360,G452+H448-G448),MIN(G452+H448-G448,H448*PRJ_Step/360/IF($B442&lt;4,1,IF($B442&gt;5,3,2)))))),0)</f>
        <v>0</v>
      </c>
      <c r="I442" s="53">
        <f>IF(SUM($E455:I455)&lt;=0.01,IF(OR($B442=0,H452+I448-H448=0),0,IF($B441&gt;0,0,IF(H452+I448-H448&gt;0.2*I448,MIN((H452+I448-H448)*2/$B442*PRJ_Step/360,H452+I448-H448),MIN(H452+I448-H448,I448*PRJ_Step/360/IF($B442&lt;4,1,IF($B442&gt;5,3,2)))))),0)</f>
        <v>0</v>
      </c>
      <c r="J442" s="53">
        <f>IF(SUM($E455:J455)&lt;=0.01,IF(OR($B442=0,I452+J448-I448=0),0,IF($B441&gt;0,0,IF(I452+J448-I448&gt;0.2*J448,MIN((I452+J448-I448)*2/$B442*PRJ_Step/360,I452+J448-I448),MIN(I452+J448-I448,J448*PRJ_Step/360/IF($B442&lt;4,1,IF($B442&gt;5,3,2)))))),0)</f>
        <v>0</v>
      </c>
      <c r="K442" s="53">
        <f>IF(SUM($E455:K455)&lt;=0.01,IF(OR($B442=0,J452+K448-J448=0),0,IF($B441&gt;0,0,IF(J452+K448-J448&gt;0.2*K448,MIN((J452+K448-J448)*2/$B442*PRJ_Step/360,J452+K448-J448),MIN(J452+K448-J448,K448*PRJ_Step/360/IF($B442&lt;4,1,IF($B442&gt;5,3,2)))))),0)</f>
        <v>0</v>
      </c>
      <c r="L442" s="53">
        <f>IF(SUM($E455:L455)&lt;=0.01,IF(OR($B442=0,K452+L448-K448=0),0,IF($B441&gt;0,0,IF(K452+L448-K448&gt;0.2*L448,MIN((K452+L448-K448)*2/$B442*PRJ_Step/360,K452+L448-K448),MIN(K452+L448-K448,L448*PRJ_Step/360/IF($B442&lt;4,1,IF($B442&gt;5,3,2)))))),0)</f>
        <v>0</v>
      </c>
      <c r="M442" s="53">
        <f>IF(SUM($E455:M455)&lt;=0.01,IF(OR($B442=0,L452+M448-L448=0),0,IF($B441&gt;0,0,IF(L452+M448-L448&gt;0.2*M448,MIN((L452+M448-L448)*2/$B442*PRJ_Step/360,L452+M448-L448),MIN(L452+M448-L448,M448*PRJ_Step/360/IF($B442&lt;4,1,IF($B442&gt;5,3,2)))))),0)</f>
        <v>0</v>
      </c>
      <c r="N442" s="53">
        <f>IF(SUM($E455:N455)&lt;=0.01,IF(OR($B442=0,M452+N448-M448=0),0,IF($B441&gt;0,0,IF(M452+N448-M448&gt;0.2*N448,MIN((M452+N448-M448)*2/$B442*PRJ_Step/360,M452+N448-M448),MIN(M452+N448-M448,N448*PRJ_Step/360/IF($B442&lt;4,1,IF($B442&gt;5,3,2)))))),0)</f>
        <v>0</v>
      </c>
      <c r="O442" s="53">
        <f>IF(SUM($E455:O455)&lt;=0.01,IF(OR($B442=0,N452+O448-N448=0),0,IF($B441&gt;0,0,IF(N452+O448-N448&gt;0.2*O448,MIN((N452+O448-N448)*2/$B442*PRJ_Step/360,N452+O448-N448),MIN(N452+O448-N448,O448*PRJ_Step/360/IF($B442&lt;4,1,IF($B442&gt;5,3,2)))))),0)</f>
        <v>0</v>
      </c>
      <c r="P442" s="53">
        <f>IF(SUM($E455:P455)&lt;=0.01,IF(OR($B442=0,O452+P448-O448=0),0,IF($B441&gt;0,0,IF(O452+P448-O448&gt;0.2*P448,MIN((O452+P448-O448)*2/$B442*PRJ_Step/360,O452+P448-O448),MIN(O452+P448-O448,P448*PRJ_Step/360/IF($B442&lt;4,1,IF($B442&gt;5,3,2)))))),0)</f>
        <v>0</v>
      </c>
      <c r="Q442" s="53">
        <f>IF(SUM($E455:Q455)&lt;=0.01,IF(OR($B442=0,P452+Q448-P448=0),0,IF($B441&gt;0,0,IF(P452+Q448-P448&gt;0.2*Q448,MIN((P452+Q448-P448)*2/$B442*PRJ_Step/360,P452+Q448-P448),MIN(P452+Q448-P448,Q448*PRJ_Step/360/IF($B442&lt;4,1,IF($B442&gt;5,3,2)))))),0)</f>
        <v>0</v>
      </c>
      <c r="R442" s="53">
        <f>IF(SUM($E455:R455)&lt;=0.01,IF(OR($B442=0,Q452+R448-Q448=0),0,IF($B441&gt;0,0,IF(Q452+R448-Q448&gt;0.2*R448,MIN((Q452+R448-Q448)*2/$B442*PRJ_Step/360,Q452+R448-Q448),MIN(Q452+R448-Q448,R448*PRJ_Step/360/IF($B442&lt;4,1,IF($B442&gt;5,3,2)))))),0)</f>
        <v>0</v>
      </c>
      <c r="S442" s="53">
        <f>IF(SUM($E455:S455)&lt;=0.01,IF(OR($B442=0,R452+S448-R448=0),0,IF($B441&gt;0,0,IF(R452+S448-R448&gt;0.2*S448,MIN((R452+S448-R448)*2/$B442*PRJ_Step/360,R452+S448-R448),MIN(R452+S448-R448,S448*PRJ_Step/360/IF($B442&lt;4,1,IF($B442&gt;5,3,2)))))),0)</f>
        <v>0</v>
      </c>
      <c r="T442" s="53">
        <f>IF(SUM($E455:T455)&lt;=0.01,IF(OR($B442=0,S452+T448-S448=0),0,IF($B441&gt;0,0,IF(S452+T448-S448&gt;0.2*T448,MIN((S452+T448-S448)*2/$B442*PRJ_Step/360,S452+T448-S448),MIN(S452+T448-S448,T448*PRJ_Step/360/IF($B442&lt;4,1,IF($B442&gt;5,3,2)))))),0)</f>
        <v>0</v>
      </c>
      <c r="U442" s="53">
        <f>IF(SUM($E455:U455)&lt;=0.01,IF(OR($B442=0,T452+U448-T448=0),0,IF($B441&gt;0,0,IF(T452+U448-T448&gt;0.2*U448,MIN((T452+U448-T448)*2/$B442*PRJ_Step/360,T452+U448-T448),MIN(T452+U448-T448,U448*PRJ_Step/360/IF($B442&lt;4,1,IF($B442&gt;5,3,2)))))),0)</f>
        <v>0</v>
      </c>
      <c r="V442" s="53">
        <f>IF(SUM($E455:V455)&lt;=0.01,IF(OR($B442=0,U452+V448-U448=0),0,IF($B441&gt;0,0,IF(U452+V448-U448&gt;0.2*V448,MIN((U452+V448-U448)*2/$B442*PRJ_Step/360,U452+V448-U448),MIN(U452+V448-U448,V448*PRJ_Step/360/IF($B442&lt;4,1,IF($B442&gt;5,3,2)))))),0)</f>
        <v>0</v>
      </c>
      <c r="W442" s="53">
        <f>IF(SUM($E455:W455)&lt;=0.01,IF(OR($B442=0,V452+W448-V448=0),0,IF($B441&gt;0,0,IF(V452+W448-V448&gt;0.2*W448,MIN((V452+W448-V448)*2/$B442*PRJ_Step/360,V452+W448-V448),MIN(V452+W448-V448,W448*PRJ_Step/360/IF($B442&lt;4,1,IF($B442&gt;5,3,2)))))),0)</f>
        <v>0</v>
      </c>
      <c r="X442" s="53">
        <f>IF(SUM($E455:X455)&lt;=0.01,IF(OR($B442=0,W452+X448-W448=0),0,IF($B441&gt;0,0,IF(W452+X448-W448&gt;0.2*X448,MIN((W452+X448-W448)*2/$B442*PRJ_Step/360,W452+X448-W448),MIN(W452+X448-W448,X448*PRJ_Step/360/IF($B442&lt;4,1,IF($B442&gt;5,3,2)))))),0)</f>
        <v>0</v>
      </c>
      <c r="Y442" s="53">
        <f>IF(SUM($E455:Y455)&lt;=0.01,IF(OR($B442=0,X452+Y448-X448=0),0,IF($B441&gt;0,0,IF(X452+Y448-X448&gt;0.2*Y448,MIN((X452+Y448-X448)*2/$B442*PRJ_Step/360,X452+Y448-X448),MIN(X452+Y448-X448,Y448*PRJ_Step/360/IF($B442&lt;4,1,IF($B442&gt;5,3,2)))))),0)</f>
        <v>0</v>
      </c>
      <c r="Z442" s="53">
        <f>IF(SUM($E455:Z455)&lt;=0.01,IF(OR($B442=0,Y452+Z448-Y448=0),0,IF($B441&gt;0,0,IF(Y452+Z448-Y448&gt;0.2*Z448,MIN((Y452+Z448-Y448)*2/$B442*PRJ_Step/360,Y452+Z448-Y448),MIN(Y452+Z448-Y448,Z448*PRJ_Step/360/IF($B442&lt;4,1,IF($B442&gt;5,3,2)))))),0)</f>
        <v>0</v>
      </c>
      <c r="AA442" s="53">
        <f>IF(SUM($E455:AA455)&lt;=0.01,IF(OR($B442=0,Z452+AA448-Z448=0),0,IF($B441&gt;0,0,IF(Z452+AA448-Z448&gt;0.2*AA448,MIN((Z452+AA448-Z448)*2/$B442*PRJ_Step/360,Z452+AA448-Z448),MIN(Z452+AA448-Z448,AA448*PRJ_Step/360/IF($B442&lt;4,1,IF($B442&gt;5,3,2)))))),0)</f>
        <v>0</v>
      </c>
      <c r="AB442" s="53">
        <f>IF(SUM($E455:AB455)&lt;=0.01,IF(OR($B442=0,AA452+AB448-AA448=0),0,IF($B441&gt;0,0,IF(AA452+AB448-AA448&gt;0.2*AB448,MIN((AA452+AB448-AA448)*2/$B442*PRJ_Step/360,AA452+AB448-AA448),MIN(AA452+AB448-AA448,AB448*PRJ_Step/360/IF($B442&lt;4,1,IF($B442&gt;5,3,2)))))),0)</f>
        <v>0</v>
      </c>
      <c r="AC442" s="53">
        <f>IF(SUM($E455:AC455)&lt;=0.01,IF(OR($B442=0,AB452+AC448-AB448=0),0,IF($B441&gt;0,0,IF(AB452+AC448-AB448&gt;0.2*AC448,MIN((AB452+AC448-AB448)*2/$B442*PRJ_Step/360,AB452+AC448-AB448),MIN(AB452+AC448-AB448,AC448*PRJ_Step/360/IF($B442&lt;4,1,IF($B442&gt;5,3,2)))))),0)</f>
        <v>0</v>
      </c>
      <c r="AE442" s="54">
        <f>SUM(F442:AC442)</f>
        <v>0</v>
      </c>
    </row>
    <row r="443" spans="1:31" s="23" customFormat="1" hidden="1" outlineLevel="2" x14ac:dyDescent="0.2">
      <c r="A443" t="str">
        <f ca="1">Language!A$396</f>
        <v xml:space="preserve">    выплаченный НДС</v>
      </c>
      <c r="B443" s="272">
        <v>0.23</v>
      </c>
      <c r="C443" s="40" t="str">
        <f ca="1">CUR_Main</f>
        <v>тыс. EUR</v>
      </c>
      <c r="D443" s="23" t="s">
        <v>835</v>
      </c>
      <c r="F443" s="110">
        <f t="shared" ref="F443:T443" si="855">F445*$B443</f>
        <v>0</v>
      </c>
      <c r="G443" s="110">
        <f t="shared" si="855"/>
        <v>0</v>
      </c>
      <c r="H443" s="110">
        <f t="shared" si="855"/>
        <v>18.699186991869919</v>
      </c>
      <c r="I443" s="110">
        <f t="shared" si="855"/>
        <v>0</v>
      </c>
      <c r="J443" s="110">
        <f t="shared" si="855"/>
        <v>0</v>
      </c>
      <c r="K443" s="110">
        <f t="shared" si="855"/>
        <v>0</v>
      </c>
      <c r="L443" s="110">
        <f t="shared" si="855"/>
        <v>0</v>
      </c>
      <c r="M443" s="110">
        <f t="shared" si="855"/>
        <v>0</v>
      </c>
      <c r="N443" s="110">
        <f t="shared" si="855"/>
        <v>0</v>
      </c>
      <c r="O443" s="110">
        <f t="shared" si="855"/>
        <v>0</v>
      </c>
      <c r="P443" s="110">
        <f t="shared" si="855"/>
        <v>0</v>
      </c>
      <c r="Q443" s="110">
        <f t="shared" si="855"/>
        <v>0</v>
      </c>
      <c r="R443" s="110">
        <f t="shared" si="855"/>
        <v>0</v>
      </c>
      <c r="S443" s="110">
        <f t="shared" si="855"/>
        <v>0</v>
      </c>
      <c r="T443" s="110">
        <f t="shared" si="855"/>
        <v>0</v>
      </c>
      <c r="U443" s="110">
        <f t="shared" ref="U443" si="856">U445*$B443</f>
        <v>0</v>
      </c>
      <c r="V443" s="110">
        <f t="shared" ref="V443" si="857">V445*$B443</f>
        <v>0</v>
      </c>
      <c r="W443" s="110">
        <f t="shared" ref="W443" si="858">W445*$B443</f>
        <v>0</v>
      </c>
      <c r="X443" s="110">
        <f t="shared" ref="X443" si="859">X445*$B443</f>
        <v>0</v>
      </c>
      <c r="Y443" s="110">
        <f t="shared" ref="Y443" si="860">Y445*$B443</f>
        <v>0</v>
      </c>
      <c r="Z443" s="110">
        <f t="shared" ref="Z443" si="861">Z445*$B443</f>
        <v>0</v>
      </c>
      <c r="AA443" s="110">
        <f t="shared" ref="AA443" si="862">AA445*$B443</f>
        <v>0</v>
      </c>
      <c r="AB443" s="110">
        <f t="shared" ref="AB443:AC443" si="863">AB445*$B443</f>
        <v>0</v>
      </c>
      <c r="AC443" s="110">
        <f t="shared" si="863"/>
        <v>0</v>
      </c>
      <c r="AE443" s="54">
        <f>SUM(F443:AC443)</f>
        <v>18.699186991869919</v>
      </c>
    </row>
    <row r="444" spans="1:31" s="23" customFormat="1" hidden="1" outlineLevel="2" x14ac:dyDescent="0.2">
      <c r="A444" t="str">
        <f ca="1">Language!A$397</f>
        <v xml:space="preserve">    вариант зачета НДС</v>
      </c>
      <c r="B444" s="254">
        <v>2</v>
      </c>
      <c r="C444" s="85" t="str">
        <f ca="1">CHOOSE(B444,Language!A$373,Language!A$374)</f>
        <v>после постановки актива на баланс</v>
      </c>
      <c r="F444" s="110"/>
      <c r="G444" s="110"/>
      <c r="H444" s="110"/>
      <c r="I444" s="110"/>
      <c r="J444" s="110"/>
      <c r="K444" s="110"/>
      <c r="L444" s="110"/>
      <c r="M444" s="110"/>
      <c r="N444" s="110"/>
      <c r="O444" s="110"/>
      <c r="P444" s="110"/>
      <c r="Q444" s="110"/>
      <c r="R444" s="110"/>
      <c r="S444" s="110"/>
      <c r="T444" s="110"/>
      <c r="U444" s="110"/>
      <c r="V444" s="110"/>
      <c r="W444" s="110"/>
      <c r="X444" s="110"/>
      <c r="Y444" s="110"/>
      <c r="Z444" s="110"/>
      <c r="AA444" s="110"/>
      <c r="AB444" s="110"/>
      <c r="AC444" s="110"/>
      <c r="AE444" s="54"/>
    </row>
    <row r="445" spans="1:31" s="23" customFormat="1" hidden="1" outlineLevel="2" x14ac:dyDescent="0.2">
      <c r="A445" t="str">
        <f ca="1">Language!A$386</f>
        <v xml:space="preserve">    сумма платежей без НДС</v>
      </c>
      <c r="C445" s="40" t="str">
        <f t="shared" ref="C445:C457" ca="1" si="864">CUR_Main</f>
        <v>тыс. EUR</v>
      </c>
      <c r="D445" s="23" t="s">
        <v>2441</v>
      </c>
      <c r="F445" s="84">
        <f t="shared" ref="F445:T445" si="865">F438*IF($B438=1,1,F$88)/(1+$B443)</f>
        <v>0</v>
      </c>
      <c r="G445" s="84">
        <f t="shared" si="865"/>
        <v>0</v>
      </c>
      <c r="H445" s="84">
        <f t="shared" si="865"/>
        <v>81.300813008130078</v>
      </c>
      <c r="I445" s="84">
        <f t="shared" si="865"/>
        <v>0</v>
      </c>
      <c r="J445" s="84">
        <f t="shared" si="865"/>
        <v>0</v>
      </c>
      <c r="K445" s="84">
        <f t="shared" si="865"/>
        <v>0</v>
      </c>
      <c r="L445" s="84">
        <f t="shared" si="865"/>
        <v>0</v>
      </c>
      <c r="M445" s="84">
        <f t="shared" si="865"/>
        <v>0</v>
      </c>
      <c r="N445" s="84">
        <f t="shared" si="865"/>
        <v>0</v>
      </c>
      <c r="O445" s="84">
        <f t="shared" si="865"/>
        <v>0</v>
      </c>
      <c r="P445" s="84">
        <f t="shared" si="865"/>
        <v>0</v>
      </c>
      <c r="Q445" s="84">
        <f t="shared" si="865"/>
        <v>0</v>
      </c>
      <c r="R445" s="84">
        <f t="shared" si="865"/>
        <v>0</v>
      </c>
      <c r="S445" s="84">
        <f t="shared" si="865"/>
        <v>0</v>
      </c>
      <c r="T445" s="84">
        <f t="shared" si="865"/>
        <v>0</v>
      </c>
      <c r="U445" s="84">
        <f t="shared" ref="U445" si="866">U438*IF($B438=1,1,U$88)/(1+$B443)</f>
        <v>0</v>
      </c>
      <c r="V445" s="84">
        <f t="shared" ref="V445" si="867">V438*IF($B438=1,1,V$88)/(1+$B443)</f>
        <v>0</v>
      </c>
      <c r="W445" s="84">
        <f t="shared" ref="W445" si="868">W438*IF($B438=1,1,W$88)/(1+$B443)</f>
        <v>0</v>
      </c>
      <c r="X445" s="84">
        <f t="shared" ref="X445" si="869">X438*IF($B438=1,1,X$88)/(1+$B443)</f>
        <v>0</v>
      </c>
      <c r="Y445" s="84">
        <f t="shared" ref="Y445" si="870">Y438*IF($B438=1,1,Y$88)/(1+$B443)</f>
        <v>0</v>
      </c>
      <c r="Z445" s="84">
        <f t="shared" ref="Z445" si="871">Z438*IF($B438=1,1,Z$88)/(1+$B443)</f>
        <v>0</v>
      </c>
      <c r="AA445" s="84">
        <f t="shared" ref="AA445" si="872">AA438*IF($B438=1,1,AA$88)/(1+$B443)</f>
        <v>0</v>
      </c>
      <c r="AB445" s="84">
        <f t="shared" ref="AB445:AC445" si="873">AB438*IF($B438=1,1,AB$88)/(1+$B443)</f>
        <v>0</v>
      </c>
      <c r="AC445" s="84">
        <f t="shared" si="873"/>
        <v>0</v>
      </c>
      <c r="AE445" s="54">
        <f>SUM(F445:AC445)</f>
        <v>81.300813008130078</v>
      </c>
    </row>
    <row r="446" spans="1:31" s="23" customFormat="1" hidden="1" outlineLevel="2" x14ac:dyDescent="0.2">
      <c r="A446" t="str">
        <f ca="1">Language!A$387</f>
        <v xml:space="preserve">    общая стоимость актива (без НДС)</v>
      </c>
      <c r="B446" s="55">
        <f>AE445+B439</f>
        <v>81.300813008130078</v>
      </c>
      <c r="C446" s="40" t="str">
        <f t="shared" ca="1" si="864"/>
        <v>тыс. EUR</v>
      </c>
      <c r="AE446" s="11"/>
    </row>
    <row r="447" spans="1:31" s="23" customFormat="1" hidden="1" outlineLevel="2" x14ac:dyDescent="0.2">
      <c r="A447" t="str">
        <f ca="1">Language!A$388</f>
        <v xml:space="preserve">    полная сумма вложений в актив (без НДС)</v>
      </c>
      <c r="C447" s="40" t="str">
        <f t="shared" ca="1" si="864"/>
        <v>тыс. EUR</v>
      </c>
      <c r="D447" s="23" t="s">
        <v>840</v>
      </c>
      <c r="F447" s="53">
        <f>B439+F445</f>
        <v>0</v>
      </c>
      <c r="G447" s="53">
        <f t="shared" ref="G447:AC447" si="874">F447+G445</f>
        <v>0</v>
      </c>
      <c r="H447" s="53">
        <f t="shared" si="874"/>
        <v>81.300813008130078</v>
      </c>
      <c r="I447" s="53">
        <f t="shared" si="874"/>
        <v>81.300813008130078</v>
      </c>
      <c r="J447" s="53">
        <f t="shared" si="874"/>
        <v>81.300813008130078</v>
      </c>
      <c r="K447" s="53">
        <f t="shared" si="874"/>
        <v>81.300813008130078</v>
      </c>
      <c r="L447" s="53">
        <f t="shared" si="874"/>
        <v>81.300813008130078</v>
      </c>
      <c r="M447" s="53">
        <f t="shared" si="874"/>
        <v>81.300813008130078</v>
      </c>
      <c r="N447" s="53">
        <f t="shared" si="874"/>
        <v>81.300813008130078</v>
      </c>
      <c r="O447" s="53">
        <f t="shared" si="874"/>
        <v>81.300813008130078</v>
      </c>
      <c r="P447" s="53">
        <f t="shared" si="874"/>
        <v>81.300813008130078</v>
      </c>
      <c r="Q447" s="53">
        <f t="shared" si="874"/>
        <v>81.300813008130078</v>
      </c>
      <c r="R447" s="53">
        <f t="shared" si="874"/>
        <v>81.300813008130078</v>
      </c>
      <c r="S447" s="53">
        <f t="shared" si="874"/>
        <v>81.300813008130078</v>
      </c>
      <c r="T447" s="53">
        <f t="shared" si="874"/>
        <v>81.300813008130078</v>
      </c>
      <c r="U447" s="53">
        <f t="shared" si="874"/>
        <v>81.300813008130078</v>
      </c>
      <c r="V447" s="53">
        <f t="shared" si="874"/>
        <v>81.300813008130078</v>
      </c>
      <c r="W447" s="53">
        <f t="shared" si="874"/>
        <v>81.300813008130078</v>
      </c>
      <c r="X447" s="53">
        <f t="shared" si="874"/>
        <v>81.300813008130078</v>
      </c>
      <c r="Y447" s="53">
        <f t="shared" si="874"/>
        <v>81.300813008130078</v>
      </c>
      <c r="Z447" s="53">
        <f t="shared" si="874"/>
        <v>81.300813008130078</v>
      </c>
      <c r="AA447" s="53">
        <f t="shared" si="874"/>
        <v>81.300813008130078</v>
      </c>
      <c r="AB447" s="53">
        <f t="shared" si="874"/>
        <v>81.300813008130078</v>
      </c>
      <c r="AC447" s="53">
        <f t="shared" si="874"/>
        <v>81.300813008130078</v>
      </c>
      <c r="AE447" s="54"/>
    </row>
    <row r="448" spans="1:31" s="23" customFormat="1" hidden="1" outlineLevel="2" x14ac:dyDescent="0.2">
      <c r="A448" t="str">
        <f ca="1">Language!A$389</f>
        <v xml:space="preserve">    полная балансовая стоимость</v>
      </c>
      <c r="C448" s="40" t="str">
        <f t="shared" ca="1" si="864"/>
        <v>тыс. EUR</v>
      </c>
      <c r="D448" s="23" t="s">
        <v>841</v>
      </c>
      <c r="F448" s="53">
        <f>IF($B440&lt;=F$29,IF(SUM($E455:F455)&gt;0.01,0,$B446),0)</f>
        <v>0</v>
      </c>
      <c r="G448" s="53">
        <f>IF($B440&lt;=G$29,IF(SUM($E455:G455)&gt;0.01,0,$B446),0)</f>
        <v>0</v>
      </c>
      <c r="H448" s="53">
        <f>IF($B440&lt;=H$29,IF(SUM($E455:H455)&gt;0.01,0,$B446),0)</f>
        <v>0</v>
      </c>
      <c r="I448" s="53">
        <f>IF($B440&lt;=I$29,IF(SUM($E455:I455)&gt;0.01,0,$B446),0)</f>
        <v>0</v>
      </c>
      <c r="J448" s="53">
        <f>IF($B440&lt;=J$29,IF(SUM($E455:J455)&gt;0.01,0,$B446),0)</f>
        <v>81.300813008130078</v>
      </c>
      <c r="K448" s="53">
        <f>IF($B440&lt;=K$29,IF(SUM($E455:K455)&gt;0.01,0,$B446),0)</f>
        <v>81.300813008130078</v>
      </c>
      <c r="L448" s="53">
        <f>IF($B440&lt;=L$29,IF(SUM($E455:L455)&gt;0.01,0,$B446),0)</f>
        <v>81.300813008130078</v>
      </c>
      <c r="M448" s="53">
        <f>IF($B440&lt;=M$29,IF(SUM($E455:M455)&gt;0.01,0,$B446),0)</f>
        <v>81.300813008130078</v>
      </c>
      <c r="N448" s="53">
        <f>IF($B440&lt;=N$29,IF(SUM($E455:N455)&gt;0.01,0,$B446),0)</f>
        <v>81.300813008130078</v>
      </c>
      <c r="O448" s="53">
        <f>IF($B440&lt;=O$29,IF(SUM($E455:O455)&gt;0.01,0,$B446),0)</f>
        <v>81.300813008130078</v>
      </c>
      <c r="P448" s="53">
        <f>IF($B440&lt;=P$29,IF(SUM($E455:P455)&gt;0.01,0,$B446),0)</f>
        <v>81.300813008130078</v>
      </c>
      <c r="Q448" s="53">
        <f>IF($B440&lt;=Q$29,IF(SUM($E455:Q455)&gt;0.01,0,$B446),0)</f>
        <v>81.300813008130078</v>
      </c>
      <c r="R448" s="53">
        <f>IF($B440&lt;=R$29,IF(SUM($E455:R455)&gt;0.01,0,$B446),0)</f>
        <v>81.300813008130078</v>
      </c>
      <c r="S448" s="53">
        <f>IF($B440&lt;=S$29,IF(SUM($E455:S455)&gt;0.01,0,$B446),0)</f>
        <v>81.300813008130078</v>
      </c>
      <c r="T448" s="53">
        <f>IF($B440&lt;=T$29,IF(SUM($E455:T455)&gt;0.01,0,$B446),0)</f>
        <v>81.300813008130078</v>
      </c>
      <c r="U448" s="53">
        <f>IF($B440&lt;=U$29,IF(SUM($E455:U455)&gt;0.01,0,$B446),0)</f>
        <v>81.300813008130078</v>
      </c>
      <c r="V448" s="53">
        <f>IF($B440&lt;=V$29,IF(SUM($E455:V455)&gt;0.01,0,$B446),0)</f>
        <v>81.300813008130078</v>
      </c>
      <c r="W448" s="53">
        <f>IF($B440&lt;=W$29,IF(SUM($E455:W455)&gt;0.01,0,$B446),0)</f>
        <v>81.300813008130078</v>
      </c>
      <c r="X448" s="53">
        <f>IF($B440&lt;=X$29,IF(SUM($E455:X455)&gt;0.01,0,$B446),0)</f>
        <v>81.300813008130078</v>
      </c>
      <c r="Y448" s="53">
        <f>IF($B440&lt;=Y$29,IF(SUM($E455:Y455)&gt;0.01,0,$B446),0)</f>
        <v>81.300813008130078</v>
      </c>
      <c r="Z448" s="53">
        <f>IF($B440&lt;=Z$29,IF(SUM($E455:Z455)&gt;0.01,0,$B446),0)</f>
        <v>81.300813008130078</v>
      </c>
      <c r="AA448" s="53">
        <f>IF($B440&lt;=AA$29,IF(SUM($E455:AA455)&gt;0.01,0,$B446),0)</f>
        <v>81.300813008130078</v>
      </c>
      <c r="AB448" s="53">
        <f>IF($B440&lt;=AB$29,IF(SUM($E455:AB455)&gt;0.01,0,$B446),0)</f>
        <v>81.300813008130078</v>
      </c>
      <c r="AC448" s="53">
        <f>IF($B440&lt;=AC$29,IF(SUM($E455:AC455)&gt;0.01,0,$B446),0)</f>
        <v>81.300813008130078</v>
      </c>
      <c r="AE448" s="11"/>
    </row>
    <row r="449" spans="1:31" s="23" customFormat="1" hidden="1" outlineLevel="2" x14ac:dyDescent="0.2">
      <c r="A449" t="str">
        <f ca="1">Language!A$390</f>
        <v xml:space="preserve">    незавершенные инвестиции</v>
      </c>
      <c r="C449" s="40" t="str">
        <f t="shared" ca="1" si="864"/>
        <v>тыс. EUR</v>
      </c>
      <c r="D449" s="23" t="s">
        <v>844</v>
      </c>
      <c r="F449" s="53">
        <f>IF(SUM($E455:F455)&gt;0,0,IF($B440&gt;F$29,F447,0))</f>
        <v>0</v>
      </c>
      <c r="G449" s="53">
        <f>IF(SUM($E455:G455)&gt;0,0,IF($B440&gt;G$29,G447,0))</f>
        <v>0</v>
      </c>
      <c r="H449" s="53">
        <f>IF(SUM($E455:H455)&gt;0,0,IF($B440&gt;H$29,H447,0))</f>
        <v>81.300813008130078</v>
      </c>
      <c r="I449" s="53">
        <f>IF(SUM($E455:I455)&gt;0,0,IF($B440&gt;I$29,I447,0))</f>
        <v>81.300813008130078</v>
      </c>
      <c r="J449" s="53">
        <f>IF(SUM($E455:J455)&gt;0,0,IF($B440&gt;J$29,J447,0))</f>
        <v>0</v>
      </c>
      <c r="K449" s="53">
        <f>IF(SUM($E455:K455)&gt;0,0,IF($B440&gt;K$29,K447,0))</f>
        <v>0</v>
      </c>
      <c r="L449" s="53">
        <f>IF(SUM($E455:L455)&gt;0,0,IF($B440&gt;L$29,L447,0))</f>
        <v>0</v>
      </c>
      <c r="M449" s="53">
        <f>IF(SUM($E455:M455)&gt;0,0,IF($B440&gt;M$29,M447,0))</f>
        <v>0</v>
      </c>
      <c r="N449" s="53">
        <f>IF(SUM($E455:N455)&gt;0,0,IF($B440&gt;N$29,N447,0))</f>
        <v>0</v>
      </c>
      <c r="O449" s="53">
        <f>IF(SUM($E455:O455)&gt;0,0,IF($B440&gt;O$29,O447,0))</f>
        <v>0</v>
      </c>
      <c r="P449" s="53">
        <f>IF(SUM($E455:P455)&gt;0,0,IF($B440&gt;P$29,P447,0))</f>
        <v>0</v>
      </c>
      <c r="Q449" s="53">
        <f>IF(SUM($E455:Q455)&gt;0,0,IF($B440&gt;Q$29,Q447,0))</f>
        <v>0</v>
      </c>
      <c r="R449" s="53">
        <f>IF(SUM($E455:R455)&gt;0,0,IF($B440&gt;R$29,R447,0))</f>
        <v>0</v>
      </c>
      <c r="S449" s="53">
        <f>IF(SUM($E455:S455)&gt;0,0,IF($B440&gt;S$29,S447,0))</f>
        <v>0</v>
      </c>
      <c r="T449" s="53">
        <f>IF(SUM($E455:T455)&gt;0,0,IF($B440&gt;T$29,T447,0))</f>
        <v>0</v>
      </c>
      <c r="U449" s="53">
        <f>IF(SUM($E455:U455)&gt;0,0,IF($B440&gt;U$29,U447,0))</f>
        <v>0</v>
      </c>
      <c r="V449" s="53">
        <f>IF(SUM($E455:V455)&gt;0,0,IF($B440&gt;V$29,V447,0))</f>
        <v>0</v>
      </c>
      <c r="W449" s="53">
        <f>IF(SUM($E455:W455)&gt;0,0,IF($B440&gt;W$29,W447,0))</f>
        <v>0</v>
      </c>
      <c r="X449" s="53">
        <f>IF(SUM($E455:X455)&gt;0,0,IF($B440&gt;X$29,X447,0))</f>
        <v>0</v>
      </c>
      <c r="Y449" s="53">
        <f>IF(SUM($E455:Y455)&gt;0,0,IF($B440&gt;Y$29,Y447,0))</f>
        <v>0</v>
      </c>
      <c r="Z449" s="53">
        <f>IF(SUM($E455:Z455)&gt;0,0,IF($B440&gt;Z$29,Z447,0))</f>
        <v>0</v>
      </c>
      <c r="AA449" s="53">
        <f>IF(SUM($E455:AA455)&gt;0,0,IF($B440&gt;AA$29,AA447,0))</f>
        <v>0</v>
      </c>
      <c r="AB449" s="53">
        <f>IF(SUM($E455:AB455)&gt;0,0,IF($B440&gt;AB$29,AB447,0))</f>
        <v>0</v>
      </c>
      <c r="AC449" s="53">
        <f>IF(SUM($E455:AC455)&gt;0,0,IF($B440&gt;AC$29,AC447,0))</f>
        <v>0</v>
      </c>
      <c r="AE449" s="11"/>
    </row>
    <row r="450" spans="1:31" s="23" customFormat="1" hidden="1" outlineLevel="2" x14ac:dyDescent="0.2">
      <c r="A450" t="str">
        <f ca="1">Language!A$391</f>
        <v xml:space="preserve">    кредиторская задолженность</v>
      </c>
      <c r="C450" s="40" t="str">
        <f t="shared" ca="1" si="864"/>
        <v>тыс. EUR</v>
      </c>
      <c r="D450" s="23" t="s">
        <v>845</v>
      </c>
      <c r="F450" s="53">
        <f>IF(OR($B440&lt;=F$29,AND(SUM($F455:F455)&gt;0,$B440&gt;F$29)),$B446-F447,0)</f>
        <v>0</v>
      </c>
      <c r="G450" s="53">
        <f>IF(OR($B440&lt;=G$29,AND(SUM($F455:G455)&gt;0,$B440&gt;G$29)),$B446-G447,0)</f>
        <v>0</v>
      </c>
      <c r="H450" s="53">
        <f>IF(OR($B440&lt;=H$29,AND(SUM($F455:H455)&gt;0,$B440&gt;H$29)),$B446-H447,0)</f>
        <v>0</v>
      </c>
      <c r="I450" s="53">
        <f>IF(OR($B440&lt;=I$29,AND(SUM($F455:I455)&gt;0,$B440&gt;I$29)),$B446-I447,0)</f>
        <v>0</v>
      </c>
      <c r="J450" s="53">
        <f>IF(OR($B440&lt;=J$29,AND(SUM($F455:J455)&gt;0,$B440&gt;J$29)),$B446-J447,0)</f>
        <v>0</v>
      </c>
      <c r="K450" s="53">
        <f>IF(OR($B440&lt;=K$29,AND(SUM($F455:K455)&gt;0,$B440&gt;K$29)),$B446-K447,0)</f>
        <v>0</v>
      </c>
      <c r="L450" s="53">
        <f>IF(OR($B440&lt;=L$29,AND(SUM($F455:L455)&gt;0,$B440&gt;L$29)),$B446-L447,0)</f>
        <v>0</v>
      </c>
      <c r="M450" s="53">
        <f>IF(OR($B440&lt;=M$29,AND(SUM($F455:M455)&gt;0,$B440&gt;M$29)),$B446-M447,0)</f>
        <v>0</v>
      </c>
      <c r="N450" s="53">
        <f>IF(OR($B440&lt;=N$29,AND(SUM($F455:N455)&gt;0,$B440&gt;N$29)),$B446-N447,0)</f>
        <v>0</v>
      </c>
      <c r="O450" s="53">
        <f>IF(OR($B440&lt;=O$29,AND(SUM($F455:O455)&gt;0,$B440&gt;O$29)),$B446-O447,0)</f>
        <v>0</v>
      </c>
      <c r="P450" s="53">
        <f>IF(OR($B440&lt;=P$29,AND(SUM($F455:P455)&gt;0,$B440&gt;P$29)),$B446-P447,0)</f>
        <v>0</v>
      </c>
      <c r="Q450" s="53">
        <f>IF(OR($B440&lt;=Q$29,AND(SUM($F455:Q455)&gt;0,$B440&gt;Q$29)),$B446-Q447,0)</f>
        <v>0</v>
      </c>
      <c r="R450" s="53">
        <f>IF(OR($B440&lt;=R$29,AND(SUM($F455:R455)&gt;0,$B440&gt;R$29)),$B446-R447,0)</f>
        <v>0</v>
      </c>
      <c r="S450" s="53">
        <f>IF(OR($B440&lt;=S$29,AND(SUM($F455:S455)&gt;0,$B440&gt;S$29)),$B446-S447,0)</f>
        <v>0</v>
      </c>
      <c r="T450" s="53">
        <f>IF(OR($B440&lt;=T$29,AND(SUM($F455:T455)&gt;0,$B440&gt;T$29)),$B446-T447,0)</f>
        <v>0</v>
      </c>
      <c r="U450" s="53">
        <f>IF(OR($B440&lt;=U$29,AND(SUM($F455:U455)&gt;0,$B440&gt;U$29)),$B446-U447,0)</f>
        <v>0</v>
      </c>
      <c r="V450" s="53">
        <f>IF(OR($B440&lt;=V$29,AND(SUM($F455:V455)&gt;0,$B440&gt;V$29)),$B446-V447,0)</f>
        <v>0</v>
      </c>
      <c r="W450" s="53">
        <f>IF(OR($B440&lt;=W$29,AND(SUM($F455:W455)&gt;0,$B440&gt;W$29)),$B446-W447,0)</f>
        <v>0</v>
      </c>
      <c r="X450" s="53">
        <f>IF(OR($B440&lt;=X$29,AND(SUM($F455:X455)&gt;0,$B440&gt;X$29)),$B446-X447,0)</f>
        <v>0</v>
      </c>
      <c r="Y450" s="53">
        <f>IF(OR($B440&lt;=Y$29,AND(SUM($F455:Y455)&gt;0,$B440&gt;Y$29)),$B446-Y447,0)</f>
        <v>0</v>
      </c>
      <c r="Z450" s="53">
        <f>IF(OR($B440&lt;=Z$29,AND(SUM($F455:Z455)&gt;0,$B440&gt;Z$29)),$B446-Z447,0)</f>
        <v>0</v>
      </c>
      <c r="AA450" s="53">
        <f>IF(OR($B440&lt;=AA$29,AND(SUM($F455:AA455)&gt;0,$B440&gt;AA$29)),$B446-AA447,0)</f>
        <v>0</v>
      </c>
      <c r="AB450" s="53">
        <f>IF(OR($B440&lt;=AB$29,AND(SUM($F455:AB455)&gt;0,$B440&gt;AB$29)),$B446-AB447,0)</f>
        <v>0</v>
      </c>
      <c r="AC450" s="53">
        <f>IF(OR($B440&lt;=AC$29,AND(SUM($F455:AC455)&gt;0,$B440&gt;AC$29)),$B446-AC447,0)</f>
        <v>0</v>
      </c>
      <c r="AE450" s="11"/>
    </row>
    <row r="451" spans="1:31" s="23" customFormat="1" hidden="1" outlineLevel="2" x14ac:dyDescent="0.2">
      <c r="A451" t="str">
        <f ca="1">Language!A$398</f>
        <v xml:space="preserve">    накопленная амортизация</v>
      </c>
      <c r="C451" s="40" t="str">
        <f t="shared" ca="1" si="864"/>
        <v>тыс. EUR</v>
      </c>
      <c r="D451" s="23" t="s">
        <v>842</v>
      </c>
      <c r="F451" s="53">
        <f t="shared" ref="F451:AC451" si="875">E451+F442+F441</f>
        <v>0</v>
      </c>
      <c r="G451" s="53">
        <f t="shared" si="875"/>
        <v>0</v>
      </c>
      <c r="H451" s="53">
        <f t="shared" si="875"/>
        <v>0</v>
      </c>
      <c r="I451" s="53">
        <f t="shared" si="875"/>
        <v>0</v>
      </c>
      <c r="J451" s="53">
        <f t="shared" si="875"/>
        <v>0</v>
      </c>
      <c r="K451" s="53">
        <f t="shared" si="875"/>
        <v>0</v>
      </c>
      <c r="L451" s="53">
        <f t="shared" si="875"/>
        <v>0</v>
      </c>
      <c r="M451" s="53">
        <f t="shared" si="875"/>
        <v>0</v>
      </c>
      <c r="N451" s="53">
        <f t="shared" si="875"/>
        <v>0</v>
      </c>
      <c r="O451" s="53">
        <f t="shared" si="875"/>
        <v>0</v>
      </c>
      <c r="P451" s="53">
        <f t="shared" si="875"/>
        <v>0</v>
      </c>
      <c r="Q451" s="53">
        <f t="shared" si="875"/>
        <v>0</v>
      </c>
      <c r="R451" s="53">
        <f t="shared" si="875"/>
        <v>0</v>
      </c>
      <c r="S451" s="53">
        <f t="shared" si="875"/>
        <v>0</v>
      </c>
      <c r="T451" s="53">
        <f t="shared" si="875"/>
        <v>0</v>
      </c>
      <c r="U451" s="53">
        <f t="shared" si="875"/>
        <v>0</v>
      </c>
      <c r="V451" s="53">
        <f t="shared" si="875"/>
        <v>0</v>
      </c>
      <c r="W451" s="53">
        <f t="shared" si="875"/>
        <v>0</v>
      </c>
      <c r="X451" s="53">
        <f t="shared" si="875"/>
        <v>0</v>
      </c>
      <c r="Y451" s="53">
        <f t="shared" si="875"/>
        <v>0</v>
      </c>
      <c r="Z451" s="53">
        <f t="shared" si="875"/>
        <v>0</v>
      </c>
      <c r="AA451" s="53">
        <f t="shared" si="875"/>
        <v>0</v>
      </c>
      <c r="AB451" s="53">
        <f t="shared" si="875"/>
        <v>0</v>
      </c>
      <c r="AC451" s="53">
        <f t="shared" si="875"/>
        <v>0</v>
      </c>
      <c r="AE451" s="11"/>
    </row>
    <row r="452" spans="1:31" s="23" customFormat="1" hidden="1" outlineLevel="2" x14ac:dyDescent="0.2">
      <c r="A452" t="str">
        <f ca="1">Language!A$392</f>
        <v xml:space="preserve">    остаточная стоимость</v>
      </c>
      <c r="C452" s="40" t="str">
        <f t="shared" ca="1" si="864"/>
        <v>тыс. EUR</v>
      </c>
      <c r="D452" s="23" t="s">
        <v>843</v>
      </c>
      <c r="F452" s="43">
        <f>IF(SUM($E455:F455)&gt;0.01,0,F448-F451)</f>
        <v>0</v>
      </c>
      <c r="G452" s="43">
        <f>IF(SUM($E455:G455)&gt;0.01,0,G448-G451)</f>
        <v>0</v>
      </c>
      <c r="H452" s="43">
        <f>IF(SUM($E455:H455)&gt;0.01,0,H448-H451)</f>
        <v>0</v>
      </c>
      <c r="I452" s="43">
        <f>IF(SUM($E455:I455)&gt;0.01,0,I448-I451)</f>
        <v>0</v>
      </c>
      <c r="J452" s="43">
        <f>IF(SUM($E455:J455)&gt;0.01,0,J448-J451)</f>
        <v>81.300813008130078</v>
      </c>
      <c r="K452" s="43">
        <f>IF(SUM($E455:K455)&gt;0.01,0,K448-K451)</f>
        <v>81.300813008130078</v>
      </c>
      <c r="L452" s="43">
        <f>IF(SUM($E455:L455)&gt;0.01,0,L448-L451)</f>
        <v>81.300813008130078</v>
      </c>
      <c r="M452" s="43">
        <f>IF(SUM($E455:M455)&gt;0.01,0,M448-M451)</f>
        <v>81.300813008130078</v>
      </c>
      <c r="N452" s="43">
        <f>IF(SUM($E455:N455)&gt;0.01,0,N448-N451)</f>
        <v>81.300813008130078</v>
      </c>
      <c r="O452" s="43">
        <f>IF(SUM($E455:O455)&gt;0.01,0,O448-O451)</f>
        <v>81.300813008130078</v>
      </c>
      <c r="P452" s="43">
        <f>IF(SUM($E455:P455)&gt;0.01,0,P448-P451)</f>
        <v>81.300813008130078</v>
      </c>
      <c r="Q452" s="43">
        <f>IF(SUM($E455:Q455)&gt;0.01,0,Q448-Q451)</f>
        <v>81.300813008130078</v>
      </c>
      <c r="R452" s="43">
        <f>IF(SUM($E455:R455)&gt;0.01,0,R448-R451)</f>
        <v>81.300813008130078</v>
      </c>
      <c r="S452" s="43">
        <f>IF(SUM($E455:S455)&gt;0.01,0,S448-S451)</f>
        <v>81.300813008130078</v>
      </c>
      <c r="T452" s="43">
        <f>IF(SUM($E455:T455)&gt;0.01,0,T448-T451)</f>
        <v>81.300813008130078</v>
      </c>
      <c r="U452" s="43">
        <f>IF(SUM($E455:U455)&gt;0.01,0,U448-U451)</f>
        <v>81.300813008130078</v>
      </c>
      <c r="V452" s="43">
        <f>IF(SUM($E455:V455)&gt;0.01,0,V448-V451)</f>
        <v>81.300813008130078</v>
      </c>
      <c r="W452" s="43">
        <f>IF(SUM($E455:W455)&gt;0.01,0,W448-W451)</f>
        <v>81.300813008130078</v>
      </c>
      <c r="X452" s="43">
        <f>IF(SUM($E455:X455)&gt;0.01,0,X448-X451)</f>
        <v>81.300813008130078</v>
      </c>
      <c r="Y452" s="43">
        <f>IF(SUM($E455:Y455)&gt;0.01,0,Y448-Y451)</f>
        <v>81.300813008130078</v>
      </c>
      <c r="Z452" s="43">
        <f>IF(SUM($E455:Z455)&gt;0.01,0,Z448-Z451)</f>
        <v>81.300813008130078</v>
      </c>
      <c r="AA452" s="43">
        <f>IF(SUM($E455:AA455)&gt;0.01,0,AA448-AA451)</f>
        <v>81.300813008130078</v>
      </c>
      <c r="AB452" s="43">
        <f>IF(SUM($E455:AB455)&gt;0.01,0,AB448-AB451)</f>
        <v>81.300813008130078</v>
      </c>
      <c r="AC452" s="43">
        <f>IF(SUM($E455:AC455)&gt;0.01,0,AC448-AC451)</f>
        <v>81.300813008130078</v>
      </c>
      <c r="AE452" s="11"/>
    </row>
    <row r="453" spans="1:31" s="23" customFormat="1" hidden="1" outlineLevel="2" x14ac:dyDescent="0.2">
      <c r="A453" t="str">
        <f ca="1">Language!A$399</f>
        <v xml:space="preserve">    НДС к ранее осуществленным инвестициям</v>
      </c>
      <c r="B453" s="261">
        <f>B439*B443</f>
        <v>0</v>
      </c>
      <c r="C453" s="40" t="str">
        <f t="shared" ca="1" si="864"/>
        <v>тыс. EUR</v>
      </c>
      <c r="D453" s="23" t="s">
        <v>836</v>
      </c>
      <c r="AE453" s="11"/>
    </row>
    <row r="454" spans="1:31" s="23" customFormat="1" hidden="1" outlineLevel="2" x14ac:dyDescent="0.2">
      <c r="A454" t="str">
        <f ca="1">Language!A$400</f>
        <v xml:space="preserve">    зачет НДС</v>
      </c>
      <c r="C454" s="40" t="str">
        <f t="shared" ca="1" si="864"/>
        <v>тыс. EUR</v>
      </c>
      <c r="D454" s="132" t="s">
        <v>837</v>
      </c>
      <c r="F454" s="110">
        <f>IF($B444=2,IF($B440=F$29,$B453+$AE443,0),F443+B453)</f>
        <v>0</v>
      </c>
      <c r="G454" s="110">
        <f t="shared" ref="G454:AC454" si="876">IF($B444=2,IF($B440=G$29,$B453+$AE443,0),G443)</f>
        <v>0</v>
      </c>
      <c r="H454" s="110">
        <f t="shared" si="876"/>
        <v>0</v>
      </c>
      <c r="I454" s="110">
        <f t="shared" si="876"/>
        <v>0</v>
      </c>
      <c r="J454" s="110">
        <f t="shared" si="876"/>
        <v>18.699186991869919</v>
      </c>
      <c r="K454" s="110">
        <f t="shared" si="876"/>
        <v>0</v>
      </c>
      <c r="L454" s="110">
        <f t="shared" si="876"/>
        <v>0</v>
      </c>
      <c r="M454" s="110">
        <f t="shared" si="876"/>
        <v>0</v>
      </c>
      <c r="N454" s="110">
        <f t="shared" si="876"/>
        <v>0</v>
      </c>
      <c r="O454" s="110">
        <f t="shared" si="876"/>
        <v>0</v>
      </c>
      <c r="P454" s="110">
        <f t="shared" si="876"/>
        <v>0</v>
      </c>
      <c r="Q454" s="110">
        <f t="shared" si="876"/>
        <v>0</v>
      </c>
      <c r="R454" s="110">
        <f t="shared" si="876"/>
        <v>0</v>
      </c>
      <c r="S454" s="110">
        <f t="shared" si="876"/>
        <v>0</v>
      </c>
      <c r="T454" s="110">
        <f t="shared" si="876"/>
        <v>0</v>
      </c>
      <c r="U454" s="110">
        <f t="shared" si="876"/>
        <v>0</v>
      </c>
      <c r="V454" s="110">
        <f t="shared" si="876"/>
        <v>0</v>
      </c>
      <c r="W454" s="110">
        <f t="shared" si="876"/>
        <v>0</v>
      </c>
      <c r="X454" s="110">
        <f t="shared" si="876"/>
        <v>0</v>
      </c>
      <c r="Y454" s="110">
        <f t="shared" si="876"/>
        <v>0</v>
      </c>
      <c r="Z454" s="110">
        <f t="shared" si="876"/>
        <v>0</v>
      </c>
      <c r="AA454" s="110">
        <f t="shared" si="876"/>
        <v>0</v>
      </c>
      <c r="AB454" s="110">
        <f t="shared" si="876"/>
        <v>0</v>
      </c>
      <c r="AC454" s="110">
        <f t="shared" si="876"/>
        <v>0</v>
      </c>
      <c r="AE454" s="54">
        <f>SUM(F454:AC454)</f>
        <v>18.699186991869919</v>
      </c>
    </row>
    <row r="455" spans="1:31" s="23" customFormat="1" hidden="1" outlineLevel="2" x14ac:dyDescent="0.2">
      <c r="A455" s="63" t="str">
        <f ca="1">Language!A$362</f>
        <v xml:space="preserve">    реализация актива (без НДС)</v>
      </c>
      <c r="B455" s="111"/>
      <c r="C455" s="113" t="str">
        <f t="shared" ca="1" si="864"/>
        <v>тыс. EUR</v>
      </c>
      <c r="D455" s="23" t="s">
        <v>838</v>
      </c>
      <c r="E455" s="111"/>
      <c r="F455" s="271">
        <v>0</v>
      </c>
      <c r="G455" s="271">
        <v>0</v>
      </c>
      <c r="H455" s="271">
        <v>0</v>
      </c>
      <c r="I455" s="271">
        <v>0</v>
      </c>
      <c r="J455" s="271">
        <v>0</v>
      </c>
      <c r="K455" s="271">
        <v>0</v>
      </c>
      <c r="L455" s="271">
        <v>0</v>
      </c>
      <c r="M455" s="271">
        <v>0</v>
      </c>
      <c r="N455" s="271">
        <v>0</v>
      </c>
      <c r="O455" s="271">
        <v>0</v>
      </c>
      <c r="P455" s="271">
        <v>0</v>
      </c>
      <c r="Q455" s="271">
        <v>0</v>
      </c>
      <c r="R455" s="271">
        <v>0</v>
      </c>
      <c r="S455" s="271">
        <v>0</v>
      </c>
      <c r="T455" s="271">
        <v>0</v>
      </c>
      <c r="U455" s="271">
        <v>0</v>
      </c>
      <c r="V455" s="271">
        <v>0</v>
      </c>
      <c r="W455" s="271">
        <v>0</v>
      </c>
      <c r="X455" s="271">
        <v>0</v>
      </c>
      <c r="Y455" s="271">
        <v>0</v>
      </c>
      <c r="Z455" s="271">
        <v>0</v>
      </c>
      <c r="AA455" s="271">
        <v>0</v>
      </c>
      <c r="AB455" s="271">
        <v>0</v>
      </c>
      <c r="AC455" s="271">
        <v>0</v>
      </c>
      <c r="AE455" s="54">
        <f>SUM(F455:AC455)</f>
        <v>0</v>
      </c>
    </row>
    <row r="456" spans="1:31" s="23" customFormat="1" hidden="1" outlineLevel="2" x14ac:dyDescent="0.2">
      <c r="A456" s="19" t="str">
        <f ca="1">Language!A$363</f>
        <v xml:space="preserve">    прибыль/убыток от реализации актива</v>
      </c>
      <c r="B456" s="24"/>
      <c r="C456" s="114" t="str">
        <f t="shared" ca="1" si="864"/>
        <v>тыс. EUR</v>
      </c>
      <c r="D456" s="23" t="s">
        <v>839</v>
      </c>
      <c r="E456" s="24"/>
      <c r="F456" s="110">
        <f t="shared" ref="F456:AC456" si="877">IF(F455=0,0,F455-IF(F$29&lt;=$B440,$B446,E452))</f>
        <v>0</v>
      </c>
      <c r="G456" s="110">
        <f t="shared" si="877"/>
        <v>0</v>
      </c>
      <c r="H456" s="110">
        <f t="shared" si="877"/>
        <v>0</v>
      </c>
      <c r="I456" s="110">
        <f t="shared" si="877"/>
        <v>0</v>
      </c>
      <c r="J456" s="110">
        <f t="shared" si="877"/>
        <v>0</v>
      </c>
      <c r="K456" s="110">
        <f t="shared" si="877"/>
        <v>0</v>
      </c>
      <c r="L456" s="110">
        <f t="shared" si="877"/>
        <v>0</v>
      </c>
      <c r="M456" s="110">
        <f t="shared" si="877"/>
        <v>0</v>
      </c>
      <c r="N456" s="110">
        <f t="shared" si="877"/>
        <v>0</v>
      </c>
      <c r="O456" s="110">
        <f t="shared" si="877"/>
        <v>0</v>
      </c>
      <c r="P456" s="110">
        <f t="shared" si="877"/>
        <v>0</v>
      </c>
      <c r="Q456" s="110">
        <f t="shared" si="877"/>
        <v>0</v>
      </c>
      <c r="R456" s="110">
        <f t="shared" si="877"/>
        <v>0</v>
      </c>
      <c r="S456" s="110">
        <f t="shared" si="877"/>
        <v>0</v>
      </c>
      <c r="T456" s="110">
        <f t="shared" si="877"/>
        <v>0</v>
      </c>
      <c r="U456" s="110">
        <f t="shared" si="877"/>
        <v>0</v>
      </c>
      <c r="V456" s="110">
        <f t="shared" si="877"/>
        <v>0</v>
      </c>
      <c r="W456" s="110">
        <f t="shared" si="877"/>
        <v>0</v>
      </c>
      <c r="X456" s="110">
        <f t="shared" si="877"/>
        <v>0</v>
      </c>
      <c r="Y456" s="110">
        <f t="shared" si="877"/>
        <v>0</v>
      </c>
      <c r="Z456" s="110">
        <f t="shared" si="877"/>
        <v>0</v>
      </c>
      <c r="AA456" s="110">
        <f t="shared" si="877"/>
        <v>0</v>
      </c>
      <c r="AB456" s="110">
        <f t="shared" si="877"/>
        <v>0</v>
      </c>
      <c r="AC456" s="110">
        <f t="shared" si="877"/>
        <v>0</v>
      </c>
      <c r="AE456" s="54">
        <f>SUM(F456:AC456)</f>
        <v>0</v>
      </c>
    </row>
    <row r="457" spans="1:31" s="23" customFormat="1" hidden="1" outlineLevel="2" x14ac:dyDescent="0.2">
      <c r="A457" t="str">
        <f ca="1">Language!A$401</f>
        <v xml:space="preserve">    НДС к выручке от реализации актива</v>
      </c>
      <c r="B457" s="272">
        <f>VAT</f>
        <v>0.23</v>
      </c>
      <c r="C457" s="40" t="str">
        <f t="shared" ca="1" si="864"/>
        <v>тыс. EUR</v>
      </c>
      <c r="D457" s="23" t="s">
        <v>811</v>
      </c>
      <c r="F457">
        <f t="shared" ref="F457:T457" si="878">F455*$B457</f>
        <v>0</v>
      </c>
      <c r="G457">
        <f t="shared" si="878"/>
        <v>0</v>
      </c>
      <c r="H457">
        <f t="shared" si="878"/>
        <v>0</v>
      </c>
      <c r="I457">
        <f t="shared" si="878"/>
        <v>0</v>
      </c>
      <c r="J457">
        <f t="shared" si="878"/>
        <v>0</v>
      </c>
      <c r="K457">
        <f t="shared" si="878"/>
        <v>0</v>
      </c>
      <c r="L457">
        <f t="shared" si="878"/>
        <v>0</v>
      </c>
      <c r="M457">
        <f t="shared" si="878"/>
        <v>0</v>
      </c>
      <c r="N457">
        <f t="shared" si="878"/>
        <v>0</v>
      </c>
      <c r="O457">
        <f t="shared" si="878"/>
        <v>0</v>
      </c>
      <c r="P457">
        <f t="shared" si="878"/>
        <v>0</v>
      </c>
      <c r="Q457">
        <f t="shared" si="878"/>
        <v>0</v>
      </c>
      <c r="R457">
        <f t="shared" si="878"/>
        <v>0</v>
      </c>
      <c r="S457">
        <f t="shared" si="878"/>
        <v>0</v>
      </c>
      <c r="T457">
        <f t="shared" si="878"/>
        <v>0</v>
      </c>
      <c r="U457">
        <f t="shared" ref="U457" si="879">U455*$B457</f>
        <v>0</v>
      </c>
      <c r="V457">
        <f t="shared" ref="V457" si="880">V455*$B457</f>
        <v>0</v>
      </c>
      <c r="W457">
        <f t="shared" ref="W457" si="881">W455*$B457</f>
        <v>0</v>
      </c>
      <c r="X457">
        <f t="shared" ref="X457" si="882">X455*$B457</f>
        <v>0</v>
      </c>
      <c r="Y457">
        <f t="shared" ref="Y457" si="883">Y455*$B457</f>
        <v>0</v>
      </c>
      <c r="Z457">
        <f t="shared" ref="Z457" si="884">Z455*$B457</f>
        <v>0</v>
      </c>
      <c r="AA457">
        <f t="shared" ref="AA457" si="885">AA455*$B457</f>
        <v>0</v>
      </c>
      <c r="AB457">
        <f t="shared" ref="AB457:AC457" si="886">AB455*$B457</f>
        <v>0</v>
      </c>
      <c r="AC457">
        <f t="shared" si="886"/>
        <v>0</v>
      </c>
      <c r="AE457" s="54">
        <f>SUM(F457:AC457)</f>
        <v>0</v>
      </c>
    </row>
    <row r="458" spans="1:31" s="23" customFormat="1" outlineLevel="1" x14ac:dyDescent="0.2">
      <c r="A458" s="129"/>
      <c r="AE458" s="11"/>
    </row>
    <row r="459" spans="1:31" outlineLevel="1" x14ac:dyDescent="0.2">
      <c r="A459" s="35" t="str">
        <f ca="1">Language!A$407</f>
        <v>Финансовые вложения</v>
      </c>
      <c r="D459">
        <v>1</v>
      </c>
      <c r="E459" s="48">
        <v>15</v>
      </c>
    </row>
    <row r="460" spans="1:31" s="23" customFormat="1" outlineLevel="1" x14ac:dyDescent="0.2">
      <c r="A460" s="273" t="str">
        <f ca="1">Language!A$380</f>
        <v>Наименование</v>
      </c>
      <c r="B460" s="36" t="str">
        <f ca="1">Language!A$73</f>
        <v>Валюта</v>
      </c>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E460" s="39"/>
    </row>
    <row r="461" spans="1:31" s="23" customFormat="1" outlineLevel="1" collapsed="1" x14ac:dyDescent="0.2">
      <c r="A461" t="str">
        <f ca="1">Language!A$381</f>
        <v xml:space="preserve">    величина платежей</v>
      </c>
      <c r="B461" s="254">
        <v>1</v>
      </c>
      <c r="C461" s="40" t="str">
        <f ca="1">CHOOSE(B461,CUR_Main,CUR_Foreign)</f>
        <v>тыс. EUR</v>
      </c>
      <c r="D461" s="16" t="str">
        <f>TEXT(B461,"0")&amp;"_00"</f>
        <v>1_00</v>
      </c>
      <c r="F461" s="275">
        <v>0</v>
      </c>
      <c r="G461" s="275">
        <v>0</v>
      </c>
      <c r="H461" s="275">
        <v>0</v>
      </c>
      <c r="I461" s="275">
        <v>0</v>
      </c>
      <c r="J461" s="275">
        <v>0</v>
      </c>
      <c r="K461" s="275">
        <v>0</v>
      </c>
      <c r="L461" s="275">
        <v>0</v>
      </c>
      <c r="M461" s="275">
        <v>0</v>
      </c>
      <c r="N461" s="275">
        <v>0</v>
      </c>
      <c r="O461" s="275">
        <v>0</v>
      </c>
      <c r="P461" s="275">
        <v>0</v>
      </c>
      <c r="Q461" s="275">
        <v>0</v>
      </c>
      <c r="R461" s="275">
        <v>0</v>
      </c>
      <c r="S461" s="275">
        <v>0</v>
      </c>
      <c r="T461" s="275">
        <v>0</v>
      </c>
      <c r="U461" s="275">
        <v>0</v>
      </c>
      <c r="V461" s="275">
        <v>0</v>
      </c>
      <c r="W461" s="275">
        <v>0</v>
      </c>
      <c r="X461" s="275">
        <v>0</v>
      </c>
      <c r="Y461" s="275">
        <v>0</v>
      </c>
      <c r="Z461" s="275">
        <v>0</v>
      </c>
      <c r="AA461" s="275">
        <v>0</v>
      </c>
      <c r="AB461" s="275">
        <v>0</v>
      </c>
      <c r="AC461" s="275">
        <v>0</v>
      </c>
      <c r="AE461" s="54">
        <f>SUM(F461:AC461)</f>
        <v>0</v>
      </c>
    </row>
    <row r="462" spans="1:31" s="23" customFormat="1" hidden="1" outlineLevel="2" x14ac:dyDescent="0.2">
      <c r="A462" t="str">
        <f ca="1">Language!A$385</f>
        <v xml:space="preserve">    поставить на баланс с</v>
      </c>
      <c r="B462" s="270">
        <f ca="1">MATCH(OFFSET(AE467,0,-2),F467:AC467,0)+1</f>
        <v>2</v>
      </c>
      <c r="C462" s="40" t="str">
        <f ca="1">Language!A$377</f>
        <v>периода</v>
      </c>
      <c r="AE462" s="11"/>
    </row>
    <row r="463" spans="1:31" s="23" customFormat="1" hidden="1" outlineLevel="2" x14ac:dyDescent="0.2">
      <c r="A463" t="str">
        <f ca="1">Language!A$396</f>
        <v xml:space="preserve">    выплаченный НДС</v>
      </c>
      <c r="B463" s="272">
        <v>0</v>
      </c>
      <c r="C463" s="40" t="str">
        <f ca="1">CUR_Main</f>
        <v>тыс. EUR</v>
      </c>
      <c r="D463" s="23" t="s">
        <v>835</v>
      </c>
      <c r="F463" s="110">
        <f t="shared" ref="F463:T463" si="887">F465*$B463</f>
        <v>0</v>
      </c>
      <c r="G463" s="110">
        <f t="shared" si="887"/>
        <v>0</v>
      </c>
      <c r="H463" s="110">
        <f t="shared" si="887"/>
        <v>0</v>
      </c>
      <c r="I463" s="110">
        <f t="shared" si="887"/>
        <v>0</v>
      </c>
      <c r="J463" s="110">
        <f t="shared" si="887"/>
        <v>0</v>
      </c>
      <c r="K463" s="110">
        <f t="shared" si="887"/>
        <v>0</v>
      </c>
      <c r="L463" s="110">
        <f t="shared" si="887"/>
        <v>0</v>
      </c>
      <c r="M463" s="110">
        <f t="shared" si="887"/>
        <v>0</v>
      </c>
      <c r="N463" s="110">
        <f t="shared" si="887"/>
        <v>0</v>
      </c>
      <c r="O463" s="110">
        <f t="shared" si="887"/>
        <v>0</v>
      </c>
      <c r="P463" s="110">
        <f t="shared" si="887"/>
        <v>0</v>
      </c>
      <c r="Q463" s="110">
        <f t="shared" si="887"/>
        <v>0</v>
      </c>
      <c r="R463" s="110">
        <f t="shared" si="887"/>
        <v>0</v>
      </c>
      <c r="S463" s="110">
        <f t="shared" si="887"/>
        <v>0</v>
      </c>
      <c r="T463" s="110">
        <f t="shared" si="887"/>
        <v>0</v>
      </c>
      <c r="U463" s="110">
        <f t="shared" ref="U463" si="888">U465*$B463</f>
        <v>0</v>
      </c>
      <c r="V463" s="110">
        <f t="shared" ref="V463" si="889">V465*$B463</f>
        <v>0</v>
      </c>
      <c r="W463" s="110">
        <f t="shared" ref="W463" si="890">W465*$B463</f>
        <v>0</v>
      </c>
      <c r="X463" s="110">
        <f t="shared" ref="X463" si="891">X465*$B463</f>
        <v>0</v>
      </c>
      <c r="Y463" s="110">
        <f t="shared" ref="Y463" si="892">Y465*$B463</f>
        <v>0</v>
      </c>
      <c r="Z463" s="110">
        <f t="shared" ref="Z463" si="893">Z465*$B463</f>
        <v>0</v>
      </c>
      <c r="AA463" s="110">
        <f t="shared" ref="AA463" si="894">AA465*$B463</f>
        <v>0</v>
      </c>
      <c r="AB463" s="110">
        <f t="shared" ref="AB463:AC463" si="895">AB465*$B463</f>
        <v>0</v>
      </c>
      <c r="AC463" s="110">
        <f t="shared" si="895"/>
        <v>0</v>
      </c>
      <c r="AE463" s="54">
        <f>SUM(F463:AC463)</f>
        <v>0</v>
      </c>
    </row>
    <row r="464" spans="1:31" hidden="1" outlineLevel="2" x14ac:dyDescent="0.2">
      <c r="A464" s="23" t="str">
        <f ca="1">Language!A$408</f>
        <v xml:space="preserve">    доходность финансовых вложений</v>
      </c>
      <c r="B464" s="272">
        <v>0.1</v>
      </c>
      <c r="C464" s="5" t="str">
        <f ca="1">CUR_Main</f>
        <v>тыс. EUR</v>
      </c>
      <c r="D464" t="s">
        <v>846</v>
      </c>
      <c r="F464" s="271">
        <f t="shared" ref="F464:T464" ca="1" si="896">F468*$B464*PRJ_Step/360</f>
        <v>0</v>
      </c>
      <c r="G464" s="271">
        <f t="shared" ca="1" si="896"/>
        <v>0</v>
      </c>
      <c r="H464" s="271">
        <f t="shared" ca="1" si="896"/>
        <v>0</v>
      </c>
      <c r="I464" s="271">
        <f t="shared" ca="1" si="896"/>
        <v>0</v>
      </c>
      <c r="J464" s="271">
        <f t="shared" ca="1" si="896"/>
        <v>0</v>
      </c>
      <c r="K464" s="271">
        <f t="shared" ca="1" si="896"/>
        <v>0</v>
      </c>
      <c r="L464" s="271">
        <f t="shared" ca="1" si="896"/>
        <v>0</v>
      </c>
      <c r="M464" s="271">
        <f t="shared" ca="1" si="896"/>
        <v>0</v>
      </c>
      <c r="N464" s="271">
        <f t="shared" ca="1" si="896"/>
        <v>0</v>
      </c>
      <c r="O464" s="271">
        <f t="shared" ca="1" si="896"/>
        <v>0</v>
      </c>
      <c r="P464" s="271">
        <f t="shared" ca="1" si="896"/>
        <v>0</v>
      </c>
      <c r="Q464" s="271">
        <f t="shared" ca="1" si="896"/>
        <v>0</v>
      </c>
      <c r="R464" s="271">
        <f t="shared" ca="1" si="896"/>
        <v>0</v>
      </c>
      <c r="S464" s="271">
        <f t="shared" ca="1" si="896"/>
        <v>0</v>
      </c>
      <c r="T464" s="271">
        <f t="shared" ca="1" si="896"/>
        <v>0</v>
      </c>
      <c r="U464" s="271">
        <f t="shared" ref="U464" ca="1" si="897">U468*$B464*PRJ_Step/360</f>
        <v>0</v>
      </c>
      <c r="V464" s="271">
        <f t="shared" ref="V464" ca="1" si="898">V468*$B464*PRJ_Step/360</f>
        <v>0</v>
      </c>
      <c r="W464" s="271">
        <f t="shared" ref="W464" ca="1" si="899">W468*$B464*PRJ_Step/360</f>
        <v>0</v>
      </c>
      <c r="X464" s="271">
        <f t="shared" ref="X464" ca="1" si="900">X468*$B464*PRJ_Step/360</f>
        <v>0</v>
      </c>
      <c r="Y464" s="271">
        <f t="shared" ref="Y464" ca="1" si="901">Y468*$B464*PRJ_Step/360</f>
        <v>0</v>
      </c>
      <c r="Z464" s="271">
        <f t="shared" ref="Z464" ca="1" si="902">Z468*$B464*PRJ_Step/360</f>
        <v>0</v>
      </c>
      <c r="AA464" s="271">
        <f t="shared" ref="AA464" ca="1" si="903">AA468*$B464*PRJ_Step/360</f>
        <v>0</v>
      </c>
      <c r="AB464" s="271">
        <f t="shared" ref="AB464:AC464" ca="1" si="904">AB468*$B464*PRJ_Step/360</f>
        <v>0</v>
      </c>
      <c r="AC464" s="271">
        <f t="shared" ca="1" si="904"/>
        <v>0</v>
      </c>
      <c r="AE464" s="54">
        <f ca="1">SUM(F464:AC464)</f>
        <v>0</v>
      </c>
    </row>
    <row r="465" spans="1:31" s="23" customFormat="1" hidden="1" outlineLevel="2" x14ac:dyDescent="0.2">
      <c r="A465" t="str">
        <f ca="1">Language!A$386</f>
        <v xml:space="preserve">    сумма платежей без НДС</v>
      </c>
      <c r="C465" s="40" t="str">
        <f t="shared" ref="C465:C474" ca="1" si="905">CUR_Main</f>
        <v>тыс. EUR</v>
      </c>
      <c r="D465" s="23" t="s">
        <v>2441</v>
      </c>
      <c r="F465" s="84">
        <f t="shared" ref="F465:T465" si="906">F461*IF($B461=1,1,F$88)/(1+$B463)</f>
        <v>0</v>
      </c>
      <c r="G465" s="84">
        <f t="shared" si="906"/>
        <v>0</v>
      </c>
      <c r="H465" s="84">
        <f t="shared" si="906"/>
        <v>0</v>
      </c>
      <c r="I465" s="84">
        <f t="shared" si="906"/>
        <v>0</v>
      </c>
      <c r="J465" s="84">
        <f t="shared" si="906"/>
        <v>0</v>
      </c>
      <c r="K465" s="84">
        <f t="shared" si="906"/>
        <v>0</v>
      </c>
      <c r="L465" s="84">
        <f t="shared" si="906"/>
        <v>0</v>
      </c>
      <c r="M465" s="84">
        <f t="shared" si="906"/>
        <v>0</v>
      </c>
      <c r="N465" s="84">
        <f t="shared" si="906"/>
        <v>0</v>
      </c>
      <c r="O465" s="84">
        <f t="shared" si="906"/>
        <v>0</v>
      </c>
      <c r="P465" s="84">
        <f t="shared" si="906"/>
        <v>0</v>
      </c>
      <c r="Q465" s="84">
        <f t="shared" si="906"/>
        <v>0</v>
      </c>
      <c r="R465" s="84">
        <f t="shared" si="906"/>
        <v>0</v>
      </c>
      <c r="S465" s="84">
        <f t="shared" si="906"/>
        <v>0</v>
      </c>
      <c r="T465" s="84">
        <f t="shared" si="906"/>
        <v>0</v>
      </c>
      <c r="U465" s="84">
        <f t="shared" ref="U465" si="907">U461*IF($B461=1,1,U$88)/(1+$B463)</f>
        <v>0</v>
      </c>
      <c r="V465" s="84">
        <f t="shared" ref="V465" si="908">V461*IF($B461=1,1,V$88)/(1+$B463)</f>
        <v>0</v>
      </c>
      <c r="W465" s="84">
        <f t="shared" ref="W465" si="909">W461*IF($B461=1,1,W$88)/(1+$B463)</f>
        <v>0</v>
      </c>
      <c r="X465" s="84">
        <f t="shared" ref="X465" si="910">X461*IF($B461=1,1,X$88)/(1+$B463)</f>
        <v>0</v>
      </c>
      <c r="Y465" s="84">
        <f t="shared" ref="Y465" si="911">Y461*IF($B461=1,1,Y$88)/(1+$B463)</f>
        <v>0</v>
      </c>
      <c r="Z465" s="84">
        <f t="shared" ref="Z465" si="912">Z461*IF($B461=1,1,Z$88)/(1+$B463)</f>
        <v>0</v>
      </c>
      <c r="AA465" s="84">
        <f t="shared" ref="AA465" si="913">AA461*IF($B461=1,1,AA$88)/(1+$B463)</f>
        <v>0</v>
      </c>
      <c r="AB465" s="84">
        <f t="shared" ref="AB465:AC465" si="914">AB461*IF($B461=1,1,AB$88)/(1+$B463)</f>
        <v>0</v>
      </c>
      <c r="AC465" s="84">
        <f t="shared" si="914"/>
        <v>0</v>
      </c>
      <c r="AE465" s="54">
        <f>SUM(F465:AC465)</f>
        <v>0</v>
      </c>
    </row>
    <row r="466" spans="1:31" s="23" customFormat="1" hidden="1" outlineLevel="2" x14ac:dyDescent="0.2">
      <c r="A466" t="str">
        <f ca="1">Language!A$387</f>
        <v xml:space="preserve">    общая стоимость актива (без НДС)</v>
      </c>
      <c r="B466" s="55">
        <f>AE465</f>
        <v>0</v>
      </c>
      <c r="C466" s="40" t="str">
        <f t="shared" ca="1" si="905"/>
        <v>тыс. EUR</v>
      </c>
      <c r="AE466" s="11"/>
    </row>
    <row r="467" spans="1:31" s="23" customFormat="1" hidden="1" outlineLevel="2" x14ac:dyDescent="0.2">
      <c r="A467" t="str">
        <f ca="1">Language!A$388</f>
        <v xml:space="preserve">    полная сумма вложений в актив (без НДС)</v>
      </c>
      <c r="C467" s="40" t="str">
        <f t="shared" ca="1" si="905"/>
        <v>тыс. EUR</v>
      </c>
      <c r="D467" s="23" t="s">
        <v>840</v>
      </c>
      <c r="F467" s="53">
        <f t="shared" ref="F467:AC467" si="915">E467+F465</f>
        <v>0</v>
      </c>
      <c r="G467" s="53">
        <f t="shared" si="915"/>
        <v>0</v>
      </c>
      <c r="H467" s="53">
        <f t="shared" si="915"/>
        <v>0</v>
      </c>
      <c r="I467" s="53">
        <f t="shared" si="915"/>
        <v>0</v>
      </c>
      <c r="J467" s="53">
        <f t="shared" si="915"/>
        <v>0</v>
      </c>
      <c r="K467" s="53">
        <f t="shared" si="915"/>
        <v>0</v>
      </c>
      <c r="L467" s="53">
        <f t="shared" si="915"/>
        <v>0</v>
      </c>
      <c r="M467" s="53">
        <f t="shared" si="915"/>
        <v>0</v>
      </c>
      <c r="N467" s="53">
        <f t="shared" si="915"/>
        <v>0</v>
      </c>
      <c r="O467" s="53">
        <f t="shared" si="915"/>
        <v>0</v>
      </c>
      <c r="P467" s="53">
        <f t="shared" si="915"/>
        <v>0</v>
      </c>
      <c r="Q467" s="53">
        <f t="shared" si="915"/>
        <v>0</v>
      </c>
      <c r="R467" s="53">
        <f t="shared" si="915"/>
        <v>0</v>
      </c>
      <c r="S467" s="53">
        <f t="shared" si="915"/>
        <v>0</v>
      </c>
      <c r="T467" s="53">
        <f t="shared" si="915"/>
        <v>0</v>
      </c>
      <c r="U467" s="53">
        <f t="shared" si="915"/>
        <v>0</v>
      </c>
      <c r="V467" s="53">
        <f t="shared" si="915"/>
        <v>0</v>
      </c>
      <c r="W467" s="53">
        <f t="shared" si="915"/>
        <v>0</v>
      </c>
      <c r="X467" s="53">
        <f t="shared" si="915"/>
        <v>0</v>
      </c>
      <c r="Y467" s="53">
        <f t="shared" si="915"/>
        <v>0</v>
      </c>
      <c r="Z467" s="53">
        <f t="shared" si="915"/>
        <v>0</v>
      </c>
      <c r="AA467" s="53">
        <f t="shared" si="915"/>
        <v>0</v>
      </c>
      <c r="AB467" s="53">
        <f t="shared" si="915"/>
        <v>0</v>
      </c>
      <c r="AC467" s="53">
        <f t="shared" si="915"/>
        <v>0</v>
      </c>
      <c r="AE467" s="54"/>
    </row>
    <row r="468" spans="1:31" s="23" customFormat="1" hidden="1" outlineLevel="2" x14ac:dyDescent="0.2">
      <c r="A468" t="str">
        <f ca="1">Language!A$389</f>
        <v xml:space="preserve">    полная балансовая стоимость</v>
      </c>
      <c r="C468" s="40" t="str">
        <f t="shared" ca="1" si="905"/>
        <v>тыс. EUR</v>
      </c>
      <c r="D468" s="23" t="s">
        <v>841</v>
      </c>
      <c r="F468" s="53">
        <f ca="1">IF($B462&lt;=F$29,IF(SUM($E472:F472)&gt;0.01,0,$B466),0)</f>
        <v>0</v>
      </c>
      <c r="G468" s="53">
        <f ca="1">IF($B462&lt;=G$29,IF(SUM($E472:G472)&gt;0.01,0,$B466),0)</f>
        <v>0</v>
      </c>
      <c r="H468" s="53">
        <f ca="1">IF($B462&lt;=H$29,IF(SUM($E472:H472)&gt;0.01,0,$B466),0)</f>
        <v>0</v>
      </c>
      <c r="I468" s="53">
        <f ca="1">IF($B462&lt;=I$29,IF(SUM($E472:I472)&gt;0.01,0,$B466),0)</f>
        <v>0</v>
      </c>
      <c r="J468" s="53">
        <f ca="1">IF($B462&lt;=J$29,IF(SUM($E472:J472)&gt;0.01,0,$B466),0)</f>
        <v>0</v>
      </c>
      <c r="K468" s="53">
        <f ca="1">IF($B462&lt;=K$29,IF(SUM($E472:K472)&gt;0.01,0,$B466),0)</f>
        <v>0</v>
      </c>
      <c r="L468" s="53">
        <f ca="1">IF($B462&lt;=L$29,IF(SUM($E472:L472)&gt;0.01,0,$B466),0)</f>
        <v>0</v>
      </c>
      <c r="M468" s="53">
        <f ca="1">IF($B462&lt;=M$29,IF(SUM($E472:M472)&gt;0.01,0,$B466),0)</f>
        <v>0</v>
      </c>
      <c r="N468" s="53">
        <f ca="1">IF($B462&lt;=N$29,IF(SUM($E472:N472)&gt;0.01,0,$B466),0)</f>
        <v>0</v>
      </c>
      <c r="O468" s="53">
        <f ca="1">IF($B462&lt;=O$29,IF(SUM($E472:O472)&gt;0.01,0,$B466),0)</f>
        <v>0</v>
      </c>
      <c r="P468" s="53">
        <f ca="1">IF($B462&lt;=P$29,IF(SUM($E472:P472)&gt;0.01,0,$B466),0)</f>
        <v>0</v>
      </c>
      <c r="Q468" s="53">
        <f ca="1">IF($B462&lt;=Q$29,IF(SUM($E472:Q472)&gt;0.01,0,$B466),0)</f>
        <v>0</v>
      </c>
      <c r="R468" s="53">
        <f ca="1">IF($B462&lt;=R$29,IF(SUM($E472:R472)&gt;0.01,0,$B466),0)</f>
        <v>0</v>
      </c>
      <c r="S468" s="53">
        <f ca="1">IF($B462&lt;=S$29,IF(SUM($E472:S472)&gt;0.01,0,$B466),0)</f>
        <v>0</v>
      </c>
      <c r="T468" s="53">
        <f ca="1">IF($B462&lt;=T$29,IF(SUM($E472:T472)&gt;0.01,0,$B466),0)</f>
        <v>0</v>
      </c>
      <c r="U468" s="53">
        <f ca="1">IF($B462&lt;=U$29,IF(SUM($E472:U472)&gt;0.01,0,$B466),0)</f>
        <v>0</v>
      </c>
      <c r="V468" s="53">
        <f ca="1">IF($B462&lt;=V$29,IF(SUM($E472:V472)&gt;0.01,0,$B466),0)</f>
        <v>0</v>
      </c>
      <c r="W468" s="53">
        <f ca="1">IF($B462&lt;=W$29,IF(SUM($E472:W472)&gt;0.01,0,$B466),0)</f>
        <v>0</v>
      </c>
      <c r="X468" s="53">
        <f ca="1">IF($B462&lt;=X$29,IF(SUM($E472:X472)&gt;0.01,0,$B466),0)</f>
        <v>0</v>
      </c>
      <c r="Y468" s="53">
        <f ca="1">IF($B462&lt;=Y$29,IF(SUM($E472:Y472)&gt;0.01,0,$B466),0)</f>
        <v>0</v>
      </c>
      <c r="Z468" s="53">
        <f ca="1">IF($B462&lt;=Z$29,IF(SUM($E472:Z472)&gt;0.01,0,$B466),0)</f>
        <v>0</v>
      </c>
      <c r="AA468" s="53">
        <f ca="1">IF($B462&lt;=AA$29,IF(SUM($E472:AA472)&gt;0.01,0,$B466),0)</f>
        <v>0</v>
      </c>
      <c r="AB468" s="53">
        <f ca="1">IF($B462&lt;=AB$29,IF(SUM($E472:AB472)&gt;0.01,0,$B466),0)</f>
        <v>0</v>
      </c>
      <c r="AC468" s="53">
        <f ca="1">IF($B462&lt;=AC$29,IF(SUM($E472:AC472)&gt;0.01,0,$B466),0)</f>
        <v>0</v>
      </c>
      <c r="AE468" s="11"/>
    </row>
    <row r="469" spans="1:31" s="23" customFormat="1" hidden="1" outlineLevel="2" x14ac:dyDescent="0.2">
      <c r="A469" s="48" t="str">
        <f ca="1">Language!A$409</f>
        <v xml:space="preserve">    авансы выданные</v>
      </c>
      <c r="C469" s="40" t="str">
        <f t="shared" ca="1" si="905"/>
        <v>тыс. EUR</v>
      </c>
      <c r="D469" s="23" t="s">
        <v>1065</v>
      </c>
      <c r="F469" s="84">
        <f ca="1">IF(OR($B462&gt;F$29,AND(SUM($F472:F472)&gt;0,$B462&gt;F$29)),F467,0)</f>
        <v>0</v>
      </c>
      <c r="G469" s="84">
        <f ca="1">IF(OR($B462&gt;G$29,AND(SUM($F472:G472)&gt;0,$B462&gt;G$29)),G467,0)</f>
        <v>0</v>
      </c>
      <c r="H469" s="84">
        <f ca="1">IF(OR($B462&gt;H$29,AND(SUM($F472:H472)&gt;0,$B462&gt;H$29)),H467,0)</f>
        <v>0</v>
      </c>
      <c r="I469" s="84">
        <f ca="1">IF(OR($B462&gt;I$29,AND(SUM($F472:I472)&gt;0,$B462&gt;I$29)),I467,0)</f>
        <v>0</v>
      </c>
      <c r="J469" s="84">
        <f ca="1">IF(OR($B462&gt;J$29,AND(SUM($F472:J472)&gt;0,$B462&gt;J$29)),J467,0)</f>
        <v>0</v>
      </c>
      <c r="K469" s="84">
        <f ca="1">IF(OR($B462&gt;K$29,AND(SUM($F472:K472)&gt;0,$B462&gt;K$29)),K467,0)</f>
        <v>0</v>
      </c>
      <c r="L469" s="84">
        <f ca="1">IF(OR($B462&gt;L$29,AND(SUM($F472:L472)&gt;0,$B462&gt;L$29)),L467,0)</f>
        <v>0</v>
      </c>
      <c r="M469" s="84">
        <f ca="1">IF(OR($B462&gt;M$29,AND(SUM($F472:M472)&gt;0,$B462&gt;M$29)),M467,0)</f>
        <v>0</v>
      </c>
      <c r="N469" s="84">
        <f ca="1">IF(OR($B462&gt;N$29,AND(SUM($F472:N472)&gt;0,$B462&gt;N$29)),N467,0)</f>
        <v>0</v>
      </c>
      <c r="O469" s="84">
        <f ca="1">IF(OR($B462&gt;O$29,AND(SUM($F472:O472)&gt;0,$B462&gt;O$29)),O467,0)</f>
        <v>0</v>
      </c>
      <c r="P469" s="84">
        <f ca="1">IF(OR($B462&gt;P$29,AND(SUM($F472:P472)&gt;0,$B462&gt;P$29)),P467,0)</f>
        <v>0</v>
      </c>
      <c r="Q469" s="84">
        <f ca="1">IF(OR($B462&gt;Q$29,AND(SUM($F472:Q472)&gt;0,$B462&gt;Q$29)),Q467,0)</f>
        <v>0</v>
      </c>
      <c r="R469" s="84">
        <f ca="1">IF(OR($B462&gt;R$29,AND(SUM($F472:R472)&gt;0,$B462&gt;R$29)),R467,0)</f>
        <v>0</v>
      </c>
      <c r="S469" s="84">
        <f ca="1">IF(OR($B462&gt;S$29,AND(SUM($F472:S472)&gt;0,$B462&gt;S$29)),S467,0)</f>
        <v>0</v>
      </c>
      <c r="T469" s="84">
        <f ca="1">IF(OR($B462&gt;T$29,AND(SUM($F472:T472)&gt;0,$B462&gt;T$29)),T467,0)</f>
        <v>0</v>
      </c>
      <c r="U469" s="84">
        <f ca="1">IF(OR($B462&gt;U$29,AND(SUM($F472:U472)&gt;0,$B462&gt;U$29)),U467,0)</f>
        <v>0</v>
      </c>
      <c r="V469" s="84">
        <f ca="1">IF(OR($B462&gt;V$29,AND(SUM($F472:V472)&gt;0,$B462&gt;V$29)),V467,0)</f>
        <v>0</v>
      </c>
      <c r="W469" s="84">
        <f ca="1">IF(OR($B462&gt;W$29,AND(SUM($F472:W472)&gt;0,$B462&gt;W$29)),W467,0)</f>
        <v>0</v>
      </c>
      <c r="X469" s="84">
        <f ca="1">IF(OR($B462&gt;X$29,AND(SUM($F472:X472)&gt;0,$B462&gt;X$29)),X467,0)</f>
        <v>0</v>
      </c>
      <c r="Y469" s="84">
        <f ca="1">IF(OR($B462&gt;Y$29,AND(SUM($F472:Y472)&gt;0,$B462&gt;Y$29)),Y467,0)</f>
        <v>0</v>
      </c>
      <c r="Z469" s="84">
        <f ca="1">IF(OR($B462&gt;Z$29,AND(SUM($F472:Z472)&gt;0,$B462&gt;Z$29)),Z467,0)</f>
        <v>0</v>
      </c>
      <c r="AA469" s="84">
        <f ca="1">IF(OR($B462&gt;AA$29,AND(SUM($F472:AA472)&gt;0,$B462&gt;AA$29)),AA467,0)</f>
        <v>0</v>
      </c>
      <c r="AB469" s="84">
        <f ca="1">IF(OR($B462&gt;AB$29,AND(SUM($F472:AB472)&gt;0,$B462&gt;AB$29)),AB467,0)</f>
        <v>0</v>
      </c>
      <c r="AC469" s="84">
        <f ca="1">IF(OR($B462&gt;AC$29,AND(SUM($F472:AC472)&gt;0,$B462&gt;AC$29)),AC467,0)</f>
        <v>0</v>
      </c>
      <c r="AE469" s="11"/>
    </row>
    <row r="470" spans="1:31" s="23" customFormat="1" hidden="1" outlineLevel="2" x14ac:dyDescent="0.2">
      <c r="A470" t="str">
        <f ca="1">Language!A$391</f>
        <v xml:space="preserve">    кредиторская задолженность</v>
      </c>
      <c r="C470" s="40" t="str">
        <f t="shared" ca="1" si="905"/>
        <v>тыс. EUR</v>
      </c>
      <c r="D470" s="23" t="s">
        <v>845</v>
      </c>
      <c r="F470" s="53">
        <f ca="1">IF(OR($B462&lt;=F$29,AND(SUM($F472:F472)&gt;0,$B462&gt;F$29)),$B466-F467,0)</f>
        <v>0</v>
      </c>
      <c r="G470" s="53">
        <f ca="1">IF(OR($B462&lt;=G$29,AND(SUM($F472:G472)&gt;0,$B462&gt;G$29)),$B466-G467,0)</f>
        <v>0</v>
      </c>
      <c r="H470" s="53">
        <f ca="1">IF(OR($B462&lt;=H$29,AND(SUM($F472:H472)&gt;0,$B462&gt;H$29)),$B466-H467,0)</f>
        <v>0</v>
      </c>
      <c r="I470" s="53">
        <f ca="1">IF(OR($B462&lt;=I$29,AND(SUM($F472:I472)&gt;0,$B462&gt;I$29)),$B466-I467,0)</f>
        <v>0</v>
      </c>
      <c r="J470" s="53">
        <f ca="1">IF(OR($B462&lt;=J$29,AND(SUM($F472:J472)&gt;0,$B462&gt;J$29)),$B466-J467,0)</f>
        <v>0</v>
      </c>
      <c r="K470" s="53">
        <f ca="1">IF(OR($B462&lt;=K$29,AND(SUM($F472:K472)&gt;0,$B462&gt;K$29)),$B466-K467,0)</f>
        <v>0</v>
      </c>
      <c r="L470" s="53">
        <f ca="1">IF(OR($B462&lt;=L$29,AND(SUM($F472:L472)&gt;0,$B462&gt;L$29)),$B466-L467,0)</f>
        <v>0</v>
      </c>
      <c r="M470" s="53">
        <f ca="1">IF(OR($B462&lt;=M$29,AND(SUM($F472:M472)&gt;0,$B462&gt;M$29)),$B466-M467,0)</f>
        <v>0</v>
      </c>
      <c r="N470" s="53">
        <f ca="1">IF(OR($B462&lt;=N$29,AND(SUM($F472:N472)&gt;0,$B462&gt;N$29)),$B466-N467,0)</f>
        <v>0</v>
      </c>
      <c r="O470" s="53">
        <f ca="1">IF(OR($B462&lt;=O$29,AND(SUM($F472:O472)&gt;0,$B462&gt;O$29)),$B466-O467,0)</f>
        <v>0</v>
      </c>
      <c r="P470" s="53">
        <f ca="1">IF(OR($B462&lt;=P$29,AND(SUM($F472:P472)&gt;0,$B462&gt;P$29)),$B466-P467,0)</f>
        <v>0</v>
      </c>
      <c r="Q470" s="53">
        <f ca="1">IF(OR($B462&lt;=Q$29,AND(SUM($F472:Q472)&gt;0,$B462&gt;Q$29)),$B466-Q467,0)</f>
        <v>0</v>
      </c>
      <c r="R470" s="53">
        <f ca="1">IF(OR($B462&lt;=R$29,AND(SUM($F472:R472)&gt;0,$B462&gt;R$29)),$B466-R467,0)</f>
        <v>0</v>
      </c>
      <c r="S470" s="53">
        <f ca="1">IF(OR($B462&lt;=S$29,AND(SUM($F472:S472)&gt;0,$B462&gt;S$29)),$B466-S467,0)</f>
        <v>0</v>
      </c>
      <c r="T470" s="53">
        <f ca="1">IF(OR($B462&lt;=T$29,AND(SUM($F472:T472)&gt;0,$B462&gt;T$29)),$B466-T467,0)</f>
        <v>0</v>
      </c>
      <c r="U470" s="53">
        <f ca="1">IF(OR($B462&lt;=U$29,AND(SUM($F472:U472)&gt;0,$B462&gt;U$29)),$B466-U467,0)</f>
        <v>0</v>
      </c>
      <c r="V470" s="53">
        <f ca="1">IF(OR($B462&lt;=V$29,AND(SUM($F472:V472)&gt;0,$B462&gt;V$29)),$B466-V467,0)</f>
        <v>0</v>
      </c>
      <c r="W470" s="53">
        <f ca="1">IF(OR($B462&lt;=W$29,AND(SUM($F472:W472)&gt;0,$B462&gt;W$29)),$B466-W467,0)</f>
        <v>0</v>
      </c>
      <c r="X470" s="53">
        <f ca="1">IF(OR($B462&lt;=X$29,AND(SUM($F472:X472)&gt;0,$B462&gt;X$29)),$B466-X467,0)</f>
        <v>0</v>
      </c>
      <c r="Y470" s="53">
        <f ca="1">IF(OR($B462&lt;=Y$29,AND(SUM($F472:Y472)&gt;0,$B462&gt;Y$29)),$B466-Y467,0)</f>
        <v>0</v>
      </c>
      <c r="Z470" s="53">
        <f ca="1">IF(OR($B462&lt;=Z$29,AND(SUM($F472:Z472)&gt;0,$B462&gt;Z$29)),$B466-Z467,0)</f>
        <v>0</v>
      </c>
      <c r="AA470" s="53">
        <f ca="1">IF(OR($B462&lt;=AA$29,AND(SUM($F472:AA472)&gt;0,$B462&gt;AA$29)),$B466-AA467,0)</f>
        <v>0</v>
      </c>
      <c r="AB470" s="53">
        <f ca="1">IF(OR($B462&lt;=AB$29,AND(SUM($F472:AB472)&gt;0,$B462&gt;AB$29)),$B466-AB467,0)</f>
        <v>0</v>
      </c>
      <c r="AC470" s="53">
        <f ca="1">IF(OR($B462&lt;=AC$29,AND(SUM($F472:AC472)&gt;0,$B462&gt;AC$29)),$B466-AC467,0)</f>
        <v>0</v>
      </c>
      <c r="AE470" s="11"/>
    </row>
    <row r="471" spans="1:31" s="23" customFormat="1" hidden="1" outlineLevel="2" x14ac:dyDescent="0.2">
      <c r="A471" t="str">
        <f ca="1">Language!A$400</f>
        <v xml:space="preserve">    зачет НДС</v>
      </c>
      <c r="C471" s="40" t="str">
        <f t="shared" ca="1" si="905"/>
        <v>тыс. EUR</v>
      </c>
      <c r="D471" s="132" t="s">
        <v>837</v>
      </c>
      <c r="F471" s="110">
        <f t="shared" ref="F471:AC471" ca="1" si="916">IF($B462=F$29,$AE463,0)</f>
        <v>0</v>
      </c>
      <c r="G471" s="110">
        <f t="shared" ca="1" si="916"/>
        <v>0</v>
      </c>
      <c r="H471" s="110">
        <f t="shared" ca="1" si="916"/>
        <v>0</v>
      </c>
      <c r="I471" s="110">
        <f t="shared" ca="1" si="916"/>
        <v>0</v>
      </c>
      <c r="J471" s="110">
        <f t="shared" ca="1" si="916"/>
        <v>0</v>
      </c>
      <c r="K471" s="110">
        <f t="shared" ca="1" si="916"/>
        <v>0</v>
      </c>
      <c r="L471" s="110">
        <f t="shared" ca="1" si="916"/>
        <v>0</v>
      </c>
      <c r="M471" s="110">
        <f t="shared" ca="1" si="916"/>
        <v>0</v>
      </c>
      <c r="N471" s="110">
        <f t="shared" ca="1" si="916"/>
        <v>0</v>
      </c>
      <c r="O471" s="110">
        <f t="shared" ca="1" si="916"/>
        <v>0</v>
      </c>
      <c r="P471" s="110">
        <f t="shared" ca="1" si="916"/>
        <v>0</v>
      </c>
      <c r="Q471" s="110">
        <f t="shared" ca="1" si="916"/>
        <v>0</v>
      </c>
      <c r="R471" s="110">
        <f t="shared" ca="1" si="916"/>
        <v>0</v>
      </c>
      <c r="S471" s="110">
        <f t="shared" ca="1" si="916"/>
        <v>0</v>
      </c>
      <c r="T471" s="110">
        <f t="shared" ca="1" si="916"/>
        <v>0</v>
      </c>
      <c r="U471" s="110">
        <f t="shared" ca="1" si="916"/>
        <v>0</v>
      </c>
      <c r="V471" s="110">
        <f t="shared" ca="1" si="916"/>
        <v>0</v>
      </c>
      <c r="W471" s="110">
        <f t="shared" ca="1" si="916"/>
        <v>0</v>
      </c>
      <c r="X471" s="110">
        <f t="shared" ca="1" si="916"/>
        <v>0</v>
      </c>
      <c r="Y471" s="110">
        <f t="shared" ca="1" si="916"/>
        <v>0</v>
      </c>
      <c r="Z471" s="110">
        <f t="shared" ca="1" si="916"/>
        <v>0</v>
      </c>
      <c r="AA471" s="110">
        <f t="shared" ca="1" si="916"/>
        <v>0</v>
      </c>
      <c r="AB471" s="110">
        <f t="shared" ca="1" si="916"/>
        <v>0</v>
      </c>
      <c r="AC471" s="110">
        <f t="shared" ca="1" si="916"/>
        <v>0</v>
      </c>
      <c r="AE471" s="54">
        <f ca="1">SUM(F471:AC471)</f>
        <v>0</v>
      </c>
    </row>
    <row r="472" spans="1:31" s="23" customFormat="1" hidden="1" outlineLevel="2" x14ac:dyDescent="0.2">
      <c r="A472" s="63" t="str">
        <f ca="1">Language!A$362</f>
        <v xml:space="preserve">    реализация актива (без НДС)</v>
      </c>
      <c r="B472" s="111"/>
      <c r="C472" s="113" t="str">
        <f t="shared" ca="1" si="905"/>
        <v>тыс. EUR</v>
      </c>
      <c r="D472" s="23" t="s">
        <v>838</v>
      </c>
      <c r="E472" s="111"/>
      <c r="F472" s="271">
        <v>0</v>
      </c>
      <c r="G472" s="271">
        <v>0</v>
      </c>
      <c r="H472" s="271">
        <v>0</v>
      </c>
      <c r="I472" s="271">
        <v>0</v>
      </c>
      <c r="J472" s="271">
        <v>0</v>
      </c>
      <c r="K472" s="271">
        <v>0</v>
      </c>
      <c r="L472" s="271">
        <v>0</v>
      </c>
      <c r="M472" s="271">
        <v>0</v>
      </c>
      <c r="N472" s="271">
        <v>0</v>
      </c>
      <c r="O472" s="271">
        <v>0</v>
      </c>
      <c r="P472" s="271">
        <v>0</v>
      </c>
      <c r="Q472" s="271">
        <v>0</v>
      </c>
      <c r="R472" s="271">
        <v>0</v>
      </c>
      <c r="S472" s="271">
        <v>0</v>
      </c>
      <c r="T472" s="271">
        <v>0</v>
      </c>
      <c r="U472" s="271">
        <v>0</v>
      </c>
      <c r="V472" s="271">
        <v>0</v>
      </c>
      <c r="W472" s="271">
        <v>0</v>
      </c>
      <c r="X472" s="271">
        <v>0</v>
      </c>
      <c r="Y472" s="271">
        <v>0</v>
      </c>
      <c r="Z472" s="271">
        <v>0</v>
      </c>
      <c r="AA472" s="271">
        <v>0</v>
      </c>
      <c r="AB472" s="271">
        <v>0</v>
      </c>
      <c r="AC472" s="271">
        <v>0</v>
      </c>
      <c r="AE472" s="54">
        <f>SUM(F472:AC472)</f>
        <v>0</v>
      </c>
    </row>
    <row r="473" spans="1:31" s="23" customFormat="1" hidden="1" outlineLevel="2" x14ac:dyDescent="0.2">
      <c r="A473" s="19" t="str">
        <f ca="1">Language!A$363</f>
        <v xml:space="preserve">    прибыль/убыток от реализации актива</v>
      </c>
      <c r="B473" s="24"/>
      <c r="C473" s="114" t="str">
        <f t="shared" ca="1" si="905"/>
        <v>тыс. EUR</v>
      </c>
      <c r="D473" s="23" t="s">
        <v>839</v>
      </c>
      <c r="E473" s="24"/>
      <c r="F473" s="110">
        <f t="shared" ref="F473:AC473" si="917">IF(F472=0,0,F472-IF(F$29&lt;=$B462,$B466,E468))</f>
        <v>0</v>
      </c>
      <c r="G473" s="110">
        <f t="shared" si="917"/>
        <v>0</v>
      </c>
      <c r="H473" s="110">
        <f t="shared" si="917"/>
        <v>0</v>
      </c>
      <c r="I473" s="110">
        <f t="shared" si="917"/>
        <v>0</v>
      </c>
      <c r="J473" s="110">
        <f t="shared" si="917"/>
        <v>0</v>
      </c>
      <c r="K473" s="110">
        <f t="shared" si="917"/>
        <v>0</v>
      </c>
      <c r="L473" s="110">
        <f t="shared" si="917"/>
        <v>0</v>
      </c>
      <c r="M473" s="110">
        <f t="shared" si="917"/>
        <v>0</v>
      </c>
      <c r="N473" s="110">
        <f t="shared" si="917"/>
        <v>0</v>
      </c>
      <c r="O473" s="110">
        <f t="shared" si="917"/>
        <v>0</v>
      </c>
      <c r="P473" s="110">
        <f t="shared" si="917"/>
        <v>0</v>
      </c>
      <c r="Q473" s="110">
        <f t="shared" si="917"/>
        <v>0</v>
      </c>
      <c r="R473" s="110">
        <f t="shared" si="917"/>
        <v>0</v>
      </c>
      <c r="S473" s="110">
        <f t="shared" si="917"/>
        <v>0</v>
      </c>
      <c r="T473" s="110">
        <f t="shared" si="917"/>
        <v>0</v>
      </c>
      <c r="U473" s="110">
        <f t="shared" si="917"/>
        <v>0</v>
      </c>
      <c r="V473" s="110">
        <f t="shared" si="917"/>
        <v>0</v>
      </c>
      <c r="W473" s="110">
        <f t="shared" si="917"/>
        <v>0</v>
      </c>
      <c r="X473" s="110">
        <f t="shared" si="917"/>
        <v>0</v>
      </c>
      <c r="Y473" s="110">
        <f t="shared" si="917"/>
        <v>0</v>
      </c>
      <c r="Z473" s="110">
        <f t="shared" si="917"/>
        <v>0</v>
      </c>
      <c r="AA473" s="110">
        <f t="shared" si="917"/>
        <v>0</v>
      </c>
      <c r="AB473" s="110">
        <f t="shared" si="917"/>
        <v>0</v>
      </c>
      <c r="AC473" s="110">
        <f t="shared" si="917"/>
        <v>0</v>
      </c>
      <c r="AE473" s="54">
        <f>SUM(F473:AC473)</f>
        <v>0</v>
      </c>
    </row>
    <row r="474" spans="1:31" s="23" customFormat="1" hidden="1" outlineLevel="2" x14ac:dyDescent="0.2">
      <c r="A474" t="str">
        <f ca="1">Language!A$401</f>
        <v xml:space="preserve">    НДС к выручке от реализации актива</v>
      </c>
      <c r="B474" s="272">
        <v>0</v>
      </c>
      <c r="C474" s="40" t="str">
        <f t="shared" ca="1" si="905"/>
        <v>тыс. EUR</v>
      </c>
      <c r="D474" s="23" t="s">
        <v>811</v>
      </c>
      <c r="F474">
        <f t="shared" ref="F474:T474" si="918">F472*$B474</f>
        <v>0</v>
      </c>
      <c r="G474">
        <f t="shared" si="918"/>
        <v>0</v>
      </c>
      <c r="H474">
        <f t="shared" si="918"/>
        <v>0</v>
      </c>
      <c r="I474">
        <f t="shared" si="918"/>
        <v>0</v>
      </c>
      <c r="J474">
        <f t="shared" si="918"/>
        <v>0</v>
      </c>
      <c r="K474">
        <f t="shared" si="918"/>
        <v>0</v>
      </c>
      <c r="L474">
        <f t="shared" si="918"/>
        <v>0</v>
      </c>
      <c r="M474">
        <f t="shared" si="918"/>
        <v>0</v>
      </c>
      <c r="N474">
        <f t="shared" si="918"/>
        <v>0</v>
      </c>
      <c r="O474">
        <f t="shared" si="918"/>
        <v>0</v>
      </c>
      <c r="P474">
        <f t="shared" si="918"/>
        <v>0</v>
      </c>
      <c r="Q474">
        <f t="shared" si="918"/>
        <v>0</v>
      </c>
      <c r="R474">
        <f t="shared" si="918"/>
        <v>0</v>
      </c>
      <c r="S474">
        <f t="shared" si="918"/>
        <v>0</v>
      </c>
      <c r="T474">
        <f t="shared" si="918"/>
        <v>0</v>
      </c>
      <c r="U474">
        <f t="shared" ref="U474" si="919">U472*$B474</f>
        <v>0</v>
      </c>
      <c r="V474">
        <f t="shared" ref="V474" si="920">V472*$B474</f>
        <v>0</v>
      </c>
      <c r="W474">
        <f t="shared" ref="W474" si="921">W472*$B474</f>
        <v>0</v>
      </c>
      <c r="X474">
        <f t="shared" ref="X474" si="922">X472*$B474</f>
        <v>0</v>
      </c>
      <c r="Y474">
        <f t="shared" ref="Y474" si="923">Y472*$B474</f>
        <v>0</v>
      </c>
      <c r="Z474">
        <f t="shared" ref="Z474" si="924">Z472*$B474</f>
        <v>0</v>
      </c>
      <c r="AA474">
        <f t="shared" ref="AA474" si="925">AA472*$B474</f>
        <v>0</v>
      </c>
      <c r="AB474">
        <f t="shared" ref="AB474:AC474" si="926">AB472*$B474</f>
        <v>0</v>
      </c>
      <c r="AC474">
        <f t="shared" si="926"/>
        <v>0</v>
      </c>
      <c r="AE474" s="54">
        <f>SUM(F474:AC474)</f>
        <v>0</v>
      </c>
    </row>
    <row r="475" spans="1:31" s="23" customFormat="1" outlineLevel="1" x14ac:dyDescent="0.2">
      <c r="A475" s="35"/>
      <c r="AE475" s="11"/>
    </row>
    <row r="476" spans="1:31" outlineLevel="1" x14ac:dyDescent="0.2">
      <c r="A476" s="35" t="str">
        <f ca="1">Language!A$410</f>
        <v>Расходы будущих периодов</v>
      </c>
      <c r="D476">
        <v>3</v>
      </c>
      <c r="E476" s="48">
        <v>16</v>
      </c>
    </row>
    <row r="477" spans="1:31" s="23" customFormat="1" outlineLevel="1" x14ac:dyDescent="0.2">
      <c r="A477" s="273"/>
      <c r="B477" s="36" t="str">
        <f ca="1">Language!A$73</f>
        <v>Валюта</v>
      </c>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E477" s="39"/>
    </row>
    <row r="478" spans="1:31" s="23" customFormat="1" outlineLevel="1" collapsed="1" x14ac:dyDescent="0.2">
      <c r="A478" t="str">
        <f ca="1">Language!A$382</f>
        <v xml:space="preserve">    величина платежей (с НДС)</v>
      </c>
      <c r="B478" s="254">
        <v>1</v>
      </c>
      <c r="C478" s="40" t="str">
        <f ca="1">CHOOSE(B478,CUR_Main,CUR_Foreign)</f>
        <v>тыс. EUR</v>
      </c>
      <c r="D478" s="16" t="str">
        <f>TEXT(B478,"0")&amp;"_00"</f>
        <v>1_00</v>
      </c>
      <c r="F478" s="275">
        <v>0</v>
      </c>
      <c r="G478" s="275">
        <v>0</v>
      </c>
      <c r="H478" s="275">
        <v>0</v>
      </c>
      <c r="I478" s="275">
        <v>0</v>
      </c>
      <c r="J478" s="275">
        <v>0</v>
      </c>
      <c r="K478" s="275">
        <v>0</v>
      </c>
      <c r="L478" s="275">
        <v>0</v>
      </c>
      <c r="M478" s="275">
        <v>0</v>
      </c>
      <c r="N478" s="275">
        <v>0</v>
      </c>
      <c r="O478" s="275">
        <v>0</v>
      </c>
      <c r="P478" s="275">
        <v>0</v>
      </c>
      <c r="Q478" s="275">
        <v>0</v>
      </c>
      <c r="R478" s="275">
        <v>0</v>
      </c>
      <c r="S478" s="275">
        <v>0</v>
      </c>
      <c r="T478" s="275">
        <v>0</v>
      </c>
      <c r="U478" s="275">
        <v>0</v>
      </c>
      <c r="V478" s="275">
        <v>0</v>
      </c>
      <c r="W478" s="275">
        <v>0</v>
      </c>
      <c r="X478" s="275">
        <v>0</v>
      </c>
      <c r="Y478" s="275">
        <v>0</v>
      </c>
      <c r="Z478" s="275">
        <v>0</v>
      </c>
      <c r="AA478" s="275">
        <v>0</v>
      </c>
      <c r="AB478" s="275">
        <v>0</v>
      </c>
      <c r="AC478" s="275">
        <v>0</v>
      </c>
      <c r="AE478" s="54">
        <f>SUM(F478:AC478)</f>
        <v>0</v>
      </c>
    </row>
    <row r="479" spans="1:31" s="23" customFormat="1" hidden="1" outlineLevel="2" x14ac:dyDescent="0.2">
      <c r="A479" t="str">
        <f ca="1">Language!A$384</f>
        <v xml:space="preserve">    ранее осуществленные инвестиции (без НДС)</v>
      </c>
      <c r="B479" s="274">
        <v>0</v>
      </c>
      <c r="C479" s="40" t="str">
        <f ca="1">CUR_Main</f>
        <v>тыс. EUR</v>
      </c>
      <c r="D479" s="23" t="s">
        <v>1227</v>
      </c>
      <c r="AE479" s="11"/>
    </row>
    <row r="480" spans="1:31" s="23" customFormat="1" hidden="1" outlineLevel="2" x14ac:dyDescent="0.2">
      <c r="A480" t="str">
        <f ca="1">Language!A$385</f>
        <v xml:space="preserve">    поставить на баланс с</v>
      </c>
      <c r="B480" s="270">
        <f ca="1">MATCH(OFFSET(AE485,0,-2),F485:AC485,0)+1</f>
        <v>2</v>
      </c>
      <c r="C480" s="40" t="str">
        <f ca="1">Language!A$377</f>
        <v>периода</v>
      </c>
      <c r="AE480" s="11"/>
    </row>
    <row r="481" spans="1:31" s="23" customFormat="1" hidden="1" outlineLevel="2" x14ac:dyDescent="0.2">
      <c r="A481" t="str">
        <f ca="1">Language!A$394</f>
        <v xml:space="preserve">    амортизация (линейная),       для срока использования:</v>
      </c>
      <c r="B481" s="270">
        <v>2</v>
      </c>
      <c r="C481" s="40" t="str">
        <f ca="1">Language!A$33</f>
        <v>лет</v>
      </c>
      <c r="D481" s="131" t="s">
        <v>762</v>
      </c>
      <c r="F481" s="84">
        <f t="shared" ref="F481:AC481" ca="1" si="927">IF($B481&gt;0,MIN(F486*100%/$B481*PRJ_Step/360,E490+F486-E486),0)</f>
        <v>0</v>
      </c>
      <c r="G481" s="84">
        <f t="shared" ca="1" si="927"/>
        <v>0</v>
      </c>
      <c r="H481" s="84">
        <f t="shared" ca="1" si="927"/>
        <v>0</v>
      </c>
      <c r="I481" s="84">
        <f t="shared" ca="1" si="927"/>
        <v>0</v>
      </c>
      <c r="J481" s="84">
        <f t="shared" ca="1" si="927"/>
        <v>0</v>
      </c>
      <c r="K481" s="84">
        <f t="shared" ca="1" si="927"/>
        <v>0</v>
      </c>
      <c r="L481" s="84">
        <f t="shared" ca="1" si="927"/>
        <v>0</v>
      </c>
      <c r="M481" s="84">
        <f t="shared" ca="1" si="927"/>
        <v>0</v>
      </c>
      <c r="N481" s="84">
        <f t="shared" ca="1" si="927"/>
        <v>0</v>
      </c>
      <c r="O481" s="84">
        <f t="shared" ca="1" si="927"/>
        <v>0</v>
      </c>
      <c r="P481" s="84">
        <f t="shared" ca="1" si="927"/>
        <v>0</v>
      </c>
      <c r="Q481" s="84">
        <f t="shared" ca="1" si="927"/>
        <v>0</v>
      </c>
      <c r="R481" s="84">
        <f t="shared" ca="1" si="927"/>
        <v>0</v>
      </c>
      <c r="S481" s="84">
        <f t="shared" ca="1" si="927"/>
        <v>0</v>
      </c>
      <c r="T481" s="84">
        <f t="shared" ca="1" si="927"/>
        <v>0</v>
      </c>
      <c r="U481" s="84">
        <f t="shared" ca="1" si="927"/>
        <v>0</v>
      </c>
      <c r="V481" s="84">
        <f t="shared" ca="1" si="927"/>
        <v>0</v>
      </c>
      <c r="W481" s="84">
        <f t="shared" ca="1" si="927"/>
        <v>0</v>
      </c>
      <c r="X481" s="84">
        <f t="shared" ca="1" si="927"/>
        <v>0</v>
      </c>
      <c r="Y481" s="84">
        <f t="shared" ca="1" si="927"/>
        <v>0</v>
      </c>
      <c r="Z481" s="84">
        <f t="shared" ca="1" si="927"/>
        <v>0</v>
      </c>
      <c r="AA481" s="84">
        <f t="shared" ca="1" si="927"/>
        <v>0</v>
      </c>
      <c r="AB481" s="84">
        <f t="shared" ca="1" si="927"/>
        <v>0</v>
      </c>
      <c r="AC481" s="84">
        <f t="shared" ca="1" si="927"/>
        <v>0</v>
      </c>
      <c r="AE481" s="54">
        <f ca="1">SUM(F481:AC481)</f>
        <v>0</v>
      </c>
    </row>
    <row r="482" spans="1:31" s="23" customFormat="1" hidden="1" outlineLevel="2" x14ac:dyDescent="0.2">
      <c r="A482" t="str">
        <f ca="1">Language!A$396</f>
        <v xml:space="preserve">    выплаченный НДС</v>
      </c>
      <c r="B482" s="272">
        <f>VAT</f>
        <v>0.23</v>
      </c>
      <c r="C482" s="40" t="str">
        <f ca="1">CUR_Main</f>
        <v>тыс. EUR</v>
      </c>
      <c r="D482" s="23" t="s">
        <v>835</v>
      </c>
      <c r="F482" s="83">
        <f t="shared" ref="F482:AC482" si="928">F483*$B482</f>
        <v>0</v>
      </c>
      <c r="G482" s="83">
        <f t="shared" si="928"/>
        <v>0</v>
      </c>
      <c r="H482" s="83">
        <f t="shared" si="928"/>
        <v>0</v>
      </c>
      <c r="I482" s="83">
        <f t="shared" si="928"/>
        <v>0</v>
      </c>
      <c r="J482" s="83">
        <f t="shared" si="928"/>
        <v>0</v>
      </c>
      <c r="K482" s="83">
        <f t="shared" si="928"/>
        <v>0</v>
      </c>
      <c r="L482" s="83">
        <f t="shared" si="928"/>
        <v>0</v>
      </c>
      <c r="M482" s="83">
        <f t="shared" si="928"/>
        <v>0</v>
      </c>
      <c r="N482" s="83">
        <f t="shared" si="928"/>
        <v>0</v>
      </c>
      <c r="O482" s="83">
        <f t="shared" si="928"/>
        <v>0</v>
      </c>
      <c r="P482" s="83">
        <f t="shared" si="928"/>
        <v>0</v>
      </c>
      <c r="Q482" s="83">
        <f t="shared" si="928"/>
        <v>0</v>
      </c>
      <c r="R482" s="83">
        <f t="shared" si="928"/>
        <v>0</v>
      </c>
      <c r="S482" s="83">
        <f t="shared" si="928"/>
        <v>0</v>
      </c>
      <c r="T482" s="83">
        <f t="shared" si="928"/>
        <v>0</v>
      </c>
      <c r="U482" s="83">
        <f t="shared" si="928"/>
        <v>0</v>
      </c>
      <c r="V482" s="83">
        <f t="shared" si="928"/>
        <v>0</v>
      </c>
      <c r="W482" s="83">
        <f t="shared" si="928"/>
        <v>0</v>
      </c>
      <c r="X482" s="83">
        <f t="shared" si="928"/>
        <v>0</v>
      </c>
      <c r="Y482" s="83">
        <f t="shared" si="928"/>
        <v>0</v>
      </c>
      <c r="Z482" s="83">
        <f t="shared" si="928"/>
        <v>0</v>
      </c>
      <c r="AA482" s="83">
        <f t="shared" si="928"/>
        <v>0</v>
      </c>
      <c r="AB482" s="83">
        <f t="shared" si="928"/>
        <v>0</v>
      </c>
      <c r="AC482" s="83">
        <f t="shared" si="928"/>
        <v>0</v>
      </c>
      <c r="AE482" s="54">
        <f>SUM(F482:AC482)</f>
        <v>0</v>
      </c>
    </row>
    <row r="483" spans="1:31" s="23" customFormat="1" hidden="1" outlineLevel="2" x14ac:dyDescent="0.2">
      <c r="A483" t="str">
        <f ca="1">Language!A$386</f>
        <v xml:space="preserve">    сумма платежей без НДС</v>
      </c>
      <c r="C483" s="40" t="str">
        <f t="shared" ref="C483:C492" ca="1" si="929">CUR_Main</f>
        <v>тыс. EUR</v>
      </c>
      <c r="D483" s="23" t="s">
        <v>2441</v>
      </c>
      <c r="F483" s="84">
        <f t="shared" ref="F483:T483" si="930">F478*IF($B478=1,1,F$88)/(1+$B482)</f>
        <v>0</v>
      </c>
      <c r="G483" s="84">
        <f t="shared" si="930"/>
        <v>0</v>
      </c>
      <c r="H483" s="84">
        <f t="shared" si="930"/>
        <v>0</v>
      </c>
      <c r="I483" s="84">
        <f t="shared" si="930"/>
        <v>0</v>
      </c>
      <c r="J483" s="84">
        <f t="shared" si="930"/>
        <v>0</v>
      </c>
      <c r="K483" s="84">
        <f t="shared" si="930"/>
        <v>0</v>
      </c>
      <c r="L483" s="84">
        <f t="shared" si="930"/>
        <v>0</v>
      </c>
      <c r="M483" s="84">
        <f t="shared" si="930"/>
        <v>0</v>
      </c>
      <c r="N483" s="84">
        <f t="shared" si="930"/>
        <v>0</v>
      </c>
      <c r="O483" s="84">
        <f t="shared" si="930"/>
        <v>0</v>
      </c>
      <c r="P483" s="84">
        <f t="shared" si="930"/>
        <v>0</v>
      </c>
      <c r="Q483" s="84">
        <f t="shared" si="930"/>
        <v>0</v>
      </c>
      <c r="R483" s="84">
        <f t="shared" si="930"/>
        <v>0</v>
      </c>
      <c r="S483" s="84">
        <f t="shared" si="930"/>
        <v>0</v>
      </c>
      <c r="T483" s="84">
        <f t="shared" si="930"/>
        <v>0</v>
      </c>
      <c r="U483" s="84">
        <f t="shared" ref="U483" si="931">U478*IF($B478=1,1,U$88)/(1+$B482)</f>
        <v>0</v>
      </c>
      <c r="V483" s="84">
        <f t="shared" ref="V483" si="932">V478*IF($B478=1,1,V$88)/(1+$B482)</f>
        <v>0</v>
      </c>
      <c r="W483" s="84">
        <f t="shared" ref="W483" si="933">W478*IF($B478=1,1,W$88)/(1+$B482)</f>
        <v>0</v>
      </c>
      <c r="X483" s="84">
        <f t="shared" ref="X483" si="934">X478*IF($B478=1,1,X$88)/(1+$B482)</f>
        <v>0</v>
      </c>
      <c r="Y483" s="84">
        <f t="shared" ref="Y483" si="935">Y478*IF($B478=1,1,Y$88)/(1+$B482)</f>
        <v>0</v>
      </c>
      <c r="Z483" s="84">
        <f t="shared" ref="Z483" si="936">Z478*IF($B478=1,1,Z$88)/(1+$B482)</f>
        <v>0</v>
      </c>
      <c r="AA483" s="84">
        <f t="shared" ref="AA483" si="937">AA478*IF($B478=1,1,AA$88)/(1+$B482)</f>
        <v>0</v>
      </c>
      <c r="AB483" s="84">
        <f t="shared" ref="AB483:AC483" si="938">AB478*IF($B478=1,1,AB$88)/(1+$B482)</f>
        <v>0</v>
      </c>
      <c r="AC483" s="84">
        <f t="shared" si="938"/>
        <v>0</v>
      </c>
      <c r="AE483" s="54">
        <f>SUM(F483:AC483)</f>
        <v>0</v>
      </c>
    </row>
    <row r="484" spans="1:31" s="23" customFormat="1" hidden="1" outlineLevel="2" x14ac:dyDescent="0.2">
      <c r="A484" t="str">
        <f ca="1">Language!A$387</f>
        <v xml:space="preserve">    общая стоимость актива (без НДС)</v>
      </c>
      <c r="B484" s="55">
        <f>AE483+B479</f>
        <v>0</v>
      </c>
      <c r="C484" s="40" t="str">
        <f t="shared" ca="1" si="929"/>
        <v>тыс. EUR</v>
      </c>
      <c r="F484" s="52"/>
      <c r="G484" s="52"/>
      <c r="H484" s="52"/>
      <c r="I484" s="52"/>
      <c r="J484" s="52"/>
      <c r="K484" s="52"/>
      <c r="L484" s="52"/>
      <c r="M484" s="52"/>
      <c r="N484" s="52"/>
      <c r="O484" s="52"/>
      <c r="P484" s="52"/>
      <c r="Q484" s="52"/>
      <c r="R484" s="52"/>
      <c r="S484" s="52"/>
      <c r="T484" s="52"/>
      <c r="U484" s="52"/>
      <c r="V484" s="52"/>
      <c r="W484" s="52"/>
      <c r="X484" s="52"/>
      <c r="Y484" s="52"/>
      <c r="Z484" s="52"/>
      <c r="AA484" s="52"/>
      <c r="AB484" s="52"/>
      <c r="AC484" s="52"/>
      <c r="AE484" s="11"/>
    </row>
    <row r="485" spans="1:31" s="23" customFormat="1" hidden="1" outlineLevel="2" x14ac:dyDescent="0.2">
      <c r="A485" t="str">
        <f ca="1">Language!A$388</f>
        <v xml:space="preserve">    полная сумма вложений в актив (без НДС)</v>
      </c>
      <c r="C485" s="40" t="str">
        <f t="shared" ca="1" si="929"/>
        <v>тыс. EUR</v>
      </c>
      <c r="D485" s="23" t="s">
        <v>840</v>
      </c>
      <c r="F485" s="84">
        <f>B479+F483</f>
        <v>0</v>
      </c>
      <c r="G485" s="84">
        <f t="shared" ref="G485:AC485" si="939">F485+G483</f>
        <v>0</v>
      </c>
      <c r="H485" s="84">
        <f t="shared" si="939"/>
        <v>0</v>
      </c>
      <c r="I485" s="84">
        <f t="shared" si="939"/>
        <v>0</v>
      </c>
      <c r="J485" s="84">
        <f t="shared" si="939"/>
        <v>0</v>
      </c>
      <c r="K485" s="84">
        <f t="shared" si="939"/>
        <v>0</v>
      </c>
      <c r="L485" s="84">
        <f t="shared" si="939"/>
        <v>0</v>
      </c>
      <c r="M485" s="84">
        <f t="shared" si="939"/>
        <v>0</v>
      </c>
      <c r="N485" s="84">
        <f t="shared" si="939"/>
        <v>0</v>
      </c>
      <c r="O485" s="84">
        <f t="shared" si="939"/>
        <v>0</v>
      </c>
      <c r="P485" s="84">
        <f t="shared" si="939"/>
        <v>0</v>
      </c>
      <c r="Q485" s="84">
        <f t="shared" si="939"/>
        <v>0</v>
      </c>
      <c r="R485" s="84">
        <f t="shared" si="939"/>
        <v>0</v>
      </c>
      <c r="S485" s="84">
        <f t="shared" si="939"/>
        <v>0</v>
      </c>
      <c r="T485" s="84">
        <f t="shared" si="939"/>
        <v>0</v>
      </c>
      <c r="U485" s="84">
        <f t="shared" si="939"/>
        <v>0</v>
      </c>
      <c r="V485" s="84">
        <f t="shared" si="939"/>
        <v>0</v>
      </c>
      <c r="W485" s="84">
        <f t="shared" si="939"/>
        <v>0</v>
      </c>
      <c r="X485" s="84">
        <f t="shared" si="939"/>
        <v>0</v>
      </c>
      <c r="Y485" s="84">
        <f t="shared" si="939"/>
        <v>0</v>
      </c>
      <c r="Z485" s="84">
        <f t="shared" si="939"/>
        <v>0</v>
      </c>
      <c r="AA485" s="84">
        <f t="shared" si="939"/>
        <v>0</v>
      </c>
      <c r="AB485" s="84">
        <f t="shared" si="939"/>
        <v>0</v>
      </c>
      <c r="AC485" s="84">
        <f t="shared" si="939"/>
        <v>0</v>
      </c>
      <c r="AE485" s="54"/>
    </row>
    <row r="486" spans="1:31" s="23" customFormat="1" hidden="1" outlineLevel="2" x14ac:dyDescent="0.2">
      <c r="A486" t="str">
        <f ca="1">Language!A$389</f>
        <v xml:space="preserve">    полная балансовая стоимость</v>
      </c>
      <c r="C486" s="40" t="str">
        <f t="shared" ca="1" si="929"/>
        <v>тыс. EUR</v>
      </c>
      <c r="D486" s="23" t="s">
        <v>841</v>
      </c>
      <c r="F486" s="84">
        <f t="shared" ref="F486:T486" ca="1" si="940">IF($B480&lt;=F$29,$B484,0)</f>
        <v>0</v>
      </c>
      <c r="G486" s="84">
        <f t="shared" ca="1" si="940"/>
        <v>0</v>
      </c>
      <c r="H486" s="84">
        <f t="shared" ca="1" si="940"/>
        <v>0</v>
      </c>
      <c r="I486" s="84">
        <f t="shared" ca="1" si="940"/>
        <v>0</v>
      </c>
      <c r="J486" s="84">
        <f t="shared" ca="1" si="940"/>
        <v>0</v>
      </c>
      <c r="K486" s="84">
        <f t="shared" ca="1" si="940"/>
        <v>0</v>
      </c>
      <c r="L486" s="84">
        <f t="shared" ca="1" si="940"/>
        <v>0</v>
      </c>
      <c r="M486" s="84">
        <f t="shared" ca="1" si="940"/>
        <v>0</v>
      </c>
      <c r="N486" s="84">
        <f t="shared" ca="1" si="940"/>
        <v>0</v>
      </c>
      <c r="O486" s="84">
        <f t="shared" ca="1" si="940"/>
        <v>0</v>
      </c>
      <c r="P486" s="84">
        <f t="shared" ca="1" si="940"/>
        <v>0</v>
      </c>
      <c r="Q486" s="84">
        <f t="shared" ca="1" si="940"/>
        <v>0</v>
      </c>
      <c r="R486" s="84">
        <f t="shared" ca="1" si="940"/>
        <v>0</v>
      </c>
      <c r="S486" s="84">
        <f t="shared" ca="1" si="940"/>
        <v>0</v>
      </c>
      <c r="T486" s="84">
        <f t="shared" ca="1" si="940"/>
        <v>0</v>
      </c>
      <c r="U486" s="84">
        <f t="shared" ref="U486" ca="1" si="941">IF($B480&lt;=U$29,$B484,0)</f>
        <v>0</v>
      </c>
      <c r="V486" s="84">
        <f t="shared" ref="V486" ca="1" si="942">IF($B480&lt;=V$29,$B484,0)</f>
        <v>0</v>
      </c>
      <c r="W486" s="84">
        <f t="shared" ref="W486" ca="1" si="943">IF($B480&lt;=W$29,$B484,0)</f>
        <v>0</v>
      </c>
      <c r="X486" s="84">
        <f t="shared" ref="X486" ca="1" si="944">IF($B480&lt;=X$29,$B484,0)</f>
        <v>0</v>
      </c>
      <c r="Y486" s="84">
        <f t="shared" ref="Y486" ca="1" si="945">IF($B480&lt;=Y$29,$B484,0)</f>
        <v>0</v>
      </c>
      <c r="Z486" s="84">
        <f t="shared" ref="Z486" ca="1" si="946">IF($B480&lt;=Z$29,$B484,0)</f>
        <v>0</v>
      </c>
      <c r="AA486" s="84">
        <f t="shared" ref="AA486" ca="1" si="947">IF($B480&lt;=AA$29,$B484,0)</f>
        <v>0</v>
      </c>
      <c r="AB486" s="84">
        <f t="shared" ref="AB486:AC486" ca="1" si="948">IF($B480&lt;=AB$29,$B484,0)</f>
        <v>0</v>
      </c>
      <c r="AC486" s="84">
        <f t="shared" ca="1" si="948"/>
        <v>0</v>
      </c>
      <c r="AE486" s="11"/>
    </row>
    <row r="487" spans="1:31" s="23" customFormat="1" hidden="1" outlineLevel="2" x14ac:dyDescent="0.2">
      <c r="A487" s="48" t="str">
        <f ca="1">Language!A$409</f>
        <v xml:space="preserve">    авансы выданные</v>
      </c>
      <c r="C487" s="40" t="str">
        <f t="shared" ca="1" si="929"/>
        <v>тыс. EUR</v>
      </c>
      <c r="D487" s="23" t="s">
        <v>1065</v>
      </c>
      <c r="F487" s="84">
        <f t="shared" ref="F487:T487" ca="1" si="949">IF($B480&gt;F$29,F485,0)</f>
        <v>0</v>
      </c>
      <c r="G487" s="84">
        <f t="shared" ca="1" si="949"/>
        <v>0</v>
      </c>
      <c r="H487" s="84">
        <f t="shared" ca="1" si="949"/>
        <v>0</v>
      </c>
      <c r="I487" s="84">
        <f t="shared" ca="1" si="949"/>
        <v>0</v>
      </c>
      <c r="J487" s="84">
        <f t="shared" ca="1" si="949"/>
        <v>0</v>
      </c>
      <c r="K487" s="84">
        <f t="shared" ca="1" si="949"/>
        <v>0</v>
      </c>
      <c r="L487" s="84">
        <f t="shared" ca="1" si="949"/>
        <v>0</v>
      </c>
      <c r="M487" s="84">
        <f t="shared" ca="1" si="949"/>
        <v>0</v>
      </c>
      <c r="N487" s="84">
        <f t="shared" ca="1" si="949"/>
        <v>0</v>
      </c>
      <c r="O487" s="84">
        <f t="shared" ca="1" si="949"/>
        <v>0</v>
      </c>
      <c r="P487" s="84">
        <f t="shared" ca="1" si="949"/>
        <v>0</v>
      </c>
      <c r="Q487" s="84">
        <f t="shared" ca="1" si="949"/>
        <v>0</v>
      </c>
      <c r="R487" s="84">
        <f t="shared" ca="1" si="949"/>
        <v>0</v>
      </c>
      <c r="S487" s="84">
        <f t="shared" ca="1" si="949"/>
        <v>0</v>
      </c>
      <c r="T487" s="84">
        <f t="shared" ca="1" si="949"/>
        <v>0</v>
      </c>
      <c r="U487" s="84">
        <f t="shared" ref="U487" ca="1" si="950">IF($B480&gt;U$29,U485,0)</f>
        <v>0</v>
      </c>
      <c r="V487" s="84">
        <f t="shared" ref="V487" ca="1" si="951">IF($B480&gt;V$29,V485,0)</f>
        <v>0</v>
      </c>
      <c r="W487" s="84">
        <f t="shared" ref="W487" ca="1" si="952">IF($B480&gt;W$29,W485,0)</f>
        <v>0</v>
      </c>
      <c r="X487" s="84">
        <f t="shared" ref="X487" ca="1" si="953">IF($B480&gt;X$29,X485,0)</f>
        <v>0</v>
      </c>
      <c r="Y487" s="84">
        <f t="shared" ref="Y487" ca="1" si="954">IF($B480&gt;Y$29,Y485,0)</f>
        <v>0</v>
      </c>
      <c r="Z487" s="84">
        <f t="shared" ref="Z487" ca="1" si="955">IF($B480&gt;Z$29,Z485,0)</f>
        <v>0</v>
      </c>
      <c r="AA487" s="84">
        <f t="shared" ref="AA487" ca="1" si="956">IF($B480&gt;AA$29,AA485,0)</f>
        <v>0</v>
      </c>
      <c r="AB487" s="84">
        <f t="shared" ref="AB487:AC487" ca="1" si="957">IF($B480&gt;AB$29,AB485,0)</f>
        <v>0</v>
      </c>
      <c r="AC487" s="84">
        <f t="shared" ca="1" si="957"/>
        <v>0</v>
      </c>
      <c r="AE487" s="11"/>
    </row>
    <row r="488" spans="1:31" s="23" customFormat="1" hidden="1" outlineLevel="2" x14ac:dyDescent="0.2">
      <c r="A488" t="str">
        <f ca="1">Language!A$391</f>
        <v xml:space="preserve">    кредиторская задолженность</v>
      </c>
      <c r="C488" s="40" t="str">
        <f t="shared" ca="1" si="929"/>
        <v>тыс. EUR</v>
      </c>
      <c r="D488" s="23" t="s">
        <v>845</v>
      </c>
      <c r="F488" s="84">
        <f t="shared" ref="F488:T488" ca="1" si="958">IF($B480&lt;=F$29,$B484-F485,0)</f>
        <v>0</v>
      </c>
      <c r="G488" s="84">
        <f t="shared" ca="1" si="958"/>
        <v>0</v>
      </c>
      <c r="H488" s="84">
        <f t="shared" ca="1" si="958"/>
        <v>0</v>
      </c>
      <c r="I488" s="84">
        <f t="shared" ca="1" si="958"/>
        <v>0</v>
      </c>
      <c r="J488" s="84">
        <f t="shared" ca="1" si="958"/>
        <v>0</v>
      </c>
      <c r="K488" s="84">
        <f t="shared" ca="1" si="958"/>
        <v>0</v>
      </c>
      <c r="L488" s="84">
        <f t="shared" ca="1" si="958"/>
        <v>0</v>
      </c>
      <c r="M488" s="84">
        <f t="shared" ca="1" si="958"/>
        <v>0</v>
      </c>
      <c r="N488" s="84">
        <f t="shared" ca="1" si="958"/>
        <v>0</v>
      </c>
      <c r="O488" s="84">
        <f t="shared" ca="1" si="958"/>
        <v>0</v>
      </c>
      <c r="P488" s="84">
        <f t="shared" ca="1" si="958"/>
        <v>0</v>
      </c>
      <c r="Q488" s="84">
        <f t="shared" ca="1" si="958"/>
        <v>0</v>
      </c>
      <c r="R488" s="84">
        <f t="shared" ca="1" si="958"/>
        <v>0</v>
      </c>
      <c r="S488" s="84">
        <f t="shared" ca="1" si="958"/>
        <v>0</v>
      </c>
      <c r="T488" s="84">
        <f t="shared" ca="1" si="958"/>
        <v>0</v>
      </c>
      <c r="U488" s="84">
        <f t="shared" ref="U488" ca="1" si="959">IF($B480&lt;=U$29,$B484-U485,0)</f>
        <v>0</v>
      </c>
      <c r="V488" s="84">
        <f t="shared" ref="V488" ca="1" si="960">IF($B480&lt;=V$29,$B484-V485,0)</f>
        <v>0</v>
      </c>
      <c r="W488" s="84">
        <f t="shared" ref="W488" ca="1" si="961">IF($B480&lt;=W$29,$B484-W485,0)</f>
        <v>0</v>
      </c>
      <c r="X488" s="84">
        <f t="shared" ref="X488" ca="1" si="962">IF($B480&lt;=X$29,$B484-X485,0)</f>
        <v>0</v>
      </c>
      <c r="Y488" s="84">
        <f t="shared" ref="Y488" ca="1" si="963">IF($B480&lt;=Y$29,$B484-Y485,0)</f>
        <v>0</v>
      </c>
      <c r="Z488" s="84">
        <f t="shared" ref="Z488" ca="1" si="964">IF($B480&lt;=Z$29,$B484-Z485,0)</f>
        <v>0</v>
      </c>
      <c r="AA488" s="84">
        <f t="shared" ref="AA488" ca="1" si="965">IF($B480&lt;=AA$29,$B484-AA485,0)</f>
        <v>0</v>
      </c>
      <c r="AB488" s="84">
        <f t="shared" ref="AB488:AC488" ca="1" si="966">IF($B480&lt;=AB$29,$B484-AB485,0)</f>
        <v>0</v>
      </c>
      <c r="AC488" s="84">
        <f t="shared" ca="1" si="966"/>
        <v>0</v>
      </c>
      <c r="AE488" s="11"/>
    </row>
    <row r="489" spans="1:31" s="23" customFormat="1" hidden="1" outlineLevel="2" x14ac:dyDescent="0.2">
      <c r="A489" t="str">
        <f ca="1">Language!A$398</f>
        <v xml:space="preserve">    накопленная амортизация</v>
      </c>
      <c r="C489" s="40" t="str">
        <f t="shared" ca="1" si="929"/>
        <v>тыс. EUR</v>
      </c>
      <c r="D489" s="23" t="s">
        <v>842</v>
      </c>
      <c r="F489" s="84">
        <f t="shared" ref="F489:AC489" ca="1" si="967">E489+F481</f>
        <v>0</v>
      </c>
      <c r="G489" s="84">
        <f t="shared" ca="1" si="967"/>
        <v>0</v>
      </c>
      <c r="H489" s="84">
        <f t="shared" ca="1" si="967"/>
        <v>0</v>
      </c>
      <c r="I489" s="84">
        <f t="shared" ca="1" si="967"/>
        <v>0</v>
      </c>
      <c r="J489" s="84">
        <f t="shared" ca="1" si="967"/>
        <v>0</v>
      </c>
      <c r="K489" s="84">
        <f t="shared" ca="1" si="967"/>
        <v>0</v>
      </c>
      <c r="L489" s="84">
        <f t="shared" ca="1" si="967"/>
        <v>0</v>
      </c>
      <c r="M489" s="84">
        <f t="shared" ca="1" si="967"/>
        <v>0</v>
      </c>
      <c r="N489" s="84">
        <f t="shared" ca="1" si="967"/>
        <v>0</v>
      </c>
      <c r="O489" s="84">
        <f t="shared" ca="1" si="967"/>
        <v>0</v>
      </c>
      <c r="P489" s="84">
        <f t="shared" ca="1" si="967"/>
        <v>0</v>
      </c>
      <c r="Q489" s="84">
        <f t="shared" ca="1" si="967"/>
        <v>0</v>
      </c>
      <c r="R489" s="84">
        <f t="shared" ca="1" si="967"/>
        <v>0</v>
      </c>
      <c r="S489" s="84">
        <f t="shared" ca="1" si="967"/>
        <v>0</v>
      </c>
      <c r="T489" s="84">
        <f t="shared" ca="1" si="967"/>
        <v>0</v>
      </c>
      <c r="U489" s="84">
        <f t="shared" ca="1" si="967"/>
        <v>0</v>
      </c>
      <c r="V489" s="84">
        <f t="shared" ca="1" si="967"/>
        <v>0</v>
      </c>
      <c r="W489" s="84">
        <f t="shared" ca="1" si="967"/>
        <v>0</v>
      </c>
      <c r="X489" s="84">
        <f t="shared" ca="1" si="967"/>
        <v>0</v>
      </c>
      <c r="Y489" s="84">
        <f t="shared" ca="1" si="967"/>
        <v>0</v>
      </c>
      <c r="Z489" s="84">
        <f t="shared" ca="1" si="967"/>
        <v>0</v>
      </c>
      <c r="AA489" s="84">
        <f t="shared" ca="1" si="967"/>
        <v>0</v>
      </c>
      <c r="AB489" s="84">
        <f t="shared" ca="1" si="967"/>
        <v>0</v>
      </c>
      <c r="AC489" s="84">
        <f t="shared" ca="1" si="967"/>
        <v>0</v>
      </c>
      <c r="AE489" s="11"/>
    </row>
    <row r="490" spans="1:31" s="23" customFormat="1" hidden="1" outlineLevel="2" x14ac:dyDescent="0.2">
      <c r="A490" t="str">
        <f ca="1">Language!A$392</f>
        <v xml:space="preserve">    остаточная стоимость</v>
      </c>
      <c r="C490" s="40" t="str">
        <f t="shared" ca="1" si="929"/>
        <v>тыс. EUR</v>
      </c>
      <c r="D490" s="23" t="s">
        <v>843</v>
      </c>
      <c r="F490" s="105">
        <f t="shared" ref="F490:T490" ca="1" si="968">F486-F489</f>
        <v>0</v>
      </c>
      <c r="G490" s="105">
        <f t="shared" ca="1" si="968"/>
        <v>0</v>
      </c>
      <c r="H490" s="105">
        <f t="shared" ca="1" si="968"/>
        <v>0</v>
      </c>
      <c r="I490" s="105">
        <f t="shared" ca="1" si="968"/>
        <v>0</v>
      </c>
      <c r="J490" s="105">
        <f t="shared" ca="1" si="968"/>
        <v>0</v>
      </c>
      <c r="K490" s="105">
        <f t="shared" ca="1" si="968"/>
        <v>0</v>
      </c>
      <c r="L490" s="105">
        <f t="shared" ca="1" si="968"/>
        <v>0</v>
      </c>
      <c r="M490" s="105">
        <f t="shared" ca="1" si="968"/>
        <v>0</v>
      </c>
      <c r="N490" s="105">
        <f t="shared" ca="1" si="968"/>
        <v>0</v>
      </c>
      <c r="O490" s="105">
        <f t="shared" ca="1" si="968"/>
        <v>0</v>
      </c>
      <c r="P490" s="105">
        <f t="shared" ca="1" si="968"/>
        <v>0</v>
      </c>
      <c r="Q490" s="105">
        <f t="shared" ca="1" si="968"/>
        <v>0</v>
      </c>
      <c r="R490" s="105">
        <f t="shared" ca="1" si="968"/>
        <v>0</v>
      </c>
      <c r="S490" s="105">
        <f t="shared" ca="1" si="968"/>
        <v>0</v>
      </c>
      <c r="T490" s="105">
        <f t="shared" ca="1" si="968"/>
        <v>0</v>
      </c>
      <c r="U490" s="105">
        <f t="shared" ref="U490" ca="1" si="969">U486-U489</f>
        <v>0</v>
      </c>
      <c r="V490" s="105">
        <f t="shared" ref="V490" ca="1" si="970">V486-V489</f>
        <v>0</v>
      </c>
      <c r="W490" s="105">
        <f t="shared" ref="W490" ca="1" si="971">W486-W489</f>
        <v>0</v>
      </c>
      <c r="X490" s="105">
        <f t="shared" ref="X490" ca="1" si="972">X486-X489</f>
        <v>0</v>
      </c>
      <c r="Y490" s="105">
        <f t="shared" ref="Y490" ca="1" si="973">Y486-Y489</f>
        <v>0</v>
      </c>
      <c r="Z490" s="105">
        <f t="shared" ref="Z490" ca="1" si="974">Z486-Z489</f>
        <v>0</v>
      </c>
      <c r="AA490" s="105">
        <f t="shared" ref="AA490" ca="1" si="975">AA486-AA489</f>
        <v>0</v>
      </c>
      <c r="AB490" s="105">
        <f t="shared" ref="AB490:AC490" ca="1" si="976">AB486-AB489</f>
        <v>0</v>
      </c>
      <c r="AC490" s="105">
        <f t="shared" ca="1" si="976"/>
        <v>0</v>
      </c>
      <c r="AE490" s="11"/>
    </row>
    <row r="491" spans="1:31" s="23" customFormat="1" hidden="1" outlineLevel="2" x14ac:dyDescent="0.2">
      <c r="A491" t="str">
        <f ca="1">Language!A$399</f>
        <v xml:space="preserve">    НДС к ранее осуществленным инвестициям</v>
      </c>
      <c r="B491" s="261">
        <f>B479*B482</f>
        <v>0</v>
      </c>
      <c r="C491" s="40" t="str">
        <f t="shared" ca="1" si="929"/>
        <v>тыс. EUR</v>
      </c>
      <c r="D491" s="23" t="s">
        <v>836</v>
      </c>
      <c r="AE491" s="11"/>
    </row>
    <row r="492" spans="1:31" s="23" customFormat="1" hidden="1" outlineLevel="2" x14ac:dyDescent="0.2">
      <c r="A492" t="str">
        <f ca="1">Language!A$400</f>
        <v xml:space="preserve">    зачет НДС</v>
      </c>
      <c r="C492" s="40" t="str">
        <f t="shared" ca="1" si="929"/>
        <v>тыс. EUR</v>
      </c>
      <c r="D492" s="24" t="s">
        <v>837</v>
      </c>
      <c r="F492" s="110">
        <f t="shared" ref="F492:AC492" ca="1" si="977">IF($B480=F$29,$B491+$AE482,0)</f>
        <v>0</v>
      </c>
      <c r="G492" s="110">
        <f t="shared" ca="1" si="977"/>
        <v>0</v>
      </c>
      <c r="H492" s="110">
        <f t="shared" ca="1" si="977"/>
        <v>0</v>
      </c>
      <c r="I492" s="110">
        <f t="shared" ca="1" si="977"/>
        <v>0</v>
      </c>
      <c r="J492" s="110">
        <f t="shared" ca="1" si="977"/>
        <v>0</v>
      </c>
      <c r="K492" s="110">
        <f t="shared" ca="1" si="977"/>
        <v>0</v>
      </c>
      <c r="L492" s="110">
        <f t="shared" ca="1" si="977"/>
        <v>0</v>
      </c>
      <c r="M492" s="110">
        <f t="shared" ca="1" si="977"/>
        <v>0</v>
      </c>
      <c r="N492" s="110">
        <f t="shared" ca="1" si="977"/>
        <v>0</v>
      </c>
      <c r="O492" s="110">
        <f t="shared" ca="1" si="977"/>
        <v>0</v>
      </c>
      <c r="P492" s="110">
        <f t="shared" ca="1" si="977"/>
        <v>0</v>
      </c>
      <c r="Q492" s="110">
        <f t="shared" ca="1" si="977"/>
        <v>0</v>
      </c>
      <c r="R492" s="110">
        <f t="shared" ca="1" si="977"/>
        <v>0</v>
      </c>
      <c r="S492" s="110">
        <f t="shared" ca="1" si="977"/>
        <v>0</v>
      </c>
      <c r="T492" s="110">
        <f t="shared" ca="1" si="977"/>
        <v>0</v>
      </c>
      <c r="U492" s="110">
        <f t="shared" ca="1" si="977"/>
        <v>0</v>
      </c>
      <c r="V492" s="110">
        <f t="shared" ca="1" si="977"/>
        <v>0</v>
      </c>
      <c r="W492" s="110">
        <f t="shared" ca="1" si="977"/>
        <v>0</v>
      </c>
      <c r="X492" s="110">
        <f t="shared" ca="1" si="977"/>
        <v>0</v>
      </c>
      <c r="Y492" s="110">
        <f t="shared" ca="1" si="977"/>
        <v>0</v>
      </c>
      <c r="Z492" s="110">
        <f t="shared" ca="1" si="977"/>
        <v>0</v>
      </c>
      <c r="AA492" s="110">
        <f t="shared" ca="1" si="977"/>
        <v>0</v>
      </c>
      <c r="AB492" s="110">
        <f t="shared" ca="1" si="977"/>
        <v>0</v>
      </c>
      <c r="AC492" s="110">
        <f t="shared" ca="1" si="977"/>
        <v>0</v>
      </c>
      <c r="AE492" s="54">
        <f ca="1">SUM(F492:AC492)</f>
        <v>0</v>
      </c>
    </row>
    <row r="493" spans="1:31" s="23" customFormat="1" outlineLevel="1" x14ac:dyDescent="0.2">
      <c r="A493" s="273" t="s">
        <v>3000</v>
      </c>
      <c r="B493" s="36" t="str">
        <f ca="1">Language!A$73</f>
        <v>Валюта</v>
      </c>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E493" s="39"/>
    </row>
    <row r="494" spans="1:31" s="23" customFormat="1" outlineLevel="1" collapsed="1" x14ac:dyDescent="0.2">
      <c r="A494" t="str">
        <f ca="1">Language!A$382</f>
        <v xml:space="preserve">    величина платежей (с НДС)</v>
      </c>
      <c r="B494" s="254">
        <v>1</v>
      </c>
      <c r="C494" s="40" t="str">
        <f ca="1">CHOOSE(B494,CUR_Main,CUR_Foreign)</f>
        <v>тыс. EUR</v>
      </c>
      <c r="D494" s="16" t="str">
        <f>TEXT(B494,"0")&amp;"_00"</f>
        <v>1_00</v>
      </c>
      <c r="F494" s="275">
        <v>0</v>
      </c>
      <c r="G494" s="275">
        <v>0</v>
      </c>
      <c r="H494" s="275">
        <v>0</v>
      </c>
      <c r="I494" s="275">
        <v>0</v>
      </c>
      <c r="J494" s="275">
        <f ca="1">K804*0.3</f>
        <v>174.59738454375801</v>
      </c>
      <c r="K494" s="275">
        <f>L787*0.3</f>
        <v>398.64199465215285</v>
      </c>
      <c r="L494" s="275">
        <v>0</v>
      </c>
      <c r="M494" s="275">
        <v>0</v>
      </c>
      <c r="N494" s="275">
        <v>0</v>
      </c>
      <c r="O494" s="275">
        <v>0</v>
      </c>
      <c r="P494" s="275">
        <v>0</v>
      </c>
      <c r="Q494" s="275">
        <v>0</v>
      </c>
      <c r="R494" s="275">
        <v>0</v>
      </c>
      <c r="S494" s="275">
        <v>0</v>
      </c>
      <c r="T494" s="275">
        <v>0</v>
      </c>
      <c r="U494" s="275">
        <v>0</v>
      </c>
      <c r="V494" s="275">
        <v>0</v>
      </c>
      <c r="W494" s="275">
        <v>0</v>
      </c>
      <c r="X494" s="275">
        <v>0</v>
      </c>
      <c r="Y494" s="275">
        <v>0</v>
      </c>
      <c r="Z494" s="275">
        <v>0</v>
      </c>
      <c r="AA494" s="275">
        <v>0</v>
      </c>
      <c r="AB494" s="275">
        <v>0</v>
      </c>
      <c r="AC494" s="275">
        <v>0</v>
      </c>
      <c r="AE494" s="54">
        <f ca="1">SUM(F494:AC494)</f>
        <v>573.23937919591083</v>
      </c>
    </row>
    <row r="495" spans="1:31" s="23" customFormat="1" hidden="1" outlineLevel="2" x14ac:dyDescent="0.2">
      <c r="A495" t="str">
        <f ca="1">Language!A$384</f>
        <v xml:space="preserve">    ранее осуществленные инвестиции (без НДС)</v>
      </c>
      <c r="B495" s="274">
        <v>0</v>
      </c>
      <c r="C495" s="40" t="str">
        <f ca="1">CUR_Main</f>
        <v>тыс. EUR</v>
      </c>
      <c r="D495" s="23" t="s">
        <v>1227</v>
      </c>
      <c r="AE495" s="11"/>
    </row>
    <row r="496" spans="1:31" s="23" customFormat="1" hidden="1" outlineLevel="2" x14ac:dyDescent="0.2">
      <c r="A496" t="str">
        <f ca="1">Language!A$385</f>
        <v xml:space="preserve">    поставить на баланс с</v>
      </c>
      <c r="B496" s="270">
        <f ca="1">MATCH(OFFSET(AE501,0,-2),F501:AC501,0)+1</f>
        <v>7</v>
      </c>
      <c r="C496" s="40" t="str">
        <f ca="1">Language!A$377</f>
        <v>периода</v>
      </c>
      <c r="AE496" s="11"/>
    </row>
    <row r="497" spans="1:31" s="23" customFormat="1" hidden="1" outlineLevel="2" x14ac:dyDescent="0.2">
      <c r="A497" t="str">
        <f ca="1">Language!A$394</f>
        <v xml:space="preserve">    амортизация (линейная),       для срока использования:</v>
      </c>
      <c r="B497" s="270">
        <v>0</v>
      </c>
      <c r="C497" s="40" t="str">
        <f ca="1">Language!A$33</f>
        <v>лет</v>
      </c>
      <c r="D497" s="131" t="s">
        <v>762</v>
      </c>
      <c r="F497" s="84">
        <f t="shared" ref="F497" si="978">IF($B497&gt;0,MIN(F502*100%/$B497*PRJ_Step/360,E506+F502-E502),0)</f>
        <v>0</v>
      </c>
      <c r="G497" s="84">
        <f t="shared" ref="G497" si="979">IF($B497&gt;0,MIN(G502*100%/$B497*PRJ_Step/360,F506+G502-F502),0)</f>
        <v>0</v>
      </c>
      <c r="H497" s="84">
        <f t="shared" ref="H497" si="980">IF($B497&gt;0,MIN(H502*100%/$B497*PRJ_Step/360,G506+H502-G502),0)</f>
        <v>0</v>
      </c>
      <c r="I497" s="84">
        <f t="shared" ref="I497" si="981">IF($B497&gt;0,MIN(I502*100%/$B497*PRJ_Step/360,H506+I502-H502),0)</f>
        <v>0</v>
      </c>
      <c r="J497" s="84">
        <f t="shared" ref="J497" si="982">IF($B497&gt;0,MIN(J502*100%/$B497*PRJ_Step/360,I506+J502-I502),0)</f>
        <v>0</v>
      </c>
      <c r="K497" s="84">
        <f t="shared" ref="K497" si="983">IF($B497&gt;0,MIN(K502*100%/$B497*PRJ_Step/360,J506+K502-J502),0)</f>
        <v>0</v>
      </c>
      <c r="L497" s="84">
        <f t="shared" ref="L497" si="984">IF($B497&gt;0,MIN(L502*100%/$B497*PRJ_Step/360,K506+L502-K502),0)</f>
        <v>0</v>
      </c>
      <c r="M497" s="84">
        <f t="shared" ref="M497" si="985">IF($B497&gt;0,MIN(M502*100%/$B497*PRJ_Step/360,L506+M502-L502),0)</f>
        <v>0</v>
      </c>
      <c r="N497" s="84">
        <f t="shared" ref="N497" si="986">IF($B497&gt;0,MIN(N502*100%/$B497*PRJ_Step/360,M506+N502-M502),0)</f>
        <v>0</v>
      </c>
      <c r="O497" s="84">
        <f t="shared" ref="O497" si="987">IF($B497&gt;0,MIN(O502*100%/$B497*PRJ_Step/360,N506+O502-N502),0)</f>
        <v>0</v>
      </c>
      <c r="P497" s="84">
        <f t="shared" ref="P497" si="988">IF($B497&gt;0,MIN(P502*100%/$B497*PRJ_Step/360,O506+P502-O502),0)</f>
        <v>0</v>
      </c>
      <c r="Q497" s="84">
        <f t="shared" ref="Q497" si="989">IF($B497&gt;0,MIN(Q502*100%/$B497*PRJ_Step/360,P506+Q502-P502),0)</f>
        <v>0</v>
      </c>
      <c r="R497" s="84">
        <f t="shared" ref="R497" si="990">IF($B497&gt;0,MIN(R502*100%/$B497*PRJ_Step/360,Q506+R502-Q502),0)</f>
        <v>0</v>
      </c>
      <c r="S497" s="84">
        <f t="shared" ref="S497" si="991">IF($B497&gt;0,MIN(S502*100%/$B497*PRJ_Step/360,R506+S502-R502),0)</f>
        <v>0</v>
      </c>
      <c r="T497" s="84">
        <f t="shared" ref="T497" si="992">IF($B497&gt;0,MIN(T502*100%/$B497*PRJ_Step/360,S506+T502-S502),0)</f>
        <v>0</v>
      </c>
      <c r="U497" s="84">
        <f t="shared" ref="U497" si="993">IF($B497&gt;0,MIN(U502*100%/$B497*PRJ_Step/360,T506+U502-T502),0)</f>
        <v>0</v>
      </c>
      <c r="V497" s="84">
        <f t="shared" ref="V497" si="994">IF($B497&gt;0,MIN(V502*100%/$B497*PRJ_Step/360,U506+V502-U502),0)</f>
        <v>0</v>
      </c>
      <c r="W497" s="84">
        <f t="shared" ref="W497" si="995">IF($B497&gt;0,MIN(W502*100%/$B497*PRJ_Step/360,V506+W502-V502),0)</f>
        <v>0</v>
      </c>
      <c r="X497" s="84">
        <f t="shared" ref="X497" si="996">IF($B497&gt;0,MIN(X502*100%/$B497*PRJ_Step/360,W506+X502-W502),0)</f>
        <v>0</v>
      </c>
      <c r="Y497" s="84">
        <f t="shared" ref="Y497" si="997">IF($B497&gt;0,MIN(Y502*100%/$B497*PRJ_Step/360,X506+Y502-X502),0)</f>
        <v>0</v>
      </c>
      <c r="Z497" s="84">
        <f t="shared" ref="Z497" si="998">IF($B497&gt;0,MIN(Z502*100%/$B497*PRJ_Step/360,Y506+Z502-Y502),0)</f>
        <v>0</v>
      </c>
      <c r="AA497" s="84">
        <f t="shared" ref="AA497" si="999">IF($B497&gt;0,MIN(AA502*100%/$B497*PRJ_Step/360,Z506+AA502-Z502),0)</f>
        <v>0</v>
      </c>
      <c r="AB497" s="84">
        <f t="shared" ref="AB497" si="1000">IF($B497&gt;0,MIN(AB502*100%/$B497*PRJ_Step/360,AA506+AB502-AA502),0)</f>
        <v>0</v>
      </c>
      <c r="AC497" s="84">
        <f t="shared" ref="AC497" si="1001">IF($B497&gt;0,MIN(AC502*100%/$B497*PRJ_Step/360,AB506+AC502-AB502),0)</f>
        <v>0</v>
      </c>
      <c r="AE497" s="54">
        <f>SUM(F497:AC497)</f>
        <v>0</v>
      </c>
    </row>
    <row r="498" spans="1:31" s="23" customFormat="1" hidden="1" outlineLevel="2" x14ac:dyDescent="0.2">
      <c r="A498" t="str">
        <f ca="1">Language!A$396</f>
        <v xml:space="preserve">    выплаченный НДС</v>
      </c>
      <c r="B498" s="272">
        <f>VAT</f>
        <v>0.23</v>
      </c>
      <c r="C498" s="40" t="str">
        <f ca="1">CUR_Main</f>
        <v>тыс. EUR</v>
      </c>
      <c r="D498" s="23" t="s">
        <v>835</v>
      </c>
      <c r="F498" s="83">
        <f t="shared" ref="F498:AC498" si="1002">F499*$B498</f>
        <v>0</v>
      </c>
      <c r="G498" s="83">
        <f t="shared" si="1002"/>
        <v>0</v>
      </c>
      <c r="H498" s="83">
        <f t="shared" si="1002"/>
        <v>0</v>
      </c>
      <c r="I498" s="83">
        <f t="shared" si="1002"/>
        <v>0</v>
      </c>
      <c r="J498" s="83">
        <f t="shared" ca="1" si="1002"/>
        <v>32.648291418751505</v>
      </c>
      <c r="K498" s="83">
        <f t="shared" si="1002"/>
        <v>74.542812008126148</v>
      </c>
      <c r="L498" s="83">
        <f t="shared" si="1002"/>
        <v>0</v>
      </c>
      <c r="M498" s="83">
        <f t="shared" si="1002"/>
        <v>0</v>
      </c>
      <c r="N498" s="83">
        <f t="shared" si="1002"/>
        <v>0</v>
      </c>
      <c r="O498" s="83">
        <f t="shared" si="1002"/>
        <v>0</v>
      </c>
      <c r="P498" s="83">
        <f t="shared" si="1002"/>
        <v>0</v>
      </c>
      <c r="Q498" s="83">
        <f t="shared" si="1002"/>
        <v>0</v>
      </c>
      <c r="R498" s="83">
        <f t="shared" si="1002"/>
        <v>0</v>
      </c>
      <c r="S498" s="83">
        <f t="shared" si="1002"/>
        <v>0</v>
      </c>
      <c r="T498" s="83">
        <f t="shared" si="1002"/>
        <v>0</v>
      </c>
      <c r="U498" s="83">
        <f t="shared" si="1002"/>
        <v>0</v>
      </c>
      <c r="V498" s="83">
        <f t="shared" si="1002"/>
        <v>0</v>
      </c>
      <c r="W498" s="83">
        <f t="shared" si="1002"/>
        <v>0</v>
      </c>
      <c r="X498" s="83">
        <f t="shared" si="1002"/>
        <v>0</v>
      </c>
      <c r="Y498" s="83">
        <f t="shared" si="1002"/>
        <v>0</v>
      </c>
      <c r="Z498" s="83">
        <f t="shared" si="1002"/>
        <v>0</v>
      </c>
      <c r="AA498" s="83">
        <f t="shared" si="1002"/>
        <v>0</v>
      </c>
      <c r="AB498" s="83">
        <f t="shared" si="1002"/>
        <v>0</v>
      </c>
      <c r="AC498" s="83">
        <f t="shared" si="1002"/>
        <v>0</v>
      </c>
      <c r="AE498" s="54">
        <f ca="1">SUM(F498:AC498)</f>
        <v>107.19110342687765</v>
      </c>
    </row>
    <row r="499" spans="1:31" s="23" customFormat="1" hidden="1" outlineLevel="2" x14ac:dyDescent="0.2">
      <c r="A499" t="str">
        <f ca="1">Language!A$386</f>
        <v xml:space="preserve">    сумма платежей без НДС</v>
      </c>
      <c r="C499" s="40" t="str">
        <f t="shared" ref="C499:C508" ca="1" si="1003">CUR_Main</f>
        <v>тыс. EUR</v>
      </c>
      <c r="D499" s="23" t="s">
        <v>2441</v>
      </c>
      <c r="F499" s="84">
        <f t="shared" ref="F499:AC499" si="1004">F494*IF($B494=1,1,F$88)/(1+$B498)</f>
        <v>0</v>
      </c>
      <c r="G499" s="84">
        <f t="shared" si="1004"/>
        <v>0</v>
      </c>
      <c r="H499" s="84">
        <f t="shared" si="1004"/>
        <v>0</v>
      </c>
      <c r="I499" s="84">
        <f t="shared" si="1004"/>
        <v>0</v>
      </c>
      <c r="J499" s="84">
        <f t="shared" ca="1" si="1004"/>
        <v>141.94909312500653</v>
      </c>
      <c r="K499" s="84">
        <f t="shared" si="1004"/>
        <v>324.09918264402671</v>
      </c>
      <c r="L499" s="84">
        <f t="shared" si="1004"/>
        <v>0</v>
      </c>
      <c r="M499" s="84">
        <f t="shared" si="1004"/>
        <v>0</v>
      </c>
      <c r="N499" s="84">
        <f t="shared" si="1004"/>
        <v>0</v>
      </c>
      <c r="O499" s="84">
        <f t="shared" si="1004"/>
        <v>0</v>
      </c>
      <c r="P499" s="84">
        <f t="shared" si="1004"/>
        <v>0</v>
      </c>
      <c r="Q499" s="84">
        <f t="shared" si="1004"/>
        <v>0</v>
      </c>
      <c r="R499" s="84">
        <f t="shared" si="1004"/>
        <v>0</v>
      </c>
      <c r="S499" s="84">
        <f t="shared" si="1004"/>
        <v>0</v>
      </c>
      <c r="T499" s="84">
        <f t="shared" si="1004"/>
        <v>0</v>
      </c>
      <c r="U499" s="84">
        <f t="shared" si="1004"/>
        <v>0</v>
      </c>
      <c r="V499" s="84">
        <f t="shared" si="1004"/>
        <v>0</v>
      </c>
      <c r="W499" s="84">
        <f t="shared" si="1004"/>
        <v>0</v>
      </c>
      <c r="X499" s="84">
        <f t="shared" si="1004"/>
        <v>0</v>
      </c>
      <c r="Y499" s="84">
        <f t="shared" si="1004"/>
        <v>0</v>
      </c>
      <c r="Z499" s="84">
        <f t="shared" si="1004"/>
        <v>0</v>
      </c>
      <c r="AA499" s="84">
        <f t="shared" si="1004"/>
        <v>0</v>
      </c>
      <c r="AB499" s="84">
        <f t="shared" si="1004"/>
        <v>0</v>
      </c>
      <c r="AC499" s="84">
        <f t="shared" si="1004"/>
        <v>0</v>
      </c>
      <c r="AE499" s="54">
        <f ca="1">SUM(F499:AC499)</f>
        <v>466.04827576903324</v>
      </c>
    </row>
    <row r="500" spans="1:31" s="23" customFormat="1" hidden="1" outlineLevel="2" x14ac:dyDescent="0.2">
      <c r="A500" t="str">
        <f ca="1">Language!A$387</f>
        <v xml:space="preserve">    общая стоимость актива (без НДС)</v>
      </c>
      <c r="B500" s="55">
        <f ca="1">AE499+B495</f>
        <v>466.04827576903324</v>
      </c>
      <c r="C500" s="40" t="str">
        <f t="shared" ca="1" si="1003"/>
        <v>тыс. EUR</v>
      </c>
      <c r="F500" s="52"/>
      <c r="G500" s="52"/>
      <c r="H500" s="52"/>
      <c r="I500" s="52"/>
      <c r="J500" s="52"/>
      <c r="K500" s="52"/>
      <c r="L500" s="52"/>
      <c r="M500" s="52"/>
      <c r="N500" s="52"/>
      <c r="O500" s="52"/>
      <c r="P500" s="52"/>
      <c r="Q500" s="52"/>
      <c r="R500" s="52"/>
      <c r="S500" s="52"/>
      <c r="T500" s="52"/>
      <c r="U500" s="52"/>
      <c r="V500" s="52"/>
      <c r="W500" s="52"/>
      <c r="X500" s="52"/>
      <c r="Y500" s="52"/>
      <c r="Z500" s="52"/>
      <c r="AA500" s="52"/>
      <c r="AB500" s="52"/>
      <c r="AC500" s="52"/>
      <c r="AE500" s="11"/>
    </row>
    <row r="501" spans="1:31" s="23" customFormat="1" hidden="1" outlineLevel="2" x14ac:dyDescent="0.2">
      <c r="A501" t="str">
        <f ca="1">Language!A$388</f>
        <v xml:space="preserve">    полная сумма вложений в актив (без НДС)</v>
      </c>
      <c r="C501" s="40" t="str">
        <f t="shared" ca="1" si="1003"/>
        <v>тыс. EUR</v>
      </c>
      <c r="D501" s="23" t="s">
        <v>840</v>
      </c>
      <c r="F501" s="84">
        <f>B495+F499</f>
        <v>0</v>
      </c>
      <c r="G501" s="84">
        <f t="shared" ref="G501" si="1005">F501+G499</f>
        <v>0</v>
      </c>
      <c r="H501" s="84">
        <f t="shared" ref="H501" si="1006">G501+H499</f>
        <v>0</v>
      </c>
      <c r="I501" s="84">
        <f t="shared" ref="I501" si="1007">H501+I499</f>
        <v>0</v>
      </c>
      <c r="J501" s="84">
        <f t="shared" ref="J501" ca="1" si="1008">I501+J499</f>
        <v>141.94909312500653</v>
      </c>
      <c r="K501" s="84">
        <f t="shared" ref="K501" ca="1" si="1009">J501+K499</f>
        <v>466.04827576903324</v>
      </c>
      <c r="L501" s="84">
        <f t="shared" ref="L501" ca="1" si="1010">K501+L499</f>
        <v>466.04827576903324</v>
      </c>
      <c r="M501" s="84">
        <f t="shared" ref="M501" ca="1" si="1011">L501+M499</f>
        <v>466.04827576903324</v>
      </c>
      <c r="N501" s="84">
        <f t="shared" ref="N501" ca="1" si="1012">M501+N499</f>
        <v>466.04827576903324</v>
      </c>
      <c r="O501" s="84">
        <f t="shared" ref="O501" ca="1" si="1013">N501+O499</f>
        <v>466.04827576903324</v>
      </c>
      <c r="P501" s="84">
        <f t="shared" ref="P501" ca="1" si="1014">O501+P499</f>
        <v>466.04827576903324</v>
      </c>
      <c r="Q501" s="84">
        <f t="shared" ref="Q501" ca="1" si="1015">P501+Q499</f>
        <v>466.04827576903324</v>
      </c>
      <c r="R501" s="84">
        <f t="shared" ref="R501" ca="1" si="1016">Q501+R499</f>
        <v>466.04827576903324</v>
      </c>
      <c r="S501" s="84">
        <f t="shared" ref="S501" ca="1" si="1017">R501+S499</f>
        <v>466.04827576903324</v>
      </c>
      <c r="T501" s="84">
        <f t="shared" ref="T501" ca="1" si="1018">S501+T499</f>
        <v>466.04827576903324</v>
      </c>
      <c r="U501" s="84">
        <f t="shared" ref="U501" ca="1" si="1019">T501+U499</f>
        <v>466.04827576903324</v>
      </c>
      <c r="V501" s="84">
        <f t="shared" ref="V501" ca="1" si="1020">U501+V499</f>
        <v>466.04827576903324</v>
      </c>
      <c r="W501" s="84">
        <f t="shared" ref="W501" ca="1" si="1021">V501+W499</f>
        <v>466.04827576903324</v>
      </c>
      <c r="X501" s="84">
        <f t="shared" ref="X501" ca="1" si="1022">W501+X499</f>
        <v>466.04827576903324</v>
      </c>
      <c r="Y501" s="84">
        <f t="shared" ref="Y501" ca="1" si="1023">X501+Y499</f>
        <v>466.04827576903324</v>
      </c>
      <c r="Z501" s="84">
        <f t="shared" ref="Z501" ca="1" si="1024">Y501+Z499</f>
        <v>466.04827576903324</v>
      </c>
      <c r="AA501" s="84">
        <f t="shared" ref="AA501" ca="1" si="1025">Z501+AA499</f>
        <v>466.04827576903324</v>
      </c>
      <c r="AB501" s="84">
        <f t="shared" ref="AB501" ca="1" si="1026">AA501+AB499</f>
        <v>466.04827576903324</v>
      </c>
      <c r="AC501" s="84">
        <f t="shared" ref="AC501" ca="1" si="1027">AB501+AC499</f>
        <v>466.04827576903324</v>
      </c>
      <c r="AE501" s="54"/>
    </row>
    <row r="502" spans="1:31" s="23" customFormat="1" hidden="1" outlineLevel="2" x14ac:dyDescent="0.2">
      <c r="A502" t="str">
        <f ca="1">Language!A$389</f>
        <v xml:space="preserve">    полная балансовая стоимость</v>
      </c>
      <c r="C502" s="40" t="str">
        <f t="shared" ca="1" si="1003"/>
        <v>тыс. EUR</v>
      </c>
      <c r="D502" s="23" t="s">
        <v>841</v>
      </c>
      <c r="F502" s="84">
        <f t="shared" ref="F502:AC502" ca="1" si="1028">IF($B496&lt;=F$29,$B500,0)</f>
        <v>0</v>
      </c>
      <c r="G502" s="84">
        <f t="shared" ca="1" si="1028"/>
        <v>0</v>
      </c>
      <c r="H502" s="84">
        <f t="shared" ca="1" si="1028"/>
        <v>0</v>
      </c>
      <c r="I502" s="84">
        <f t="shared" ca="1" si="1028"/>
        <v>0</v>
      </c>
      <c r="J502" s="84">
        <f t="shared" ca="1" si="1028"/>
        <v>0</v>
      </c>
      <c r="K502" s="84">
        <f t="shared" ca="1" si="1028"/>
        <v>0</v>
      </c>
      <c r="L502" s="84">
        <f t="shared" ca="1" si="1028"/>
        <v>466.04827576903324</v>
      </c>
      <c r="M502" s="84">
        <f t="shared" ca="1" si="1028"/>
        <v>466.04827576903324</v>
      </c>
      <c r="N502" s="84">
        <f t="shared" ca="1" si="1028"/>
        <v>466.04827576903324</v>
      </c>
      <c r="O502" s="84">
        <f t="shared" ca="1" si="1028"/>
        <v>466.04827576903324</v>
      </c>
      <c r="P502" s="84">
        <f t="shared" ca="1" si="1028"/>
        <v>466.04827576903324</v>
      </c>
      <c r="Q502" s="84">
        <f t="shared" ca="1" si="1028"/>
        <v>466.04827576903324</v>
      </c>
      <c r="R502" s="84">
        <f t="shared" ca="1" si="1028"/>
        <v>466.04827576903324</v>
      </c>
      <c r="S502" s="84">
        <f t="shared" ca="1" si="1028"/>
        <v>466.04827576903324</v>
      </c>
      <c r="T502" s="84">
        <f t="shared" ca="1" si="1028"/>
        <v>466.04827576903324</v>
      </c>
      <c r="U502" s="84">
        <f t="shared" ca="1" si="1028"/>
        <v>466.04827576903324</v>
      </c>
      <c r="V502" s="84">
        <f t="shared" ca="1" si="1028"/>
        <v>466.04827576903324</v>
      </c>
      <c r="W502" s="84">
        <f t="shared" ca="1" si="1028"/>
        <v>466.04827576903324</v>
      </c>
      <c r="X502" s="84">
        <f t="shared" ca="1" si="1028"/>
        <v>466.04827576903324</v>
      </c>
      <c r="Y502" s="84">
        <f t="shared" ca="1" si="1028"/>
        <v>466.04827576903324</v>
      </c>
      <c r="Z502" s="84">
        <f t="shared" ca="1" si="1028"/>
        <v>466.04827576903324</v>
      </c>
      <c r="AA502" s="84">
        <f t="shared" ca="1" si="1028"/>
        <v>466.04827576903324</v>
      </c>
      <c r="AB502" s="84">
        <f t="shared" ca="1" si="1028"/>
        <v>466.04827576903324</v>
      </c>
      <c r="AC502" s="84">
        <f t="shared" ca="1" si="1028"/>
        <v>466.04827576903324</v>
      </c>
      <c r="AE502" s="11"/>
    </row>
    <row r="503" spans="1:31" s="23" customFormat="1" hidden="1" outlineLevel="2" x14ac:dyDescent="0.2">
      <c r="A503" s="48" t="str">
        <f ca="1">Language!A$409</f>
        <v xml:space="preserve">    авансы выданные</v>
      </c>
      <c r="C503" s="40" t="str">
        <f t="shared" ca="1" si="1003"/>
        <v>тыс. EUR</v>
      </c>
      <c r="D503" s="23" t="s">
        <v>1065</v>
      </c>
      <c r="F503" s="84">
        <f t="shared" ref="F503:AC503" ca="1" si="1029">IF($B496&gt;F$29,F501,0)</f>
        <v>0</v>
      </c>
      <c r="G503" s="84">
        <f t="shared" ca="1" si="1029"/>
        <v>0</v>
      </c>
      <c r="H503" s="84">
        <f t="shared" ca="1" si="1029"/>
        <v>0</v>
      </c>
      <c r="I503" s="84">
        <f t="shared" ca="1" si="1029"/>
        <v>0</v>
      </c>
      <c r="J503" s="84">
        <f t="shared" ca="1" si="1029"/>
        <v>141.94909312500653</v>
      </c>
      <c r="K503" s="84">
        <f t="shared" ca="1" si="1029"/>
        <v>466.04827576903324</v>
      </c>
      <c r="L503" s="84">
        <f t="shared" ca="1" si="1029"/>
        <v>0</v>
      </c>
      <c r="M503" s="84">
        <f t="shared" ca="1" si="1029"/>
        <v>0</v>
      </c>
      <c r="N503" s="84">
        <f t="shared" ca="1" si="1029"/>
        <v>0</v>
      </c>
      <c r="O503" s="84">
        <f t="shared" ca="1" si="1029"/>
        <v>0</v>
      </c>
      <c r="P503" s="84">
        <f t="shared" ca="1" si="1029"/>
        <v>0</v>
      </c>
      <c r="Q503" s="84">
        <f t="shared" ca="1" si="1029"/>
        <v>0</v>
      </c>
      <c r="R503" s="84">
        <f t="shared" ca="1" si="1029"/>
        <v>0</v>
      </c>
      <c r="S503" s="84">
        <f t="shared" ca="1" si="1029"/>
        <v>0</v>
      </c>
      <c r="T503" s="84">
        <f t="shared" ca="1" si="1029"/>
        <v>0</v>
      </c>
      <c r="U503" s="84">
        <f t="shared" ca="1" si="1029"/>
        <v>0</v>
      </c>
      <c r="V503" s="84">
        <f t="shared" ca="1" si="1029"/>
        <v>0</v>
      </c>
      <c r="W503" s="84">
        <f t="shared" ca="1" si="1029"/>
        <v>0</v>
      </c>
      <c r="X503" s="84">
        <f t="shared" ca="1" si="1029"/>
        <v>0</v>
      </c>
      <c r="Y503" s="84">
        <f t="shared" ca="1" si="1029"/>
        <v>0</v>
      </c>
      <c r="Z503" s="84">
        <f t="shared" ca="1" si="1029"/>
        <v>0</v>
      </c>
      <c r="AA503" s="84">
        <f t="shared" ca="1" si="1029"/>
        <v>0</v>
      </c>
      <c r="AB503" s="84">
        <f t="shared" ca="1" si="1029"/>
        <v>0</v>
      </c>
      <c r="AC503" s="84">
        <f t="shared" ca="1" si="1029"/>
        <v>0</v>
      </c>
      <c r="AE503" s="11"/>
    </row>
    <row r="504" spans="1:31" s="23" customFormat="1" hidden="1" outlineLevel="2" x14ac:dyDescent="0.2">
      <c r="A504" t="str">
        <f ca="1">Language!A$391</f>
        <v xml:space="preserve">    кредиторская задолженность</v>
      </c>
      <c r="C504" s="40" t="str">
        <f t="shared" ca="1" si="1003"/>
        <v>тыс. EUR</v>
      </c>
      <c r="D504" s="23" t="s">
        <v>845</v>
      </c>
      <c r="F504" s="84">
        <f t="shared" ref="F504:AC504" ca="1" si="1030">IF($B496&lt;=F$29,$B500-F501,0)</f>
        <v>0</v>
      </c>
      <c r="G504" s="84">
        <f t="shared" ca="1" si="1030"/>
        <v>0</v>
      </c>
      <c r="H504" s="84">
        <f t="shared" ca="1" si="1030"/>
        <v>0</v>
      </c>
      <c r="I504" s="84">
        <f t="shared" ca="1" si="1030"/>
        <v>0</v>
      </c>
      <c r="J504" s="84">
        <f t="shared" ca="1" si="1030"/>
        <v>0</v>
      </c>
      <c r="K504" s="84">
        <f t="shared" ca="1" si="1030"/>
        <v>0</v>
      </c>
      <c r="L504" s="84">
        <f t="shared" ca="1" si="1030"/>
        <v>0</v>
      </c>
      <c r="M504" s="84">
        <f t="shared" ca="1" si="1030"/>
        <v>0</v>
      </c>
      <c r="N504" s="84">
        <f t="shared" ca="1" si="1030"/>
        <v>0</v>
      </c>
      <c r="O504" s="84">
        <f t="shared" ca="1" si="1030"/>
        <v>0</v>
      </c>
      <c r="P504" s="84">
        <f t="shared" ca="1" si="1030"/>
        <v>0</v>
      </c>
      <c r="Q504" s="84">
        <f t="shared" ca="1" si="1030"/>
        <v>0</v>
      </c>
      <c r="R504" s="84">
        <f t="shared" ca="1" si="1030"/>
        <v>0</v>
      </c>
      <c r="S504" s="84">
        <f t="shared" ca="1" si="1030"/>
        <v>0</v>
      </c>
      <c r="T504" s="84">
        <f t="shared" ca="1" si="1030"/>
        <v>0</v>
      </c>
      <c r="U504" s="84">
        <f t="shared" ca="1" si="1030"/>
        <v>0</v>
      </c>
      <c r="V504" s="84">
        <f t="shared" ca="1" si="1030"/>
        <v>0</v>
      </c>
      <c r="W504" s="84">
        <f t="shared" ca="1" si="1030"/>
        <v>0</v>
      </c>
      <c r="X504" s="84">
        <f t="shared" ca="1" si="1030"/>
        <v>0</v>
      </c>
      <c r="Y504" s="84">
        <f t="shared" ca="1" si="1030"/>
        <v>0</v>
      </c>
      <c r="Z504" s="84">
        <f t="shared" ca="1" si="1030"/>
        <v>0</v>
      </c>
      <c r="AA504" s="84">
        <f t="shared" ca="1" si="1030"/>
        <v>0</v>
      </c>
      <c r="AB504" s="84">
        <f t="shared" ca="1" si="1030"/>
        <v>0</v>
      </c>
      <c r="AC504" s="84">
        <f t="shared" ca="1" si="1030"/>
        <v>0</v>
      </c>
      <c r="AE504" s="11"/>
    </row>
    <row r="505" spans="1:31" s="23" customFormat="1" hidden="1" outlineLevel="2" x14ac:dyDescent="0.2">
      <c r="A505" t="str">
        <f ca="1">Language!A$398</f>
        <v xml:space="preserve">    накопленная амортизация</v>
      </c>
      <c r="C505" s="40" t="str">
        <f t="shared" ca="1" si="1003"/>
        <v>тыс. EUR</v>
      </c>
      <c r="D505" s="23" t="s">
        <v>842</v>
      </c>
      <c r="F505" s="84">
        <f t="shared" ref="F505" si="1031">E505+F497</f>
        <v>0</v>
      </c>
      <c r="G505" s="84">
        <f t="shared" ref="G505" si="1032">F505+G497</f>
        <v>0</v>
      </c>
      <c r="H505" s="84">
        <f t="shared" ref="H505" si="1033">G505+H497</f>
        <v>0</v>
      </c>
      <c r="I505" s="84">
        <f t="shared" ref="I505" si="1034">H505+I497</f>
        <v>0</v>
      </c>
      <c r="J505" s="84">
        <f t="shared" ref="J505" si="1035">I505+J497</f>
        <v>0</v>
      </c>
      <c r="K505" s="84">
        <f t="shared" ref="K505" si="1036">J505+K497</f>
        <v>0</v>
      </c>
      <c r="L505" s="84">
        <f t="shared" ref="L505" si="1037">K505+L497</f>
        <v>0</v>
      </c>
      <c r="M505" s="84">
        <f t="shared" ref="M505" si="1038">L505+M497</f>
        <v>0</v>
      </c>
      <c r="N505" s="84">
        <f t="shared" ref="N505" si="1039">M505+N497</f>
        <v>0</v>
      </c>
      <c r="O505" s="84">
        <f t="shared" ref="O505" si="1040">N505+O497</f>
        <v>0</v>
      </c>
      <c r="P505" s="84">
        <f t="shared" ref="P505" si="1041">O505+P497</f>
        <v>0</v>
      </c>
      <c r="Q505" s="84">
        <f t="shared" ref="Q505" si="1042">P505+Q497</f>
        <v>0</v>
      </c>
      <c r="R505" s="84">
        <f t="shared" ref="R505" si="1043">Q505+R497</f>
        <v>0</v>
      </c>
      <c r="S505" s="84">
        <f t="shared" ref="S505" si="1044">R505+S497</f>
        <v>0</v>
      </c>
      <c r="T505" s="84">
        <f t="shared" ref="T505" si="1045">S505+T497</f>
        <v>0</v>
      </c>
      <c r="U505" s="84">
        <f t="shared" ref="U505" si="1046">T505+U497</f>
        <v>0</v>
      </c>
      <c r="V505" s="84">
        <f t="shared" ref="V505" si="1047">U505+V497</f>
        <v>0</v>
      </c>
      <c r="W505" s="84">
        <f t="shared" ref="W505" si="1048">V505+W497</f>
        <v>0</v>
      </c>
      <c r="X505" s="84">
        <f t="shared" ref="X505" si="1049">W505+X497</f>
        <v>0</v>
      </c>
      <c r="Y505" s="84">
        <f t="shared" ref="Y505" si="1050">X505+Y497</f>
        <v>0</v>
      </c>
      <c r="Z505" s="84">
        <f t="shared" ref="Z505" si="1051">Y505+Z497</f>
        <v>0</v>
      </c>
      <c r="AA505" s="84">
        <f t="shared" ref="AA505" si="1052">Z505+AA497</f>
        <v>0</v>
      </c>
      <c r="AB505" s="84">
        <f t="shared" ref="AB505" si="1053">AA505+AB497</f>
        <v>0</v>
      </c>
      <c r="AC505" s="84">
        <f t="shared" ref="AC505" si="1054">AB505+AC497</f>
        <v>0</v>
      </c>
      <c r="AE505" s="11"/>
    </row>
    <row r="506" spans="1:31" s="23" customFormat="1" hidden="1" outlineLevel="2" x14ac:dyDescent="0.2">
      <c r="A506" t="str">
        <f ca="1">Language!A$392</f>
        <v xml:space="preserve">    остаточная стоимость</v>
      </c>
      <c r="C506" s="40" t="str">
        <f t="shared" ca="1" si="1003"/>
        <v>тыс. EUR</v>
      </c>
      <c r="D506" s="23" t="s">
        <v>843</v>
      </c>
      <c r="F506" s="105">
        <f t="shared" ref="F506:AC506" ca="1" si="1055">F502-F505</f>
        <v>0</v>
      </c>
      <c r="G506" s="105">
        <f t="shared" ca="1" si="1055"/>
        <v>0</v>
      </c>
      <c r="H506" s="105">
        <f t="shared" ca="1" si="1055"/>
        <v>0</v>
      </c>
      <c r="I506" s="105">
        <f t="shared" ca="1" si="1055"/>
        <v>0</v>
      </c>
      <c r="J506" s="105">
        <f t="shared" ca="1" si="1055"/>
        <v>0</v>
      </c>
      <c r="K506" s="105">
        <f t="shared" ca="1" si="1055"/>
        <v>0</v>
      </c>
      <c r="L506" s="105">
        <f t="shared" ca="1" si="1055"/>
        <v>466.04827576903324</v>
      </c>
      <c r="M506" s="105">
        <f t="shared" ca="1" si="1055"/>
        <v>466.04827576903324</v>
      </c>
      <c r="N506" s="105">
        <f t="shared" ca="1" si="1055"/>
        <v>466.04827576903324</v>
      </c>
      <c r="O506" s="105">
        <f t="shared" ca="1" si="1055"/>
        <v>466.04827576903324</v>
      </c>
      <c r="P506" s="105">
        <f t="shared" ca="1" si="1055"/>
        <v>466.04827576903324</v>
      </c>
      <c r="Q506" s="105">
        <f t="shared" ca="1" si="1055"/>
        <v>466.04827576903324</v>
      </c>
      <c r="R506" s="105">
        <f t="shared" ca="1" si="1055"/>
        <v>466.04827576903324</v>
      </c>
      <c r="S506" s="105">
        <f t="shared" ca="1" si="1055"/>
        <v>466.04827576903324</v>
      </c>
      <c r="T506" s="105">
        <f t="shared" ca="1" si="1055"/>
        <v>466.04827576903324</v>
      </c>
      <c r="U506" s="105">
        <f t="shared" ca="1" si="1055"/>
        <v>466.04827576903324</v>
      </c>
      <c r="V506" s="105">
        <f t="shared" ca="1" si="1055"/>
        <v>466.04827576903324</v>
      </c>
      <c r="W506" s="105">
        <f t="shared" ca="1" si="1055"/>
        <v>466.04827576903324</v>
      </c>
      <c r="X506" s="105">
        <f t="shared" ca="1" si="1055"/>
        <v>466.04827576903324</v>
      </c>
      <c r="Y506" s="105">
        <f t="shared" ca="1" si="1055"/>
        <v>466.04827576903324</v>
      </c>
      <c r="Z506" s="105">
        <f t="shared" ca="1" si="1055"/>
        <v>466.04827576903324</v>
      </c>
      <c r="AA506" s="105">
        <f t="shared" ca="1" si="1055"/>
        <v>466.04827576903324</v>
      </c>
      <c r="AB506" s="105">
        <f t="shared" ca="1" si="1055"/>
        <v>466.04827576903324</v>
      </c>
      <c r="AC506" s="105">
        <f t="shared" ca="1" si="1055"/>
        <v>466.04827576903324</v>
      </c>
      <c r="AE506" s="11"/>
    </row>
    <row r="507" spans="1:31" s="23" customFormat="1" hidden="1" outlineLevel="2" x14ac:dyDescent="0.2">
      <c r="A507" t="str">
        <f ca="1">Language!A$399</f>
        <v xml:space="preserve">    НДС к ранее осуществленным инвестициям</v>
      </c>
      <c r="B507" s="261">
        <f>B495*B498</f>
        <v>0</v>
      </c>
      <c r="C507" s="40" t="str">
        <f t="shared" ca="1" si="1003"/>
        <v>тыс. EUR</v>
      </c>
      <c r="D507" s="23" t="s">
        <v>836</v>
      </c>
      <c r="AE507" s="11"/>
    </row>
    <row r="508" spans="1:31" s="23" customFormat="1" hidden="1" outlineLevel="2" x14ac:dyDescent="0.2">
      <c r="A508" t="str">
        <f ca="1">Language!A$400</f>
        <v xml:space="preserve">    зачет НДС</v>
      </c>
      <c r="C508" s="40" t="str">
        <f t="shared" ca="1" si="1003"/>
        <v>тыс. EUR</v>
      </c>
      <c r="D508" s="24" t="s">
        <v>837</v>
      </c>
      <c r="F508" s="110">
        <f t="shared" ref="F508:AC508" ca="1" si="1056">IF($B496=F$29,$B507+$AE498,0)</f>
        <v>0</v>
      </c>
      <c r="G508" s="110">
        <f t="shared" ca="1" si="1056"/>
        <v>0</v>
      </c>
      <c r="H508" s="110">
        <f t="shared" ca="1" si="1056"/>
        <v>0</v>
      </c>
      <c r="I508" s="110">
        <f t="shared" ca="1" si="1056"/>
        <v>0</v>
      </c>
      <c r="J508" s="110">
        <f t="shared" ca="1" si="1056"/>
        <v>0</v>
      </c>
      <c r="K508" s="110">
        <f t="shared" ca="1" si="1056"/>
        <v>0</v>
      </c>
      <c r="L508" s="110">
        <f t="shared" ca="1" si="1056"/>
        <v>107.19110342687765</v>
      </c>
      <c r="M508" s="110">
        <f t="shared" ca="1" si="1056"/>
        <v>0</v>
      </c>
      <c r="N508" s="110">
        <f t="shared" ca="1" si="1056"/>
        <v>0</v>
      </c>
      <c r="O508" s="110">
        <f t="shared" ca="1" si="1056"/>
        <v>0</v>
      </c>
      <c r="P508" s="110">
        <f t="shared" ca="1" si="1056"/>
        <v>0</v>
      </c>
      <c r="Q508" s="110">
        <f t="shared" ca="1" si="1056"/>
        <v>0</v>
      </c>
      <c r="R508" s="110">
        <f t="shared" ca="1" si="1056"/>
        <v>0</v>
      </c>
      <c r="S508" s="110">
        <f t="shared" ca="1" si="1056"/>
        <v>0</v>
      </c>
      <c r="T508" s="110">
        <f t="shared" ca="1" si="1056"/>
        <v>0</v>
      </c>
      <c r="U508" s="110">
        <f t="shared" ca="1" si="1056"/>
        <v>0</v>
      </c>
      <c r="V508" s="110">
        <f t="shared" ca="1" si="1056"/>
        <v>0</v>
      </c>
      <c r="W508" s="110">
        <f t="shared" ca="1" si="1056"/>
        <v>0</v>
      </c>
      <c r="X508" s="110">
        <f t="shared" ca="1" si="1056"/>
        <v>0</v>
      </c>
      <c r="Y508" s="110">
        <f t="shared" ca="1" si="1056"/>
        <v>0</v>
      </c>
      <c r="Z508" s="110">
        <f t="shared" ca="1" si="1056"/>
        <v>0</v>
      </c>
      <c r="AA508" s="110">
        <f t="shared" ca="1" si="1056"/>
        <v>0</v>
      </c>
      <c r="AB508" s="110">
        <f t="shared" ca="1" si="1056"/>
        <v>0</v>
      </c>
      <c r="AC508" s="110">
        <f t="shared" ca="1" si="1056"/>
        <v>0</v>
      </c>
      <c r="AE508" s="54">
        <f ca="1">SUM(F508:AC508)</f>
        <v>107.19110342687765</v>
      </c>
    </row>
    <row r="509" spans="1:31" s="23" customFormat="1" outlineLevel="1" x14ac:dyDescent="0.2">
      <c r="A509" s="273" t="s">
        <v>2999</v>
      </c>
      <c r="B509" s="36" t="str">
        <f ca="1">Language!A$73</f>
        <v>Валюта</v>
      </c>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E509" s="39"/>
    </row>
    <row r="510" spans="1:31" s="23" customFormat="1" outlineLevel="1" collapsed="1" x14ac:dyDescent="0.2">
      <c r="A510" t="str">
        <f ca="1">Language!A$382</f>
        <v xml:space="preserve">    величина платежей (с НДС)</v>
      </c>
      <c r="B510" s="254">
        <v>1</v>
      </c>
      <c r="C510" s="40" t="str">
        <f ca="1">CHOOSE(B510,CUR_Main,CUR_Foreign)</f>
        <v>тыс. EUR</v>
      </c>
      <c r="D510" s="16" t="str">
        <f>TEXT(B510,"0")&amp;"_00"</f>
        <v>1_00</v>
      </c>
      <c r="F510" s="275">
        <v>0</v>
      </c>
      <c r="G510" s="275">
        <v>0</v>
      </c>
      <c r="H510" s="275">
        <v>0</v>
      </c>
      <c r="I510" s="275">
        <f>Инвестиции!C17/1000</f>
        <v>0</v>
      </c>
      <c r="J510" s="275">
        <v>0</v>
      </c>
      <c r="K510" s="275">
        <v>0</v>
      </c>
      <c r="L510" s="275">
        <v>0</v>
      </c>
      <c r="M510" s="275">
        <v>0</v>
      </c>
      <c r="N510" s="275">
        <v>0</v>
      </c>
      <c r="O510" s="275">
        <v>0</v>
      </c>
      <c r="P510" s="275">
        <v>0</v>
      </c>
      <c r="Q510" s="275">
        <v>0</v>
      </c>
      <c r="R510" s="275">
        <v>0</v>
      </c>
      <c r="S510" s="275">
        <v>0</v>
      </c>
      <c r="T510" s="275">
        <v>0</v>
      </c>
      <c r="U510" s="275">
        <v>0</v>
      </c>
      <c r="V510" s="275">
        <v>0</v>
      </c>
      <c r="W510" s="275">
        <v>0</v>
      </c>
      <c r="X510" s="275">
        <v>0</v>
      </c>
      <c r="Y510" s="275">
        <v>0</v>
      </c>
      <c r="Z510" s="275">
        <v>0</v>
      </c>
      <c r="AA510" s="275">
        <v>0</v>
      </c>
      <c r="AB510" s="275">
        <v>0</v>
      </c>
      <c r="AC510" s="275">
        <v>0</v>
      </c>
      <c r="AE510" s="54">
        <f>SUM(F510:AC510)</f>
        <v>0</v>
      </c>
    </row>
    <row r="511" spans="1:31" s="23" customFormat="1" hidden="1" outlineLevel="2" x14ac:dyDescent="0.2">
      <c r="A511" t="str">
        <f ca="1">Language!A$384</f>
        <v xml:space="preserve">    ранее осуществленные инвестиции (без НДС)</v>
      </c>
      <c r="B511" s="274">
        <v>0</v>
      </c>
      <c r="C511" s="40" t="str">
        <f ca="1">CUR_Main</f>
        <v>тыс. EUR</v>
      </c>
      <c r="D511" s="23" t="s">
        <v>1227</v>
      </c>
      <c r="AE511" s="11"/>
    </row>
    <row r="512" spans="1:31" s="23" customFormat="1" hidden="1" outlineLevel="2" x14ac:dyDescent="0.2">
      <c r="A512" t="str">
        <f ca="1">Language!A$385</f>
        <v xml:space="preserve">    поставить на баланс с</v>
      </c>
      <c r="B512" s="270">
        <f ca="1">MATCH(OFFSET(AE517,0,-2),F517:AC517,0)+1</f>
        <v>2</v>
      </c>
      <c r="C512" s="40" t="str">
        <f ca="1">Language!A$377</f>
        <v>периода</v>
      </c>
      <c r="AE512" s="11"/>
    </row>
    <row r="513" spans="1:31" s="23" customFormat="1" hidden="1" outlineLevel="2" x14ac:dyDescent="0.2">
      <c r="A513" t="str">
        <f ca="1">Language!A$394</f>
        <v xml:space="preserve">    амортизация (линейная),       для срока использования:</v>
      </c>
      <c r="B513" s="270">
        <v>0</v>
      </c>
      <c r="C513" s="40" t="str">
        <f ca="1">Language!A$33</f>
        <v>лет</v>
      </c>
      <c r="D513" s="131" t="s">
        <v>762</v>
      </c>
      <c r="F513" s="84">
        <f t="shared" ref="F513" si="1057">IF($B513&gt;0,MIN(F518*100%/$B513*PRJ_Step/360,E522+F518-E518),0)</f>
        <v>0</v>
      </c>
      <c r="G513" s="84">
        <f t="shared" ref="G513" si="1058">IF($B513&gt;0,MIN(G518*100%/$B513*PRJ_Step/360,F522+G518-F518),0)</f>
        <v>0</v>
      </c>
      <c r="H513" s="84">
        <f t="shared" ref="H513" si="1059">IF($B513&gt;0,MIN(H518*100%/$B513*PRJ_Step/360,G522+H518-G518),0)</f>
        <v>0</v>
      </c>
      <c r="I513" s="84">
        <f t="shared" ref="I513" si="1060">IF($B513&gt;0,MIN(I518*100%/$B513*PRJ_Step/360,H522+I518-H518),0)</f>
        <v>0</v>
      </c>
      <c r="J513" s="84">
        <f t="shared" ref="J513" si="1061">IF($B513&gt;0,MIN(J518*100%/$B513*PRJ_Step/360,I522+J518-I518),0)</f>
        <v>0</v>
      </c>
      <c r="K513" s="84">
        <f t="shared" ref="K513" si="1062">IF($B513&gt;0,MIN(K518*100%/$B513*PRJ_Step/360,J522+K518-J518),0)</f>
        <v>0</v>
      </c>
      <c r="L513" s="84">
        <f t="shared" ref="L513" si="1063">IF($B513&gt;0,MIN(L518*100%/$B513*PRJ_Step/360,K522+L518-K518),0)</f>
        <v>0</v>
      </c>
      <c r="M513" s="84">
        <f t="shared" ref="M513" si="1064">IF($B513&gt;0,MIN(M518*100%/$B513*PRJ_Step/360,L522+M518-L518),0)</f>
        <v>0</v>
      </c>
      <c r="N513" s="84">
        <f t="shared" ref="N513" si="1065">IF($B513&gt;0,MIN(N518*100%/$B513*PRJ_Step/360,M522+N518-M518),0)</f>
        <v>0</v>
      </c>
      <c r="O513" s="84">
        <f t="shared" ref="O513" si="1066">IF($B513&gt;0,MIN(O518*100%/$B513*PRJ_Step/360,N522+O518-N518),0)</f>
        <v>0</v>
      </c>
      <c r="P513" s="84">
        <f t="shared" ref="P513" si="1067">IF($B513&gt;0,MIN(P518*100%/$B513*PRJ_Step/360,O522+P518-O518),0)</f>
        <v>0</v>
      </c>
      <c r="Q513" s="84">
        <f t="shared" ref="Q513" si="1068">IF($B513&gt;0,MIN(Q518*100%/$B513*PRJ_Step/360,P522+Q518-P518),0)</f>
        <v>0</v>
      </c>
      <c r="R513" s="84">
        <f t="shared" ref="R513" si="1069">IF($B513&gt;0,MIN(R518*100%/$B513*PRJ_Step/360,Q522+R518-Q518),0)</f>
        <v>0</v>
      </c>
      <c r="S513" s="84">
        <f t="shared" ref="S513" si="1070">IF($B513&gt;0,MIN(S518*100%/$B513*PRJ_Step/360,R522+S518-R518),0)</f>
        <v>0</v>
      </c>
      <c r="T513" s="84">
        <f t="shared" ref="T513" si="1071">IF($B513&gt;0,MIN(T518*100%/$B513*PRJ_Step/360,S522+T518-S518),0)</f>
        <v>0</v>
      </c>
      <c r="U513" s="84">
        <f t="shared" ref="U513" si="1072">IF($B513&gt;0,MIN(U518*100%/$B513*PRJ_Step/360,T522+U518-T518),0)</f>
        <v>0</v>
      </c>
      <c r="V513" s="84">
        <f t="shared" ref="V513" si="1073">IF($B513&gt;0,MIN(V518*100%/$B513*PRJ_Step/360,U522+V518-U518),0)</f>
        <v>0</v>
      </c>
      <c r="W513" s="84">
        <f t="shared" ref="W513" si="1074">IF($B513&gt;0,MIN(W518*100%/$B513*PRJ_Step/360,V522+W518-V518),0)</f>
        <v>0</v>
      </c>
      <c r="X513" s="84">
        <f t="shared" ref="X513" si="1075">IF($B513&gt;0,MIN(X518*100%/$B513*PRJ_Step/360,W522+X518-W518),0)</f>
        <v>0</v>
      </c>
      <c r="Y513" s="84">
        <f t="shared" ref="Y513" si="1076">IF($B513&gt;0,MIN(Y518*100%/$B513*PRJ_Step/360,X522+Y518-X518),0)</f>
        <v>0</v>
      </c>
      <c r="Z513" s="84">
        <f t="shared" ref="Z513" si="1077">IF($B513&gt;0,MIN(Z518*100%/$B513*PRJ_Step/360,Y522+Z518-Y518),0)</f>
        <v>0</v>
      </c>
      <c r="AA513" s="84">
        <f t="shared" ref="AA513" si="1078">IF($B513&gt;0,MIN(AA518*100%/$B513*PRJ_Step/360,Z522+AA518-Z518),0)</f>
        <v>0</v>
      </c>
      <c r="AB513" s="84">
        <f t="shared" ref="AB513" si="1079">IF($B513&gt;0,MIN(AB518*100%/$B513*PRJ_Step/360,AA522+AB518-AA518),0)</f>
        <v>0</v>
      </c>
      <c r="AC513" s="84">
        <f t="shared" ref="AC513" si="1080">IF($B513&gt;0,MIN(AC518*100%/$B513*PRJ_Step/360,AB522+AC518-AB518),0)</f>
        <v>0</v>
      </c>
      <c r="AE513" s="54">
        <f>SUM(F513:AC513)</f>
        <v>0</v>
      </c>
    </row>
    <row r="514" spans="1:31" s="23" customFormat="1" hidden="1" outlineLevel="2" x14ac:dyDescent="0.2">
      <c r="A514" t="str">
        <f ca="1">Language!A$396</f>
        <v xml:space="preserve">    выплаченный НДС</v>
      </c>
      <c r="B514" s="272">
        <f>VAT</f>
        <v>0.23</v>
      </c>
      <c r="C514" s="40" t="str">
        <f ca="1">CUR_Main</f>
        <v>тыс. EUR</v>
      </c>
      <c r="D514" s="23" t="s">
        <v>835</v>
      </c>
      <c r="F514" s="83">
        <f t="shared" ref="F514:AC514" si="1081">F515*$B514</f>
        <v>0</v>
      </c>
      <c r="G514" s="83">
        <f t="shared" si="1081"/>
        <v>0</v>
      </c>
      <c r="H514" s="83">
        <f t="shared" si="1081"/>
        <v>0</v>
      </c>
      <c r="I514" s="83">
        <f t="shared" si="1081"/>
        <v>0</v>
      </c>
      <c r="J514" s="83">
        <f t="shared" si="1081"/>
        <v>0</v>
      </c>
      <c r="K514" s="83">
        <f t="shared" si="1081"/>
        <v>0</v>
      </c>
      <c r="L514" s="83">
        <f t="shared" si="1081"/>
        <v>0</v>
      </c>
      <c r="M514" s="83">
        <f t="shared" si="1081"/>
        <v>0</v>
      </c>
      <c r="N514" s="83">
        <f t="shared" si="1081"/>
        <v>0</v>
      </c>
      <c r="O514" s="83">
        <f t="shared" si="1081"/>
        <v>0</v>
      </c>
      <c r="P514" s="83">
        <f t="shared" si="1081"/>
        <v>0</v>
      </c>
      <c r="Q514" s="83">
        <f t="shared" si="1081"/>
        <v>0</v>
      </c>
      <c r="R514" s="83">
        <f t="shared" si="1081"/>
        <v>0</v>
      </c>
      <c r="S514" s="83">
        <f t="shared" si="1081"/>
        <v>0</v>
      </c>
      <c r="T514" s="83">
        <f t="shared" si="1081"/>
        <v>0</v>
      </c>
      <c r="U514" s="83">
        <f t="shared" si="1081"/>
        <v>0</v>
      </c>
      <c r="V514" s="83">
        <f t="shared" si="1081"/>
        <v>0</v>
      </c>
      <c r="W514" s="83">
        <f t="shared" si="1081"/>
        <v>0</v>
      </c>
      <c r="X514" s="83">
        <f t="shared" si="1081"/>
        <v>0</v>
      </c>
      <c r="Y514" s="83">
        <f t="shared" si="1081"/>
        <v>0</v>
      </c>
      <c r="Z514" s="83">
        <f t="shared" si="1081"/>
        <v>0</v>
      </c>
      <c r="AA514" s="83">
        <f t="shared" si="1081"/>
        <v>0</v>
      </c>
      <c r="AB514" s="83">
        <f t="shared" si="1081"/>
        <v>0</v>
      </c>
      <c r="AC514" s="83">
        <f t="shared" si="1081"/>
        <v>0</v>
      </c>
      <c r="AE514" s="54">
        <f>SUM(F514:AC514)</f>
        <v>0</v>
      </c>
    </row>
    <row r="515" spans="1:31" s="23" customFormat="1" hidden="1" outlineLevel="2" x14ac:dyDescent="0.2">
      <c r="A515" t="str">
        <f ca="1">Language!A$386</f>
        <v xml:space="preserve">    сумма платежей без НДС</v>
      </c>
      <c r="C515" s="40" t="str">
        <f t="shared" ref="C515:C524" ca="1" si="1082">CUR_Main</f>
        <v>тыс. EUR</v>
      </c>
      <c r="D515" s="23" t="s">
        <v>2441</v>
      </c>
      <c r="F515" s="84">
        <f t="shared" ref="F515:AC515" si="1083">F510*IF($B510=1,1,F$88)/(1+$B514)</f>
        <v>0</v>
      </c>
      <c r="G515" s="84">
        <f t="shared" si="1083"/>
        <v>0</v>
      </c>
      <c r="H515" s="84">
        <f t="shared" si="1083"/>
        <v>0</v>
      </c>
      <c r="I515" s="84">
        <f t="shared" si="1083"/>
        <v>0</v>
      </c>
      <c r="J515" s="84">
        <f t="shared" si="1083"/>
        <v>0</v>
      </c>
      <c r="K515" s="84">
        <f t="shared" si="1083"/>
        <v>0</v>
      </c>
      <c r="L515" s="84">
        <f t="shared" si="1083"/>
        <v>0</v>
      </c>
      <c r="M515" s="84">
        <f t="shared" si="1083"/>
        <v>0</v>
      </c>
      <c r="N515" s="84">
        <f t="shared" si="1083"/>
        <v>0</v>
      </c>
      <c r="O515" s="84">
        <f t="shared" si="1083"/>
        <v>0</v>
      </c>
      <c r="P515" s="84">
        <f t="shared" si="1083"/>
        <v>0</v>
      </c>
      <c r="Q515" s="84">
        <f t="shared" si="1083"/>
        <v>0</v>
      </c>
      <c r="R515" s="84">
        <f t="shared" si="1083"/>
        <v>0</v>
      </c>
      <c r="S515" s="84">
        <f t="shared" si="1083"/>
        <v>0</v>
      </c>
      <c r="T515" s="84">
        <f t="shared" si="1083"/>
        <v>0</v>
      </c>
      <c r="U515" s="84">
        <f t="shared" si="1083"/>
        <v>0</v>
      </c>
      <c r="V515" s="84">
        <f t="shared" si="1083"/>
        <v>0</v>
      </c>
      <c r="W515" s="84">
        <f t="shared" si="1083"/>
        <v>0</v>
      </c>
      <c r="X515" s="84">
        <f t="shared" si="1083"/>
        <v>0</v>
      </c>
      <c r="Y515" s="84">
        <f t="shared" si="1083"/>
        <v>0</v>
      </c>
      <c r="Z515" s="84">
        <f t="shared" si="1083"/>
        <v>0</v>
      </c>
      <c r="AA515" s="84">
        <f t="shared" si="1083"/>
        <v>0</v>
      </c>
      <c r="AB515" s="84">
        <f t="shared" si="1083"/>
        <v>0</v>
      </c>
      <c r="AC515" s="84">
        <f t="shared" si="1083"/>
        <v>0</v>
      </c>
      <c r="AE515" s="54">
        <f>SUM(F515:AC515)</f>
        <v>0</v>
      </c>
    </row>
    <row r="516" spans="1:31" s="23" customFormat="1" hidden="1" outlineLevel="2" x14ac:dyDescent="0.2">
      <c r="A516" t="str">
        <f ca="1">Language!A$387</f>
        <v xml:space="preserve">    общая стоимость актива (без НДС)</v>
      </c>
      <c r="B516" s="55">
        <f>AE515+B511</f>
        <v>0</v>
      </c>
      <c r="C516" s="40" t="str">
        <f t="shared" ca="1" si="1082"/>
        <v>тыс. EUR</v>
      </c>
      <c r="F516" s="52"/>
      <c r="G516" s="52"/>
      <c r="H516" s="52"/>
      <c r="I516" s="52"/>
      <c r="J516" s="52"/>
      <c r="K516" s="52"/>
      <c r="L516" s="52"/>
      <c r="M516" s="52"/>
      <c r="N516" s="52"/>
      <c r="O516" s="52"/>
      <c r="P516" s="52"/>
      <c r="Q516" s="52"/>
      <c r="R516" s="52"/>
      <c r="S516" s="52"/>
      <c r="T516" s="52"/>
      <c r="U516" s="52"/>
      <c r="V516" s="52"/>
      <c r="W516" s="52"/>
      <c r="X516" s="52"/>
      <c r="Y516" s="52"/>
      <c r="Z516" s="52"/>
      <c r="AA516" s="52"/>
      <c r="AB516" s="52"/>
      <c r="AC516" s="52"/>
      <c r="AE516" s="11"/>
    </row>
    <row r="517" spans="1:31" s="23" customFormat="1" hidden="1" outlineLevel="2" x14ac:dyDescent="0.2">
      <c r="A517" t="str">
        <f ca="1">Language!A$388</f>
        <v xml:space="preserve">    полная сумма вложений в актив (без НДС)</v>
      </c>
      <c r="C517" s="40" t="str">
        <f t="shared" ca="1" si="1082"/>
        <v>тыс. EUR</v>
      </c>
      <c r="D517" s="23" t="s">
        <v>840</v>
      </c>
      <c r="F517" s="84">
        <f>B511+F515</f>
        <v>0</v>
      </c>
      <c r="G517" s="84">
        <f t="shared" ref="G517" si="1084">F517+G515</f>
        <v>0</v>
      </c>
      <c r="H517" s="84">
        <f t="shared" ref="H517" si="1085">G517+H515</f>
        <v>0</v>
      </c>
      <c r="I517" s="84">
        <f t="shared" ref="I517" si="1086">H517+I515</f>
        <v>0</v>
      </c>
      <c r="J517" s="84">
        <f t="shared" ref="J517" si="1087">I517+J515</f>
        <v>0</v>
      </c>
      <c r="K517" s="84">
        <f t="shared" ref="K517" si="1088">J517+K515</f>
        <v>0</v>
      </c>
      <c r="L517" s="84">
        <f t="shared" ref="L517" si="1089">K517+L515</f>
        <v>0</v>
      </c>
      <c r="M517" s="84">
        <f t="shared" ref="M517" si="1090">L517+M515</f>
        <v>0</v>
      </c>
      <c r="N517" s="84">
        <f t="shared" ref="N517" si="1091">M517+N515</f>
        <v>0</v>
      </c>
      <c r="O517" s="84">
        <f t="shared" ref="O517" si="1092">N517+O515</f>
        <v>0</v>
      </c>
      <c r="P517" s="84">
        <f t="shared" ref="P517" si="1093">O517+P515</f>
        <v>0</v>
      </c>
      <c r="Q517" s="84">
        <f t="shared" ref="Q517" si="1094">P517+Q515</f>
        <v>0</v>
      </c>
      <c r="R517" s="84">
        <f t="shared" ref="R517" si="1095">Q517+R515</f>
        <v>0</v>
      </c>
      <c r="S517" s="84">
        <f t="shared" ref="S517" si="1096">R517+S515</f>
        <v>0</v>
      </c>
      <c r="T517" s="84">
        <f t="shared" ref="T517" si="1097">S517+T515</f>
        <v>0</v>
      </c>
      <c r="U517" s="84">
        <f t="shared" ref="U517" si="1098">T517+U515</f>
        <v>0</v>
      </c>
      <c r="V517" s="84">
        <f t="shared" ref="V517" si="1099">U517+V515</f>
        <v>0</v>
      </c>
      <c r="W517" s="84">
        <f t="shared" ref="W517" si="1100">V517+W515</f>
        <v>0</v>
      </c>
      <c r="X517" s="84">
        <f t="shared" ref="X517" si="1101">W517+X515</f>
        <v>0</v>
      </c>
      <c r="Y517" s="84">
        <f t="shared" ref="Y517" si="1102">X517+Y515</f>
        <v>0</v>
      </c>
      <c r="Z517" s="84">
        <f t="shared" ref="Z517" si="1103">Y517+Z515</f>
        <v>0</v>
      </c>
      <c r="AA517" s="84">
        <f t="shared" ref="AA517" si="1104">Z517+AA515</f>
        <v>0</v>
      </c>
      <c r="AB517" s="84">
        <f t="shared" ref="AB517" si="1105">AA517+AB515</f>
        <v>0</v>
      </c>
      <c r="AC517" s="84">
        <f t="shared" ref="AC517" si="1106">AB517+AC515</f>
        <v>0</v>
      </c>
      <c r="AE517" s="54"/>
    </row>
    <row r="518" spans="1:31" s="23" customFormat="1" hidden="1" outlineLevel="2" x14ac:dyDescent="0.2">
      <c r="A518" t="str">
        <f ca="1">Language!A$389</f>
        <v xml:space="preserve">    полная балансовая стоимость</v>
      </c>
      <c r="C518" s="40" t="str">
        <f t="shared" ca="1" si="1082"/>
        <v>тыс. EUR</v>
      </c>
      <c r="D518" s="23" t="s">
        <v>841</v>
      </c>
      <c r="F518" s="84">
        <f t="shared" ref="F518:AC518" ca="1" si="1107">IF($B512&lt;=F$29,$B516,0)</f>
        <v>0</v>
      </c>
      <c r="G518" s="84">
        <f t="shared" ca="1" si="1107"/>
        <v>0</v>
      </c>
      <c r="H518" s="84">
        <f t="shared" ca="1" si="1107"/>
        <v>0</v>
      </c>
      <c r="I518" s="84">
        <f t="shared" ca="1" si="1107"/>
        <v>0</v>
      </c>
      <c r="J518" s="84">
        <f t="shared" ca="1" si="1107"/>
        <v>0</v>
      </c>
      <c r="K518" s="84">
        <f t="shared" ca="1" si="1107"/>
        <v>0</v>
      </c>
      <c r="L518" s="84">
        <f t="shared" ca="1" si="1107"/>
        <v>0</v>
      </c>
      <c r="M518" s="84">
        <f t="shared" ca="1" si="1107"/>
        <v>0</v>
      </c>
      <c r="N518" s="84">
        <f t="shared" ca="1" si="1107"/>
        <v>0</v>
      </c>
      <c r="O518" s="84">
        <f t="shared" ca="1" si="1107"/>
        <v>0</v>
      </c>
      <c r="P518" s="84">
        <f t="shared" ca="1" si="1107"/>
        <v>0</v>
      </c>
      <c r="Q518" s="84">
        <f t="shared" ca="1" si="1107"/>
        <v>0</v>
      </c>
      <c r="R518" s="84">
        <f t="shared" ca="1" si="1107"/>
        <v>0</v>
      </c>
      <c r="S518" s="84">
        <f t="shared" ca="1" si="1107"/>
        <v>0</v>
      </c>
      <c r="T518" s="84">
        <f t="shared" ca="1" si="1107"/>
        <v>0</v>
      </c>
      <c r="U518" s="84">
        <f t="shared" ca="1" si="1107"/>
        <v>0</v>
      </c>
      <c r="V518" s="84">
        <f t="shared" ca="1" si="1107"/>
        <v>0</v>
      </c>
      <c r="W518" s="84">
        <f t="shared" ca="1" si="1107"/>
        <v>0</v>
      </c>
      <c r="X518" s="84">
        <f t="shared" ca="1" si="1107"/>
        <v>0</v>
      </c>
      <c r="Y518" s="84">
        <f t="shared" ca="1" si="1107"/>
        <v>0</v>
      </c>
      <c r="Z518" s="84">
        <f t="shared" ca="1" si="1107"/>
        <v>0</v>
      </c>
      <c r="AA518" s="84">
        <f t="shared" ca="1" si="1107"/>
        <v>0</v>
      </c>
      <c r="AB518" s="84">
        <f t="shared" ca="1" si="1107"/>
        <v>0</v>
      </c>
      <c r="AC518" s="84">
        <f t="shared" ca="1" si="1107"/>
        <v>0</v>
      </c>
      <c r="AE518" s="11"/>
    </row>
    <row r="519" spans="1:31" s="23" customFormat="1" hidden="1" outlineLevel="2" x14ac:dyDescent="0.2">
      <c r="A519" s="48" t="str">
        <f ca="1">Language!A$409</f>
        <v xml:space="preserve">    авансы выданные</v>
      </c>
      <c r="C519" s="40" t="str">
        <f t="shared" ca="1" si="1082"/>
        <v>тыс. EUR</v>
      </c>
      <c r="D519" s="23" t="s">
        <v>1065</v>
      </c>
      <c r="F519" s="84">
        <f t="shared" ref="F519:AC519" ca="1" si="1108">IF($B512&gt;F$29,F517,0)</f>
        <v>0</v>
      </c>
      <c r="G519" s="84">
        <f t="shared" ca="1" si="1108"/>
        <v>0</v>
      </c>
      <c r="H519" s="84">
        <f t="shared" ca="1" si="1108"/>
        <v>0</v>
      </c>
      <c r="I519" s="84">
        <f t="shared" ca="1" si="1108"/>
        <v>0</v>
      </c>
      <c r="J519" s="84">
        <f t="shared" ca="1" si="1108"/>
        <v>0</v>
      </c>
      <c r="K519" s="84">
        <f t="shared" ca="1" si="1108"/>
        <v>0</v>
      </c>
      <c r="L519" s="84">
        <f t="shared" ca="1" si="1108"/>
        <v>0</v>
      </c>
      <c r="M519" s="84">
        <f t="shared" ca="1" si="1108"/>
        <v>0</v>
      </c>
      <c r="N519" s="84">
        <f t="shared" ca="1" si="1108"/>
        <v>0</v>
      </c>
      <c r="O519" s="84">
        <f t="shared" ca="1" si="1108"/>
        <v>0</v>
      </c>
      <c r="P519" s="84">
        <f t="shared" ca="1" si="1108"/>
        <v>0</v>
      </c>
      <c r="Q519" s="84">
        <f t="shared" ca="1" si="1108"/>
        <v>0</v>
      </c>
      <c r="R519" s="84">
        <f t="shared" ca="1" si="1108"/>
        <v>0</v>
      </c>
      <c r="S519" s="84">
        <f t="shared" ca="1" si="1108"/>
        <v>0</v>
      </c>
      <c r="T519" s="84">
        <f t="shared" ca="1" si="1108"/>
        <v>0</v>
      </c>
      <c r="U519" s="84">
        <f t="shared" ca="1" si="1108"/>
        <v>0</v>
      </c>
      <c r="V519" s="84">
        <f t="shared" ca="1" si="1108"/>
        <v>0</v>
      </c>
      <c r="W519" s="84">
        <f t="shared" ca="1" si="1108"/>
        <v>0</v>
      </c>
      <c r="X519" s="84">
        <f t="shared" ca="1" si="1108"/>
        <v>0</v>
      </c>
      <c r="Y519" s="84">
        <f t="shared" ca="1" si="1108"/>
        <v>0</v>
      </c>
      <c r="Z519" s="84">
        <f t="shared" ca="1" si="1108"/>
        <v>0</v>
      </c>
      <c r="AA519" s="84">
        <f t="shared" ca="1" si="1108"/>
        <v>0</v>
      </c>
      <c r="AB519" s="84">
        <f t="shared" ca="1" si="1108"/>
        <v>0</v>
      </c>
      <c r="AC519" s="84">
        <f t="shared" ca="1" si="1108"/>
        <v>0</v>
      </c>
      <c r="AE519" s="11"/>
    </row>
    <row r="520" spans="1:31" s="23" customFormat="1" hidden="1" outlineLevel="2" x14ac:dyDescent="0.2">
      <c r="A520" t="str">
        <f ca="1">Language!A$391</f>
        <v xml:space="preserve">    кредиторская задолженность</v>
      </c>
      <c r="C520" s="40" t="str">
        <f t="shared" ca="1" si="1082"/>
        <v>тыс. EUR</v>
      </c>
      <c r="D520" s="23" t="s">
        <v>845</v>
      </c>
      <c r="F520" s="84">
        <f t="shared" ref="F520:AC520" ca="1" si="1109">IF($B512&lt;=F$29,$B516-F517,0)</f>
        <v>0</v>
      </c>
      <c r="G520" s="84">
        <f t="shared" ca="1" si="1109"/>
        <v>0</v>
      </c>
      <c r="H520" s="84">
        <f t="shared" ca="1" si="1109"/>
        <v>0</v>
      </c>
      <c r="I520" s="84">
        <f t="shared" ca="1" si="1109"/>
        <v>0</v>
      </c>
      <c r="J520" s="84">
        <f t="shared" ca="1" si="1109"/>
        <v>0</v>
      </c>
      <c r="K520" s="84">
        <f t="shared" ca="1" si="1109"/>
        <v>0</v>
      </c>
      <c r="L520" s="84">
        <f t="shared" ca="1" si="1109"/>
        <v>0</v>
      </c>
      <c r="M520" s="84">
        <f t="shared" ca="1" si="1109"/>
        <v>0</v>
      </c>
      <c r="N520" s="84">
        <f t="shared" ca="1" si="1109"/>
        <v>0</v>
      </c>
      <c r="O520" s="84">
        <f t="shared" ca="1" si="1109"/>
        <v>0</v>
      </c>
      <c r="P520" s="84">
        <f t="shared" ca="1" si="1109"/>
        <v>0</v>
      </c>
      <c r="Q520" s="84">
        <f t="shared" ca="1" si="1109"/>
        <v>0</v>
      </c>
      <c r="R520" s="84">
        <f t="shared" ca="1" si="1109"/>
        <v>0</v>
      </c>
      <c r="S520" s="84">
        <f t="shared" ca="1" si="1109"/>
        <v>0</v>
      </c>
      <c r="T520" s="84">
        <f t="shared" ca="1" si="1109"/>
        <v>0</v>
      </c>
      <c r="U520" s="84">
        <f t="shared" ca="1" si="1109"/>
        <v>0</v>
      </c>
      <c r="V520" s="84">
        <f t="shared" ca="1" si="1109"/>
        <v>0</v>
      </c>
      <c r="W520" s="84">
        <f t="shared" ca="1" si="1109"/>
        <v>0</v>
      </c>
      <c r="X520" s="84">
        <f t="shared" ca="1" si="1109"/>
        <v>0</v>
      </c>
      <c r="Y520" s="84">
        <f t="shared" ca="1" si="1109"/>
        <v>0</v>
      </c>
      <c r="Z520" s="84">
        <f t="shared" ca="1" si="1109"/>
        <v>0</v>
      </c>
      <c r="AA520" s="84">
        <f t="shared" ca="1" si="1109"/>
        <v>0</v>
      </c>
      <c r="AB520" s="84">
        <f t="shared" ca="1" si="1109"/>
        <v>0</v>
      </c>
      <c r="AC520" s="84">
        <f t="shared" ca="1" si="1109"/>
        <v>0</v>
      </c>
      <c r="AE520" s="11"/>
    </row>
    <row r="521" spans="1:31" s="23" customFormat="1" hidden="1" outlineLevel="2" x14ac:dyDescent="0.2">
      <c r="A521" t="str">
        <f ca="1">Language!A$398</f>
        <v xml:space="preserve">    накопленная амортизация</v>
      </c>
      <c r="C521" s="40" t="str">
        <f t="shared" ca="1" si="1082"/>
        <v>тыс. EUR</v>
      </c>
      <c r="D521" s="23" t="s">
        <v>842</v>
      </c>
      <c r="F521" s="84">
        <f t="shared" ref="F521" si="1110">E521+F513</f>
        <v>0</v>
      </c>
      <c r="G521" s="84">
        <f t="shared" ref="G521" si="1111">F521+G513</f>
        <v>0</v>
      </c>
      <c r="H521" s="84">
        <f t="shared" ref="H521" si="1112">G521+H513</f>
        <v>0</v>
      </c>
      <c r="I521" s="84">
        <f t="shared" ref="I521" si="1113">H521+I513</f>
        <v>0</v>
      </c>
      <c r="J521" s="84">
        <f t="shared" ref="J521" si="1114">I521+J513</f>
        <v>0</v>
      </c>
      <c r="K521" s="84">
        <f t="shared" ref="K521" si="1115">J521+K513</f>
        <v>0</v>
      </c>
      <c r="L521" s="84">
        <f t="shared" ref="L521" si="1116">K521+L513</f>
        <v>0</v>
      </c>
      <c r="M521" s="84">
        <f t="shared" ref="M521" si="1117">L521+M513</f>
        <v>0</v>
      </c>
      <c r="N521" s="84">
        <f t="shared" ref="N521" si="1118">M521+N513</f>
        <v>0</v>
      </c>
      <c r="O521" s="84">
        <f t="shared" ref="O521" si="1119">N521+O513</f>
        <v>0</v>
      </c>
      <c r="P521" s="84">
        <f t="shared" ref="P521" si="1120">O521+P513</f>
        <v>0</v>
      </c>
      <c r="Q521" s="84">
        <f t="shared" ref="Q521" si="1121">P521+Q513</f>
        <v>0</v>
      </c>
      <c r="R521" s="84">
        <f t="shared" ref="R521" si="1122">Q521+R513</f>
        <v>0</v>
      </c>
      <c r="S521" s="84">
        <f t="shared" ref="S521" si="1123">R521+S513</f>
        <v>0</v>
      </c>
      <c r="T521" s="84">
        <f t="shared" ref="T521" si="1124">S521+T513</f>
        <v>0</v>
      </c>
      <c r="U521" s="84">
        <f t="shared" ref="U521" si="1125">T521+U513</f>
        <v>0</v>
      </c>
      <c r="V521" s="84">
        <f t="shared" ref="V521" si="1126">U521+V513</f>
        <v>0</v>
      </c>
      <c r="W521" s="84">
        <f t="shared" ref="W521" si="1127">V521+W513</f>
        <v>0</v>
      </c>
      <c r="X521" s="84">
        <f t="shared" ref="X521" si="1128">W521+X513</f>
        <v>0</v>
      </c>
      <c r="Y521" s="84">
        <f t="shared" ref="Y521" si="1129">X521+Y513</f>
        <v>0</v>
      </c>
      <c r="Z521" s="84">
        <f t="shared" ref="Z521" si="1130">Y521+Z513</f>
        <v>0</v>
      </c>
      <c r="AA521" s="84">
        <f t="shared" ref="AA521" si="1131">Z521+AA513</f>
        <v>0</v>
      </c>
      <c r="AB521" s="84">
        <f t="shared" ref="AB521" si="1132">AA521+AB513</f>
        <v>0</v>
      </c>
      <c r="AC521" s="84">
        <f t="shared" ref="AC521" si="1133">AB521+AC513</f>
        <v>0</v>
      </c>
      <c r="AE521" s="11"/>
    </row>
    <row r="522" spans="1:31" s="23" customFormat="1" hidden="1" outlineLevel="2" x14ac:dyDescent="0.2">
      <c r="A522" t="str">
        <f ca="1">Language!A$392</f>
        <v xml:space="preserve">    остаточная стоимость</v>
      </c>
      <c r="C522" s="40" t="str">
        <f t="shared" ca="1" si="1082"/>
        <v>тыс. EUR</v>
      </c>
      <c r="D522" s="23" t="s">
        <v>843</v>
      </c>
      <c r="F522" s="105">
        <f t="shared" ref="F522:AC522" ca="1" si="1134">F518-F521</f>
        <v>0</v>
      </c>
      <c r="G522" s="105">
        <f t="shared" ca="1" si="1134"/>
        <v>0</v>
      </c>
      <c r="H522" s="105">
        <f t="shared" ca="1" si="1134"/>
        <v>0</v>
      </c>
      <c r="I522" s="105">
        <f t="shared" ca="1" si="1134"/>
        <v>0</v>
      </c>
      <c r="J522" s="105">
        <f t="shared" ca="1" si="1134"/>
        <v>0</v>
      </c>
      <c r="K522" s="105">
        <f t="shared" ca="1" si="1134"/>
        <v>0</v>
      </c>
      <c r="L522" s="105">
        <f t="shared" ca="1" si="1134"/>
        <v>0</v>
      </c>
      <c r="M522" s="105">
        <f t="shared" ca="1" si="1134"/>
        <v>0</v>
      </c>
      <c r="N522" s="105">
        <f t="shared" ca="1" si="1134"/>
        <v>0</v>
      </c>
      <c r="O522" s="105">
        <f t="shared" ca="1" si="1134"/>
        <v>0</v>
      </c>
      <c r="P522" s="105">
        <f t="shared" ca="1" si="1134"/>
        <v>0</v>
      </c>
      <c r="Q522" s="105">
        <f t="shared" ca="1" si="1134"/>
        <v>0</v>
      </c>
      <c r="R522" s="105">
        <f t="shared" ca="1" si="1134"/>
        <v>0</v>
      </c>
      <c r="S522" s="105">
        <f t="shared" ca="1" si="1134"/>
        <v>0</v>
      </c>
      <c r="T522" s="105">
        <f t="shared" ca="1" si="1134"/>
        <v>0</v>
      </c>
      <c r="U522" s="105">
        <f t="shared" ca="1" si="1134"/>
        <v>0</v>
      </c>
      <c r="V522" s="105">
        <f t="shared" ca="1" si="1134"/>
        <v>0</v>
      </c>
      <c r="W522" s="105">
        <f t="shared" ca="1" si="1134"/>
        <v>0</v>
      </c>
      <c r="X522" s="105">
        <f t="shared" ca="1" si="1134"/>
        <v>0</v>
      </c>
      <c r="Y522" s="105">
        <f t="shared" ca="1" si="1134"/>
        <v>0</v>
      </c>
      <c r="Z522" s="105">
        <f t="shared" ca="1" si="1134"/>
        <v>0</v>
      </c>
      <c r="AA522" s="105">
        <f t="shared" ca="1" si="1134"/>
        <v>0</v>
      </c>
      <c r="AB522" s="105">
        <f t="shared" ca="1" si="1134"/>
        <v>0</v>
      </c>
      <c r="AC522" s="105">
        <f t="shared" ca="1" si="1134"/>
        <v>0</v>
      </c>
      <c r="AE522" s="11"/>
    </row>
    <row r="523" spans="1:31" s="23" customFormat="1" hidden="1" outlineLevel="2" x14ac:dyDescent="0.2">
      <c r="A523" t="str">
        <f ca="1">Language!A$399</f>
        <v xml:space="preserve">    НДС к ранее осуществленным инвестициям</v>
      </c>
      <c r="B523" s="261">
        <f>B511*B514</f>
        <v>0</v>
      </c>
      <c r="C523" s="40" t="str">
        <f t="shared" ca="1" si="1082"/>
        <v>тыс. EUR</v>
      </c>
      <c r="D523" s="23" t="s">
        <v>836</v>
      </c>
      <c r="AE523" s="11"/>
    </row>
    <row r="524" spans="1:31" s="23" customFormat="1" hidden="1" outlineLevel="2" x14ac:dyDescent="0.2">
      <c r="A524" t="str">
        <f ca="1">Language!A$400</f>
        <v xml:space="preserve">    зачет НДС</v>
      </c>
      <c r="C524" s="40" t="str">
        <f t="shared" ca="1" si="1082"/>
        <v>тыс. EUR</v>
      </c>
      <c r="D524" s="24" t="s">
        <v>837</v>
      </c>
      <c r="F524" s="110">
        <f t="shared" ref="F524:AC524" ca="1" si="1135">IF($B512=F$29,$B523+$AE514,0)</f>
        <v>0</v>
      </c>
      <c r="G524" s="110">
        <f t="shared" ca="1" si="1135"/>
        <v>0</v>
      </c>
      <c r="H524" s="110">
        <f t="shared" ca="1" si="1135"/>
        <v>0</v>
      </c>
      <c r="I524" s="110">
        <f t="shared" ca="1" si="1135"/>
        <v>0</v>
      </c>
      <c r="J524" s="110">
        <f t="shared" ca="1" si="1135"/>
        <v>0</v>
      </c>
      <c r="K524" s="110">
        <f t="shared" ca="1" si="1135"/>
        <v>0</v>
      </c>
      <c r="L524" s="110">
        <f t="shared" ca="1" si="1135"/>
        <v>0</v>
      </c>
      <c r="M524" s="110">
        <f t="shared" ca="1" si="1135"/>
        <v>0</v>
      </c>
      <c r="N524" s="110">
        <f t="shared" ca="1" si="1135"/>
        <v>0</v>
      </c>
      <c r="O524" s="110">
        <f t="shared" ca="1" si="1135"/>
        <v>0</v>
      </c>
      <c r="P524" s="110">
        <f t="shared" ca="1" si="1135"/>
        <v>0</v>
      </c>
      <c r="Q524" s="110">
        <f t="shared" ca="1" si="1135"/>
        <v>0</v>
      </c>
      <c r="R524" s="110">
        <f t="shared" ca="1" si="1135"/>
        <v>0</v>
      </c>
      <c r="S524" s="110">
        <f t="shared" ca="1" si="1135"/>
        <v>0</v>
      </c>
      <c r="T524" s="110">
        <f t="shared" ca="1" si="1135"/>
        <v>0</v>
      </c>
      <c r="U524" s="110">
        <f t="shared" ca="1" si="1135"/>
        <v>0</v>
      </c>
      <c r="V524" s="110">
        <f t="shared" ca="1" si="1135"/>
        <v>0</v>
      </c>
      <c r="W524" s="110">
        <f t="shared" ca="1" si="1135"/>
        <v>0</v>
      </c>
      <c r="X524" s="110">
        <f t="shared" ca="1" si="1135"/>
        <v>0</v>
      </c>
      <c r="Y524" s="110">
        <f t="shared" ca="1" si="1135"/>
        <v>0</v>
      </c>
      <c r="Z524" s="110">
        <f t="shared" ca="1" si="1135"/>
        <v>0</v>
      </c>
      <c r="AA524" s="110">
        <f t="shared" ca="1" si="1135"/>
        <v>0</v>
      </c>
      <c r="AB524" s="110">
        <f t="shared" ca="1" si="1135"/>
        <v>0</v>
      </c>
      <c r="AC524" s="110">
        <f t="shared" ca="1" si="1135"/>
        <v>0</v>
      </c>
      <c r="AE524" s="54">
        <f ca="1">SUM(F524:AC524)</f>
        <v>0</v>
      </c>
    </row>
    <row r="525" spans="1:31" outlineLevel="1" x14ac:dyDescent="0.2">
      <c r="D525" s="19"/>
    </row>
    <row r="526" spans="1:31" outlineLevel="1" x14ac:dyDescent="0.2">
      <c r="A526" s="35" t="str">
        <f ca="1">Language!A411</f>
        <v>Проценты по кредитам на инвестиционной фазе</v>
      </c>
      <c r="C526" s="40" t="str">
        <f ca="1">CUR_Main</f>
        <v>тыс. EUR</v>
      </c>
      <c r="F526" s="84">
        <f t="shared" ref="F526:X526" si="1136">IF(F29&lt;$B527,F1128,0)</f>
        <v>0</v>
      </c>
      <c r="G526" s="84">
        <f t="shared" si="1136"/>
        <v>0</v>
      </c>
      <c r="H526" s="84">
        <f t="shared" si="1136"/>
        <v>0</v>
      </c>
      <c r="I526" s="84">
        <f t="shared" si="1136"/>
        <v>0</v>
      </c>
      <c r="J526" s="84">
        <f t="shared" si="1136"/>
        <v>0</v>
      </c>
      <c r="K526" s="84">
        <f t="shared" si="1136"/>
        <v>0</v>
      </c>
      <c r="L526" s="84">
        <f t="shared" si="1136"/>
        <v>0</v>
      </c>
      <c r="M526" s="84">
        <f t="shared" si="1136"/>
        <v>0</v>
      </c>
      <c r="N526" s="84">
        <f t="shared" si="1136"/>
        <v>0</v>
      </c>
      <c r="O526" s="84">
        <f t="shared" si="1136"/>
        <v>0</v>
      </c>
      <c r="P526" s="84">
        <f t="shared" si="1136"/>
        <v>0</v>
      </c>
      <c r="Q526" s="84">
        <f t="shared" si="1136"/>
        <v>0</v>
      </c>
      <c r="R526" s="84">
        <f t="shared" si="1136"/>
        <v>0</v>
      </c>
      <c r="S526" s="84">
        <f t="shared" si="1136"/>
        <v>0</v>
      </c>
      <c r="T526" s="84">
        <f t="shared" si="1136"/>
        <v>0</v>
      </c>
      <c r="U526" s="84">
        <f t="shared" si="1136"/>
        <v>0</v>
      </c>
      <c r="V526" s="84">
        <f t="shared" si="1136"/>
        <v>0</v>
      </c>
      <c r="W526" s="84">
        <f t="shared" si="1136"/>
        <v>0</v>
      </c>
      <c r="X526" s="84">
        <f t="shared" si="1136"/>
        <v>0</v>
      </c>
      <c r="Y526" s="84">
        <f t="shared" ref="Y526" si="1137">IF(Y29&lt;$B527,Y1128,0)</f>
        <v>0</v>
      </c>
      <c r="Z526" s="84">
        <f t="shared" ref="Z526" si="1138">IF(Z29&lt;$B527,Z1128,0)</f>
        <v>0</v>
      </c>
      <c r="AA526" s="84">
        <f t="shared" ref="AA526" si="1139">IF(AA29&lt;$B527,AA1128,0)</f>
        <v>0</v>
      </c>
      <c r="AB526" s="84">
        <f t="shared" ref="AB526:AC526" si="1140">IF(AB29&lt;$B527,AB1128,0)</f>
        <v>0</v>
      </c>
      <c r="AC526" s="84">
        <f t="shared" si="1140"/>
        <v>0</v>
      </c>
      <c r="AE526" s="54">
        <f>SUM(F526:AC526)</f>
        <v>0</v>
      </c>
    </row>
    <row r="527" spans="1:31" outlineLevel="1" collapsed="1" x14ac:dyDescent="0.2">
      <c r="A527" t="str">
        <f ca="1">Language!A412</f>
        <v xml:space="preserve">    инвестиционная фаза заканчивается с начала</v>
      </c>
      <c r="B527" s="258">
        <v>0</v>
      </c>
      <c r="C527" s="40" t="str">
        <f ca="1">Language!A$377</f>
        <v>периода</v>
      </c>
    </row>
    <row r="528" spans="1:31" hidden="1" outlineLevel="2" x14ac:dyDescent="0.2">
      <c r="A528" t="str">
        <f ca="1">Language!A$394</f>
        <v xml:space="preserve">    амортизация (линейная),       для срока использования:</v>
      </c>
      <c r="B528" s="270">
        <v>5</v>
      </c>
      <c r="C528" s="40" t="str">
        <f ca="1">Language!A$33</f>
        <v>лет</v>
      </c>
      <c r="F528" s="83">
        <f t="shared" ref="F528:AC528" si="1141">IF($B528&gt;0,MIN(F530*(100%/$B528)*PRJ_Step/360,E531+F530-E530),0)</f>
        <v>0</v>
      </c>
      <c r="G528" s="83">
        <f t="shared" si="1141"/>
        <v>0</v>
      </c>
      <c r="H528" s="83">
        <f t="shared" si="1141"/>
        <v>0</v>
      </c>
      <c r="I528" s="83">
        <f t="shared" si="1141"/>
        <v>0</v>
      </c>
      <c r="J528" s="83">
        <f t="shared" si="1141"/>
        <v>0</v>
      </c>
      <c r="K528" s="83">
        <f t="shared" si="1141"/>
        <v>0</v>
      </c>
      <c r="L528" s="83">
        <f t="shared" si="1141"/>
        <v>0</v>
      </c>
      <c r="M528" s="83">
        <f t="shared" si="1141"/>
        <v>0</v>
      </c>
      <c r="N528" s="83">
        <f t="shared" si="1141"/>
        <v>0</v>
      </c>
      <c r="O528" s="83">
        <f t="shared" si="1141"/>
        <v>0</v>
      </c>
      <c r="P528" s="83">
        <f t="shared" si="1141"/>
        <v>0</v>
      </c>
      <c r="Q528" s="83">
        <f t="shared" si="1141"/>
        <v>0</v>
      </c>
      <c r="R528" s="83">
        <f t="shared" si="1141"/>
        <v>0</v>
      </c>
      <c r="S528" s="83">
        <f t="shared" si="1141"/>
        <v>0</v>
      </c>
      <c r="T528" s="83">
        <f t="shared" si="1141"/>
        <v>0</v>
      </c>
      <c r="U528" s="83">
        <f t="shared" si="1141"/>
        <v>0</v>
      </c>
      <c r="V528" s="83">
        <f t="shared" si="1141"/>
        <v>0</v>
      </c>
      <c r="W528" s="83">
        <f t="shared" si="1141"/>
        <v>0</v>
      </c>
      <c r="X528" s="83">
        <f t="shared" si="1141"/>
        <v>0</v>
      </c>
      <c r="Y528" s="83">
        <f t="shared" si="1141"/>
        <v>0</v>
      </c>
      <c r="Z528" s="83">
        <f t="shared" si="1141"/>
        <v>0</v>
      </c>
      <c r="AA528" s="83">
        <f t="shared" si="1141"/>
        <v>0</v>
      </c>
      <c r="AB528" s="83">
        <f t="shared" si="1141"/>
        <v>0</v>
      </c>
      <c r="AC528" s="83">
        <f t="shared" si="1141"/>
        <v>0</v>
      </c>
      <c r="AE528" s="54">
        <f>SUM(F528:AC528)</f>
        <v>0</v>
      </c>
    </row>
    <row r="529" spans="1:29" hidden="1" outlineLevel="2" x14ac:dyDescent="0.2">
      <c r="A529" t="str">
        <f ca="1">Language!A$390</f>
        <v xml:space="preserve">    незавершенные инвестиции</v>
      </c>
      <c r="C529" s="40" t="str">
        <f ca="1">CUR_Main</f>
        <v>тыс. EUR</v>
      </c>
      <c r="D529" s="16" t="s">
        <v>2594</v>
      </c>
      <c r="F529" s="53">
        <f t="shared" ref="F529:AC529" si="1142">IF(F29&lt;$B527,E529+F526,0)</f>
        <v>0</v>
      </c>
      <c r="G529" s="53">
        <f t="shared" si="1142"/>
        <v>0</v>
      </c>
      <c r="H529" s="53">
        <f t="shared" si="1142"/>
        <v>0</v>
      </c>
      <c r="I529" s="53">
        <f t="shared" si="1142"/>
        <v>0</v>
      </c>
      <c r="J529" s="53">
        <f t="shared" si="1142"/>
        <v>0</v>
      </c>
      <c r="K529" s="53">
        <f t="shared" si="1142"/>
        <v>0</v>
      </c>
      <c r="L529" s="53">
        <f t="shared" si="1142"/>
        <v>0</v>
      </c>
      <c r="M529" s="53">
        <f t="shared" si="1142"/>
        <v>0</v>
      </c>
      <c r="N529" s="53">
        <f t="shared" si="1142"/>
        <v>0</v>
      </c>
      <c r="O529" s="53">
        <f t="shared" si="1142"/>
        <v>0</v>
      </c>
      <c r="P529" s="53">
        <f t="shared" si="1142"/>
        <v>0</v>
      </c>
      <c r="Q529" s="53">
        <f t="shared" si="1142"/>
        <v>0</v>
      </c>
      <c r="R529" s="53">
        <f t="shared" si="1142"/>
        <v>0</v>
      </c>
      <c r="S529" s="53">
        <f t="shared" si="1142"/>
        <v>0</v>
      </c>
      <c r="T529" s="53">
        <f t="shared" si="1142"/>
        <v>0</v>
      </c>
      <c r="U529" s="53">
        <f t="shared" si="1142"/>
        <v>0</v>
      </c>
      <c r="V529" s="53">
        <f t="shared" si="1142"/>
        <v>0</v>
      </c>
      <c r="W529" s="53">
        <f t="shared" si="1142"/>
        <v>0</v>
      </c>
      <c r="X529" s="53">
        <f t="shared" si="1142"/>
        <v>0</v>
      </c>
      <c r="Y529" s="53">
        <f t="shared" si="1142"/>
        <v>0</v>
      </c>
      <c r="Z529" s="53">
        <f t="shared" si="1142"/>
        <v>0</v>
      </c>
      <c r="AA529" s="53">
        <f t="shared" si="1142"/>
        <v>0</v>
      </c>
      <c r="AB529" s="53">
        <f t="shared" si="1142"/>
        <v>0</v>
      </c>
      <c r="AC529" s="53">
        <f t="shared" si="1142"/>
        <v>0</v>
      </c>
    </row>
    <row r="530" spans="1:29" hidden="1" outlineLevel="2" x14ac:dyDescent="0.2">
      <c r="A530" t="str">
        <f ca="1">Language!A$389</f>
        <v xml:space="preserve">    полная балансовая стоимость</v>
      </c>
      <c r="C530" s="40" t="str">
        <f ca="1">CUR_Main</f>
        <v>тыс. EUR</v>
      </c>
      <c r="D530" s="16" t="s">
        <v>2594</v>
      </c>
      <c r="F530" s="84">
        <f t="shared" ref="F530:AC530" si="1143">IF($B527&lt;=F$29,$AE526,0)</f>
        <v>0</v>
      </c>
      <c r="G530" s="84">
        <f t="shared" si="1143"/>
        <v>0</v>
      </c>
      <c r="H530" s="84">
        <f t="shared" si="1143"/>
        <v>0</v>
      </c>
      <c r="I530" s="84">
        <f t="shared" si="1143"/>
        <v>0</v>
      </c>
      <c r="J530" s="84">
        <f t="shared" si="1143"/>
        <v>0</v>
      </c>
      <c r="K530" s="84">
        <f t="shared" si="1143"/>
        <v>0</v>
      </c>
      <c r="L530" s="84">
        <f t="shared" si="1143"/>
        <v>0</v>
      </c>
      <c r="M530" s="84">
        <f t="shared" si="1143"/>
        <v>0</v>
      </c>
      <c r="N530" s="84">
        <f t="shared" si="1143"/>
        <v>0</v>
      </c>
      <c r="O530" s="84">
        <f t="shared" si="1143"/>
        <v>0</v>
      </c>
      <c r="P530" s="84">
        <f t="shared" si="1143"/>
        <v>0</v>
      </c>
      <c r="Q530" s="84">
        <f t="shared" si="1143"/>
        <v>0</v>
      </c>
      <c r="R530" s="84">
        <f t="shared" si="1143"/>
        <v>0</v>
      </c>
      <c r="S530" s="84">
        <f t="shared" si="1143"/>
        <v>0</v>
      </c>
      <c r="T530" s="84">
        <f t="shared" si="1143"/>
        <v>0</v>
      </c>
      <c r="U530" s="84">
        <f t="shared" si="1143"/>
        <v>0</v>
      </c>
      <c r="V530" s="84">
        <f t="shared" si="1143"/>
        <v>0</v>
      </c>
      <c r="W530" s="84">
        <f t="shared" si="1143"/>
        <v>0</v>
      </c>
      <c r="X530" s="84">
        <f t="shared" si="1143"/>
        <v>0</v>
      </c>
      <c r="Y530" s="84">
        <f t="shared" si="1143"/>
        <v>0</v>
      </c>
      <c r="Z530" s="84">
        <f t="shared" si="1143"/>
        <v>0</v>
      </c>
      <c r="AA530" s="84">
        <f t="shared" si="1143"/>
        <v>0</v>
      </c>
      <c r="AB530" s="84">
        <f t="shared" si="1143"/>
        <v>0</v>
      </c>
      <c r="AC530" s="84">
        <f t="shared" si="1143"/>
        <v>0</v>
      </c>
    </row>
    <row r="531" spans="1:29" hidden="1" outlineLevel="2" x14ac:dyDescent="0.2">
      <c r="A531" t="str">
        <f ca="1">Language!A$392</f>
        <v xml:space="preserve">    остаточная стоимость</v>
      </c>
      <c r="C531" s="40" t="str">
        <f ca="1">CUR_Main</f>
        <v>тыс. EUR</v>
      </c>
      <c r="D531" s="16" t="s">
        <v>2594</v>
      </c>
      <c r="F531" s="53">
        <f>F530-SUM($E528:F528)</f>
        <v>0</v>
      </c>
      <c r="G531" s="53">
        <f>G530-SUM($E528:G528)</f>
        <v>0</v>
      </c>
      <c r="H531" s="53">
        <f>H530-SUM($E528:H528)</f>
        <v>0</v>
      </c>
      <c r="I531" s="53">
        <f>I530-SUM($E528:I528)</f>
        <v>0</v>
      </c>
      <c r="J531" s="53">
        <f>J530-SUM($E528:J528)</f>
        <v>0</v>
      </c>
      <c r="K531" s="53">
        <f>K530-SUM($E528:K528)</f>
        <v>0</v>
      </c>
      <c r="L531" s="53">
        <f>L530-SUM($E528:L528)</f>
        <v>0</v>
      </c>
      <c r="M531" s="53">
        <f>M530-SUM($E528:M528)</f>
        <v>0</v>
      </c>
      <c r="N531" s="53">
        <f>N530-SUM($E528:N528)</f>
        <v>0</v>
      </c>
      <c r="O531" s="53">
        <f>O530-SUM($E528:O528)</f>
        <v>0</v>
      </c>
      <c r="P531" s="53">
        <f>P530-SUM($E528:P528)</f>
        <v>0</v>
      </c>
      <c r="Q531" s="53">
        <f>Q530-SUM($E528:Q528)</f>
        <v>0</v>
      </c>
      <c r="R531" s="53">
        <f>R530-SUM($E528:R528)</f>
        <v>0</v>
      </c>
      <c r="S531" s="53">
        <f>S530-SUM($E528:S528)</f>
        <v>0</v>
      </c>
      <c r="T531" s="53">
        <f>T530-SUM($E528:T528)</f>
        <v>0</v>
      </c>
      <c r="U531" s="53">
        <f>U530-SUM($E528:U528)</f>
        <v>0</v>
      </c>
      <c r="V531" s="53">
        <f>V530-SUM($E528:V528)</f>
        <v>0</v>
      </c>
      <c r="W531" s="53">
        <f>W530-SUM($E528:W528)</f>
        <v>0</v>
      </c>
      <c r="X531" s="53">
        <f>X530-SUM($E528:X528)</f>
        <v>0</v>
      </c>
      <c r="Y531" s="53">
        <f>Y530-SUM($E528:Y528)</f>
        <v>0</v>
      </c>
      <c r="Z531" s="53">
        <f>Z530-SUM($E528:Z528)</f>
        <v>0</v>
      </c>
      <c r="AA531" s="53">
        <f>AA530-SUM($E528:AA528)</f>
        <v>0</v>
      </c>
      <c r="AB531" s="53">
        <f>AB530-SUM($E528:AB528)</f>
        <v>0</v>
      </c>
      <c r="AC531" s="53">
        <f>AC530-SUM($E528:AC528)</f>
        <v>0</v>
      </c>
    </row>
    <row r="532" spans="1:29" outlineLevel="1" x14ac:dyDescent="0.2"/>
    <row r="533" spans="1:29" outlineLevel="1" x14ac:dyDescent="0.2">
      <c r="A533" s="35" t="str">
        <f ca="1">Language!A414</f>
        <v>Общая величина ранее осуществленных инвестиций</v>
      </c>
      <c r="C533" s="40"/>
    </row>
    <row r="534" spans="1:29" outlineLevel="1" collapsed="1" x14ac:dyDescent="0.2">
      <c r="A534" s="23" t="str">
        <f ca="1">Language!A415</f>
        <v>Незавершенные инвестиции в стартовом балансе</v>
      </c>
      <c r="B534" s="130">
        <f>SUM(B536:B539)</f>
        <v>0</v>
      </c>
      <c r="C534" s="40" t="str">
        <f t="shared" ref="C534:C548" ca="1" si="1144">CUR_Main</f>
        <v>тыс. EUR</v>
      </c>
    </row>
    <row r="535" spans="1:29" hidden="1" outlineLevel="2" x14ac:dyDescent="0.2">
      <c r="A535" s="23" t="str">
        <f ca="1">Language!A416</f>
        <v xml:space="preserve">     НДС к ранее осуществленным инвестициям</v>
      </c>
      <c r="B535" s="130">
        <f>F56*IF(B$37=1,1,F$88)</f>
        <v>0</v>
      </c>
      <c r="C535" s="40" t="str">
        <f t="shared" ca="1" si="1144"/>
        <v>тыс. EUR</v>
      </c>
    </row>
    <row r="536" spans="1:29" hidden="1" outlineLevel="2" x14ac:dyDescent="0.2">
      <c r="A536" s="23" t="str">
        <f ca="1">Language!A76</f>
        <v xml:space="preserve">   - здания и сооружения</v>
      </c>
      <c r="B536" s="130">
        <f>F46*IF(B$37=1,1,F$88)</f>
        <v>0</v>
      </c>
      <c r="C536" s="40" t="str">
        <f t="shared" ca="1" si="1144"/>
        <v>тыс. EUR</v>
      </c>
    </row>
    <row r="537" spans="1:29" hidden="1" outlineLevel="2" x14ac:dyDescent="0.2">
      <c r="A537" s="23" t="str">
        <f ca="1">Language!A77</f>
        <v xml:space="preserve">   - земельные участки</v>
      </c>
      <c r="B537" s="130">
        <f>F45*IF(B$37=1,1,F$88)</f>
        <v>0</v>
      </c>
      <c r="C537" s="40" t="str">
        <f t="shared" ca="1" si="1144"/>
        <v>тыс. EUR</v>
      </c>
    </row>
    <row r="538" spans="1:29" hidden="1" outlineLevel="2" x14ac:dyDescent="0.2">
      <c r="A538" s="23" t="str">
        <f ca="1">Language!A78</f>
        <v xml:space="preserve">   - нематериальные активы</v>
      </c>
      <c r="B538" s="130">
        <f>F47*IF(B$37=1,1,F$88)</f>
        <v>0</v>
      </c>
      <c r="C538" s="40" t="str">
        <f t="shared" ca="1" si="1144"/>
        <v>тыс. EUR</v>
      </c>
    </row>
    <row r="539" spans="1:29" hidden="1" outlineLevel="2" x14ac:dyDescent="0.2">
      <c r="A539" s="23" t="str">
        <f ca="1">Language!A79</f>
        <v xml:space="preserve">   - оборудование и другие активы</v>
      </c>
      <c r="B539" s="130">
        <f>F48*IF(B$37=1,1,F$88)</f>
        <v>0</v>
      </c>
      <c r="C539" s="40" t="str">
        <f t="shared" ca="1" si="1144"/>
        <v>тыс. EUR</v>
      </c>
    </row>
    <row r="540" spans="1:29" outlineLevel="1" collapsed="1" x14ac:dyDescent="0.2">
      <c r="A540" s="23" t="str">
        <f ca="1">Language!A418</f>
        <v>Незавершенные инвестиции по данным текущей таблицы</v>
      </c>
      <c r="B540" s="130">
        <f>SUM(B541:B544)</f>
        <v>0</v>
      </c>
      <c r="C540" s="40" t="str">
        <f t="shared" ca="1" si="1144"/>
        <v>тыс. EUR</v>
      </c>
    </row>
    <row r="541" spans="1:29" hidden="1" outlineLevel="2" x14ac:dyDescent="0.2">
      <c r="A541" s="23" t="str">
        <f ca="1">Language!A76</f>
        <v xml:space="preserve">   - здания и сооружения</v>
      </c>
      <c r="B541" s="130">
        <f>SUMIF(D297:D361,"*1_20*",B297:B361)</f>
        <v>0</v>
      </c>
      <c r="C541" s="40" t="str">
        <f t="shared" ca="1" si="1144"/>
        <v>тыс. EUR</v>
      </c>
    </row>
    <row r="542" spans="1:29" hidden="1" outlineLevel="2" x14ac:dyDescent="0.2">
      <c r="A542" s="23" t="str">
        <f ca="1">Language!A77</f>
        <v xml:space="preserve">   - земельные участки</v>
      </c>
      <c r="B542" s="130">
        <f>SUMIF(D282:D296,"*1_20*",B282:B296)</f>
        <v>0</v>
      </c>
      <c r="C542" s="40" t="str">
        <f t="shared" ca="1" si="1144"/>
        <v>тыс. EUR</v>
      </c>
    </row>
    <row r="543" spans="1:29" hidden="1" outlineLevel="2" x14ac:dyDescent="0.2">
      <c r="A543" s="23" t="str">
        <f ca="1">Language!A78</f>
        <v xml:space="preserve">   - нематериальные активы</v>
      </c>
      <c r="B543" s="130">
        <f>SUMIF(D436:D458,"*1_20*",B436:B458)</f>
        <v>0</v>
      </c>
      <c r="C543" s="40" t="str">
        <f t="shared" ca="1" si="1144"/>
        <v>тыс. EUR</v>
      </c>
    </row>
    <row r="544" spans="1:29" hidden="1" outlineLevel="2" x14ac:dyDescent="0.2">
      <c r="A544" s="23" t="str">
        <f ca="1">Language!A79</f>
        <v xml:space="preserve">   - оборудование и другие активы</v>
      </c>
      <c r="B544" s="130">
        <f>SUMIF(D362:D435,"*1_20*",B362:B435)+SUMIF(D476:D525,"*1_20*",B476:B525)</f>
        <v>0</v>
      </c>
      <c r="C544" s="40" t="str">
        <f t="shared" ca="1" si="1144"/>
        <v>тыс. EUR</v>
      </c>
    </row>
    <row r="545" spans="1:31" hidden="1" outlineLevel="2" x14ac:dyDescent="0.2">
      <c r="A545" s="19" t="str">
        <f ca="1">Language!A416</f>
        <v xml:space="preserve">     НДС к ранее осуществленным инвестициям</v>
      </c>
      <c r="B545" s="25">
        <f>SUMIF(D282:D525,"*1_11*",B282:B525)</f>
        <v>0</v>
      </c>
      <c r="C545" s="40" t="str">
        <f t="shared" ca="1" si="1144"/>
        <v>тыс. EUR</v>
      </c>
    </row>
    <row r="546" spans="1:31" outlineLevel="1" collapsed="1" x14ac:dyDescent="0.2">
      <c r="A546" s="19" t="str">
        <f ca="1">Language!A354</f>
        <v>Существующие активы</v>
      </c>
      <c r="B546" s="25">
        <f>E233+E239+E248+E257+E266+E272</f>
        <v>0</v>
      </c>
      <c r="C546" s="40" t="str">
        <f t="shared" ca="1" si="1144"/>
        <v>тыс. EUR</v>
      </c>
    </row>
    <row r="547" spans="1:31" hidden="1" outlineLevel="2" x14ac:dyDescent="0.2">
      <c r="A547" s="19" t="str">
        <f ca="1">Language!A417</f>
        <v xml:space="preserve">     НДС к существующим активам</v>
      </c>
      <c r="B547" s="25">
        <f>IF(B546&gt;0,MAX(0,B535-B545),0)</f>
        <v>0</v>
      </c>
      <c r="C547" s="40" t="str">
        <f t="shared" ca="1" si="1144"/>
        <v>тыс. EUR</v>
      </c>
    </row>
    <row r="548" spans="1:31" outlineLevel="1" collapsed="1" x14ac:dyDescent="0.2">
      <c r="A548" t="str">
        <f ca="1">Language!A419</f>
        <v>Учитывать при оценке эффективности в сумме</v>
      </c>
      <c r="B548" s="255">
        <f>IF(B534&gt;B540,B534+B535,B540+B545)+B546+B547</f>
        <v>0</v>
      </c>
      <c r="C548" s="40" t="str">
        <f t="shared" ca="1" si="1144"/>
        <v>тыс. EUR</v>
      </c>
    </row>
    <row r="549" spans="1:31" s="48" customFormat="1" hidden="1" outlineLevel="2" x14ac:dyDescent="0.2">
      <c r="A549" s="48" t="str">
        <f ca="1">Language!A188</f>
        <v xml:space="preserve">         то же, в итоговой валюте</v>
      </c>
      <c r="B549" s="300"/>
      <c r="C549" s="87" t="str">
        <f ca="1">CUR_Report</f>
        <v>тыс. EUR</v>
      </c>
      <c r="F549" s="105">
        <f>$B548/IF(CUR_I_Report=2,F$88,1)</f>
        <v>0</v>
      </c>
      <c r="G549" s="105">
        <v>0</v>
      </c>
      <c r="H549" s="105">
        <v>0</v>
      </c>
      <c r="I549" s="105">
        <v>0</v>
      </c>
      <c r="J549" s="105">
        <v>0</v>
      </c>
      <c r="K549" s="105">
        <v>0</v>
      </c>
      <c r="L549" s="105">
        <v>0</v>
      </c>
      <c r="M549" s="105">
        <v>0</v>
      </c>
      <c r="N549" s="105">
        <v>0</v>
      </c>
      <c r="O549" s="105">
        <v>0</v>
      </c>
      <c r="P549" s="105">
        <v>0</v>
      </c>
      <c r="Q549" s="105">
        <v>0</v>
      </c>
      <c r="R549" s="105">
        <v>0</v>
      </c>
      <c r="S549" s="105">
        <v>0</v>
      </c>
      <c r="T549" s="105">
        <v>0</v>
      </c>
      <c r="U549" s="105">
        <v>0</v>
      </c>
      <c r="V549" s="105">
        <v>0</v>
      </c>
      <c r="W549" s="105">
        <v>0</v>
      </c>
      <c r="X549" s="105">
        <v>0</v>
      </c>
      <c r="Y549" s="105">
        <v>0</v>
      </c>
      <c r="Z549" s="105">
        <v>0</v>
      </c>
      <c r="AA549" s="105">
        <v>0</v>
      </c>
      <c r="AB549" s="105">
        <v>0</v>
      </c>
      <c r="AC549" s="105">
        <v>0</v>
      </c>
      <c r="AE549" s="41"/>
    </row>
    <row r="550" spans="1:31" outlineLevel="1" x14ac:dyDescent="0.2"/>
    <row r="551" spans="1:31" s="35" customFormat="1" outlineLevel="1" collapsed="1" x14ac:dyDescent="0.2">
      <c r="A551" s="129" t="str">
        <f ca="1">Language!A420</f>
        <v xml:space="preserve"> = Итого: Земельные участки</v>
      </c>
      <c r="C551" s="40" t="str">
        <f t="shared" ref="C551:C596" ca="1" si="1145">CUR_Main</f>
        <v>тыс. EUR</v>
      </c>
      <c r="F551" s="58">
        <f t="shared" ref="F551:T551" si="1146">SUMIF($D282:$D296,"*1_00*",F282:F296)+SUMIF($D282:$D296,"*2_00*",F282:F296)*F$88</f>
        <v>0</v>
      </c>
      <c r="G551" s="58">
        <f t="shared" si="1146"/>
        <v>0</v>
      </c>
      <c r="H551" s="58">
        <f t="shared" si="1146"/>
        <v>200</v>
      </c>
      <c r="I551" s="58">
        <f t="shared" si="1146"/>
        <v>0</v>
      </c>
      <c r="J551" s="58">
        <f t="shared" si="1146"/>
        <v>0</v>
      </c>
      <c r="K551" s="58">
        <f t="shared" si="1146"/>
        <v>0</v>
      </c>
      <c r="L551" s="58">
        <f t="shared" si="1146"/>
        <v>0</v>
      </c>
      <c r="M551" s="58">
        <f t="shared" si="1146"/>
        <v>0</v>
      </c>
      <c r="N551" s="58">
        <f t="shared" si="1146"/>
        <v>0</v>
      </c>
      <c r="O551" s="58">
        <f t="shared" si="1146"/>
        <v>0</v>
      </c>
      <c r="P551" s="58">
        <f t="shared" si="1146"/>
        <v>0</v>
      </c>
      <c r="Q551" s="58">
        <f t="shared" si="1146"/>
        <v>0</v>
      </c>
      <c r="R551" s="58">
        <f t="shared" si="1146"/>
        <v>0</v>
      </c>
      <c r="S551" s="58">
        <f t="shared" si="1146"/>
        <v>0</v>
      </c>
      <c r="T551" s="58">
        <f t="shared" si="1146"/>
        <v>0</v>
      </c>
      <c r="U551" s="58">
        <f t="shared" ref="U551" si="1147">SUMIF($D282:$D296,"*1_00*",U282:U296)+SUMIF($D282:$D296,"*2_00*",U282:U296)*U$88</f>
        <v>0</v>
      </c>
      <c r="V551" s="58">
        <f t="shared" ref="V551" si="1148">SUMIF($D282:$D296,"*1_00*",V282:V296)+SUMIF($D282:$D296,"*2_00*",V282:V296)*V$88</f>
        <v>0</v>
      </c>
      <c r="W551" s="58">
        <f t="shared" ref="W551" si="1149">SUMIF($D282:$D296,"*1_00*",W282:W296)+SUMIF($D282:$D296,"*2_00*",W282:W296)*W$88</f>
        <v>0</v>
      </c>
      <c r="X551" s="58">
        <f t="shared" ref="X551" si="1150">SUMIF($D282:$D296,"*1_00*",X282:X296)+SUMIF($D282:$D296,"*2_00*",X282:X296)*X$88</f>
        <v>0</v>
      </c>
      <c r="Y551" s="58">
        <f t="shared" ref="Y551" si="1151">SUMIF($D282:$D296,"*1_00*",Y282:Y296)+SUMIF($D282:$D296,"*2_00*",Y282:Y296)*Y$88</f>
        <v>0</v>
      </c>
      <c r="Z551" s="58">
        <f t="shared" ref="Z551" si="1152">SUMIF($D282:$D296,"*1_00*",Z282:Z296)+SUMIF($D282:$D296,"*2_00*",Z282:Z296)*Z$88</f>
        <v>0</v>
      </c>
      <c r="AA551" s="58">
        <f t="shared" ref="AA551" si="1153">SUMIF($D282:$D296,"*1_00*",AA282:AA296)+SUMIF($D282:$D296,"*2_00*",AA282:AA296)*AA$88</f>
        <v>0</v>
      </c>
      <c r="AB551" s="58">
        <f t="shared" ref="AB551:AC551" si="1154">SUMIF($D282:$D296,"*1_00*",AB282:AB296)+SUMIF($D282:$D296,"*2_00*",AB282:AB296)*AB$88</f>
        <v>0</v>
      </c>
      <c r="AC551" s="58">
        <f t="shared" si="1154"/>
        <v>0</v>
      </c>
      <c r="AD551" s="58"/>
      <c r="AE551" s="57">
        <f>SUM(F551:AC551)</f>
        <v>200</v>
      </c>
    </row>
    <row r="552" spans="1:31" hidden="1" outlineLevel="2" x14ac:dyDescent="0.2">
      <c r="A552" s="48" t="str">
        <f ca="1">Language!A$386</f>
        <v xml:space="preserve">    сумма платежей без НДС</v>
      </c>
      <c r="C552" s="40" t="str">
        <f t="shared" ca="1" si="1145"/>
        <v>тыс. EUR</v>
      </c>
      <c r="F552" s="43">
        <f t="shared" ref="F552:T552" si="1155">SUMIF($D282:$D296,"*1_01*",F282:F296)</f>
        <v>0</v>
      </c>
      <c r="G552" s="43">
        <f t="shared" si="1155"/>
        <v>0</v>
      </c>
      <c r="H552" s="43">
        <f t="shared" si="1155"/>
        <v>200</v>
      </c>
      <c r="I552" s="43">
        <f t="shared" si="1155"/>
        <v>0</v>
      </c>
      <c r="J552" s="43">
        <f t="shared" si="1155"/>
        <v>0</v>
      </c>
      <c r="K552" s="43">
        <f t="shared" si="1155"/>
        <v>0</v>
      </c>
      <c r="L552" s="43">
        <f t="shared" si="1155"/>
        <v>0</v>
      </c>
      <c r="M552" s="43">
        <f t="shared" si="1155"/>
        <v>0</v>
      </c>
      <c r="N552" s="43">
        <f t="shared" si="1155"/>
        <v>0</v>
      </c>
      <c r="O552" s="43">
        <f t="shared" si="1155"/>
        <v>0</v>
      </c>
      <c r="P552" s="43">
        <f t="shared" si="1155"/>
        <v>0</v>
      </c>
      <c r="Q552" s="43">
        <f t="shared" si="1155"/>
        <v>0</v>
      </c>
      <c r="R552" s="43">
        <f t="shared" si="1155"/>
        <v>0</v>
      </c>
      <c r="S552" s="43">
        <f t="shared" si="1155"/>
        <v>0</v>
      </c>
      <c r="T552" s="43">
        <f t="shared" si="1155"/>
        <v>0</v>
      </c>
      <c r="U552" s="43">
        <f t="shared" ref="U552" si="1156">SUMIF($D282:$D296,"*1_01*",U282:U296)</f>
        <v>0</v>
      </c>
      <c r="V552" s="43">
        <f t="shared" ref="V552" si="1157">SUMIF($D282:$D296,"*1_01*",V282:V296)</f>
        <v>0</v>
      </c>
      <c r="W552" s="43">
        <f t="shared" ref="W552" si="1158">SUMIF($D282:$D296,"*1_01*",W282:W296)</f>
        <v>0</v>
      </c>
      <c r="X552" s="43">
        <f t="shared" ref="X552" si="1159">SUMIF($D282:$D296,"*1_01*",X282:X296)</f>
        <v>0</v>
      </c>
      <c r="Y552" s="43">
        <f t="shared" ref="Y552" si="1160">SUMIF($D282:$D296,"*1_01*",Y282:Y296)</f>
        <v>0</v>
      </c>
      <c r="Z552" s="43">
        <f t="shared" ref="Z552" si="1161">SUMIF($D282:$D296,"*1_01*",Z282:Z296)</f>
        <v>0</v>
      </c>
      <c r="AA552" s="43">
        <f t="shared" ref="AA552" si="1162">SUMIF($D282:$D296,"*1_01*",AA282:AA296)</f>
        <v>0</v>
      </c>
      <c r="AB552" s="43">
        <f t="shared" ref="AB552:AC552" si="1163">SUMIF($D282:$D296,"*1_01*",AB282:AB296)</f>
        <v>0</v>
      </c>
      <c r="AC552" s="43">
        <f t="shared" si="1163"/>
        <v>0</v>
      </c>
      <c r="AD552" s="43"/>
      <c r="AE552" s="54">
        <f>SUM(F552:AC552)</f>
        <v>200</v>
      </c>
    </row>
    <row r="553" spans="1:31" hidden="1" outlineLevel="2" x14ac:dyDescent="0.2">
      <c r="A553" s="48" t="str">
        <f ca="1">Language!A$389</f>
        <v xml:space="preserve">    полная балансовая стоимость</v>
      </c>
      <c r="C553" s="40" t="str">
        <f t="shared" ca="1" si="1145"/>
        <v>тыс. EUR</v>
      </c>
      <c r="D553" s="16" t="s">
        <v>2594</v>
      </c>
      <c r="F553" s="43">
        <f t="shared" ref="F553:T553" si="1164">SUMIF($D282:$D296,"*1_06*",F282:F296)</f>
        <v>0</v>
      </c>
      <c r="G553" s="43">
        <f t="shared" si="1164"/>
        <v>0</v>
      </c>
      <c r="H553" s="43">
        <f t="shared" si="1164"/>
        <v>0</v>
      </c>
      <c r="I553" s="43">
        <f t="shared" si="1164"/>
        <v>0</v>
      </c>
      <c r="J553" s="43">
        <f t="shared" si="1164"/>
        <v>200</v>
      </c>
      <c r="K553" s="43">
        <f t="shared" si="1164"/>
        <v>200</v>
      </c>
      <c r="L553" s="43">
        <f t="shared" si="1164"/>
        <v>200</v>
      </c>
      <c r="M553" s="43">
        <f t="shared" si="1164"/>
        <v>200</v>
      </c>
      <c r="N553" s="43">
        <f t="shared" si="1164"/>
        <v>200</v>
      </c>
      <c r="O553" s="43">
        <f t="shared" si="1164"/>
        <v>200</v>
      </c>
      <c r="P553" s="43">
        <f t="shared" si="1164"/>
        <v>200</v>
      </c>
      <c r="Q553" s="43">
        <f t="shared" si="1164"/>
        <v>200</v>
      </c>
      <c r="R553" s="43">
        <f t="shared" si="1164"/>
        <v>200</v>
      </c>
      <c r="S553" s="43">
        <f t="shared" si="1164"/>
        <v>200</v>
      </c>
      <c r="T553" s="43">
        <f t="shared" si="1164"/>
        <v>200</v>
      </c>
      <c r="U553" s="43">
        <f t="shared" ref="U553" si="1165">SUMIF($D282:$D296,"*1_06*",U282:U296)</f>
        <v>200</v>
      </c>
      <c r="V553" s="43">
        <f t="shared" ref="V553" si="1166">SUMIF($D282:$D296,"*1_06*",V282:V296)</f>
        <v>200</v>
      </c>
      <c r="W553" s="43">
        <f t="shared" ref="W553" si="1167">SUMIF($D282:$D296,"*1_06*",W282:W296)</f>
        <v>200</v>
      </c>
      <c r="X553" s="43">
        <f t="shared" ref="X553" si="1168">SUMIF($D282:$D296,"*1_06*",X282:X296)</f>
        <v>200</v>
      </c>
      <c r="Y553" s="43">
        <f t="shared" ref="Y553" si="1169">SUMIF($D282:$D296,"*1_06*",Y282:Y296)</f>
        <v>200</v>
      </c>
      <c r="Z553" s="43">
        <f t="shared" ref="Z553" si="1170">SUMIF($D282:$D296,"*1_06*",Z282:Z296)</f>
        <v>200</v>
      </c>
      <c r="AA553" s="43">
        <f t="shared" ref="AA553" si="1171">SUMIF($D282:$D296,"*1_06*",AA282:AA296)</f>
        <v>200</v>
      </c>
      <c r="AB553" s="43">
        <f t="shared" ref="AB553:AC553" si="1172">SUMIF($D282:$D296,"*1_06*",AB282:AB296)</f>
        <v>200</v>
      </c>
      <c r="AC553" s="43">
        <f t="shared" si="1172"/>
        <v>200</v>
      </c>
      <c r="AD553" s="43"/>
      <c r="AE553" s="54"/>
    </row>
    <row r="554" spans="1:31" hidden="1" outlineLevel="2" x14ac:dyDescent="0.2">
      <c r="A554" s="48" t="str">
        <f ca="1">Language!A$390</f>
        <v xml:space="preserve">    незавершенные инвестиции</v>
      </c>
      <c r="C554" s="40" t="str">
        <f t="shared" ca="1" si="1145"/>
        <v>тыс. EUR</v>
      </c>
      <c r="D554" s="16" t="s">
        <v>2594</v>
      </c>
      <c r="F554" s="43">
        <f t="shared" ref="F554:T554" si="1173">SUMIF($D282:$D296,"*1_07*",F282:F296)</f>
        <v>0</v>
      </c>
      <c r="G554" s="43">
        <f t="shared" si="1173"/>
        <v>0</v>
      </c>
      <c r="H554" s="43">
        <f t="shared" si="1173"/>
        <v>200</v>
      </c>
      <c r="I554" s="43">
        <f t="shared" si="1173"/>
        <v>200</v>
      </c>
      <c r="J554" s="43">
        <f t="shared" si="1173"/>
        <v>0</v>
      </c>
      <c r="K554" s="43">
        <f t="shared" si="1173"/>
        <v>0</v>
      </c>
      <c r="L554" s="43">
        <f t="shared" si="1173"/>
        <v>0</v>
      </c>
      <c r="M554" s="43">
        <f t="shared" si="1173"/>
        <v>0</v>
      </c>
      <c r="N554" s="43">
        <f t="shared" si="1173"/>
        <v>0</v>
      </c>
      <c r="O554" s="43">
        <f t="shared" si="1173"/>
        <v>0</v>
      </c>
      <c r="P554" s="43">
        <f t="shared" si="1173"/>
        <v>0</v>
      </c>
      <c r="Q554" s="43">
        <f t="shared" si="1173"/>
        <v>0</v>
      </c>
      <c r="R554" s="43">
        <f t="shared" si="1173"/>
        <v>0</v>
      </c>
      <c r="S554" s="43">
        <f t="shared" si="1173"/>
        <v>0</v>
      </c>
      <c r="T554" s="43">
        <f t="shared" si="1173"/>
        <v>0</v>
      </c>
      <c r="U554" s="43">
        <f t="shared" ref="U554" si="1174">SUMIF($D282:$D296,"*1_07*",U282:U296)</f>
        <v>0</v>
      </c>
      <c r="V554" s="43">
        <f t="shared" ref="V554" si="1175">SUMIF($D282:$D296,"*1_07*",V282:V296)</f>
        <v>0</v>
      </c>
      <c r="W554" s="43">
        <f t="shared" ref="W554" si="1176">SUMIF($D282:$D296,"*1_07*",W282:W296)</f>
        <v>0</v>
      </c>
      <c r="X554" s="43">
        <f t="shared" ref="X554" si="1177">SUMIF($D282:$D296,"*1_07*",X282:X296)</f>
        <v>0</v>
      </c>
      <c r="Y554" s="43">
        <f t="shared" ref="Y554" si="1178">SUMIF($D282:$D296,"*1_07*",Y282:Y296)</f>
        <v>0</v>
      </c>
      <c r="Z554" s="43">
        <f t="shared" ref="Z554" si="1179">SUMIF($D282:$D296,"*1_07*",Z282:Z296)</f>
        <v>0</v>
      </c>
      <c r="AA554" s="43">
        <f t="shared" ref="AA554" si="1180">SUMIF($D282:$D296,"*1_07*",AA282:AA296)</f>
        <v>0</v>
      </c>
      <c r="AB554" s="43">
        <f t="shared" ref="AB554:AC554" si="1181">SUMIF($D282:$D296,"*1_07*",AB282:AB296)</f>
        <v>0</v>
      </c>
      <c r="AC554" s="43">
        <f t="shared" si="1181"/>
        <v>0</v>
      </c>
      <c r="AD554" s="43"/>
      <c r="AE554" s="54"/>
    </row>
    <row r="555" spans="1:31" hidden="1" outlineLevel="2" x14ac:dyDescent="0.2">
      <c r="A555" s="48" t="str">
        <f ca="1">Language!A$391</f>
        <v xml:space="preserve">    кредиторская задолженность</v>
      </c>
      <c r="C555" s="40" t="str">
        <f t="shared" ca="1" si="1145"/>
        <v>тыс. EUR</v>
      </c>
      <c r="D555" s="16" t="s">
        <v>2594</v>
      </c>
      <c r="F555" s="43">
        <f t="shared" ref="F555:T555" si="1182">SUMIF($D282:$D296,"*1_08*",F282:F296)</f>
        <v>0</v>
      </c>
      <c r="G555" s="43">
        <f t="shared" si="1182"/>
        <v>0</v>
      </c>
      <c r="H555" s="43">
        <f t="shared" si="1182"/>
        <v>0</v>
      </c>
      <c r="I555" s="43">
        <f t="shared" si="1182"/>
        <v>0</v>
      </c>
      <c r="J555" s="43">
        <f t="shared" si="1182"/>
        <v>0</v>
      </c>
      <c r="K555" s="43">
        <f t="shared" si="1182"/>
        <v>0</v>
      </c>
      <c r="L555" s="43">
        <f t="shared" si="1182"/>
        <v>0</v>
      </c>
      <c r="M555" s="43">
        <f t="shared" si="1182"/>
        <v>0</v>
      </c>
      <c r="N555" s="43">
        <f t="shared" si="1182"/>
        <v>0</v>
      </c>
      <c r="O555" s="43">
        <f t="shared" si="1182"/>
        <v>0</v>
      </c>
      <c r="P555" s="43">
        <f t="shared" si="1182"/>
        <v>0</v>
      </c>
      <c r="Q555" s="43">
        <f t="shared" si="1182"/>
        <v>0</v>
      </c>
      <c r="R555" s="43">
        <f t="shared" si="1182"/>
        <v>0</v>
      </c>
      <c r="S555" s="43">
        <f t="shared" si="1182"/>
        <v>0</v>
      </c>
      <c r="T555" s="43">
        <f t="shared" si="1182"/>
        <v>0</v>
      </c>
      <c r="U555" s="43">
        <f t="shared" ref="U555" si="1183">SUMIF($D282:$D296,"*1_08*",U282:U296)</f>
        <v>0</v>
      </c>
      <c r="V555" s="43">
        <f t="shared" ref="V555" si="1184">SUMIF($D282:$D296,"*1_08*",V282:V296)</f>
        <v>0</v>
      </c>
      <c r="W555" s="43">
        <f t="shared" ref="W555" si="1185">SUMIF($D282:$D296,"*1_08*",W282:W296)</f>
        <v>0</v>
      </c>
      <c r="X555" s="43">
        <f t="shared" ref="X555" si="1186">SUMIF($D282:$D296,"*1_08*",X282:X296)</f>
        <v>0</v>
      </c>
      <c r="Y555" s="43">
        <f t="shared" ref="Y555" si="1187">SUMIF($D282:$D296,"*1_08*",Y282:Y296)</f>
        <v>0</v>
      </c>
      <c r="Z555" s="43">
        <f t="shared" ref="Z555" si="1188">SUMIF($D282:$D296,"*1_08*",Z282:Z296)</f>
        <v>0</v>
      </c>
      <c r="AA555" s="43">
        <f t="shared" ref="AA555" si="1189">SUMIF($D282:$D296,"*1_08*",AA282:AA296)</f>
        <v>0</v>
      </c>
      <c r="AB555" s="43">
        <f t="shared" ref="AB555:AC555" si="1190">SUMIF($D282:$D296,"*1_08*",AB282:AB296)</f>
        <v>0</v>
      </c>
      <c r="AC555" s="43">
        <f t="shared" si="1190"/>
        <v>0</v>
      </c>
      <c r="AD555" s="43"/>
      <c r="AE555" s="54"/>
    </row>
    <row r="556" spans="1:31" hidden="1" outlineLevel="2" x14ac:dyDescent="0.2">
      <c r="A556" s="48" t="str">
        <f ca="1">Language!A$392</f>
        <v xml:space="preserve">    остаточная стоимость</v>
      </c>
      <c r="C556" s="40" t="str">
        <f t="shared" ca="1" si="1145"/>
        <v>тыс. EUR</v>
      </c>
      <c r="D556" s="16" t="s">
        <v>2594</v>
      </c>
      <c r="F556" s="43">
        <f t="shared" ref="F556:T556" si="1191">SUMIF($D282:$D296,"*1_10*",F282:F296)</f>
        <v>0</v>
      </c>
      <c r="G556" s="43">
        <f t="shared" si="1191"/>
        <v>0</v>
      </c>
      <c r="H556" s="43">
        <f t="shared" si="1191"/>
        <v>0</v>
      </c>
      <c r="I556" s="43">
        <f t="shared" si="1191"/>
        <v>0</v>
      </c>
      <c r="J556" s="43">
        <f t="shared" si="1191"/>
        <v>200</v>
      </c>
      <c r="K556" s="43">
        <f t="shared" si="1191"/>
        <v>200</v>
      </c>
      <c r="L556" s="43">
        <f t="shared" si="1191"/>
        <v>200</v>
      </c>
      <c r="M556" s="43">
        <f t="shared" si="1191"/>
        <v>200</v>
      </c>
      <c r="N556" s="43">
        <f t="shared" si="1191"/>
        <v>200</v>
      </c>
      <c r="O556" s="43">
        <f t="shared" si="1191"/>
        <v>200</v>
      </c>
      <c r="P556" s="43">
        <f t="shared" si="1191"/>
        <v>200</v>
      </c>
      <c r="Q556" s="43">
        <f t="shared" si="1191"/>
        <v>200</v>
      </c>
      <c r="R556" s="43">
        <f t="shared" si="1191"/>
        <v>200</v>
      </c>
      <c r="S556" s="43">
        <f t="shared" si="1191"/>
        <v>200</v>
      </c>
      <c r="T556" s="43">
        <f t="shared" si="1191"/>
        <v>200</v>
      </c>
      <c r="U556" s="43">
        <f t="shared" ref="U556" si="1192">SUMIF($D282:$D296,"*1_10*",U282:U296)</f>
        <v>200</v>
      </c>
      <c r="V556" s="43">
        <f t="shared" ref="V556" si="1193">SUMIF($D282:$D296,"*1_10*",V282:V296)</f>
        <v>200</v>
      </c>
      <c r="W556" s="43">
        <f t="shared" ref="W556" si="1194">SUMIF($D282:$D296,"*1_10*",W282:W296)</f>
        <v>200</v>
      </c>
      <c r="X556" s="43">
        <f t="shared" ref="X556" si="1195">SUMIF($D282:$D296,"*1_10*",X282:X296)</f>
        <v>200</v>
      </c>
      <c r="Y556" s="43">
        <f t="shared" ref="Y556" si="1196">SUMIF($D282:$D296,"*1_10*",Y282:Y296)</f>
        <v>200</v>
      </c>
      <c r="Z556" s="43">
        <f t="shared" ref="Z556" si="1197">SUMIF($D282:$D296,"*1_10*",Z282:Z296)</f>
        <v>200</v>
      </c>
      <c r="AA556" s="43">
        <f t="shared" ref="AA556" si="1198">SUMIF($D282:$D296,"*1_10*",AA282:AA296)</f>
        <v>200</v>
      </c>
      <c r="AB556" s="43">
        <f t="shared" ref="AB556:AC556" si="1199">SUMIF($D282:$D296,"*1_10*",AB282:AB296)</f>
        <v>200</v>
      </c>
      <c r="AC556" s="43">
        <f t="shared" si="1199"/>
        <v>200</v>
      </c>
      <c r="AD556" s="43"/>
      <c r="AE556" s="54"/>
    </row>
    <row r="557" spans="1:31" hidden="1" outlineLevel="2" x14ac:dyDescent="0.2">
      <c r="A557" s="48" t="str">
        <f ca="1">Language!A$362</f>
        <v xml:space="preserve">    реализация актива (без НДС)</v>
      </c>
      <c r="C557" s="40" t="str">
        <f t="shared" ca="1" si="1145"/>
        <v>тыс. EUR</v>
      </c>
      <c r="F557" s="43">
        <f t="shared" ref="F557:T557" si="1200">SUMIF($D282:$D296,"*1_13*",F282:F296)</f>
        <v>0</v>
      </c>
      <c r="G557" s="43">
        <f t="shared" si="1200"/>
        <v>0</v>
      </c>
      <c r="H557" s="43">
        <f t="shared" si="1200"/>
        <v>0</v>
      </c>
      <c r="I557" s="43">
        <f t="shared" si="1200"/>
        <v>0</v>
      </c>
      <c r="J557" s="43">
        <f t="shared" si="1200"/>
        <v>0</v>
      </c>
      <c r="K557" s="43">
        <f t="shared" si="1200"/>
        <v>0</v>
      </c>
      <c r="L557" s="43">
        <f t="shared" si="1200"/>
        <v>0</v>
      </c>
      <c r="M557" s="43">
        <f t="shared" si="1200"/>
        <v>0</v>
      </c>
      <c r="N557" s="43">
        <f t="shared" si="1200"/>
        <v>0</v>
      </c>
      <c r="O557" s="43">
        <f t="shared" si="1200"/>
        <v>0</v>
      </c>
      <c r="P557" s="43">
        <f t="shared" si="1200"/>
        <v>0</v>
      </c>
      <c r="Q557" s="43">
        <f t="shared" si="1200"/>
        <v>0</v>
      </c>
      <c r="R557" s="43">
        <f t="shared" si="1200"/>
        <v>0</v>
      </c>
      <c r="S557" s="43">
        <f t="shared" si="1200"/>
        <v>0</v>
      </c>
      <c r="T557" s="43">
        <f t="shared" si="1200"/>
        <v>0</v>
      </c>
      <c r="U557" s="43">
        <f t="shared" ref="U557" si="1201">SUMIF($D282:$D296,"*1_13*",U282:U296)</f>
        <v>0</v>
      </c>
      <c r="V557" s="43">
        <f t="shared" ref="V557" si="1202">SUMIF($D282:$D296,"*1_13*",V282:V296)</f>
        <v>0</v>
      </c>
      <c r="W557" s="43">
        <f t="shared" ref="W557" si="1203">SUMIF($D282:$D296,"*1_13*",W282:W296)</f>
        <v>0</v>
      </c>
      <c r="X557" s="43">
        <f t="shared" ref="X557" si="1204">SUMIF($D282:$D296,"*1_13*",X282:X296)</f>
        <v>0</v>
      </c>
      <c r="Y557" s="43">
        <f t="shared" ref="Y557" si="1205">SUMIF($D282:$D296,"*1_13*",Y282:Y296)</f>
        <v>0</v>
      </c>
      <c r="Z557" s="43">
        <f t="shared" ref="Z557" si="1206">SUMIF($D282:$D296,"*1_13*",Z282:Z296)</f>
        <v>0</v>
      </c>
      <c r="AA557" s="43">
        <f t="shared" ref="AA557" si="1207">SUMIF($D282:$D296,"*1_13*",AA282:AA296)</f>
        <v>0</v>
      </c>
      <c r="AB557" s="43">
        <f t="shared" ref="AB557:AC557" si="1208">SUMIF($D282:$D296,"*1_13*",AB282:AB296)</f>
        <v>0</v>
      </c>
      <c r="AC557" s="43">
        <f t="shared" si="1208"/>
        <v>0</v>
      </c>
      <c r="AD557" s="43"/>
      <c r="AE557" s="54">
        <f>SUM(F557:AC557)</f>
        <v>0</v>
      </c>
    </row>
    <row r="558" spans="1:31" hidden="1" outlineLevel="2" x14ac:dyDescent="0.2">
      <c r="A558" s="48" t="str">
        <f ca="1">Language!A$363</f>
        <v xml:space="preserve">    прибыль/убыток от реализации актива</v>
      </c>
      <c r="C558" s="40" t="str">
        <f t="shared" ca="1" si="1145"/>
        <v>тыс. EUR</v>
      </c>
      <c r="F558" s="43">
        <f t="shared" ref="F558:T558" si="1209">SUMIF($D282:$D296,"*1_14*",F282:F296)</f>
        <v>0</v>
      </c>
      <c r="G558" s="43">
        <f t="shared" si="1209"/>
        <v>0</v>
      </c>
      <c r="H558" s="43">
        <f t="shared" si="1209"/>
        <v>0</v>
      </c>
      <c r="I558" s="43">
        <f t="shared" si="1209"/>
        <v>0</v>
      </c>
      <c r="J558" s="43">
        <f t="shared" si="1209"/>
        <v>0</v>
      </c>
      <c r="K558" s="43">
        <f t="shared" si="1209"/>
        <v>0</v>
      </c>
      <c r="L558" s="43">
        <f t="shared" si="1209"/>
        <v>0</v>
      </c>
      <c r="M558" s="43">
        <f t="shared" si="1209"/>
        <v>0</v>
      </c>
      <c r="N558" s="43">
        <f t="shared" si="1209"/>
        <v>0</v>
      </c>
      <c r="O558" s="43">
        <f t="shared" si="1209"/>
        <v>0</v>
      </c>
      <c r="P558" s="43">
        <f t="shared" si="1209"/>
        <v>0</v>
      </c>
      <c r="Q558" s="43">
        <f t="shared" si="1209"/>
        <v>0</v>
      </c>
      <c r="R558" s="43">
        <f t="shared" si="1209"/>
        <v>0</v>
      </c>
      <c r="S558" s="43">
        <f t="shared" si="1209"/>
        <v>0</v>
      </c>
      <c r="T558" s="43">
        <f t="shared" si="1209"/>
        <v>0</v>
      </c>
      <c r="U558" s="43">
        <f t="shared" ref="U558" si="1210">SUMIF($D282:$D296,"*1_14*",U282:U296)</f>
        <v>0</v>
      </c>
      <c r="V558" s="43">
        <f t="shared" ref="V558" si="1211">SUMIF($D282:$D296,"*1_14*",V282:V296)</f>
        <v>0</v>
      </c>
      <c r="W558" s="43">
        <f t="shared" ref="W558" si="1212">SUMIF($D282:$D296,"*1_14*",W282:W296)</f>
        <v>0</v>
      </c>
      <c r="X558" s="43">
        <f t="shared" ref="X558" si="1213">SUMIF($D282:$D296,"*1_14*",X282:X296)</f>
        <v>0</v>
      </c>
      <c r="Y558" s="43">
        <f t="shared" ref="Y558" si="1214">SUMIF($D282:$D296,"*1_14*",Y282:Y296)</f>
        <v>0</v>
      </c>
      <c r="Z558" s="43">
        <f t="shared" ref="Z558" si="1215">SUMIF($D282:$D296,"*1_14*",Z282:Z296)</f>
        <v>0</v>
      </c>
      <c r="AA558" s="43">
        <f t="shared" ref="AA558" si="1216">SUMIF($D282:$D296,"*1_14*",AA282:AA296)</f>
        <v>0</v>
      </c>
      <c r="AB558" s="43">
        <f t="shared" ref="AB558:AC558" si="1217">SUMIF($D282:$D296,"*1_14*",AB282:AB296)</f>
        <v>0</v>
      </c>
      <c r="AC558" s="43">
        <f t="shared" si="1217"/>
        <v>0</v>
      </c>
      <c r="AD558" s="43"/>
      <c r="AE558" s="54">
        <f>SUM(F558:AC558)</f>
        <v>0</v>
      </c>
    </row>
    <row r="559" spans="1:31" s="35" customFormat="1" outlineLevel="1" collapsed="1" x14ac:dyDescent="0.2">
      <c r="A559" s="35" t="str">
        <f ca="1">Language!A421</f>
        <v xml:space="preserve"> = Итого: Здания и сооружения</v>
      </c>
      <c r="C559" s="40" t="str">
        <f t="shared" ca="1" si="1145"/>
        <v>тыс. EUR</v>
      </c>
      <c r="F559" s="58">
        <f t="shared" ref="F559:T559" si="1218">SUMIF($D297:$D361,"*1_00*",F297:F361)+SUMIF($D297:$D361,"*2_00*",F297:F361)*F$88</f>
        <v>0</v>
      </c>
      <c r="G559" s="58">
        <f t="shared" si="1218"/>
        <v>0</v>
      </c>
      <c r="H559" s="58">
        <f t="shared" si="1218"/>
        <v>1519.56</v>
      </c>
      <c r="I559" s="58">
        <f t="shared" si="1218"/>
        <v>1519.56</v>
      </c>
      <c r="J559" s="58">
        <f t="shared" si="1218"/>
        <v>0</v>
      </c>
      <c r="K559" s="58">
        <f t="shared" si="1218"/>
        <v>0</v>
      </c>
      <c r="L559" s="58">
        <f t="shared" si="1218"/>
        <v>0</v>
      </c>
      <c r="M559" s="58">
        <f t="shared" si="1218"/>
        <v>0</v>
      </c>
      <c r="N559" s="58">
        <f t="shared" si="1218"/>
        <v>0</v>
      </c>
      <c r="O559" s="58">
        <f t="shared" si="1218"/>
        <v>0</v>
      </c>
      <c r="P559" s="58">
        <f t="shared" si="1218"/>
        <v>0</v>
      </c>
      <c r="Q559" s="58">
        <f t="shared" si="1218"/>
        <v>0</v>
      </c>
      <c r="R559" s="58">
        <f t="shared" si="1218"/>
        <v>0</v>
      </c>
      <c r="S559" s="58">
        <f t="shared" si="1218"/>
        <v>0</v>
      </c>
      <c r="T559" s="58">
        <f t="shared" si="1218"/>
        <v>0</v>
      </c>
      <c r="U559" s="58">
        <f t="shared" ref="U559" si="1219">SUMIF($D297:$D361,"*1_00*",U297:U361)+SUMIF($D297:$D361,"*2_00*",U297:U361)*U$88</f>
        <v>0</v>
      </c>
      <c r="V559" s="58">
        <f t="shared" ref="V559" si="1220">SUMIF($D297:$D361,"*1_00*",V297:V361)+SUMIF($D297:$D361,"*2_00*",V297:V361)*V$88</f>
        <v>0</v>
      </c>
      <c r="W559" s="58">
        <f t="shared" ref="W559" si="1221">SUMIF($D297:$D361,"*1_00*",W297:W361)+SUMIF($D297:$D361,"*2_00*",W297:W361)*W$88</f>
        <v>0</v>
      </c>
      <c r="X559" s="58">
        <f t="shared" ref="X559" si="1222">SUMIF($D297:$D361,"*1_00*",X297:X361)+SUMIF($D297:$D361,"*2_00*",X297:X361)*X$88</f>
        <v>0</v>
      </c>
      <c r="Y559" s="58">
        <f t="shared" ref="Y559" si="1223">SUMIF($D297:$D361,"*1_00*",Y297:Y361)+SUMIF($D297:$D361,"*2_00*",Y297:Y361)*Y$88</f>
        <v>0</v>
      </c>
      <c r="Z559" s="58">
        <f t="shared" ref="Z559" si="1224">SUMIF($D297:$D361,"*1_00*",Z297:Z361)+SUMIF($D297:$D361,"*2_00*",Z297:Z361)*Z$88</f>
        <v>0</v>
      </c>
      <c r="AA559" s="58">
        <f t="shared" ref="AA559" si="1225">SUMIF($D297:$D361,"*1_00*",AA297:AA361)+SUMIF($D297:$D361,"*2_00*",AA297:AA361)*AA$88</f>
        <v>0</v>
      </c>
      <c r="AB559" s="58">
        <f t="shared" ref="AB559:AC559" si="1226">SUMIF($D297:$D361,"*1_00*",AB297:AB361)+SUMIF($D297:$D361,"*2_00*",AB297:AB361)*AB$88</f>
        <v>0</v>
      </c>
      <c r="AC559" s="58">
        <f t="shared" si="1226"/>
        <v>0</v>
      </c>
      <c r="AD559" s="58"/>
      <c r="AE559" s="57">
        <f>SUM(F559:AC559)</f>
        <v>3039.12</v>
      </c>
    </row>
    <row r="560" spans="1:31" hidden="1" outlineLevel="2" x14ac:dyDescent="0.2">
      <c r="A560" s="48" t="str">
        <f ca="1">Language!A$386</f>
        <v xml:space="preserve">    сумма платежей без НДС</v>
      </c>
      <c r="C560" s="40" t="str">
        <f t="shared" ca="1" si="1145"/>
        <v>тыс. EUR</v>
      </c>
      <c r="F560" s="43">
        <f t="shared" ref="F560:T560" si="1227">SUMIF($D297:$D361,"*1_01*",F297:F361)</f>
        <v>0</v>
      </c>
      <c r="G560" s="43">
        <f t="shared" si="1227"/>
        <v>0</v>
      </c>
      <c r="H560" s="43">
        <f t="shared" si="1227"/>
        <v>1235.4146341463415</v>
      </c>
      <c r="I560" s="43">
        <f t="shared" si="1227"/>
        <v>1235.4146341463415</v>
      </c>
      <c r="J560" s="43">
        <f t="shared" si="1227"/>
        <v>0</v>
      </c>
      <c r="K560" s="43">
        <f t="shared" si="1227"/>
        <v>0</v>
      </c>
      <c r="L560" s="43">
        <f t="shared" si="1227"/>
        <v>0</v>
      </c>
      <c r="M560" s="43">
        <f t="shared" si="1227"/>
        <v>0</v>
      </c>
      <c r="N560" s="43">
        <f t="shared" si="1227"/>
        <v>0</v>
      </c>
      <c r="O560" s="43">
        <f t="shared" si="1227"/>
        <v>0</v>
      </c>
      <c r="P560" s="43">
        <f t="shared" si="1227"/>
        <v>0</v>
      </c>
      <c r="Q560" s="43">
        <f t="shared" si="1227"/>
        <v>0</v>
      </c>
      <c r="R560" s="43">
        <f t="shared" si="1227"/>
        <v>0</v>
      </c>
      <c r="S560" s="43">
        <f t="shared" si="1227"/>
        <v>0</v>
      </c>
      <c r="T560" s="43">
        <f t="shared" si="1227"/>
        <v>0</v>
      </c>
      <c r="U560" s="43">
        <f t="shared" ref="U560" si="1228">SUMIF($D297:$D361,"*1_01*",U297:U361)</f>
        <v>0</v>
      </c>
      <c r="V560" s="43">
        <f t="shared" ref="V560" si="1229">SUMIF($D297:$D361,"*1_01*",V297:V361)</f>
        <v>0</v>
      </c>
      <c r="W560" s="43">
        <f t="shared" ref="W560" si="1230">SUMIF($D297:$D361,"*1_01*",W297:W361)</f>
        <v>0</v>
      </c>
      <c r="X560" s="43">
        <f t="shared" ref="X560" si="1231">SUMIF($D297:$D361,"*1_01*",X297:X361)</f>
        <v>0</v>
      </c>
      <c r="Y560" s="43">
        <f t="shared" ref="Y560" si="1232">SUMIF($D297:$D361,"*1_01*",Y297:Y361)</f>
        <v>0</v>
      </c>
      <c r="Z560" s="43">
        <f t="shared" ref="Z560" si="1233">SUMIF($D297:$D361,"*1_01*",Z297:Z361)</f>
        <v>0</v>
      </c>
      <c r="AA560" s="43">
        <f t="shared" ref="AA560" si="1234">SUMIF($D297:$D361,"*1_01*",AA297:AA361)</f>
        <v>0</v>
      </c>
      <c r="AB560" s="43">
        <f t="shared" ref="AB560:AC560" si="1235">SUMIF($D297:$D361,"*1_01*",AB297:AB361)</f>
        <v>0</v>
      </c>
      <c r="AC560" s="43">
        <f t="shared" si="1235"/>
        <v>0</v>
      </c>
      <c r="AD560" s="43"/>
      <c r="AE560" s="54">
        <f>SUM(F560:AC560)</f>
        <v>2470.8292682926831</v>
      </c>
    </row>
    <row r="561" spans="1:31" hidden="1" outlineLevel="2" x14ac:dyDescent="0.2">
      <c r="A561" s="48" t="str">
        <f ca="1">Language!A$389</f>
        <v xml:space="preserve">    полная балансовая стоимость</v>
      </c>
      <c r="C561" s="40" t="str">
        <f t="shared" ca="1" si="1145"/>
        <v>тыс. EUR</v>
      </c>
      <c r="D561" s="16" t="s">
        <v>2594</v>
      </c>
      <c r="F561" s="43">
        <f t="shared" ref="F561:T561" ca="1" si="1236">SUMIF($D297:$D361,"*1_06*",F297:F361)</f>
        <v>0</v>
      </c>
      <c r="G561" s="43">
        <f t="shared" ca="1" si="1236"/>
        <v>0</v>
      </c>
      <c r="H561" s="43">
        <f t="shared" ca="1" si="1236"/>
        <v>0</v>
      </c>
      <c r="I561" s="43">
        <f t="shared" ca="1" si="1236"/>
        <v>0</v>
      </c>
      <c r="J561" s="43">
        <f t="shared" ca="1" si="1236"/>
        <v>2470.8292682926831</v>
      </c>
      <c r="K561" s="43">
        <f t="shared" ca="1" si="1236"/>
        <v>2470.8292682926831</v>
      </c>
      <c r="L561" s="43">
        <f t="shared" ca="1" si="1236"/>
        <v>2470.8292682926831</v>
      </c>
      <c r="M561" s="43">
        <f t="shared" ca="1" si="1236"/>
        <v>2470.8292682926831</v>
      </c>
      <c r="N561" s="43">
        <f t="shared" ca="1" si="1236"/>
        <v>2470.8292682926831</v>
      </c>
      <c r="O561" s="43">
        <f t="shared" ca="1" si="1236"/>
        <v>2470.8292682926831</v>
      </c>
      <c r="P561" s="43">
        <f t="shared" ca="1" si="1236"/>
        <v>2470.8292682926831</v>
      </c>
      <c r="Q561" s="43">
        <f t="shared" ca="1" si="1236"/>
        <v>2470.8292682926831</v>
      </c>
      <c r="R561" s="43">
        <f t="shared" ca="1" si="1236"/>
        <v>2470.8292682926831</v>
      </c>
      <c r="S561" s="43">
        <f t="shared" ca="1" si="1236"/>
        <v>2470.8292682926831</v>
      </c>
      <c r="T561" s="43">
        <f t="shared" ca="1" si="1236"/>
        <v>2470.8292682926831</v>
      </c>
      <c r="U561" s="43">
        <f t="shared" ref="U561" ca="1" si="1237">SUMIF($D297:$D361,"*1_06*",U297:U361)</f>
        <v>2470.8292682926831</v>
      </c>
      <c r="V561" s="43">
        <f t="shared" ref="V561" ca="1" si="1238">SUMIF($D297:$D361,"*1_06*",V297:V361)</f>
        <v>2470.8292682926831</v>
      </c>
      <c r="W561" s="43">
        <f t="shared" ref="W561" ca="1" si="1239">SUMIF($D297:$D361,"*1_06*",W297:W361)</f>
        <v>2470.8292682926831</v>
      </c>
      <c r="X561" s="43">
        <f t="shared" ref="X561" ca="1" si="1240">SUMIF($D297:$D361,"*1_06*",X297:X361)</f>
        <v>2470.8292682926831</v>
      </c>
      <c r="Y561" s="43">
        <f t="shared" ref="Y561" ca="1" si="1241">SUMIF($D297:$D361,"*1_06*",Y297:Y361)</f>
        <v>2470.8292682926831</v>
      </c>
      <c r="Z561" s="43">
        <f t="shared" ref="Z561" ca="1" si="1242">SUMIF($D297:$D361,"*1_06*",Z297:Z361)</f>
        <v>2470.8292682926831</v>
      </c>
      <c r="AA561" s="43">
        <f t="shared" ref="AA561" ca="1" si="1243">SUMIF($D297:$D361,"*1_06*",AA297:AA361)</f>
        <v>2470.8292682926831</v>
      </c>
      <c r="AB561" s="43">
        <f t="shared" ref="AB561:AC561" ca="1" si="1244">SUMIF($D297:$D361,"*1_06*",AB297:AB361)</f>
        <v>2470.8292682926831</v>
      </c>
      <c r="AC561" s="43">
        <f t="shared" ca="1" si="1244"/>
        <v>2470.8292682926831</v>
      </c>
      <c r="AD561" s="43"/>
      <c r="AE561" s="54"/>
    </row>
    <row r="562" spans="1:31" hidden="1" outlineLevel="2" x14ac:dyDescent="0.2">
      <c r="A562" s="48" t="str">
        <f ca="1">Language!A$390</f>
        <v xml:space="preserve">    незавершенные инвестиции</v>
      </c>
      <c r="C562" s="40" t="str">
        <f t="shared" ca="1" si="1145"/>
        <v>тыс. EUR</v>
      </c>
      <c r="D562" s="16" t="s">
        <v>2594</v>
      </c>
      <c r="F562" s="43">
        <f t="shared" ref="F562:T562" ca="1" si="1245">SUMIF($D297:$D361,"*1_07*",F297:F361)</f>
        <v>0</v>
      </c>
      <c r="G562" s="43">
        <f t="shared" ca="1" si="1245"/>
        <v>0</v>
      </c>
      <c r="H562" s="43">
        <f t="shared" ca="1" si="1245"/>
        <v>1235.4146341463415</v>
      </c>
      <c r="I562" s="43">
        <f t="shared" ca="1" si="1245"/>
        <v>2470.8292682926831</v>
      </c>
      <c r="J562" s="43">
        <f t="shared" ca="1" si="1245"/>
        <v>0</v>
      </c>
      <c r="K562" s="43">
        <f t="shared" ca="1" si="1245"/>
        <v>0</v>
      </c>
      <c r="L562" s="43">
        <f t="shared" ca="1" si="1245"/>
        <v>0</v>
      </c>
      <c r="M562" s="43">
        <f t="shared" ca="1" si="1245"/>
        <v>0</v>
      </c>
      <c r="N562" s="43">
        <f t="shared" ca="1" si="1245"/>
        <v>0</v>
      </c>
      <c r="O562" s="43">
        <f t="shared" ca="1" si="1245"/>
        <v>0</v>
      </c>
      <c r="P562" s="43">
        <f t="shared" ca="1" si="1245"/>
        <v>0</v>
      </c>
      <c r="Q562" s="43">
        <f t="shared" ca="1" si="1245"/>
        <v>0</v>
      </c>
      <c r="R562" s="43">
        <f t="shared" ca="1" si="1245"/>
        <v>0</v>
      </c>
      <c r="S562" s="43">
        <f t="shared" ca="1" si="1245"/>
        <v>0</v>
      </c>
      <c r="T562" s="43">
        <f t="shared" ca="1" si="1245"/>
        <v>0</v>
      </c>
      <c r="U562" s="43">
        <f t="shared" ref="U562" ca="1" si="1246">SUMIF($D297:$D361,"*1_07*",U297:U361)</f>
        <v>0</v>
      </c>
      <c r="V562" s="43">
        <f t="shared" ref="V562" ca="1" si="1247">SUMIF($D297:$D361,"*1_07*",V297:V361)</f>
        <v>0</v>
      </c>
      <c r="W562" s="43">
        <f t="shared" ref="W562" ca="1" si="1248">SUMIF($D297:$D361,"*1_07*",W297:W361)</f>
        <v>0</v>
      </c>
      <c r="X562" s="43">
        <f t="shared" ref="X562" ca="1" si="1249">SUMIF($D297:$D361,"*1_07*",X297:X361)</f>
        <v>0</v>
      </c>
      <c r="Y562" s="43">
        <f t="shared" ref="Y562" ca="1" si="1250">SUMIF($D297:$D361,"*1_07*",Y297:Y361)</f>
        <v>0</v>
      </c>
      <c r="Z562" s="43">
        <f t="shared" ref="Z562" ca="1" si="1251">SUMIF($D297:$D361,"*1_07*",Z297:Z361)</f>
        <v>0</v>
      </c>
      <c r="AA562" s="43">
        <f t="shared" ref="AA562" ca="1" si="1252">SUMIF($D297:$D361,"*1_07*",AA297:AA361)</f>
        <v>0</v>
      </c>
      <c r="AB562" s="43">
        <f t="shared" ref="AB562:AC562" ca="1" si="1253">SUMIF($D297:$D361,"*1_07*",AB297:AB361)</f>
        <v>0</v>
      </c>
      <c r="AC562" s="43">
        <f t="shared" ca="1" si="1253"/>
        <v>0</v>
      </c>
      <c r="AD562" s="43"/>
      <c r="AE562" s="54"/>
    </row>
    <row r="563" spans="1:31" hidden="1" outlineLevel="2" x14ac:dyDescent="0.2">
      <c r="A563" s="48" t="str">
        <f ca="1">Language!A$422</f>
        <v xml:space="preserve">    авансовая оплата</v>
      </c>
      <c r="C563" s="40" t="str">
        <f t="shared" ca="1" si="1145"/>
        <v>тыс. EUR</v>
      </c>
      <c r="D563" s="16" t="s">
        <v>2594</v>
      </c>
      <c r="F563" s="43">
        <f>0</f>
        <v>0</v>
      </c>
      <c r="G563" s="43">
        <f>0</f>
        <v>0</v>
      </c>
      <c r="H563" s="43">
        <f>0</f>
        <v>0</v>
      </c>
      <c r="I563" s="43">
        <f>0</f>
        <v>0</v>
      </c>
      <c r="J563" s="43">
        <f>0</f>
        <v>0</v>
      </c>
      <c r="K563" s="43">
        <f>0</f>
        <v>0</v>
      </c>
      <c r="L563" s="43">
        <f>0</f>
        <v>0</v>
      </c>
      <c r="M563" s="43">
        <f>0</f>
        <v>0</v>
      </c>
      <c r="N563" s="43">
        <f>0</f>
        <v>0</v>
      </c>
      <c r="O563" s="43">
        <f>0</f>
        <v>0</v>
      </c>
      <c r="P563" s="43">
        <f>0</f>
        <v>0</v>
      </c>
      <c r="Q563" s="43">
        <f>0</f>
        <v>0</v>
      </c>
      <c r="R563" s="43">
        <f>0</f>
        <v>0</v>
      </c>
      <c r="S563" s="43">
        <f>0</f>
        <v>0</v>
      </c>
      <c r="T563" s="43">
        <f>0</f>
        <v>0</v>
      </c>
      <c r="U563" s="43">
        <f>0</f>
        <v>0</v>
      </c>
      <c r="V563" s="43">
        <f>0</f>
        <v>0</v>
      </c>
      <c r="W563" s="43">
        <f>0</f>
        <v>0</v>
      </c>
      <c r="X563" s="43">
        <f>0</f>
        <v>0</v>
      </c>
      <c r="Y563" s="43">
        <f>0</f>
        <v>0</v>
      </c>
      <c r="Z563" s="43">
        <f>0</f>
        <v>0</v>
      </c>
      <c r="AA563" s="43">
        <f>0</f>
        <v>0</v>
      </c>
      <c r="AB563" s="43">
        <f>0</f>
        <v>0</v>
      </c>
      <c r="AC563" s="43">
        <f>0</f>
        <v>0</v>
      </c>
      <c r="AD563" s="43"/>
      <c r="AE563" s="54"/>
    </row>
    <row r="564" spans="1:31" hidden="1" outlineLevel="2" x14ac:dyDescent="0.2">
      <c r="A564" s="48" t="str">
        <f ca="1">Language!A$391</f>
        <v xml:space="preserve">    кредиторская задолженность</v>
      </c>
      <c r="C564" s="40" t="str">
        <f t="shared" ca="1" si="1145"/>
        <v>тыс. EUR</v>
      </c>
      <c r="D564" s="16" t="s">
        <v>2594</v>
      </c>
      <c r="F564" s="43">
        <f t="shared" ref="F564:T564" ca="1" si="1254">SUMIF($D297:$D361,"*1_08*",F297:F361)</f>
        <v>0</v>
      </c>
      <c r="G564" s="43">
        <f t="shared" ca="1" si="1254"/>
        <v>0</v>
      </c>
      <c r="H564" s="43">
        <f t="shared" ca="1" si="1254"/>
        <v>0</v>
      </c>
      <c r="I564" s="43">
        <f t="shared" ca="1" si="1254"/>
        <v>0</v>
      </c>
      <c r="J564" s="43">
        <f t="shared" ca="1" si="1254"/>
        <v>0</v>
      </c>
      <c r="K564" s="43">
        <f t="shared" ca="1" si="1254"/>
        <v>0</v>
      </c>
      <c r="L564" s="43">
        <f t="shared" ca="1" si="1254"/>
        <v>0</v>
      </c>
      <c r="M564" s="43">
        <f t="shared" ca="1" si="1254"/>
        <v>0</v>
      </c>
      <c r="N564" s="43">
        <f t="shared" ca="1" si="1254"/>
        <v>0</v>
      </c>
      <c r="O564" s="43">
        <f t="shared" ca="1" si="1254"/>
        <v>0</v>
      </c>
      <c r="P564" s="43">
        <f t="shared" ca="1" si="1254"/>
        <v>0</v>
      </c>
      <c r="Q564" s="43">
        <f t="shared" ca="1" si="1254"/>
        <v>0</v>
      </c>
      <c r="R564" s="43">
        <f t="shared" ca="1" si="1254"/>
        <v>0</v>
      </c>
      <c r="S564" s="43">
        <f t="shared" ca="1" si="1254"/>
        <v>0</v>
      </c>
      <c r="T564" s="43">
        <f t="shared" ca="1" si="1254"/>
        <v>0</v>
      </c>
      <c r="U564" s="43">
        <f t="shared" ref="U564" ca="1" si="1255">SUMIF($D297:$D361,"*1_08*",U297:U361)</f>
        <v>0</v>
      </c>
      <c r="V564" s="43">
        <f t="shared" ref="V564" ca="1" si="1256">SUMIF($D297:$D361,"*1_08*",V297:V361)</f>
        <v>0</v>
      </c>
      <c r="W564" s="43">
        <f t="shared" ref="W564" ca="1" si="1257">SUMIF($D297:$D361,"*1_08*",W297:W361)</f>
        <v>0</v>
      </c>
      <c r="X564" s="43">
        <f t="shared" ref="X564" ca="1" si="1258">SUMIF($D297:$D361,"*1_08*",X297:X361)</f>
        <v>0</v>
      </c>
      <c r="Y564" s="43">
        <f t="shared" ref="Y564" ca="1" si="1259">SUMIF($D297:$D361,"*1_08*",Y297:Y361)</f>
        <v>0</v>
      </c>
      <c r="Z564" s="43">
        <f t="shared" ref="Z564" ca="1" si="1260">SUMIF($D297:$D361,"*1_08*",Z297:Z361)</f>
        <v>0</v>
      </c>
      <c r="AA564" s="43">
        <f t="shared" ref="AA564" ca="1" si="1261">SUMIF($D297:$D361,"*1_08*",AA297:AA361)</f>
        <v>0</v>
      </c>
      <c r="AB564" s="43">
        <f t="shared" ref="AB564:AC564" ca="1" si="1262">SUMIF($D297:$D361,"*1_08*",AB297:AB361)</f>
        <v>0</v>
      </c>
      <c r="AC564" s="43">
        <f t="shared" ca="1" si="1262"/>
        <v>0</v>
      </c>
      <c r="AD564" s="43"/>
      <c r="AE564" s="54"/>
    </row>
    <row r="565" spans="1:31" hidden="1" outlineLevel="2" x14ac:dyDescent="0.2">
      <c r="A565" s="48" t="str">
        <f ca="1">Language!A$423</f>
        <v xml:space="preserve">    амортизация</v>
      </c>
      <c r="C565" s="40" t="str">
        <f t="shared" ca="1" si="1145"/>
        <v>тыс. EUR</v>
      </c>
      <c r="F565" s="43">
        <f t="shared" ref="F565:T565" ca="1" si="1263">SUMIF($D297:$D361,"*1_02*",F297:F361)+SUMIF($D297:$D361,"*1_03*",F297:F361)</f>
        <v>0</v>
      </c>
      <c r="G565" s="43">
        <f t="shared" ca="1" si="1263"/>
        <v>0</v>
      </c>
      <c r="H565" s="43">
        <f t="shared" ca="1" si="1263"/>
        <v>0</v>
      </c>
      <c r="I565" s="43">
        <f t="shared" ca="1" si="1263"/>
        <v>0</v>
      </c>
      <c r="J565" s="43">
        <f t="shared" ca="1" si="1263"/>
        <v>30.885365853658541</v>
      </c>
      <c r="K565" s="43">
        <f t="shared" ca="1" si="1263"/>
        <v>30.885365853658541</v>
      </c>
      <c r="L565" s="43">
        <f t="shared" ca="1" si="1263"/>
        <v>30.885365853658541</v>
      </c>
      <c r="M565" s="43">
        <f t="shared" ca="1" si="1263"/>
        <v>30.885365853658541</v>
      </c>
      <c r="N565" s="43">
        <f t="shared" ca="1" si="1263"/>
        <v>30.885365853658541</v>
      </c>
      <c r="O565" s="43">
        <f t="shared" ca="1" si="1263"/>
        <v>30.885365853658541</v>
      </c>
      <c r="P565" s="43">
        <f t="shared" ca="1" si="1263"/>
        <v>30.885365853658541</v>
      </c>
      <c r="Q565" s="43">
        <f t="shared" ca="1" si="1263"/>
        <v>30.885365853658541</v>
      </c>
      <c r="R565" s="43">
        <f t="shared" ca="1" si="1263"/>
        <v>30.885365853658541</v>
      </c>
      <c r="S565" s="43">
        <f t="shared" ca="1" si="1263"/>
        <v>30.885365853658541</v>
      </c>
      <c r="T565" s="43">
        <f t="shared" ca="1" si="1263"/>
        <v>30.885365853658541</v>
      </c>
      <c r="U565" s="43">
        <f t="shared" ref="U565" ca="1" si="1264">SUMIF($D297:$D361,"*1_02*",U297:U361)+SUMIF($D297:$D361,"*1_03*",U297:U361)</f>
        <v>30.885365853658541</v>
      </c>
      <c r="V565" s="43">
        <f t="shared" ref="V565" ca="1" si="1265">SUMIF($D297:$D361,"*1_02*",V297:V361)+SUMIF($D297:$D361,"*1_03*",V297:V361)</f>
        <v>30.885365853658541</v>
      </c>
      <c r="W565" s="43">
        <f t="shared" ref="W565" ca="1" si="1266">SUMIF($D297:$D361,"*1_02*",W297:W361)+SUMIF($D297:$D361,"*1_03*",W297:W361)</f>
        <v>30.885365853658541</v>
      </c>
      <c r="X565" s="43">
        <f t="shared" ref="X565" ca="1" si="1267">SUMIF($D297:$D361,"*1_02*",X297:X361)+SUMIF($D297:$D361,"*1_03*",X297:X361)</f>
        <v>30.885365853658541</v>
      </c>
      <c r="Y565" s="43">
        <f t="shared" ref="Y565" ca="1" si="1268">SUMIF($D297:$D361,"*1_02*",Y297:Y361)+SUMIF($D297:$D361,"*1_03*",Y297:Y361)</f>
        <v>30.885365853658541</v>
      </c>
      <c r="Z565" s="43">
        <f t="shared" ref="Z565" ca="1" si="1269">SUMIF($D297:$D361,"*1_02*",Z297:Z361)+SUMIF($D297:$D361,"*1_03*",Z297:Z361)</f>
        <v>30.885365853658541</v>
      </c>
      <c r="AA565" s="43">
        <f t="shared" ref="AA565" ca="1" si="1270">SUMIF($D297:$D361,"*1_02*",AA297:AA361)+SUMIF($D297:$D361,"*1_03*",AA297:AA361)</f>
        <v>30.885365853658541</v>
      </c>
      <c r="AB565" s="43">
        <f t="shared" ref="AB565:AC565" ca="1" si="1271">SUMIF($D297:$D361,"*1_02*",AB297:AB361)+SUMIF($D297:$D361,"*1_03*",AB297:AB361)</f>
        <v>30.885365853658541</v>
      </c>
      <c r="AC565" s="43">
        <f t="shared" ca="1" si="1271"/>
        <v>30.885365853658541</v>
      </c>
      <c r="AD565" s="43"/>
      <c r="AE565" s="54">
        <f ca="1">SUM(F565:AC565)</f>
        <v>617.70731707317066</v>
      </c>
    </row>
    <row r="566" spans="1:31" hidden="1" outlineLevel="2" x14ac:dyDescent="0.2">
      <c r="A566" s="48" t="str">
        <f ca="1">Language!A$392</f>
        <v xml:space="preserve">    остаточная стоимость</v>
      </c>
      <c r="C566" s="40" t="str">
        <f t="shared" ca="1" si="1145"/>
        <v>тыс. EUR</v>
      </c>
      <c r="D566" s="16" t="s">
        <v>2594</v>
      </c>
      <c r="F566" s="43">
        <f t="shared" ref="F566:T566" ca="1" si="1272">SUMIF($D297:$D361,"*1_10*",F297:F361)</f>
        <v>0</v>
      </c>
      <c r="G566" s="43">
        <f t="shared" ca="1" si="1272"/>
        <v>0</v>
      </c>
      <c r="H566" s="43">
        <f t="shared" ca="1" si="1272"/>
        <v>0</v>
      </c>
      <c r="I566" s="43">
        <f t="shared" ca="1" si="1272"/>
        <v>0</v>
      </c>
      <c r="J566" s="43">
        <f t="shared" ca="1" si="1272"/>
        <v>2439.9439024390244</v>
      </c>
      <c r="K566" s="43">
        <f t="shared" ca="1" si="1272"/>
        <v>2409.0585365853658</v>
      </c>
      <c r="L566" s="43">
        <f t="shared" ca="1" si="1272"/>
        <v>2378.1731707317076</v>
      </c>
      <c r="M566" s="43">
        <f t="shared" ca="1" si="1272"/>
        <v>2347.287804878049</v>
      </c>
      <c r="N566" s="43">
        <f t="shared" ca="1" si="1272"/>
        <v>2316.4024390243903</v>
      </c>
      <c r="O566" s="43">
        <f t="shared" ca="1" si="1272"/>
        <v>2285.5170731707317</v>
      </c>
      <c r="P566" s="43">
        <f t="shared" ca="1" si="1272"/>
        <v>2254.6317073170735</v>
      </c>
      <c r="Q566" s="43">
        <f t="shared" ca="1" si="1272"/>
        <v>2223.7463414634149</v>
      </c>
      <c r="R566" s="43">
        <f t="shared" ca="1" si="1272"/>
        <v>2192.8609756097562</v>
      </c>
      <c r="S566" s="43">
        <f t="shared" ca="1" si="1272"/>
        <v>2161.9756097560976</v>
      </c>
      <c r="T566" s="43">
        <f t="shared" ca="1" si="1272"/>
        <v>2131.0902439024394</v>
      </c>
      <c r="U566" s="43">
        <f t="shared" ref="U566" ca="1" si="1273">SUMIF($D297:$D361,"*1_10*",U297:U361)</f>
        <v>2100.2048780487808</v>
      </c>
      <c r="V566" s="43">
        <f t="shared" ref="V566" ca="1" si="1274">SUMIF($D297:$D361,"*1_10*",V297:V361)</f>
        <v>2069.3195121951221</v>
      </c>
      <c r="W566" s="43">
        <f t="shared" ref="W566" ca="1" si="1275">SUMIF($D297:$D361,"*1_10*",W297:W361)</f>
        <v>2038.4341463414637</v>
      </c>
      <c r="X566" s="43">
        <f t="shared" ref="X566" ca="1" si="1276">SUMIF($D297:$D361,"*1_10*",X297:X361)</f>
        <v>2007.5487804878051</v>
      </c>
      <c r="Y566" s="43">
        <f t="shared" ref="Y566" ca="1" si="1277">SUMIF($D297:$D361,"*1_10*",Y297:Y361)</f>
        <v>1976.6634146341466</v>
      </c>
      <c r="Z566" s="43">
        <f t="shared" ref="Z566" ca="1" si="1278">SUMIF($D297:$D361,"*1_10*",Z297:Z361)</f>
        <v>1945.778048780488</v>
      </c>
      <c r="AA566" s="43">
        <f t="shared" ref="AA566" ca="1" si="1279">SUMIF($D297:$D361,"*1_10*",AA297:AA361)</f>
        <v>1914.8926829268294</v>
      </c>
      <c r="AB566" s="43">
        <f t="shared" ref="AB566:AC566" ca="1" si="1280">SUMIF($D297:$D361,"*1_10*",AB297:AB361)</f>
        <v>1884.007317073171</v>
      </c>
      <c r="AC566" s="43">
        <f t="shared" ca="1" si="1280"/>
        <v>1853.1219512195125</v>
      </c>
      <c r="AD566" s="43"/>
      <c r="AE566" s="54"/>
    </row>
    <row r="567" spans="1:31" hidden="1" outlineLevel="2" x14ac:dyDescent="0.2">
      <c r="A567" s="48" t="str">
        <f ca="1">Language!A$396</f>
        <v xml:space="preserve">    выплаченный НДС</v>
      </c>
      <c r="C567" s="40" t="str">
        <f t="shared" ca="1" si="1145"/>
        <v>тыс. EUR</v>
      </c>
      <c r="F567" s="43">
        <f t="shared" ref="F567:T567" si="1281">SUMIF($D297:$D361,"*1_04*",F297:F361)</f>
        <v>0</v>
      </c>
      <c r="G567" s="43">
        <f t="shared" si="1281"/>
        <v>0</v>
      </c>
      <c r="H567" s="43">
        <f t="shared" si="1281"/>
        <v>284.14536585365857</v>
      </c>
      <c r="I567" s="43">
        <f t="shared" si="1281"/>
        <v>284.14536585365857</v>
      </c>
      <c r="J567" s="43">
        <f t="shared" si="1281"/>
        <v>0</v>
      </c>
      <c r="K567" s="43">
        <f t="shared" si="1281"/>
        <v>0</v>
      </c>
      <c r="L567" s="43">
        <f t="shared" si="1281"/>
        <v>0</v>
      </c>
      <c r="M567" s="43">
        <f t="shared" si="1281"/>
        <v>0</v>
      </c>
      <c r="N567" s="43">
        <f t="shared" si="1281"/>
        <v>0</v>
      </c>
      <c r="O567" s="43">
        <f t="shared" si="1281"/>
        <v>0</v>
      </c>
      <c r="P567" s="43">
        <f t="shared" si="1281"/>
        <v>0</v>
      </c>
      <c r="Q567" s="43">
        <f t="shared" si="1281"/>
        <v>0</v>
      </c>
      <c r="R567" s="43">
        <f t="shared" si="1281"/>
        <v>0</v>
      </c>
      <c r="S567" s="43">
        <f t="shared" si="1281"/>
        <v>0</v>
      </c>
      <c r="T567" s="43">
        <f t="shared" si="1281"/>
        <v>0</v>
      </c>
      <c r="U567" s="43">
        <f t="shared" ref="U567" si="1282">SUMIF($D297:$D361,"*1_04*",U297:U361)</f>
        <v>0</v>
      </c>
      <c r="V567" s="43">
        <f t="shared" ref="V567" si="1283">SUMIF($D297:$D361,"*1_04*",V297:V361)</f>
        <v>0</v>
      </c>
      <c r="W567" s="43">
        <f t="shared" ref="W567" si="1284">SUMIF($D297:$D361,"*1_04*",W297:W361)</f>
        <v>0</v>
      </c>
      <c r="X567" s="43">
        <f t="shared" ref="X567" si="1285">SUMIF($D297:$D361,"*1_04*",X297:X361)</f>
        <v>0</v>
      </c>
      <c r="Y567" s="43">
        <f t="shared" ref="Y567" si="1286">SUMIF($D297:$D361,"*1_04*",Y297:Y361)</f>
        <v>0</v>
      </c>
      <c r="Z567" s="43">
        <f t="shared" ref="Z567" si="1287">SUMIF($D297:$D361,"*1_04*",Z297:Z361)</f>
        <v>0</v>
      </c>
      <c r="AA567" s="43">
        <f t="shared" ref="AA567" si="1288">SUMIF($D297:$D361,"*1_04*",AA297:AA361)</f>
        <v>0</v>
      </c>
      <c r="AB567" s="43">
        <f t="shared" ref="AB567:AC567" si="1289">SUMIF($D297:$D361,"*1_04*",AB297:AB361)</f>
        <v>0</v>
      </c>
      <c r="AC567" s="43">
        <f t="shared" si="1289"/>
        <v>0</v>
      </c>
      <c r="AD567" s="43"/>
      <c r="AE567" s="54">
        <f t="shared" ref="AE567:AE574" si="1290">SUM(F567:AC567)</f>
        <v>568.29073170731715</v>
      </c>
    </row>
    <row r="568" spans="1:31" hidden="1" outlineLevel="2" x14ac:dyDescent="0.2">
      <c r="A568" s="48" t="str">
        <f ca="1">Language!A$400</f>
        <v xml:space="preserve">    зачет НДС</v>
      </c>
      <c r="C568" s="40" t="str">
        <f t="shared" ca="1" si="1145"/>
        <v>тыс. EUR</v>
      </c>
      <c r="F568" s="43">
        <f t="shared" ref="F568:T568" ca="1" si="1291">SUMIF($D297:$D361,"*1_12*",F297:F361)</f>
        <v>0</v>
      </c>
      <c r="G568" s="43">
        <f t="shared" ca="1" si="1291"/>
        <v>0</v>
      </c>
      <c r="H568" s="43">
        <f t="shared" ca="1" si="1291"/>
        <v>0</v>
      </c>
      <c r="I568" s="43">
        <f t="shared" ca="1" si="1291"/>
        <v>0</v>
      </c>
      <c r="J568" s="43">
        <f t="shared" ca="1" si="1291"/>
        <v>568.29073170731715</v>
      </c>
      <c r="K568" s="43">
        <f t="shared" ca="1" si="1291"/>
        <v>0</v>
      </c>
      <c r="L568" s="43">
        <f t="shared" ca="1" si="1291"/>
        <v>0</v>
      </c>
      <c r="M568" s="43">
        <f t="shared" ca="1" si="1291"/>
        <v>0</v>
      </c>
      <c r="N568" s="43">
        <f t="shared" ca="1" si="1291"/>
        <v>0</v>
      </c>
      <c r="O568" s="43">
        <f t="shared" ca="1" si="1291"/>
        <v>0</v>
      </c>
      <c r="P568" s="43">
        <f t="shared" ca="1" si="1291"/>
        <v>0</v>
      </c>
      <c r="Q568" s="43">
        <f t="shared" ca="1" si="1291"/>
        <v>0</v>
      </c>
      <c r="R568" s="43">
        <f t="shared" ca="1" si="1291"/>
        <v>0</v>
      </c>
      <c r="S568" s="43">
        <f t="shared" ca="1" si="1291"/>
        <v>0</v>
      </c>
      <c r="T568" s="43">
        <f t="shared" ca="1" si="1291"/>
        <v>0</v>
      </c>
      <c r="U568" s="43">
        <f t="shared" ref="U568" ca="1" si="1292">SUMIF($D297:$D361,"*1_12*",U297:U361)</f>
        <v>0</v>
      </c>
      <c r="V568" s="43">
        <f t="shared" ref="V568" ca="1" si="1293">SUMIF($D297:$D361,"*1_12*",V297:V361)</f>
        <v>0</v>
      </c>
      <c r="W568" s="43">
        <f t="shared" ref="W568" ca="1" si="1294">SUMIF($D297:$D361,"*1_12*",W297:W361)</f>
        <v>0</v>
      </c>
      <c r="X568" s="43">
        <f t="shared" ref="X568" ca="1" si="1295">SUMIF($D297:$D361,"*1_12*",X297:X361)</f>
        <v>0</v>
      </c>
      <c r="Y568" s="43">
        <f t="shared" ref="Y568" ca="1" si="1296">SUMIF($D297:$D361,"*1_12*",Y297:Y361)</f>
        <v>0</v>
      </c>
      <c r="Z568" s="43">
        <f t="shared" ref="Z568" ca="1" si="1297">SUMIF($D297:$D361,"*1_12*",Z297:Z361)</f>
        <v>0</v>
      </c>
      <c r="AA568" s="43">
        <f t="shared" ref="AA568" ca="1" si="1298">SUMIF($D297:$D361,"*1_12*",AA297:AA361)</f>
        <v>0</v>
      </c>
      <c r="AB568" s="43">
        <f t="shared" ref="AB568:AC568" ca="1" si="1299">SUMIF($D297:$D361,"*1_12*",AB297:AB361)</f>
        <v>0</v>
      </c>
      <c r="AC568" s="43">
        <f t="shared" ca="1" si="1299"/>
        <v>0</v>
      </c>
      <c r="AD568" s="43"/>
      <c r="AE568" s="54">
        <f t="shared" ca="1" si="1290"/>
        <v>568.29073170731715</v>
      </c>
    </row>
    <row r="569" spans="1:31" hidden="1" outlineLevel="2" x14ac:dyDescent="0.2">
      <c r="A569" s="48" t="str">
        <f ca="1">Language!A$362</f>
        <v xml:space="preserve">    реализация актива (без НДС)</v>
      </c>
      <c r="C569" s="40" t="str">
        <f t="shared" ca="1" si="1145"/>
        <v>тыс. EUR</v>
      </c>
      <c r="F569" s="43">
        <f t="shared" ref="F569:T569" si="1300">SUMIF($D297:$D361,"*1_13*",F297:F361)</f>
        <v>0</v>
      </c>
      <c r="G569" s="43">
        <f t="shared" si="1300"/>
        <v>0</v>
      </c>
      <c r="H569" s="43">
        <f t="shared" si="1300"/>
        <v>0</v>
      </c>
      <c r="I569" s="43">
        <f t="shared" si="1300"/>
        <v>0</v>
      </c>
      <c r="J569" s="43">
        <f t="shared" si="1300"/>
        <v>0</v>
      </c>
      <c r="K569" s="43">
        <f t="shared" si="1300"/>
        <v>0</v>
      </c>
      <c r="L569" s="43">
        <f t="shared" si="1300"/>
        <v>0</v>
      </c>
      <c r="M569" s="43">
        <f t="shared" si="1300"/>
        <v>0</v>
      </c>
      <c r="N569" s="43">
        <f t="shared" si="1300"/>
        <v>0</v>
      </c>
      <c r="O569" s="43">
        <f t="shared" si="1300"/>
        <v>0</v>
      </c>
      <c r="P569" s="43">
        <f t="shared" si="1300"/>
        <v>0</v>
      </c>
      <c r="Q569" s="43">
        <f t="shared" si="1300"/>
        <v>0</v>
      </c>
      <c r="R569" s="43">
        <f t="shared" si="1300"/>
        <v>0</v>
      </c>
      <c r="S569" s="43">
        <f t="shared" si="1300"/>
        <v>0</v>
      </c>
      <c r="T569" s="43">
        <f t="shared" si="1300"/>
        <v>0</v>
      </c>
      <c r="U569" s="43">
        <f t="shared" ref="U569" si="1301">SUMIF($D297:$D361,"*1_13*",U297:U361)</f>
        <v>0</v>
      </c>
      <c r="V569" s="43">
        <f t="shared" ref="V569" si="1302">SUMIF($D297:$D361,"*1_13*",V297:V361)</f>
        <v>0</v>
      </c>
      <c r="W569" s="43">
        <f t="shared" ref="W569" si="1303">SUMIF($D297:$D361,"*1_13*",W297:W361)</f>
        <v>0</v>
      </c>
      <c r="X569" s="43">
        <f t="shared" ref="X569" si="1304">SUMIF($D297:$D361,"*1_13*",X297:X361)</f>
        <v>0</v>
      </c>
      <c r="Y569" s="43">
        <f t="shared" ref="Y569" si="1305">SUMIF($D297:$D361,"*1_13*",Y297:Y361)</f>
        <v>0</v>
      </c>
      <c r="Z569" s="43">
        <f t="shared" ref="Z569" si="1306">SUMIF($D297:$D361,"*1_13*",Z297:Z361)</f>
        <v>0</v>
      </c>
      <c r="AA569" s="43">
        <f t="shared" ref="AA569" si="1307">SUMIF($D297:$D361,"*1_13*",AA297:AA361)</f>
        <v>0</v>
      </c>
      <c r="AB569" s="43">
        <f t="shared" ref="AB569:AC569" si="1308">SUMIF($D297:$D361,"*1_13*",AB297:AB361)</f>
        <v>0</v>
      </c>
      <c r="AC569" s="43">
        <f t="shared" si="1308"/>
        <v>0</v>
      </c>
      <c r="AD569" s="43"/>
      <c r="AE569" s="54">
        <f t="shared" si="1290"/>
        <v>0</v>
      </c>
    </row>
    <row r="570" spans="1:31" hidden="1" outlineLevel="2" x14ac:dyDescent="0.2">
      <c r="A570" s="48" t="str">
        <f ca="1">Language!A$363</f>
        <v xml:space="preserve">    прибыль/убыток от реализации актива</v>
      </c>
      <c r="C570" s="40" t="str">
        <f t="shared" ca="1" si="1145"/>
        <v>тыс. EUR</v>
      </c>
      <c r="F570" s="43">
        <f t="shared" ref="F570:T570" si="1309">SUMIF($D297:$D361,"*1_14*",F297:F361)</f>
        <v>0</v>
      </c>
      <c r="G570" s="43">
        <f t="shared" si="1309"/>
        <v>0</v>
      </c>
      <c r="H570" s="43">
        <f t="shared" si="1309"/>
        <v>0</v>
      </c>
      <c r="I570" s="43">
        <f t="shared" si="1309"/>
        <v>0</v>
      </c>
      <c r="J570" s="43">
        <f t="shared" si="1309"/>
        <v>0</v>
      </c>
      <c r="K570" s="43">
        <f t="shared" si="1309"/>
        <v>0</v>
      </c>
      <c r="L570" s="43">
        <f t="shared" si="1309"/>
        <v>0</v>
      </c>
      <c r="M570" s="43">
        <f t="shared" si="1309"/>
        <v>0</v>
      </c>
      <c r="N570" s="43">
        <f t="shared" si="1309"/>
        <v>0</v>
      </c>
      <c r="O570" s="43">
        <f t="shared" si="1309"/>
        <v>0</v>
      </c>
      <c r="P570" s="43">
        <f t="shared" si="1309"/>
        <v>0</v>
      </c>
      <c r="Q570" s="43">
        <f t="shared" si="1309"/>
        <v>0</v>
      </c>
      <c r="R570" s="43">
        <f t="shared" si="1309"/>
        <v>0</v>
      </c>
      <c r="S570" s="43">
        <f t="shared" si="1309"/>
        <v>0</v>
      </c>
      <c r="T570" s="43">
        <f t="shared" si="1309"/>
        <v>0</v>
      </c>
      <c r="U570" s="43">
        <f t="shared" ref="U570" si="1310">SUMIF($D297:$D361,"*1_14*",U297:U361)</f>
        <v>0</v>
      </c>
      <c r="V570" s="43">
        <f t="shared" ref="V570" si="1311">SUMIF($D297:$D361,"*1_14*",V297:V361)</f>
        <v>0</v>
      </c>
      <c r="W570" s="43">
        <f t="shared" ref="W570" si="1312">SUMIF($D297:$D361,"*1_14*",W297:W361)</f>
        <v>0</v>
      </c>
      <c r="X570" s="43">
        <f t="shared" ref="X570" si="1313">SUMIF($D297:$D361,"*1_14*",X297:X361)</f>
        <v>0</v>
      </c>
      <c r="Y570" s="43">
        <f t="shared" ref="Y570" si="1314">SUMIF($D297:$D361,"*1_14*",Y297:Y361)</f>
        <v>0</v>
      </c>
      <c r="Z570" s="43">
        <f t="shared" ref="Z570" si="1315">SUMIF($D297:$D361,"*1_14*",Z297:Z361)</f>
        <v>0</v>
      </c>
      <c r="AA570" s="43">
        <f t="shared" ref="AA570" si="1316">SUMIF($D297:$D361,"*1_14*",AA297:AA361)</f>
        <v>0</v>
      </c>
      <c r="AB570" s="43">
        <f t="shared" ref="AB570:AC570" si="1317">SUMIF($D297:$D361,"*1_14*",AB297:AB361)</f>
        <v>0</v>
      </c>
      <c r="AC570" s="43">
        <f t="shared" si="1317"/>
        <v>0</v>
      </c>
      <c r="AD570" s="43"/>
      <c r="AE570" s="54">
        <f t="shared" si="1290"/>
        <v>0</v>
      </c>
    </row>
    <row r="571" spans="1:31" hidden="1" outlineLevel="2" x14ac:dyDescent="0.2">
      <c r="A571" s="48" t="str">
        <f ca="1">Language!A$424</f>
        <v xml:space="preserve">    прибыль/убыток от строительной деятельности</v>
      </c>
      <c r="C571" s="40" t="str">
        <f t="shared" ca="1" si="1145"/>
        <v>тыс. EUR</v>
      </c>
      <c r="F571" s="43">
        <f>0</f>
        <v>0</v>
      </c>
      <c r="G571" s="43">
        <f>0</f>
        <v>0</v>
      </c>
      <c r="H571" s="43">
        <f>0</f>
        <v>0</v>
      </c>
      <c r="I571" s="43">
        <f>0</f>
        <v>0</v>
      </c>
      <c r="J571" s="43">
        <f>0</f>
        <v>0</v>
      </c>
      <c r="K571" s="43">
        <f>0</f>
        <v>0</v>
      </c>
      <c r="L571" s="43">
        <f>0</f>
        <v>0</v>
      </c>
      <c r="M571" s="43">
        <f>0</f>
        <v>0</v>
      </c>
      <c r="N571" s="43">
        <f>0</f>
        <v>0</v>
      </c>
      <c r="O571" s="43">
        <f>0</f>
        <v>0</v>
      </c>
      <c r="P571" s="43">
        <f>0</f>
        <v>0</v>
      </c>
      <c r="Q571" s="43">
        <f>0</f>
        <v>0</v>
      </c>
      <c r="R571" s="43">
        <f>0</f>
        <v>0</v>
      </c>
      <c r="S571" s="43">
        <f>0</f>
        <v>0</v>
      </c>
      <c r="T571" s="43">
        <f>0</f>
        <v>0</v>
      </c>
      <c r="U571" s="43">
        <f>0</f>
        <v>0</v>
      </c>
      <c r="V571" s="43">
        <f>0</f>
        <v>0</v>
      </c>
      <c r="W571" s="43">
        <f>0</f>
        <v>0</v>
      </c>
      <c r="X571" s="43">
        <f>0</f>
        <v>0</v>
      </c>
      <c r="Y571" s="43">
        <f>0</f>
        <v>0</v>
      </c>
      <c r="Z571" s="43">
        <f>0</f>
        <v>0</v>
      </c>
      <c r="AA571" s="43">
        <f>0</f>
        <v>0</v>
      </c>
      <c r="AB571" s="43">
        <f>0</f>
        <v>0</v>
      </c>
      <c r="AC571" s="43">
        <f>0</f>
        <v>0</v>
      </c>
      <c r="AD571" s="43"/>
      <c r="AE571" s="54">
        <f t="shared" si="1290"/>
        <v>0</v>
      </c>
    </row>
    <row r="572" spans="1:31" hidden="1" outlineLevel="2" x14ac:dyDescent="0.2">
      <c r="A572" t="str">
        <f ca="1">Language!A$401</f>
        <v xml:space="preserve">    НДС к выручке от реализации актива</v>
      </c>
      <c r="C572" s="40" t="str">
        <f t="shared" ca="1" si="1145"/>
        <v>тыс. EUR</v>
      </c>
      <c r="F572" s="43">
        <f t="shared" ref="F572:T572" si="1318">SUMIF($D297:$D361,"*1_15*",F297:F361)</f>
        <v>0</v>
      </c>
      <c r="G572" s="43">
        <f t="shared" si="1318"/>
        <v>0</v>
      </c>
      <c r="H572" s="43">
        <f t="shared" si="1318"/>
        <v>0</v>
      </c>
      <c r="I572" s="43">
        <f t="shared" si="1318"/>
        <v>0</v>
      </c>
      <c r="J572" s="43">
        <f t="shared" si="1318"/>
        <v>0</v>
      </c>
      <c r="K572" s="43">
        <f t="shared" si="1318"/>
        <v>0</v>
      </c>
      <c r="L572" s="43">
        <f t="shared" si="1318"/>
        <v>0</v>
      </c>
      <c r="M572" s="43">
        <f t="shared" si="1318"/>
        <v>0</v>
      </c>
      <c r="N572" s="43">
        <f t="shared" si="1318"/>
        <v>0</v>
      </c>
      <c r="O572" s="43">
        <f t="shared" si="1318"/>
        <v>0</v>
      </c>
      <c r="P572" s="43">
        <f t="shared" si="1318"/>
        <v>0</v>
      </c>
      <c r="Q572" s="43">
        <f t="shared" si="1318"/>
        <v>0</v>
      </c>
      <c r="R572" s="43">
        <f t="shared" si="1318"/>
        <v>0</v>
      </c>
      <c r="S572" s="43">
        <f t="shared" si="1318"/>
        <v>0</v>
      </c>
      <c r="T572" s="43">
        <f t="shared" si="1318"/>
        <v>0</v>
      </c>
      <c r="U572" s="43">
        <f t="shared" ref="U572" si="1319">SUMIF($D297:$D361,"*1_15*",U297:U361)</f>
        <v>0</v>
      </c>
      <c r="V572" s="43">
        <f t="shared" ref="V572" si="1320">SUMIF($D297:$D361,"*1_15*",V297:V361)</f>
        <v>0</v>
      </c>
      <c r="W572" s="43">
        <f t="shared" ref="W572" si="1321">SUMIF($D297:$D361,"*1_15*",W297:W361)</f>
        <v>0</v>
      </c>
      <c r="X572" s="43">
        <f t="shared" ref="X572" si="1322">SUMIF($D297:$D361,"*1_15*",X297:X361)</f>
        <v>0</v>
      </c>
      <c r="Y572" s="43">
        <f t="shared" ref="Y572" si="1323">SUMIF($D297:$D361,"*1_15*",Y297:Y361)</f>
        <v>0</v>
      </c>
      <c r="Z572" s="43">
        <f t="shared" ref="Z572" si="1324">SUMIF($D297:$D361,"*1_15*",Z297:Z361)</f>
        <v>0</v>
      </c>
      <c r="AA572" s="43">
        <f t="shared" ref="AA572" si="1325">SUMIF($D297:$D361,"*1_15*",AA297:AA361)</f>
        <v>0</v>
      </c>
      <c r="AB572" s="43">
        <f t="shared" ref="AB572:AC572" si="1326">SUMIF($D297:$D361,"*1_15*",AB297:AB361)</f>
        <v>0</v>
      </c>
      <c r="AC572" s="43">
        <f t="shared" si="1326"/>
        <v>0</v>
      </c>
      <c r="AD572" s="43"/>
      <c r="AE572" s="54">
        <f t="shared" si="1290"/>
        <v>0</v>
      </c>
    </row>
    <row r="573" spans="1:31" s="35" customFormat="1" outlineLevel="1" collapsed="1" x14ac:dyDescent="0.2">
      <c r="A573" s="35" t="str">
        <f ca="1">Language!A425</f>
        <v xml:space="preserve"> = Итого: Оборудование и другие активы</v>
      </c>
      <c r="C573" s="40" t="str">
        <f t="shared" ca="1" si="1145"/>
        <v>тыс. EUR</v>
      </c>
      <c r="F573" s="58">
        <f t="shared" ref="F573:T573" si="1327">F574+F580+F582</f>
        <v>0</v>
      </c>
      <c r="G573" s="58">
        <f t="shared" si="1327"/>
        <v>0</v>
      </c>
      <c r="H573" s="58">
        <f t="shared" si="1327"/>
        <v>3875.8255543220339</v>
      </c>
      <c r="I573" s="58">
        <f t="shared" si="1327"/>
        <v>0</v>
      </c>
      <c r="J573" s="58">
        <f t="shared" si="1327"/>
        <v>6850.2918126355935</v>
      </c>
      <c r="K573" s="58">
        <f t="shared" si="1327"/>
        <v>2583.8837028813559</v>
      </c>
      <c r="L573" s="58">
        <f t="shared" si="1327"/>
        <v>0</v>
      </c>
      <c r="M573" s="58">
        <f t="shared" si="1327"/>
        <v>0</v>
      </c>
      <c r="N573" s="58">
        <f t="shared" si="1327"/>
        <v>0</v>
      </c>
      <c r="O573" s="58">
        <f t="shared" si="1327"/>
        <v>0</v>
      </c>
      <c r="P573" s="58">
        <f t="shared" si="1327"/>
        <v>0</v>
      </c>
      <c r="Q573" s="58">
        <f t="shared" si="1327"/>
        <v>0</v>
      </c>
      <c r="R573" s="58">
        <f t="shared" si="1327"/>
        <v>0</v>
      </c>
      <c r="S573" s="58">
        <f t="shared" si="1327"/>
        <v>0</v>
      </c>
      <c r="T573" s="58">
        <f t="shared" si="1327"/>
        <v>0</v>
      </c>
      <c r="U573" s="58">
        <f t="shared" ref="U573" si="1328">U574+U580+U582</f>
        <v>0</v>
      </c>
      <c r="V573" s="58">
        <f t="shared" ref="V573" si="1329">V574+V580+V582</f>
        <v>0</v>
      </c>
      <c r="W573" s="58">
        <f t="shared" ref="W573" si="1330">W574+W580+W582</f>
        <v>0</v>
      </c>
      <c r="X573" s="58">
        <f t="shared" ref="X573" si="1331">X574+X580+X582</f>
        <v>0</v>
      </c>
      <c r="Y573" s="58">
        <f t="shared" ref="Y573" si="1332">Y574+Y580+Y582</f>
        <v>0</v>
      </c>
      <c r="Z573" s="58">
        <f t="shared" ref="Z573" si="1333">Z574+Z580+Z582</f>
        <v>0</v>
      </c>
      <c r="AA573" s="58">
        <f t="shared" ref="AA573" si="1334">AA574+AA580+AA582</f>
        <v>0</v>
      </c>
      <c r="AB573" s="58">
        <f t="shared" ref="AB573:AC573" si="1335">AB574+AB580+AB582</f>
        <v>0</v>
      </c>
      <c r="AC573" s="58">
        <f t="shared" si="1335"/>
        <v>0</v>
      </c>
      <c r="AD573" s="58"/>
      <c r="AE573" s="57">
        <f t="shared" si="1290"/>
        <v>13310.001069838983</v>
      </c>
    </row>
    <row r="574" spans="1:31" hidden="1" outlineLevel="2" x14ac:dyDescent="0.2">
      <c r="A574" s="48" t="str">
        <f ca="1">Language!A$386</f>
        <v xml:space="preserve">    сумма платежей без НДС</v>
      </c>
      <c r="C574" s="40" t="str">
        <f t="shared" ca="1" si="1145"/>
        <v>тыс. EUR</v>
      </c>
      <c r="F574" s="43">
        <f t="shared" ref="F574:T574" si="1336">SUMIF($D362:$D435,"*1_01*",F362:F435)</f>
        <v>0</v>
      </c>
      <c r="G574" s="43">
        <f t="shared" si="1336"/>
        <v>0</v>
      </c>
      <c r="H574" s="43">
        <f t="shared" si="1336"/>
        <v>3151.077686440678</v>
      </c>
      <c r="I574" s="43">
        <f t="shared" si="1336"/>
        <v>0</v>
      </c>
      <c r="J574" s="43">
        <f t="shared" si="1336"/>
        <v>5569.3429371021084</v>
      </c>
      <c r="K574" s="43">
        <f t="shared" si="1336"/>
        <v>2100.7184576271188</v>
      </c>
      <c r="L574" s="43">
        <f t="shared" si="1336"/>
        <v>0</v>
      </c>
      <c r="M574" s="43">
        <f t="shared" si="1336"/>
        <v>0</v>
      </c>
      <c r="N574" s="43">
        <f t="shared" si="1336"/>
        <v>0</v>
      </c>
      <c r="O574" s="43">
        <f t="shared" si="1336"/>
        <v>0</v>
      </c>
      <c r="P574" s="43">
        <f t="shared" si="1336"/>
        <v>0</v>
      </c>
      <c r="Q574" s="43">
        <f t="shared" si="1336"/>
        <v>0</v>
      </c>
      <c r="R574" s="43">
        <f t="shared" si="1336"/>
        <v>0</v>
      </c>
      <c r="S574" s="43">
        <f t="shared" si="1336"/>
        <v>0</v>
      </c>
      <c r="T574" s="43">
        <f t="shared" si="1336"/>
        <v>0</v>
      </c>
      <c r="U574" s="43">
        <f t="shared" ref="U574" si="1337">SUMIF($D362:$D435,"*1_01*",U362:U435)</f>
        <v>0</v>
      </c>
      <c r="V574" s="43">
        <f t="shared" ref="V574" si="1338">SUMIF($D362:$D435,"*1_01*",V362:V435)</f>
        <v>0</v>
      </c>
      <c r="W574" s="43">
        <f t="shared" ref="W574" si="1339">SUMIF($D362:$D435,"*1_01*",W362:W435)</f>
        <v>0</v>
      </c>
      <c r="X574" s="43">
        <f t="shared" ref="X574" si="1340">SUMIF($D362:$D435,"*1_01*",X362:X435)</f>
        <v>0</v>
      </c>
      <c r="Y574" s="43">
        <f t="shared" ref="Y574" si="1341">SUMIF($D362:$D435,"*1_01*",Y362:Y435)</f>
        <v>0</v>
      </c>
      <c r="Z574" s="43">
        <f t="shared" ref="Z574" si="1342">SUMIF($D362:$D435,"*1_01*",Z362:Z435)</f>
        <v>0</v>
      </c>
      <c r="AA574" s="43">
        <f t="shared" ref="AA574" si="1343">SUMIF($D362:$D435,"*1_01*",AA362:AA435)</f>
        <v>0</v>
      </c>
      <c r="AB574" s="43">
        <f t="shared" ref="AB574:AC574" si="1344">SUMIF($D362:$D435,"*1_01*",AB362:AB435)</f>
        <v>0</v>
      </c>
      <c r="AC574" s="43">
        <f t="shared" si="1344"/>
        <v>0</v>
      </c>
      <c r="AD574" s="43"/>
      <c r="AE574" s="54">
        <f t="shared" si="1290"/>
        <v>10821.139081169906</v>
      </c>
    </row>
    <row r="575" spans="1:31" hidden="1" outlineLevel="2" x14ac:dyDescent="0.2">
      <c r="A575" s="48" t="str">
        <f ca="1">Language!A$389</f>
        <v xml:space="preserve">    полная балансовая стоимость</v>
      </c>
      <c r="C575" s="40" t="str">
        <f t="shared" ca="1" si="1145"/>
        <v>тыс. EUR</v>
      </c>
      <c r="D575" s="16" t="s">
        <v>2594</v>
      </c>
      <c r="F575" s="105">
        <f t="shared" ref="F575:T575" si="1345">SUMIF($D362:$D435,"*1_06*",F362:F435)+F530</f>
        <v>0</v>
      </c>
      <c r="G575" s="105">
        <f t="shared" si="1345"/>
        <v>0</v>
      </c>
      <c r="H575" s="105">
        <f t="shared" si="1345"/>
        <v>0</v>
      </c>
      <c r="I575" s="105">
        <f t="shared" si="1345"/>
        <v>0</v>
      </c>
      <c r="J575" s="105">
        <f t="shared" si="1345"/>
        <v>10821.139081169904</v>
      </c>
      <c r="K575" s="105">
        <f t="shared" si="1345"/>
        <v>10821.139081169904</v>
      </c>
      <c r="L575" s="105">
        <f t="shared" si="1345"/>
        <v>10821.139081169904</v>
      </c>
      <c r="M575" s="105">
        <f t="shared" si="1345"/>
        <v>10821.139081169904</v>
      </c>
      <c r="N575" s="105">
        <f t="shared" si="1345"/>
        <v>10821.139081169904</v>
      </c>
      <c r="O575" s="105">
        <f t="shared" si="1345"/>
        <v>10821.139081169904</v>
      </c>
      <c r="P575" s="105">
        <f t="shared" si="1345"/>
        <v>10821.139081169904</v>
      </c>
      <c r="Q575" s="105">
        <f t="shared" si="1345"/>
        <v>10821.139081169904</v>
      </c>
      <c r="R575" s="105">
        <f t="shared" si="1345"/>
        <v>10821.139081169904</v>
      </c>
      <c r="S575" s="105">
        <f t="shared" si="1345"/>
        <v>10821.139081169904</v>
      </c>
      <c r="T575" s="105">
        <f t="shared" si="1345"/>
        <v>10821.139081169904</v>
      </c>
      <c r="U575" s="105">
        <f t="shared" ref="U575" si="1346">SUMIF($D362:$D435,"*1_06*",U362:U435)+U530</f>
        <v>10821.139081169904</v>
      </c>
      <c r="V575" s="105">
        <f t="shared" ref="V575" si="1347">SUMIF($D362:$D435,"*1_06*",V362:V435)+V530</f>
        <v>10821.139081169904</v>
      </c>
      <c r="W575" s="105">
        <f t="shared" ref="W575" si="1348">SUMIF($D362:$D435,"*1_06*",W362:W435)+W530</f>
        <v>10821.139081169904</v>
      </c>
      <c r="X575" s="105">
        <f t="shared" ref="X575" si="1349">SUMIF($D362:$D435,"*1_06*",X362:X435)+X530</f>
        <v>10821.139081169904</v>
      </c>
      <c r="Y575" s="105">
        <f t="shared" ref="Y575" si="1350">SUMIF($D362:$D435,"*1_06*",Y362:Y435)+Y530</f>
        <v>10821.139081169904</v>
      </c>
      <c r="Z575" s="105">
        <f t="shared" ref="Z575" si="1351">SUMIF($D362:$D435,"*1_06*",Z362:Z435)+Z530</f>
        <v>10821.139081169904</v>
      </c>
      <c r="AA575" s="105">
        <f t="shared" ref="AA575" si="1352">SUMIF($D362:$D435,"*1_06*",AA362:AA435)+AA530</f>
        <v>10821.139081169904</v>
      </c>
      <c r="AB575" s="105">
        <f t="shared" ref="AB575:AC575" si="1353">SUMIF($D362:$D435,"*1_06*",AB362:AB435)+AB530</f>
        <v>10821.139081169904</v>
      </c>
      <c r="AC575" s="105">
        <f t="shared" si="1353"/>
        <v>10821.139081169904</v>
      </c>
      <c r="AD575" s="43"/>
      <c r="AE575" s="54"/>
    </row>
    <row r="576" spans="1:31" hidden="1" outlineLevel="2" x14ac:dyDescent="0.2">
      <c r="A576" s="48" t="str">
        <f ca="1">Language!A$390</f>
        <v xml:space="preserve">    незавершенные инвестиции</v>
      </c>
      <c r="C576" s="40" t="str">
        <f t="shared" ca="1" si="1145"/>
        <v>тыс. EUR</v>
      </c>
      <c r="D576" s="16" t="s">
        <v>2594</v>
      </c>
      <c r="F576" s="105">
        <f t="shared" ref="F576:T576" si="1354">SUMIF($D362:$D435,"*1_07*",F362:F435)+F529</f>
        <v>0</v>
      </c>
      <c r="G576" s="105">
        <f t="shared" si="1354"/>
        <v>0</v>
      </c>
      <c r="H576" s="105">
        <f t="shared" si="1354"/>
        <v>3151.077686440678</v>
      </c>
      <c r="I576" s="105">
        <f t="shared" si="1354"/>
        <v>3151.077686440678</v>
      </c>
      <c r="J576" s="105">
        <f t="shared" si="1354"/>
        <v>0</v>
      </c>
      <c r="K576" s="105">
        <f t="shared" si="1354"/>
        <v>0</v>
      </c>
      <c r="L576" s="105">
        <f t="shared" si="1354"/>
        <v>0</v>
      </c>
      <c r="M576" s="105">
        <f t="shared" si="1354"/>
        <v>0</v>
      </c>
      <c r="N576" s="105">
        <f t="shared" si="1354"/>
        <v>0</v>
      </c>
      <c r="O576" s="105">
        <f t="shared" si="1354"/>
        <v>0</v>
      </c>
      <c r="P576" s="105">
        <f t="shared" si="1354"/>
        <v>0</v>
      </c>
      <c r="Q576" s="105">
        <f t="shared" si="1354"/>
        <v>0</v>
      </c>
      <c r="R576" s="105">
        <f t="shared" si="1354"/>
        <v>0</v>
      </c>
      <c r="S576" s="105">
        <f t="shared" si="1354"/>
        <v>0</v>
      </c>
      <c r="T576" s="105">
        <f t="shared" si="1354"/>
        <v>0</v>
      </c>
      <c r="U576" s="105">
        <f t="shared" ref="U576" si="1355">SUMIF($D362:$D435,"*1_07*",U362:U435)+U529</f>
        <v>0</v>
      </c>
      <c r="V576" s="105">
        <f t="shared" ref="V576" si="1356">SUMIF($D362:$D435,"*1_07*",V362:V435)+V529</f>
        <v>0</v>
      </c>
      <c r="W576" s="105">
        <f t="shared" ref="W576" si="1357">SUMIF($D362:$D435,"*1_07*",W362:W435)+W529</f>
        <v>0</v>
      </c>
      <c r="X576" s="105">
        <f t="shared" ref="X576" si="1358">SUMIF($D362:$D435,"*1_07*",X362:X435)+X529</f>
        <v>0</v>
      </c>
      <c r="Y576" s="105">
        <f t="shared" ref="Y576" si="1359">SUMIF($D362:$D435,"*1_07*",Y362:Y435)+Y529</f>
        <v>0</v>
      </c>
      <c r="Z576" s="105">
        <f t="shared" ref="Z576" si="1360">SUMIF($D362:$D435,"*1_07*",Z362:Z435)+Z529</f>
        <v>0</v>
      </c>
      <c r="AA576" s="105">
        <f t="shared" ref="AA576" si="1361">SUMIF($D362:$D435,"*1_07*",AA362:AA435)+AA529</f>
        <v>0</v>
      </c>
      <c r="AB576" s="105">
        <f t="shared" ref="AB576:AC576" si="1362">SUMIF($D362:$D435,"*1_07*",AB362:AB435)+AB529</f>
        <v>0</v>
      </c>
      <c r="AC576" s="105">
        <f t="shared" si="1362"/>
        <v>0</v>
      </c>
      <c r="AD576" s="43"/>
      <c r="AE576" s="54"/>
    </row>
    <row r="577" spans="1:31" hidden="1" outlineLevel="2" x14ac:dyDescent="0.2">
      <c r="A577" s="48" t="str">
        <f ca="1">Language!A$391</f>
        <v xml:space="preserve">    кредиторская задолженность</v>
      </c>
      <c r="C577" s="40" t="str">
        <f t="shared" ca="1" si="1145"/>
        <v>тыс. EUR</v>
      </c>
      <c r="D577" s="16" t="s">
        <v>2594</v>
      </c>
      <c r="F577" s="43">
        <f t="shared" ref="F577:T577" si="1363">SUMIF($D362:$D435,"*1_08*",F362:F435)</f>
        <v>0</v>
      </c>
      <c r="G577" s="43">
        <f t="shared" si="1363"/>
        <v>0</v>
      </c>
      <c r="H577" s="43">
        <f t="shared" si="1363"/>
        <v>0</v>
      </c>
      <c r="I577" s="43">
        <f t="shared" si="1363"/>
        <v>0</v>
      </c>
      <c r="J577" s="43">
        <f t="shared" si="1363"/>
        <v>2100.7184576271193</v>
      </c>
      <c r="K577" s="43">
        <f t="shared" si="1363"/>
        <v>0</v>
      </c>
      <c r="L577" s="43">
        <f t="shared" si="1363"/>
        <v>0</v>
      </c>
      <c r="M577" s="43">
        <f t="shared" si="1363"/>
        <v>0</v>
      </c>
      <c r="N577" s="43">
        <f t="shared" si="1363"/>
        <v>0</v>
      </c>
      <c r="O577" s="43">
        <f t="shared" si="1363"/>
        <v>0</v>
      </c>
      <c r="P577" s="43">
        <f t="shared" si="1363"/>
        <v>0</v>
      </c>
      <c r="Q577" s="43">
        <f t="shared" si="1363"/>
        <v>0</v>
      </c>
      <c r="R577" s="43">
        <f t="shared" si="1363"/>
        <v>0</v>
      </c>
      <c r="S577" s="43">
        <f t="shared" si="1363"/>
        <v>0</v>
      </c>
      <c r="T577" s="43">
        <f t="shared" si="1363"/>
        <v>0</v>
      </c>
      <c r="U577" s="43">
        <f t="shared" ref="U577" si="1364">SUMIF($D362:$D435,"*1_08*",U362:U435)</f>
        <v>0</v>
      </c>
      <c r="V577" s="43">
        <f t="shared" ref="V577" si="1365">SUMIF($D362:$D435,"*1_08*",V362:V435)</f>
        <v>0</v>
      </c>
      <c r="W577" s="43">
        <f t="shared" ref="W577" si="1366">SUMIF($D362:$D435,"*1_08*",W362:W435)</f>
        <v>0</v>
      </c>
      <c r="X577" s="43">
        <f t="shared" ref="X577" si="1367">SUMIF($D362:$D435,"*1_08*",X362:X435)</f>
        <v>0</v>
      </c>
      <c r="Y577" s="43">
        <f t="shared" ref="Y577" si="1368">SUMIF($D362:$D435,"*1_08*",Y362:Y435)</f>
        <v>0</v>
      </c>
      <c r="Z577" s="43">
        <f t="shared" ref="Z577" si="1369">SUMIF($D362:$D435,"*1_08*",Z362:Z435)</f>
        <v>0</v>
      </c>
      <c r="AA577" s="43">
        <f t="shared" ref="AA577" si="1370">SUMIF($D362:$D435,"*1_08*",AA362:AA435)</f>
        <v>0</v>
      </c>
      <c r="AB577" s="43">
        <f t="shared" ref="AB577:AC577" si="1371">SUMIF($D362:$D435,"*1_08*",AB362:AB435)</f>
        <v>0</v>
      </c>
      <c r="AC577" s="43">
        <f t="shared" si="1371"/>
        <v>0</v>
      </c>
      <c r="AD577" s="43"/>
      <c r="AE577" s="54"/>
    </row>
    <row r="578" spans="1:31" hidden="1" outlineLevel="2" x14ac:dyDescent="0.2">
      <c r="A578" s="48" t="str">
        <f ca="1">Language!A$423</f>
        <v xml:space="preserve">    амортизация</v>
      </c>
      <c r="C578" s="40" t="str">
        <f t="shared" ca="1" si="1145"/>
        <v>тыс. EUR</v>
      </c>
      <c r="F578" s="105">
        <f t="shared" ref="F578:T578" si="1372">SUMIF($D362:$D435,"*1_02*",F362:F435)+SUMIF($D362:$D435,"*1_03*",F362:F435)+F528</f>
        <v>0</v>
      </c>
      <c r="G578" s="105">
        <f t="shared" si="1372"/>
        <v>0</v>
      </c>
      <c r="H578" s="105">
        <f t="shared" si="1372"/>
        <v>0</v>
      </c>
      <c r="I578" s="105">
        <f t="shared" si="1372"/>
        <v>0</v>
      </c>
      <c r="J578" s="105">
        <f t="shared" si="1372"/>
        <v>278.4671468551054</v>
      </c>
      <c r="K578" s="105">
        <f t="shared" si="1372"/>
        <v>278.4671468551054</v>
      </c>
      <c r="L578" s="105">
        <f t="shared" si="1372"/>
        <v>278.4671468551054</v>
      </c>
      <c r="M578" s="105">
        <f t="shared" si="1372"/>
        <v>278.4671468551054</v>
      </c>
      <c r="N578" s="105">
        <f t="shared" si="1372"/>
        <v>278.4671468551054</v>
      </c>
      <c r="O578" s="105">
        <f t="shared" si="1372"/>
        <v>278.4671468551054</v>
      </c>
      <c r="P578" s="105">
        <f t="shared" si="1372"/>
        <v>278.4671468551054</v>
      </c>
      <c r="Q578" s="105">
        <f t="shared" si="1372"/>
        <v>278.4671468551054</v>
      </c>
      <c r="R578" s="105">
        <f t="shared" si="1372"/>
        <v>278.4671468551054</v>
      </c>
      <c r="S578" s="105">
        <f t="shared" si="1372"/>
        <v>278.4671468551054</v>
      </c>
      <c r="T578" s="105">
        <f t="shared" si="1372"/>
        <v>278.4671468551054</v>
      </c>
      <c r="U578" s="105">
        <f t="shared" ref="U578" si="1373">SUMIF($D362:$D435,"*1_02*",U362:U435)+SUMIF($D362:$D435,"*1_03*",U362:U435)+U528</f>
        <v>278.4671468551054</v>
      </c>
      <c r="V578" s="105">
        <f t="shared" ref="V578" si="1374">SUMIF($D362:$D435,"*1_02*",V362:V435)+SUMIF($D362:$D435,"*1_03*",V362:V435)+V528</f>
        <v>278.4671468551054</v>
      </c>
      <c r="W578" s="105">
        <f t="shared" ref="W578" si="1375">SUMIF($D362:$D435,"*1_02*",W362:W435)+SUMIF($D362:$D435,"*1_03*",W362:W435)+W528</f>
        <v>278.4671468551054</v>
      </c>
      <c r="X578" s="105">
        <f t="shared" ref="X578" si="1376">SUMIF($D362:$D435,"*1_02*",X362:X435)+SUMIF($D362:$D435,"*1_03*",X362:X435)+X528</f>
        <v>278.4671468551054</v>
      </c>
      <c r="Y578" s="105">
        <f t="shared" ref="Y578" si="1377">SUMIF($D362:$D435,"*1_02*",Y362:Y435)+SUMIF($D362:$D435,"*1_03*",Y362:Y435)+Y528</f>
        <v>278.4671468551054</v>
      </c>
      <c r="Z578" s="105">
        <f t="shared" ref="Z578" si="1378">SUMIF($D362:$D435,"*1_02*",Z362:Z435)+SUMIF($D362:$D435,"*1_03*",Z362:Z435)+Z528</f>
        <v>278.4671468551054</v>
      </c>
      <c r="AA578" s="105">
        <f t="shared" ref="AA578" si="1379">SUMIF($D362:$D435,"*1_02*",AA362:AA435)+SUMIF($D362:$D435,"*1_03*",AA362:AA435)+AA528</f>
        <v>278.4671468551054</v>
      </c>
      <c r="AB578" s="105">
        <f t="shared" ref="AB578:AC578" si="1380">SUMIF($D362:$D435,"*1_02*",AB362:AB435)+SUMIF($D362:$D435,"*1_03*",AB362:AB435)+AB528</f>
        <v>278.4671468551054</v>
      </c>
      <c r="AC578" s="105">
        <f t="shared" si="1380"/>
        <v>278.4671468551054</v>
      </c>
      <c r="AD578" s="43"/>
      <c r="AE578" s="54">
        <f>SUM(F578:AC578)</f>
        <v>5569.3429371021075</v>
      </c>
    </row>
    <row r="579" spans="1:31" hidden="1" outlineLevel="2" x14ac:dyDescent="0.2">
      <c r="A579" s="48" t="str">
        <f ca="1">Language!A$392</f>
        <v xml:space="preserve">    остаточная стоимость</v>
      </c>
      <c r="C579" s="40" t="str">
        <f t="shared" ca="1" si="1145"/>
        <v>тыс. EUR</v>
      </c>
      <c r="D579" s="16" t="s">
        <v>2594</v>
      </c>
      <c r="F579" s="105">
        <f t="shared" ref="F579:T579" si="1381">SUMIF($D362:$D435,"*1_10*",F362:F435)+F531</f>
        <v>0</v>
      </c>
      <c r="G579" s="105">
        <f t="shared" si="1381"/>
        <v>0</v>
      </c>
      <c r="H579" s="105">
        <f t="shared" si="1381"/>
        <v>0</v>
      </c>
      <c r="I579" s="105">
        <f t="shared" si="1381"/>
        <v>0</v>
      </c>
      <c r="J579" s="105">
        <f t="shared" si="1381"/>
        <v>10542.671934314798</v>
      </c>
      <c r="K579" s="105">
        <f t="shared" si="1381"/>
        <v>10264.204787459694</v>
      </c>
      <c r="L579" s="105">
        <f t="shared" si="1381"/>
        <v>9985.7376406045878</v>
      </c>
      <c r="M579" s="105">
        <f t="shared" si="1381"/>
        <v>9707.2704937494836</v>
      </c>
      <c r="N579" s="105">
        <f t="shared" si="1381"/>
        <v>9428.8033468943777</v>
      </c>
      <c r="O579" s="105">
        <f t="shared" si="1381"/>
        <v>9150.3362000392735</v>
      </c>
      <c r="P579" s="105">
        <f t="shared" si="1381"/>
        <v>8871.8690531841658</v>
      </c>
      <c r="Q579" s="105">
        <f t="shared" si="1381"/>
        <v>8593.4019063290616</v>
      </c>
      <c r="R579" s="105">
        <f t="shared" si="1381"/>
        <v>8314.9347594739556</v>
      </c>
      <c r="S579" s="105">
        <f t="shared" si="1381"/>
        <v>8036.4676126188515</v>
      </c>
      <c r="T579" s="105">
        <f t="shared" si="1381"/>
        <v>7758.0004657637455</v>
      </c>
      <c r="U579" s="105">
        <f t="shared" ref="U579" si="1382">SUMIF($D362:$D435,"*1_10*",U362:U435)+U531</f>
        <v>7479.5333189086414</v>
      </c>
      <c r="V579" s="105">
        <f t="shared" ref="V579" si="1383">SUMIF($D362:$D435,"*1_10*",V362:V435)+V531</f>
        <v>7201.0661720535354</v>
      </c>
      <c r="W579" s="105">
        <f t="shared" ref="W579" si="1384">SUMIF($D362:$D435,"*1_10*",W362:W435)+W531</f>
        <v>6922.5990251984304</v>
      </c>
      <c r="X579" s="105">
        <f t="shared" ref="X579" si="1385">SUMIF($D362:$D435,"*1_10*",X362:X435)+X531</f>
        <v>6644.1318783433244</v>
      </c>
      <c r="Y579" s="105">
        <f t="shared" ref="Y579" si="1386">SUMIF($D362:$D435,"*1_10*",Y362:Y435)+Y531</f>
        <v>6365.6647314882193</v>
      </c>
      <c r="Z579" s="105">
        <f t="shared" ref="Z579" si="1387">SUMIF($D362:$D435,"*1_10*",Z362:Z435)+Z531</f>
        <v>6087.1975846331143</v>
      </c>
      <c r="AA579" s="105">
        <f t="shared" ref="AA579" si="1388">SUMIF($D362:$D435,"*1_10*",AA362:AA435)+AA531</f>
        <v>5808.7304377780092</v>
      </c>
      <c r="AB579" s="105">
        <f t="shared" ref="AB579:AC579" si="1389">SUMIF($D362:$D435,"*1_10*",AB362:AB435)+AB531</f>
        <v>5530.2632909229033</v>
      </c>
      <c r="AC579" s="105">
        <f t="shared" si="1389"/>
        <v>5251.7961440677982</v>
      </c>
      <c r="AD579" s="43"/>
      <c r="AE579" s="54"/>
    </row>
    <row r="580" spans="1:31" hidden="1" outlineLevel="2" x14ac:dyDescent="0.2">
      <c r="A580" s="48" t="str">
        <f ca="1">Language!A$396</f>
        <v xml:space="preserve">    выплаченный НДС</v>
      </c>
      <c r="C580" s="40" t="str">
        <f t="shared" ca="1" si="1145"/>
        <v>тыс. EUR</v>
      </c>
      <c r="F580" s="43">
        <f t="shared" ref="F580:T580" si="1390">SUMIF($D362:$D435,"*1_04*",F362:F435)</f>
        <v>0</v>
      </c>
      <c r="G580" s="43">
        <f t="shared" si="1390"/>
        <v>0</v>
      </c>
      <c r="H580" s="43">
        <f t="shared" si="1390"/>
        <v>724.747867881356</v>
      </c>
      <c r="I580" s="43">
        <f t="shared" si="1390"/>
        <v>0</v>
      </c>
      <c r="J580" s="43">
        <f t="shared" si="1390"/>
        <v>1280.9488755334849</v>
      </c>
      <c r="K580" s="43">
        <f t="shared" si="1390"/>
        <v>483.16524525423733</v>
      </c>
      <c r="L580" s="43">
        <f t="shared" si="1390"/>
        <v>0</v>
      </c>
      <c r="M580" s="43">
        <f t="shared" si="1390"/>
        <v>0</v>
      </c>
      <c r="N580" s="43">
        <f t="shared" si="1390"/>
        <v>0</v>
      </c>
      <c r="O580" s="43">
        <f t="shared" si="1390"/>
        <v>0</v>
      </c>
      <c r="P580" s="43">
        <f t="shared" si="1390"/>
        <v>0</v>
      </c>
      <c r="Q580" s="43">
        <f t="shared" si="1390"/>
        <v>0</v>
      </c>
      <c r="R580" s="43">
        <f t="shared" si="1390"/>
        <v>0</v>
      </c>
      <c r="S580" s="43">
        <f t="shared" si="1390"/>
        <v>0</v>
      </c>
      <c r="T580" s="43">
        <f t="shared" si="1390"/>
        <v>0</v>
      </c>
      <c r="U580" s="43">
        <f t="shared" ref="U580" si="1391">SUMIF($D362:$D435,"*1_04*",U362:U435)</f>
        <v>0</v>
      </c>
      <c r="V580" s="43">
        <f t="shared" ref="V580" si="1392">SUMIF($D362:$D435,"*1_04*",V362:V435)</f>
        <v>0</v>
      </c>
      <c r="W580" s="43">
        <f t="shared" ref="W580" si="1393">SUMIF($D362:$D435,"*1_04*",W362:W435)</f>
        <v>0</v>
      </c>
      <c r="X580" s="43">
        <f t="shared" ref="X580" si="1394">SUMIF($D362:$D435,"*1_04*",X362:X435)</f>
        <v>0</v>
      </c>
      <c r="Y580" s="43">
        <f t="shared" ref="Y580" si="1395">SUMIF($D362:$D435,"*1_04*",Y362:Y435)</f>
        <v>0</v>
      </c>
      <c r="Z580" s="43">
        <f t="shared" ref="Z580" si="1396">SUMIF($D362:$D435,"*1_04*",Z362:Z435)</f>
        <v>0</v>
      </c>
      <c r="AA580" s="43">
        <f t="shared" ref="AA580" si="1397">SUMIF($D362:$D435,"*1_04*",AA362:AA435)</f>
        <v>0</v>
      </c>
      <c r="AB580" s="43">
        <f t="shared" ref="AB580:AC580" si="1398">SUMIF($D362:$D435,"*1_04*",AB362:AB435)</f>
        <v>0</v>
      </c>
      <c r="AC580" s="43">
        <f t="shared" si="1398"/>
        <v>0</v>
      </c>
      <c r="AD580" s="43"/>
      <c r="AE580" s="54">
        <f t="shared" ref="AE580:AE587" si="1399">SUM(F580:AC580)</f>
        <v>2488.8619886690785</v>
      </c>
    </row>
    <row r="581" spans="1:31" hidden="1" outlineLevel="2" x14ac:dyDescent="0.2">
      <c r="A581" s="48" t="str">
        <f ca="1">Language!A$400</f>
        <v xml:space="preserve">    зачет НДС</v>
      </c>
      <c r="C581" s="40" t="str">
        <f t="shared" ca="1" si="1145"/>
        <v>тыс. EUR</v>
      </c>
      <c r="F581" s="43">
        <f t="shared" ref="F581:T581" si="1400">SUMIF($D362:$D435,"*1_12*",F362:F435)</f>
        <v>0</v>
      </c>
      <c r="G581" s="43">
        <f t="shared" si="1400"/>
        <v>0</v>
      </c>
      <c r="H581" s="43">
        <f t="shared" si="1400"/>
        <v>0</v>
      </c>
      <c r="I581" s="43">
        <f t="shared" si="1400"/>
        <v>0</v>
      </c>
      <c r="J581" s="43">
        <f t="shared" si="1400"/>
        <v>2488.8619886690785</v>
      </c>
      <c r="K581" s="43">
        <f t="shared" si="1400"/>
        <v>0</v>
      </c>
      <c r="L581" s="43">
        <f t="shared" si="1400"/>
        <v>0</v>
      </c>
      <c r="M581" s="43">
        <f t="shared" si="1400"/>
        <v>0</v>
      </c>
      <c r="N581" s="43">
        <f t="shared" si="1400"/>
        <v>0</v>
      </c>
      <c r="O581" s="43">
        <f t="shared" si="1400"/>
        <v>0</v>
      </c>
      <c r="P581" s="43">
        <f t="shared" si="1400"/>
        <v>0</v>
      </c>
      <c r="Q581" s="43">
        <f t="shared" si="1400"/>
        <v>0</v>
      </c>
      <c r="R581" s="43">
        <f t="shared" si="1400"/>
        <v>0</v>
      </c>
      <c r="S581" s="43">
        <f t="shared" si="1400"/>
        <v>0</v>
      </c>
      <c r="T581" s="43">
        <f t="shared" si="1400"/>
        <v>0</v>
      </c>
      <c r="U581" s="43">
        <f t="shared" ref="U581" si="1401">SUMIF($D362:$D435,"*1_12*",U362:U435)</f>
        <v>0</v>
      </c>
      <c r="V581" s="43">
        <f t="shared" ref="V581" si="1402">SUMIF($D362:$D435,"*1_12*",V362:V435)</f>
        <v>0</v>
      </c>
      <c r="W581" s="43">
        <f t="shared" ref="W581" si="1403">SUMIF($D362:$D435,"*1_12*",W362:W435)</f>
        <v>0</v>
      </c>
      <c r="X581" s="43">
        <f t="shared" ref="X581" si="1404">SUMIF($D362:$D435,"*1_12*",X362:X435)</f>
        <v>0</v>
      </c>
      <c r="Y581" s="43">
        <f t="shared" ref="Y581" si="1405">SUMIF($D362:$D435,"*1_12*",Y362:Y435)</f>
        <v>0</v>
      </c>
      <c r="Z581" s="43">
        <f t="shared" ref="Z581" si="1406">SUMIF($D362:$D435,"*1_12*",Z362:Z435)</f>
        <v>0</v>
      </c>
      <c r="AA581" s="43">
        <f t="shared" ref="AA581" si="1407">SUMIF($D362:$D435,"*1_12*",AA362:AA435)</f>
        <v>0</v>
      </c>
      <c r="AB581" s="43">
        <f t="shared" ref="AB581:AC581" si="1408">SUMIF($D362:$D435,"*1_12*",AB362:AB435)</f>
        <v>0</v>
      </c>
      <c r="AC581" s="43">
        <f t="shared" si="1408"/>
        <v>0</v>
      </c>
      <c r="AD581" s="43"/>
      <c r="AE581" s="54">
        <f t="shared" si="1399"/>
        <v>2488.8619886690785</v>
      </c>
    </row>
    <row r="582" spans="1:31" hidden="1" outlineLevel="2" x14ac:dyDescent="0.2">
      <c r="A582" s="74" t="str">
        <f ca="1">Language!A$405</f>
        <v xml:space="preserve">    импортная пошлина</v>
      </c>
      <c r="C582" s="40" t="str">
        <f t="shared" ca="1" si="1145"/>
        <v>тыс. EUR</v>
      </c>
      <c r="F582" s="43">
        <f t="shared" ref="F582:T582" si="1409">SUMIF($D362:$D435,"*1_18*",F362:F435)</f>
        <v>0</v>
      </c>
      <c r="G582" s="43">
        <f t="shared" si="1409"/>
        <v>0</v>
      </c>
      <c r="H582" s="43">
        <f t="shared" si="1409"/>
        <v>0</v>
      </c>
      <c r="I582" s="43">
        <f t="shared" si="1409"/>
        <v>0</v>
      </c>
      <c r="J582" s="43">
        <f t="shared" si="1409"/>
        <v>0</v>
      </c>
      <c r="K582" s="43">
        <f t="shared" si="1409"/>
        <v>0</v>
      </c>
      <c r="L582" s="43">
        <f t="shared" si="1409"/>
        <v>0</v>
      </c>
      <c r="M582" s="43">
        <f t="shared" si="1409"/>
        <v>0</v>
      </c>
      <c r="N582" s="43">
        <f t="shared" si="1409"/>
        <v>0</v>
      </c>
      <c r="O582" s="43">
        <f t="shared" si="1409"/>
        <v>0</v>
      </c>
      <c r="P582" s="43">
        <f t="shared" si="1409"/>
        <v>0</v>
      </c>
      <c r="Q582" s="43">
        <f t="shared" si="1409"/>
        <v>0</v>
      </c>
      <c r="R582" s="43">
        <f t="shared" si="1409"/>
        <v>0</v>
      </c>
      <c r="S582" s="43">
        <f t="shared" si="1409"/>
        <v>0</v>
      </c>
      <c r="T582" s="43">
        <f t="shared" si="1409"/>
        <v>0</v>
      </c>
      <c r="U582" s="43">
        <f t="shared" ref="U582" si="1410">SUMIF($D362:$D435,"*1_18*",U362:U435)</f>
        <v>0</v>
      </c>
      <c r="V582" s="43">
        <f t="shared" ref="V582" si="1411">SUMIF($D362:$D435,"*1_18*",V362:V435)</f>
        <v>0</v>
      </c>
      <c r="W582" s="43">
        <f t="shared" ref="W582" si="1412">SUMIF($D362:$D435,"*1_18*",W362:W435)</f>
        <v>0</v>
      </c>
      <c r="X582" s="43">
        <f t="shared" ref="X582" si="1413">SUMIF($D362:$D435,"*1_18*",X362:X435)</f>
        <v>0</v>
      </c>
      <c r="Y582" s="43">
        <f t="shared" ref="Y582" si="1414">SUMIF($D362:$D435,"*1_18*",Y362:Y435)</f>
        <v>0</v>
      </c>
      <c r="Z582" s="43">
        <f t="shared" ref="Z582" si="1415">SUMIF($D362:$D435,"*1_18*",Z362:Z435)</f>
        <v>0</v>
      </c>
      <c r="AA582" s="43">
        <f t="shared" ref="AA582" si="1416">SUMIF($D362:$D435,"*1_18*",AA362:AA435)</f>
        <v>0</v>
      </c>
      <c r="AB582" s="43">
        <f t="shared" ref="AB582:AC582" si="1417">SUMIF($D362:$D435,"*1_18*",AB362:AB435)</f>
        <v>0</v>
      </c>
      <c r="AC582" s="43">
        <f t="shared" si="1417"/>
        <v>0</v>
      </c>
      <c r="AD582" s="43"/>
      <c r="AE582" s="54">
        <f t="shared" si="1399"/>
        <v>0</v>
      </c>
    </row>
    <row r="583" spans="1:31" hidden="1" outlineLevel="2" x14ac:dyDescent="0.2">
      <c r="A583" s="19" t="str">
        <f ca="1">Language!A$362</f>
        <v xml:space="preserve">    реализация актива (без НДС)</v>
      </c>
      <c r="C583" s="40" t="str">
        <f t="shared" ca="1" si="1145"/>
        <v>тыс. EUR</v>
      </c>
      <c r="F583" s="43">
        <f t="shared" ref="F583:T583" si="1418">SUMIF($D362:$D435,"*1_13*",F362:F435)</f>
        <v>0</v>
      </c>
      <c r="G583" s="43">
        <f t="shared" si="1418"/>
        <v>0</v>
      </c>
      <c r="H583" s="43">
        <f t="shared" si="1418"/>
        <v>0</v>
      </c>
      <c r="I583" s="43">
        <f t="shared" si="1418"/>
        <v>0</v>
      </c>
      <c r="J583" s="43">
        <f t="shared" si="1418"/>
        <v>0</v>
      </c>
      <c r="K583" s="43">
        <f t="shared" si="1418"/>
        <v>0</v>
      </c>
      <c r="L583" s="43">
        <f t="shared" si="1418"/>
        <v>0</v>
      </c>
      <c r="M583" s="43">
        <f t="shared" si="1418"/>
        <v>0</v>
      </c>
      <c r="N583" s="43">
        <f t="shared" si="1418"/>
        <v>0</v>
      </c>
      <c r="O583" s="43">
        <f t="shared" si="1418"/>
        <v>0</v>
      </c>
      <c r="P583" s="43">
        <f t="shared" si="1418"/>
        <v>0</v>
      </c>
      <c r="Q583" s="43">
        <f t="shared" si="1418"/>
        <v>0</v>
      </c>
      <c r="R583" s="43">
        <f t="shared" si="1418"/>
        <v>0</v>
      </c>
      <c r="S583" s="43">
        <f t="shared" si="1418"/>
        <v>0</v>
      </c>
      <c r="T583" s="43">
        <f t="shared" si="1418"/>
        <v>0</v>
      </c>
      <c r="U583" s="43">
        <f t="shared" ref="U583" si="1419">SUMIF($D362:$D435,"*1_13*",U362:U435)</f>
        <v>0</v>
      </c>
      <c r="V583" s="43">
        <f t="shared" ref="V583" si="1420">SUMIF($D362:$D435,"*1_13*",V362:V435)</f>
        <v>0</v>
      </c>
      <c r="W583" s="43">
        <f t="shared" ref="W583" si="1421">SUMIF($D362:$D435,"*1_13*",W362:W435)</f>
        <v>0</v>
      </c>
      <c r="X583" s="43">
        <f t="shared" ref="X583" si="1422">SUMIF($D362:$D435,"*1_13*",X362:X435)</f>
        <v>0</v>
      </c>
      <c r="Y583" s="43">
        <f t="shared" ref="Y583" si="1423">SUMIF($D362:$D435,"*1_13*",Y362:Y435)</f>
        <v>0</v>
      </c>
      <c r="Z583" s="43">
        <f t="shared" ref="Z583" si="1424">SUMIF($D362:$D435,"*1_13*",Z362:Z435)</f>
        <v>0</v>
      </c>
      <c r="AA583" s="43">
        <f t="shared" ref="AA583" si="1425">SUMIF($D362:$D435,"*1_13*",AA362:AA435)</f>
        <v>0</v>
      </c>
      <c r="AB583" s="43">
        <f t="shared" ref="AB583:AC583" si="1426">SUMIF($D362:$D435,"*1_13*",AB362:AB435)</f>
        <v>0</v>
      </c>
      <c r="AC583" s="43">
        <f t="shared" si="1426"/>
        <v>0</v>
      </c>
      <c r="AD583" s="43"/>
      <c r="AE583" s="54">
        <f t="shared" si="1399"/>
        <v>0</v>
      </c>
    </row>
    <row r="584" spans="1:31" hidden="1" outlineLevel="2" x14ac:dyDescent="0.2">
      <c r="A584" s="19" t="str">
        <f ca="1">Language!A$363</f>
        <v xml:space="preserve">    прибыль/убыток от реализации актива</v>
      </c>
      <c r="C584" s="40" t="str">
        <f t="shared" ca="1" si="1145"/>
        <v>тыс. EUR</v>
      </c>
      <c r="F584" s="43">
        <f t="shared" ref="F584:T584" si="1427">SUMIF($D362:$D435,"*1_14*",F362:F435)</f>
        <v>0</v>
      </c>
      <c r="G584" s="43">
        <f t="shared" si="1427"/>
        <v>0</v>
      </c>
      <c r="H584" s="43">
        <f t="shared" si="1427"/>
        <v>0</v>
      </c>
      <c r="I584" s="43">
        <f t="shared" si="1427"/>
        <v>0</v>
      </c>
      <c r="J584" s="43">
        <f t="shared" si="1427"/>
        <v>0</v>
      </c>
      <c r="K584" s="43">
        <f t="shared" si="1427"/>
        <v>0</v>
      </c>
      <c r="L584" s="43">
        <f t="shared" si="1427"/>
        <v>0</v>
      </c>
      <c r="M584" s="43">
        <f t="shared" si="1427"/>
        <v>0</v>
      </c>
      <c r="N584" s="43">
        <f t="shared" si="1427"/>
        <v>0</v>
      </c>
      <c r="O584" s="43">
        <f t="shared" si="1427"/>
        <v>0</v>
      </c>
      <c r="P584" s="43">
        <f t="shared" si="1427"/>
        <v>0</v>
      </c>
      <c r="Q584" s="43">
        <f t="shared" si="1427"/>
        <v>0</v>
      </c>
      <c r="R584" s="43">
        <f t="shared" si="1427"/>
        <v>0</v>
      </c>
      <c r="S584" s="43">
        <f t="shared" si="1427"/>
        <v>0</v>
      </c>
      <c r="T584" s="43">
        <f t="shared" si="1427"/>
        <v>0</v>
      </c>
      <c r="U584" s="43">
        <f t="shared" ref="U584" si="1428">SUMIF($D362:$D435,"*1_14*",U362:U435)</f>
        <v>0</v>
      </c>
      <c r="V584" s="43">
        <f t="shared" ref="V584" si="1429">SUMIF($D362:$D435,"*1_14*",V362:V435)</f>
        <v>0</v>
      </c>
      <c r="W584" s="43">
        <f t="shared" ref="W584" si="1430">SUMIF($D362:$D435,"*1_14*",W362:W435)</f>
        <v>0</v>
      </c>
      <c r="X584" s="43">
        <f t="shared" ref="X584" si="1431">SUMIF($D362:$D435,"*1_14*",X362:X435)</f>
        <v>0</v>
      </c>
      <c r="Y584" s="43">
        <f t="shared" ref="Y584" si="1432">SUMIF($D362:$D435,"*1_14*",Y362:Y435)</f>
        <v>0</v>
      </c>
      <c r="Z584" s="43">
        <f t="shared" ref="Z584" si="1433">SUMIF($D362:$D435,"*1_14*",Z362:Z435)</f>
        <v>0</v>
      </c>
      <c r="AA584" s="43">
        <f t="shared" ref="AA584" si="1434">SUMIF($D362:$D435,"*1_14*",AA362:AA435)</f>
        <v>0</v>
      </c>
      <c r="AB584" s="43">
        <f t="shared" ref="AB584:AC584" si="1435">SUMIF($D362:$D435,"*1_14*",AB362:AB435)</f>
        <v>0</v>
      </c>
      <c r="AC584" s="43">
        <f t="shared" si="1435"/>
        <v>0</v>
      </c>
      <c r="AD584" s="43"/>
      <c r="AE584" s="54">
        <f t="shared" si="1399"/>
        <v>0</v>
      </c>
    </row>
    <row r="585" spans="1:31" hidden="1" outlineLevel="2" x14ac:dyDescent="0.2">
      <c r="A585" t="str">
        <f ca="1">Language!A$401</f>
        <v xml:space="preserve">    НДС к выручке от реализации актива</v>
      </c>
      <c r="C585" s="40" t="str">
        <f t="shared" ca="1" si="1145"/>
        <v>тыс. EUR</v>
      </c>
      <c r="F585" s="43">
        <f t="shared" ref="F585:T585" si="1436">SUMIF($D362:$D435,"*1_15*",F362:F435)</f>
        <v>0</v>
      </c>
      <c r="G585" s="43">
        <f t="shared" si="1436"/>
        <v>0</v>
      </c>
      <c r="H585" s="43">
        <f t="shared" si="1436"/>
        <v>0</v>
      </c>
      <c r="I585" s="43">
        <f t="shared" si="1436"/>
        <v>0</v>
      </c>
      <c r="J585" s="43">
        <f t="shared" si="1436"/>
        <v>0</v>
      </c>
      <c r="K585" s="43">
        <f t="shared" si="1436"/>
        <v>0</v>
      </c>
      <c r="L585" s="43">
        <f t="shared" si="1436"/>
        <v>0</v>
      </c>
      <c r="M585" s="43">
        <f t="shared" si="1436"/>
        <v>0</v>
      </c>
      <c r="N585" s="43">
        <f t="shared" si="1436"/>
        <v>0</v>
      </c>
      <c r="O585" s="43">
        <f t="shared" si="1436"/>
        <v>0</v>
      </c>
      <c r="P585" s="43">
        <f t="shared" si="1436"/>
        <v>0</v>
      </c>
      <c r="Q585" s="43">
        <f t="shared" si="1436"/>
        <v>0</v>
      </c>
      <c r="R585" s="43">
        <f t="shared" si="1436"/>
        <v>0</v>
      </c>
      <c r="S585" s="43">
        <f t="shared" si="1436"/>
        <v>0</v>
      </c>
      <c r="T585" s="43">
        <f t="shared" si="1436"/>
        <v>0</v>
      </c>
      <c r="U585" s="43">
        <f t="shared" ref="U585" si="1437">SUMIF($D362:$D435,"*1_15*",U362:U435)</f>
        <v>0</v>
      </c>
      <c r="V585" s="43">
        <f t="shared" ref="V585" si="1438">SUMIF($D362:$D435,"*1_15*",V362:V435)</f>
        <v>0</v>
      </c>
      <c r="W585" s="43">
        <f t="shared" ref="W585" si="1439">SUMIF($D362:$D435,"*1_15*",W362:W435)</f>
        <v>0</v>
      </c>
      <c r="X585" s="43">
        <f t="shared" ref="X585" si="1440">SUMIF($D362:$D435,"*1_15*",X362:X435)</f>
        <v>0</v>
      </c>
      <c r="Y585" s="43">
        <f t="shared" ref="Y585" si="1441">SUMIF($D362:$D435,"*1_15*",Y362:Y435)</f>
        <v>0</v>
      </c>
      <c r="Z585" s="43">
        <f t="shared" ref="Z585" si="1442">SUMIF($D362:$D435,"*1_15*",Z362:Z435)</f>
        <v>0</v>
      </c>
      <c r="AA585" s="43">
        <f t="shared" ref="AA585" si="1443">SUMIF($D362:$D435,"*1_15*",AA362:AA435)</f>
        <v>0</v>
      </c>
      <c r="AB585" s="43">
        <f t="shared" ref="AB585:AC585" si="1444">SUMIF($D362:$D435,"*1_15*",AB362:AB435)</f>
        <v>0</v>
      </c>
      <c r="AC585" s="43">
        <f t="shared" si="1444"/>
        <v>0</v>
      </c>
      <c r="AD585" s="43"/>
      <c r="AE585" s="54">
        <f t="shared" si="1399"/>
        <v>0</v>
      </c>
    </row>
    <row r="586" spans="1:31" outlineLevel="1" collapsed="1" x14ac:dyDescent="0.2">
      <c r="A586" s="129" t="str">
        <f ca="1">Language!A426</f>
        <v xml:space="preserve"> = Итого: Нематериальные активы</v>
      </c>
      <c r="C586" s="40" t="str">
        <f t="shared" ca="1" si="1145"/>
        <v>тыс. EUR</v>
      </c>
      <c r="F586" s="58">
        <f t="shared" ref="F586:T586" si="1445">SUMIF($D436:$D458,"*1_00*",F436:F458)+SUMIF($D436:$D458,"*2_00*",F436:F458)*F$88</f>
        <v>0</v>
      </c>
      <c r="G586" s="58">
        <f t="shared" si="1445"/>
        <v>0</v>
      </c>
      <c r="H586" s="58">
        <f t="shared" si="1445"/>
        <v>100</v>
      </c>
      <c r="I586" s="58">
        <f t="shared" si="1445"/>
        <v>0</v>
      </c>
      <c r="J586" s="58">
        <f t="shared" si="1445"/>
        <v>0</v>
      </c>
      <c r="K586" s="58">
        <f t="shared" si="1445"/>
        <v>0</v>
      </c>
      <c r="L586" s="58">
        <f t="shared" si="1445"/>
        <v>0</v>
      </c>
      <c r="M586" s="58">
        <f t="shared" si="1445"/>
        <v>0</v>
      </c>
      <c r="N586" s="58">
        <f t="shared" si="1445"/>
        <v>0</v>
      </c>
      <c r="O586" s="58">
        <f t="shared" si="1445"/>
        <v>0</v>
      </c>
      <c r="P586" s="58">
        <f t="shared" si="1445"/>
        <v>0</v>
      </c>
      <c r="Q586" s="58">
        <f t="shared" si="1445"/>
        <v>0</v>
      </c>
      <c r="R586" s="58">
        <f t="shared" si="1445"/>
        <v>0</v>
      </c>
      <c r="S586" s="58">
        <f t="shared" si="1445"/>
        <v>0</v>
      </c>
      <c r="T586" s="58">
        <f t="shared" si="1445"/>
        <v>0</v>
      </c>
      <c r="U586" s="58">
        <f t="shared" ref="U586" si="1446">SUMIF($D436:$D458,"*1_00*",U436:U458)+SUMIF($D436:$D458,"*2_00*",U436:U458)*U$88</f>
        <v>0</v>
      </c>
      <c r="V586" s="58">
        <f t="shared" ref="V586" si="1447">SUMIF($D436:$D458,"*1_00*",V436:V458)+SUMIF($D436:$D458,"*2_00*",V436:V458)*V$88</f>
        <v>0</v>
      </c>
      <c r="W586" s="58">
        <f t="shared" ref="W586" si="1448">SUMIF($D436:$D458,"*1_00*",W436:W458)+SUMIF($D436:$D458,"*2_00*",W436:W458)*W$88</f>
        <v>0</v>
      </c>
      <c r="X586" s="58">
        <f t="shared" ref="X586" si="1449">SUMIF($D436:$D458,"*1_00*",X436:X458)+SUMIF($D436:$D458,"*2_00*",X436:X458)*X$88</f>
        <v>0</v>
      </c>
      <c r="Y586" s="58">
        <f t="shared" ref="Y586" si="1450">SUMIF($D436:$D458,"*1_00*",Y436:Y458)+SUMIF($D436:$D458,"*2_00*",Y436:Y458)*Y$88</f>
        <v>0</v>
      </c>
      <c r="Z586" s="58">
        <f t="shared" ref="Z586" si="1451">SUMIF($D436:$D458,"*1_00*",Z436:Z458)+SUMIF($D436:$D458,"*2_00*",Z436:Z458)*Z$88</f>
        <v>0</v>
      </c>
      <c r="AA586" s="58">
        <f t="shared" ref="AA586" si="1452">SUMIF($D436:$D458,"*1_00*",AA436:AA458)+SUMIF($D436:$D458,"*2_00*",AA436:AA458)*AA$88</f>
        <v>0</v>
      </c>
      <c r="AB586" s="58">
        <f t="shared" ref="AB586:AC586" si="1453">SUMIF($D436:$D458,"*1_00*",AB436:AB458)+SUMIF($D436:$D458,"*2_00*",AB436:AB458)*AB$88</f>
        <v>0</v>
      </c>
      <c r="AC586" s="58">
        <f t="shared" si="1453"/>
        <v>0</v>
      </c>
      <c r="AD586" s="43"/>
      <c r="AE586" s="57">
        <f t="shared" si="1399"/>
        <v>100</v>
      </c>
    </row>
    <row r="587" spans="1:31" hidden="1" outlineLevel="2" x14ac:dyDescent="0.2">
      <c r="A587" s="48" t="str">
        <f ca="1">Language!A$386</f>
        <v xml:space="preserve">    сумма платежей без НДС</v>
      </c>
      <c r="C587" s="40" t="str">
        <f t="shared" ca="1" si="1145"/>
        <v>тыс. EUR</v>
      </c>
      <c r="F587" s="43">
        <f t="shared" ref="F587:T587" si="1454">SUMIF($D436:$D458,"*1_01*",F436:F458)</f>
        <v>0</v>
      </c>
      <c r="G587" s="43">
        <f t="shared" si="1454"/>
        <v>0</v>
      </c>
      <c r="H587" s="43">
        <f t="shared" si="1454"/>
        <v>81.300813008130078</v>
      </c>
      <c r="I587" s="43">
        <f t="shared" si="1454"/>
        <v>0</v>
      </c>
      <c r="J587" s="43">
        <f t="shared" si="1454"/>
        <v>0</v>
      </c>
      <c r="K587" s="43">
        <f t="shared" si="1454"/>
        <v>0</v>
      </c>
      <c r="L587" s="43">
        <f t="shared" si="1454"/>
        <v>0</v>
      </c>
      <c r="M587" s="43">
        <f t="shared" si="1454"/>
        <v>0</v>
      </c>
      <c r="N587" s="43">
        <f t="shared" si="1454"/>
        <v>0</v>
      </c>
      <c r="O587" s="43">
        <f t="shared" si="1454"/>
        <v>0</v>
      </c>
      <c r="P587" s="43">
        <f t="shared" si="1454"/>
        <v>0</v>
      </c>
      <c r="Q587" s="43">
        <f t="shared" si="1454"/>
        <v>0</v>
      </c>
      <c r="R587" s="43">
        <f t="shared" si="1454"/>
        <v>0</v>
      </c>
      <c r="S587" s="43">
        <f t="shared" si="1454"/>
        <v>0</v>
      </c>
      <c r="T587" s="43">
        <f t="shared" si="1454"/>
        <v>0</v>
      </c>
      <c r="U587" s="43">
        <f t="shared" ref="U587" si="1455">SUMIF($D436:$D458,"*1_01*",U436:U458)</f>
        <v>0</v>
      </c>
      <c r="V587" s="43">
        <f t="shared" ref="V587" si="1456">SUMIF($D436:$D458,"*1_01*",V436:V458)</f>
        <v>0</v>
      </c>
      <c r="W587" s="43">
        <f t="shared" ref="W587" si="1457">SUMIF($D436:$D458,"*1_01*",W436:W458)</f>
        <v>0</v>
      </c>
      <c r="X587" s="43">
        <f t="shared" ref="X587" si="1458">SUMIF($D436:$D458,"*1_01*",X436:X458)</f>
        <v>0</v>
      </c>
      <c r="Y587" s="43">
        <f t="shared" ref="Y587" si="1459">SUMIF($D436:$D458,"*1_01*",Y436:Y458)</f>
        <v>0</v>
      </c>
      <c r="Z587" s="43">
        <f t="shared" ref="Z587" si="1460">SUMIF($D436:$D458,"*1_01*",Z436:Z458)</f>
        <v>0</v>
      </c>
      <c r="AA587" s="43">
        <f t="shared" ref="AA587" si="1461">SUMIF($D436:$D458,"*1_01*",AA436:AA458)</f>
        <v>0</v>
      </c>
      <c r="AB587" s="43">
        <f t="shared" ref="AB587:AC587" si="1462">SUMIF($D436:$D458,"*1_01*",AB436:AB458)</f>
        <v>0</v>
      </c>
      <c r="AC587" s="43">
        <f t="shared" si="1462"/>
        <v>0</v>
      </c>
      <c r="AD587" s="43"/>
      <c r="AE587" s="54">
        <f t="shared" si="1399"/>
        <v>81.300813008130078</v>
      </c>
    </row>
    <row r="588" spans="1:31" hidden="1" outlineLevel="2" x14ac:dyDescent="0.2">
      <c r="A588" s="48" t="str">
        <f ca="1">Language!A$389</f>
        <v xml:space="preserve">    полная балансовая стоимость</v>
      </c>
      <c r="C588" s="40" t="str">
        <f t="shared" ca="1" si="1145"/>
        <v>тыс. EUR</v>
      </c>
      <c r="D588" s="16" t="s">
        <v>2594</v>
      </c>
      <c r="F588" s="43">
        <f t="shared" ref="F588:T588" si="1463">SUMIF($D436:$D458,"*1_06*",F436:F458)</f>
        <v>0</v>
      </c>
      <c r="G588" s="43">
        <f t="shared" si="1463"/>
        <v>0</v>
      </c>
      <c r="H588" s="43">
        <f t="shared" si="1463"/>
        <v>0</v>
      </c>
      <c r="I588" s="43">
        <f t="shared" si="1463"/>
        <v>0</v>
      </c>
      <c r="J588" s="43">
        <f t="shared" si="1463"/>
        <v>81.300813008130078</v>
      </c>
      <c r="K588" s="43">
        <f t="shared" si="1463"/>
        <v>81.300813008130078</v>
      </c>
      <c r="L588" s="43">
        <f t="shared" si="1463"/>
        <v>81.300813008130078</v>
      </c>
      <c r="M588" s="43">
        <f t="shared" si="1463"/>
        <v>81.300813008130078</v>
      </c>
      <c r="N588" s="43">
        <f t="shared" si="1463"/>
        <v>81.300813008130078</v>
      </c>
      <c r="O588" s="43">
        <f t="shared" si="1463"/>
        <v>81.300813008130078</v>
      </c>
      <c r="P588" s="43">
        <f t="shared" si="1463"/>
        <v>81.300813008130078</v>
      </c>
      <c r="Q588" s="43">
        <f t="shared" si="1463"/>
        <v>81.300813008130078</v>
      </c>
      <c r="R588" s="43">
        <f t="shared" si="1463"/>
        <v>81.300813008130078</v>
      </c>
      <c r="S588" s="43">
        <f t="shared" si="1463"/>
        <v>81.300813008130078</v>
      </c>
      <c r="T588" s="43">
        <f t="shared" si="1463"/>
        <v>81.300813008130078</v>
      </c>
      <c r="U588" s="43">
        <f t="shared" ref="U588" si="1464">SUMIF($D436:$D458,"*1_06*",U436:U458)</f>
        <v>81.300813008130078</v>
      </c>
      <c r="V588" s="43">
        <f t="shared" ref="V588" si="1465">SUMIF($D436:$D458,"*1_06*",V436:V458)</f>
        <v>81.300813008130078</v>
      </c>
      <c r="W588" s="43">
        <f t="shared" ref="W588" si="1466">SUMIF($D436:$D458,"*1_06*",W436:W458)</f>
        <v>81.300813008130078</v>
      </c>
      <c r="X588" s="43">
        <f t="shared" ref="X588" si="1467">SUMIF($D436:$D458,"*1_06*",X436:X458)</f>
        <v>81.300813008130078</v>
      </c>
      <c r="Y588" s="43">
        <f t="shared" ref="Y588" si="1468">SUMIF($D436:$D458,"*1_06*",Y436:Y458)</f>
        <v>81.300813008130078</v>
      </c>
      <c r="Z588" s="43">
        <f t="shared" ref="Z588" si="1469">SUMIF($D436:$D458,"*1_06*",Z436:Z458)</f>
        <v>81.300813008130078</v>
      </c>
      <c r="AA588" s="43">
        <f t="shared" ref="AA588" si="1470">SUMIF($D436:$D458,"*1_06*",AA436:AA458)</f>
        <v>81.300813008130078</v>
      </c>
      <c r="AB588" s="43">
        <f t="shared" ref="AB588:AC588" si="1471">SUMIF($D436:$D458,"*1_06*",AB436:AB458)</f>
        <v>81.300813008130078</v>
      </c>
      <c r="AC588" s="43">
        <f t="shared" si="1471"/>
        <v>81.300813008130078</v>
      </c>
      <c r="AD588" s="43"/>
      <c r="AE588" s="54"/>
    </row>
    <row r="589" spans="1:31" hidden="1" outlineLevel="2" x14ac:dyDescent="0.2">
      <c r="A589" s="48" t="str">
        <f ca="1">Language!A$390</f>
        <v xml:space="preserve">    незавершенные инвестиции</v>
      </c>
      <c r="C589" s="40" t="str">
        <f t="shared" ca="1" si="1145"/>
        <v>тыс. EUR</v>
      </c>
      <c r="D589" s="16" t="s">
        <v>2594</v>
      </c>
      <c r="F589" s="43">
        <f t="shared" ref="F589:T589" si="1472">SUMIF($D436:$D458,"*1_07*",F436:F458)</f>
        <v>0</v>
      </c>
      <c r="G589" s="43">
        <f t="shared" si="1472"/>
        <v>0</v>
      </c>
      <c r="H589" s="43">
        <f t="shared" si="1472"/>
        <v>81.300813008130078</v>
      </c>
      <c r="I589" s="43">
        <f t="shared" si="1472"/>
        <v>81.300813008130078</v>
      </c>
      <c r="J589" s="43">
        <f t="shared" si="1472"/>
        <v>0</v>
      </c>
      <c r="K589" s="43">
        <f t="shared" si="1472"/>
        <v>0</v>
      </c>
      <c r="L589" s="43">
        <f t="shared" si="1472"/>
        <v>0</v>
      </c>
      <c r="M589" s="43">
        <f t="shared" si="1472"/>
        <v>0</v>
      </c>
      <c r="N589" s="43">
        <f t="shared" si="1472"/>
        <v>0</v>
      </c>
      <c r="O589" s="43">
        <f t="shared" si="1472"/>
        <v>0</v>
      </c>
      <c r="P589" s="43">
        <f t="shared" si="1472"/>
        <v>0</v>
      </c>
      <c r="Q589" s="43">
        <f t="shared" si="1472"/>
        <v>0</v>
      </c>
      <c r="R589" s="43">
        <f t="shared" si="1472"/>
        <v>0</v>
      </c>
      <c r="S589" s="43">
        <f t="shared" si="1472"/>
        <v>0</v>
      </c>
      <c r="T589" s="43">
        <f t="shared" si="1472"/>
        <v>0</v>
      </c>
      <c r="U589" s="43">
        <f t="shared" ref="U589" si="1473">SUMIF($D436:$D458,"*1_07*",U436:U458)</f>
        <v>0</v>
      </c>
      <c r="V589" s="43">
        <f t="shared" ref="V589" si="1474">SUMIF($D436:$D458,"*1_07*",V436:V458)</f>
        <v>0</v>
      </c>
      <c r="W589" s="43">
        <f t="shared" ref="W589" si="1475">SUMIF($D436:$D458,"*1_07*",W436:W458)</f>
        <v>0</v>
      </c>
      <c r="X589" s="43">
        <f t="shared" ref="X589" si="1476">SUMIF($D436:$D458,"*1_07*",X436:X458)</f>
        <v>0</v>
      </c>
      <c r="Y589" s="43">
        <f t="shared" ref="Y589" si="1477">SUMIF($D436:$D458,"*1_07*",Y436:Y458)</f>
        <v>0</v>
      </c>
      <c r="Z589" s="43">
        <f t="shared" ref="Z589" si="1478">SUMIF($D436:$D458,"*1_07*",Z436:Z458)</f>
        <v>0</v>
      </c>
      <c r="AA589" s="43">
        <f t="shared" ref="AA589" si="1479">SUMIF($D436:$D458,"*1_07*",AA436:AA458)</f>
        <v>0</v>
      </c>
      <c r="AB589" s="43">
        <f t="shared" ref="AB589:AC589" si="1480">SUMIF($D436:$D458,"*1_07*",AB436:AB458)</f>
        <v>0</v>
      </c>
      <c r="AC589" s="43">
        <f t="shared" si="1480"/>
        <v>0</v>
      </c>
      <c r="AD589" s="43"/>
      <c r="AE589" s="54"/>
    </row>
    <row r="590" spans="1:31" hidden="1" outlineLevel="2" x14ac:dyDescent="0.2">
      <c r="A590" s="48" t="str">
        <f ca="1">Language!A$391</f>
        <v xml:space="preserve">    кредиторская задолженность</v>
      </c>
      <c r="C590" s="40" t="str">
        <f t="shared" ca="1" si="1145"/>
        <v>тыс. EUR</v>
      </c>
      <c r="D590" s="16" t="s">
        <v>2594</v>
      </c>
      <c r="F590" s="43">
        <f t="shared" ref="F590:T590" si="1481">SUMIF($D436:$D458,"*1_08*",F436:F458)</f>
        <v>0</v>
      </c>
      <c r="G590" s="43">
        <f t="shared" si="1481"/>
        <v>0</v>
      </c>
      <c r="H590" s="43">
        <f t="shared" si="1481"/>
        <v>0</v>
      </c>
      <c r="I590" s="43">
        <f t="shared" si="1481"/>
        <v>0</v>
      </c>
      <c r="J590" s="43">
        <f t="shared" si="1481"/>
        <v>0</v>
      </c>
      <c r="K590" s="43">
        <f t="shared" si="1481"/>
        <v>0</v>
      </c>
      <c r="L590" s="43">
        <f t="shared" si="1481"/>
        <v>0</v>
      </c>
      <c r="M590" s="43">
        <f t="shared" si="1481"/>
        <v>0</v>
      </c>
      <c r="N590" s="43">
        <f t="shared" si="1481"/>
        <v>0</v>
      </c>
      <c r="O590" s="43">
        <f t="shared" si="1481"/>
        <v>0</v>
      </c>
      <c r="P590" s="43">
        <f t="shared" si="1481"/>
        <v>0</v>
      </c>
      <c r="Q590" s="43">
        <f t="shared" si="1481"/>
        <v>0</v>
      </c>
      <c r="R590" s="43">
        <f t="shared" si="1481"/>
        <v>0</v>
      </c>
      <c r="S590" s="43">
        <f t="shared" si="1481"/>
        <v>0</v>
      </c>
      <c r="T590" s="43">
        <f t="shared" si="1481"/>
        <v>0</v>
      </c>
      <c r="U590" s="43">
        <f t="shared" ref="U590" si="1482">SUMIF($D436:$D458,"*1_08*",U436:U458)</f>
        <v>0</v>
      </c>
      <c r="V590" s="43">
        <f t="shared" ref="V590" si="1483">SUMIF($D436:$D458,"*1_08*",V436:V458)</f>
        <v>0</v>
      </c>
      <c r="W590" s="43">
        <f t="shared" ref="W590" si="1484">SUMIF($D436:$D458,"*1_08*",W436:W458)</f>
        <v>0</v>
      </c>
      <c r="X590" s="43">
        <f t="shared" ref="X590" si="1485">SUMIF($D436:$D458,"*1_08*",X436:X458)</f>
        <v>0</v>
      </c>
      <c r="Y590" s="43">
        <f t="shared" ref="Y590" si="1486">SUMIF($D436:$D458,"*1_08*",Y436:Y458)</f>
        <v>0</v>
      </c>
      <c r="Z590" s="43">
        <f t="shared" ref="Z590" si="1487">SUMIF($D436:$D458,"*1_08*",Z436:Z458)</f>
        <v>0</v>
      </c>
      <c r="AA590" s="43">
        <f t="shared" ref="AA590" si="1488">SUMIF($D436:$D458,"*1_08*",AA436:AA458)</f>
        <v>0</v>
      </c>
      <c r="AB590" s="43">
        <f t="shared" ref="AB590:AC590" si="1489">SUMIF($D436:$D458,"*1_08*",AB436:AB458)</f>
        <v>0</v>
      </c>
      <c r="AC590" s="43">
        <f t="shared" si="1489"/>
        <v>0</v>
      </c>
      <c r="AD590" s="43"/>
      <c r="AE590" s="54"/>
    </row>
    <row r="591" spans="1:31" hidden="1" outlineLevel="2" x14ac:dyDescent="0.2">
      <c r="A591" s="48" t="str">
        <f ca="1">Language!A$423</f>
        <v xml:space="preserve">    амортизация</v>
      </c>
      <c r="C591" s="40" t="str">
        <f t="shared" ca="1" si="1145"/>
        <v>тыс. EUR</v>
      </c>
      <c r="F591" s="43">
        <f t="shared" ref="F591:T591" si="1490">SUMIF($D436:$D458,"*1_02*",F436:F458)+SUMIF($D436:$D458,"*1_03*",F436:F458)</f>
        <v>0</v>
      </c>
      <c r="G591" s="43">
        <f t="shared" si="1490"/>
        <v>0</v>
      </c>
      <c r="H591" s="43">
        <f t="shared" si="1490"/>
        <v>0</v>
      </c>
      <c r="I591" s="43">
        <f t="shared" si="1490"/>
        <v>0</v>
      </c>
      <c r="J591" s="43">
        <f t="shared" si="1490"/>
        <v>0</v>
      </c>
      <c r="K591" s="43">
        <f t="shared" si="1490"/>
        <v>0</v>
      </c>
      <c r="L591" s="43">
        <f t="shared" si="1490"/>
        <v>0</v>
      </c>
      <c r="M591" s="43">
        <f t="shared" si="1490"/>
        <v>0</v>
      </c>
      <c r="N591" s="43">
        <f t="shared" si="1490"/>
        <v>0</v>
      </c>
      <c r="O591" s="43">
        <f t="shared" si="1490"/>
        <v>0</v>
      </c>
      <c r="P591" s="43">
        <f t="shared" si="1490"/>
        <v>0</v>
      </c>
      <c r="Q591" s="43">
        <f t="shared" si="1490"/>
        <v>0</v>
      </c>
      <c r="R591" s="43">
        <f t="shared" si="1490"/>
        <v>0</v>
      </c>
      <c r="S591" s="43">
        <f t="shared" si="1490"/>
        <v>0</v>
      </c>
      <c r="T591" s="43">
        <f t="shared" si="1490"/>
        <v>0</v>
      </c>
      <c r="U591" s="43">
        <f t="shared" ref="U591" si="1491">SUMIF($D436:$D458,"*1_02*",U436:U458)+SUMIF($D436:$D458,"*1_03*",U436:U458)</f>
        <v>0</v>
      </c>
      <c r="V591" s="43">
        <f t="shared" ref="V591" si="1492">SUMIF($D436:$D458,"*1_02*",V436:V458)+SUMIF($D436:$D458,"*1_03*",V436:V458)</f>
        <v>0</v>
      </c>
      <c r="W591" s="43">
        <f t="shared" ref="W591" si="1493">SUMIF($D436:$D458,"*1_02*",W436:W458)+SUMIF($D436:$D458,"*1_03*",W436:W458)</f>
        <v>0</v>
      </c>
      <c r="X591" s="43">
        <f t="shared" ref="X591" si="1494">SUMIF($D436:$D458,"*1_02*",X436:X458)+SUMIF($D436:$D458,"*1_03*",X436:X458)</f>
        <v>0</v>
      </c>
      <c r="Y591" s="43">
        <f t="shared" ref="Y591" si="1495">SUMIF($D436:$D458,"*1_02*",Y436:Y458)+SUMIF($D436:$D458,"*1_03*",Y436:Y458)</f>
        <v>0</v>
      </c>
      <c r="Z591" s="43">
        <f t="shared" ref="Z591" si="1496">SUMIF($D436:$D458,"*1_02*",Z436:Z458)+SUMIF($D436:$D458,"*1_03*",Z436:Z458)</f>
        <v>0</v>
      </c>
      <c r="AA591" s="43">
        <f t="shared" ref="AA591" si="1497">SUMIF($D436:$D458,"*1_02*",AA436:AA458)+SUMIF($D436:$D458,"*1_03*",AA436:AA458)</f>
        <v>0</v>
      </c>
      <c r="AB591" s="43">
        <f t="shared" ref="AB591:AC591" si="1498">SUMIF($D436:$D458,"*1_02*",AB436:AB458)+SUMIF($D436:$D458,"*1_03*",AB436:AB458)</f>
        <v>0</v>
      </c>
      <c r="AC591" s="43">
        <f t="shared" si="1498"/>
        <v>0</v>
      </c>
      <c r="AD591" s="43"/>
      <c r="AE591" s="54">
        <f>SUM(F591:AC591)</f>
        <v>0</v>
      </c>
    </row>
    <row r="592" spans="1:31" hidden="1" outlineLevel="2" x14ac:dyDescent="0.2">
      <c r="A592" s="48" t="str">
        <f ca="1">Language!A$392</f>
        <v xml:space="preserve">    остаточная стоимость</v>
      </c>
      <c r="C592" s="40" t="str">
        <f t="shared" ca="1" si="1145"/>
        <v>тыс. EUR</v>
      </c>
      <c r="D592" s="16" t="s">
        <v>2594</v>
      </c>
      <c r="F592" s="43">
        <f t="shared" ref="F592:T592" si="1499">SUMIF($D436:$D458,"*1_10*",F436:F458)</f>
        <v>0</v>
      </c>
      <c r="G592" s="43">
        <f t="shared" si="1499"/>
        <v>0</v>
      </c>
      <c r="H592" s="43">
        <f t="shared" si="1499"/>
        <v>0</v>
      </c>
      <c r="I592" s="43">
        <f t="shared" si="1499"/>
        <v>0</v>
      </c>
      <c r="J592" s="43">
        <f t="shared" si="1499"/>
        <v>81.300813008130078</v>
      </c>
      <c r="K592" s="43">
        <f t="shared" si="1499"/>
        <v>81.300813008130078</v>
      </c>
      <c r="L592" s="43">
        <f t="shared" si="1499"/>
        <v>81.300813008130078</v>
      </c>
      <c r="M592" s="43">
        <f t="shared" si="1499"/>
        <v>81.300813008130078</v>
      </c>
      <c r="N592" s="43">
        <f t="shared" si="1499"/>
        <v>81.300813008130078</v>
      </c>
      <c r="O592" s="43">
        <f t="shared" si="1499"/>
        <v>81.300813008130078</v>
      </c>
      <c r="P592" s="43">
        <f t="shared" si="1499"/>
        <v>81.300813008130078</v>
      </c>
      <c r="Q592" s="43">
        <f t="shared" si="1499"/>
        <v>81.300813008130078</v>
      </c>
      <c r="R592" s="43">
        <f t="shared" si="1499"/>
        <v>81.300813008130078</v>
      </c>
      <c r="S592" s="43">
        <f t="shared" si="1499"/>
        <v>81.300813008130078</v>
      </c>
      <c r="T592" s="43">
        <f t="shared" si="1499"/>
        <v>81.300813008130078</v>
      </c>
      <c r="U592" s="43">
        <f t="shared" ref="U592" si="1500">SUMIF($D436:$D458,"*1_10*",U436:U458)</f>
        <v>81.300813008130078</v>
      </c>
      <c r="V592" s="43">
        <f t="shared" ref="V592" si="1501">SUMIF($D436:$D458,"*1_10*",V436:V458)</f>
        <v>81.300813008130078</v>
      </c>
      <c r="W592" s="43">
        <f t="shared" ref="W592" si="1502">SUMIF($D436:$D458,"*1_10*",W436:W458)</f>
        <v>81.300813008130078</v>
      </c>
      <c r="X592" s="43">
        <f t="shared" ref="X592" si="1503">SUMIF($D436:$D458,"*1_10*",X436:X458)</f>
        <v>81.300813008130078</v>
      </c>
      <c r="Y592" s="43">
        <f t="shared" ref="Y592" si="1504">SUMIF($D436:$D458,"*1_10*",Y436:Y458)</f>
        <v>81.300813008130078</v>
      </c>
      <c r="Z592" s="43">
        <f t="shared" ref="Z592" si="1505">SUMIF($D436:$D458,"*1_10*",Z436:Z458)</f>
        <v>81.300813008130078</v>
      </c>
      <c r="AA592" s="43">
        <f t="shared" ref="AA592" si="1506">SUMIF($D436:$D458,"*1_10*",AA436:AA458)</f>
        <v>81.300813008130078</v>
      </c>
      <c r="AB592" s="43">
        <f t="shared" ref="AB592:AC592" si="1507">SUMIF($D436:$D458,"*1_10*",AB436:AB458)</f>
        <v>81.300813008130078</v>
      </c>
      <c r="AC592" s="43">
        <f t="shared" si="1507"/>
        <v>81.300813008130078</v>
      </c>
      <c r="AD592" s="43"/>
      <c r="AE592" s="54"/>
    </row>
    <row r="593" spans="1:31" hidden="1" outlineLevel="2" x14ac:dyDescent="0.2">
      <c r="A593" s="48" t="str">
        <f ca="1">Language!A$396</f>
        <v xml:space="preserve">    выплаченный НДС</v>
      </c>
      <c r="C593" s="40" t="str">
        <f t="shared" ca="1" si="1145"/>
        <v>тыс. EUR</v>
      </c>
      <c r="F593" s="43">
        <f t="shared" ref="F593:T593" si="1508">SUMIF($D436:$D458,"*1_04*",F436:F458)</f>
        <v>0</v>
      </c>
      <c r="G593" s="43">
        <f t="shared" si="1508"/>
        <v>0</v>
      </c>
      <c r="H593" s="43">
        <f t="shared" si="1508"/>
        <v>18.699186991869919</v>
      </c>
      <c r="I593" s="43">
        <f t="shared" si="1508"/>
        <v>0</v>
      </c>
      <c r="J593" s="43">
        <f t="shared" si="1508"/>
        <v>0</v>
      </c>
      <c r="K593" s="43">
        <f t="shared" si="1508"/>
        <v>0</v>
      </c>
      <c r="L593" s="43">
        <f t="shared" si="1508"/>
        <v>0</v>
      </c>
      <c r="M593" s="43">
        <f t="shared" si="1508"/>
        <v>0</v>
      </c>
      <c r="N593" s="43">
        <f t="shared" si="1508"/>
        <v>0</v>
      </c>
      <c r="O593" s="43">
        <f t="shared" si="1508"/>
        <v>0</v>
      </c>
      <c r="P593" s="43">
        <f t="shared" si="1508"/>
        <v>0</v>
      </c>
      <c r="Q593" s="43">
        <f t="shared" si="1508"/>
        <v>0</v>
      </c>
      <c r="R593" s="43">
        <f t="shared" si="1508"/>
        <v>0</v>
      </c>
      <c r="S593" s="43">
        <f t="shared" si="1508"/>
        <v>0</v>
      </c>
      <c r="T593" s="43">
        <f t="shared" si="1508"/>
        <v>0</v>
      </c>
      <c r="U593" s="43">
        <f t="shared" ref="U593" si="1509">SUMIF($D436:$D458,"*1_04*",U436:U458)</f>
        <v>0</v>
      </c>
      <c r="V593" s="43">
        <f t="shared" ref="V593" si="1510">SUMIF($D436:$D458,"*1_04*",V436:V458)</f>
        <v>0</v>
      </c>
      <c r="W593" s="43">
        <f t="shared" ref="W593" si="1511">SUMIF($D436:$D458,"*1_04*",W436:W458)</f>
        <v>0</v>
      </c>
      <c r="X593" s="43">
        <f t="shared" ref="X593" si="1512">SUMIF($D436:$D458,"*1_04*",X436:X458)</f>
        <v>0</v>
      </c>
      <c r="Y593" s="43">
        <f t="shared" ref="Y593" si="1513">SUMIF($D436:$D458,"*1_04*",Y436:Y458)</f>
        <v>0</v>
      </c>
      <c r="Z593" s="43">
        <f t="shared" ref="Z593" si="1514">SUMIF($D436:$D458,"*1_04*",Z436:Z458)</f>
        <v>0</v>
      </c>
      <c r="AA593" s="43">
        <f t="shared" ref="AA593" si="1515">SUMIF($D436:$D458,"*1_04*",AA436:AA458)</f>
        <v>0</v>
      </c>
      <c r="AB593" s="43">
        <f t="shared" ref="AB593:AC593" si="1516">SUMIF($D436:$D458,"*1_04*",AB436:AB458)</f>
        <v>0</v>
      </c>
      <c r="AC593" s="43">
        <f t="shared" si="1516"/>
        <v>0</v>
      </c>
      <c r="AD593" s="43"/>
      <c r="AE593" s="54">
        <f t="shared" ref="AE593:AE599" si="1517">SUM(F593:AC593)</f>
        <v>18.699186991869919</v>
      </c>
    </row>
    <row r="594" spans="1:31" hidden="1" outlineLevel="2" x14ac:dyDescent="0.2">
      <c r="A594" s="48" t="str">
        <f ca="1">Language!A$400</f>
        <v xml:space="preserve">    зачет НДС</v>
      </c>
      <c r="C594" s="40" t="str">
        <f t="shared" ca="1" si="1145"/>
        <v>тыс. EUR</v>
      </c>
      <c r="F594" s="43">
        <f t="shared" ref="F594:T594" si="1518">SUMIF($D436:$D458,"*1_12*",F436:F458)</f>
        <v>0</v>
      </c>
      <c r="G594" s="43">
        <f t="shared" si="1518"/>
        <v>0</v>
      </c>
      <c r="H594" s="43">
        <f t="shared" si="1518"/>
        <v>0</v>
      </c>
      <c r="I594" s="43">
        <f t="shared" si="1518"/>
        <v>0</v>
      </c>
      <c r="J594" s="43">
        <f t="shared" si="1518"/>
        <v>18.699186991869919</v>
      </c>
      <c r="K594" s="43">
        <f t="shared" si="1518"/>
        <v>0</v>
      </c>
      <c r="L594" s="43">
        <f t="shared" si="1518"/>
        <v>0</v>
      </c>
      <c r="M594" s="43">
        <f t="shared" si="1518"/>
        <v>0</v>
      </c>
      <c r="N594" s="43">
        <f t="shared" si="1518"/>
        <v>0</v>
      </c>
      <c r="O594" s="43">
        <f t="shared" si="1518"/>
        <v>0</v>
      </c>
      <c r="P594" s="43">
        <f t="shared" si="1518"/>
        <v>0</v>
      </c>
      <c r="Q594" s="43">
        <f t="shared" si="1518"/>
        <v>0</v>
      </c>
      <c r="R594" s="43">
        <f t="shared" si="1518"/>
        <v>0</v>
      </c>
      <c r="S594" s="43">
        <f t="shared" si="1518"/>
        <v>0</v>
      </c>
      <c r="T594" s="43">
        <f t="shared" si="1518"/>
        <v>0</v>
      </c>
      <c r="U594" s="43">
        <f t="shared" ref="U594" si="1519">SUMIF($D436:$D458,"*1_12*",U436:U458)</f>
        <v>0</v>
      </c>
      <c r="V594" s="43">
        <f t="shared" ref="V594" si="1520">SUMIF($D436:$D458,"*1_12*",V436:V458)</f>
        <v>0</v>
      </c>
      <c r="W594" s="43">
        <f t="shared" ref="W594" si="1521">SUMIF($D436:$D458,"*1_12*",W436:W458)</f>
        <v>0</v>
      </c>
      <c r="X594" s="43">
        <f t="shared" ref="X594" si="1522">SUMIF($D436:$D458,"*1_12*",X436:X458)</f>
        <v>0</v>
      </c>
      <c r="Y594" s="43">
        <f t="shared" ref="Y594" si="1523">SUMIF($D436:$D458,"*1_12*",Y436:Y458)</f>
        <v>0</v>
      </c>
      <c r="Z594" s="43">
        <f t="shared" ref="Z594" si="1524">SUMIF($D436:$D458,"*1_12*",Z436:Z458)</f>
        <v>0</v>
      </c>
      <c r="AA594" s="43">
        <f t="shared" ref="AA594" si="1525">SUMIF($D436:$D458,"*1_12*",AA436:AA458)</f>
        <v>0</v>
      </c>
      <c r="AB594" s="43">
        <f t="shared" ref="AB594:AC594" si="1526">SUMIF($D436:$D458,"*1_12*",AB436:AB458)</f>
        <v>0</v>
      </c>
      <c r="AC594" s="43">
        <f t="shared" si="1526"/>
        <v>0</v>
      </c>
      <c r="AD594" s="43"/>
      <c r="AE594" s="54">
        <f t="shared" si="1517"/>
        <v>18.699186991869919</v>
      </c>
    </row>
    <row r="595" spans="1:31" hidden="1" outlineLevel="2" x14ac:dyDescent="0.2">
      <c r="A595" s="19" t="str">
        <f ca="1">Language!A$362</f>
        <v xml:space="preserve">    реализация актива (без НДС)</v>
      </c>
      <c r="C595" s="40" t="str">
        <f t="shared" ca="1" si="1145"/>
        <v>тыс. EUR</v>
      </c>
      <c r="F595" s="43">
        <f t="shared" ref="F595:T595" si="1527">SUMIF($D436:$D458,"*1_13*",F436:F458)</f>
        <v>0</v>
      </c>
      <c r="G595" s="43">
        <f t="shared" si="1527"/>
        <v>0</v>
      </c>
      <c r="H595" s="43">
        <f t="shared" si="1527"/>
        <v>0</v>
      </c>
      <c r="I595" s="43">
        <f t="shared" si="1527"/>
        <v>0</v>
      </c>
      <c r="J595" s="43">
        <f t="shared" si="1527"/>
        <v>0</v>
      </c>
      <c r="K595" s="43">
        <f t="shared" si="1527"/>
        <v>0</v>
      </c>
      <c r="L595" s="43">
        <f t="shared" si="1527"/>
        <v>0</v>
      </c>
      <c r="M595" s="43">
        <f t="shared" si="1527"/>
        <v>0</v>
      </c>
      <c r="N595" s="43">
        <f t="shared" si="1527"/>
        <v>0</v>
      </c>
      <c r="O595" s="43">
        <f t="shared" si="1527"/>
        <v>0</v>
      </c>
      <c r="P595" s="43">
        <f t="shared" si="1527"/>
        <v>0</v>
      </c>
      <c r="Q595" s="43">
        <f t="shared" si="1527"/>
        <v>0</v>
      </c>
      <c r="R595" s="43">
        <f t="shared" si="1527"/>
        <v>0</v>
      </c>
      <c r="S595" s="43">
        <f t="shared" si="1527"/>
        <v>0</v>
      </c>
      <c r="T595" s="43">
        <f t="shared" si="1527"/>
        <v>0</v>
      </c>
      <c r="U595" s="43">
        <f t="shared" ref="U595" si="1528">SUMIF($D436:$D458,"*1_13*",U436:U458)</f>
        <v>0</v>
      </c>
      <c r="V595" s="43">
        <f t="shared" ref="V595" si="1529">SUMIF($D436:$D458,"*1_13*",V436:V458)</f>
        <v>0</v>
      </c>
      <c r="W595" s="43">
        <f t="shared" ref="W595" si="1530">SUMIF($D436:$D458,"*1_13*",W436:W458)</f>
        <v>0</v>
      </c>
      <c r="X595" s="43">
        <f t="shared" ref="X595" si="1531">SUMIF($D436:$D458,"*1_13*",X436:X458)</f>
        <v>0</v>
      </c>
      <c r="Y595" s="43">
        <f t="shared" ref="Y595" si="1532">SUMIF($D436:$D458,"*1_13*",Y436:Y458)</f>
        <v>0</v>
      </c>
      <c r="Z595" s="43">
        <f t="shared" ref="Z595" si="1533">SUMIF($D436:$D458,"*1_13*",Z436:Z458)</f>
        <v>0</v>
      </c>
      <c r="AA595" s="43">
        <f t="shared" ref="AA595" si="1534">SUMIF($D436:$D458,"*1_13*",AA436:AA458)</f>
        <v>0</v>
      </c>
      <c r="AB595" s="43">
        <f t="shared" ref="AB595:AC595" si="1535">SUMIF($D436:$D458,"*1_13*",AB436:AB458)</f>
        <v>0</v>
      </c>
      <c r="AC595" s="43">
        <f t="shared" si="1535"/>
        <v>0</v>
      </c>
      <c r="AD595" s="43"/>
      <c r="AE595" s="54">
        <f t="shared" si="1517"/>
        <v>0</v>
      </c>
    </row>
    <row r="596" spans="1:31" hidden="1" outlineLevel="2" x14ac:dyDescent="0.2">
      <c r="A596" s="19" t="str">
        <f ca="1">Language!A$363</f>
        <v xml:space="preserve">    прибыль/убыток от реализации актива</v>
      </c>
      <c r="C596" s="40" t="str">
        <f t="shared" ca="1" si="1145"/>
        <v>тыс. EUR</v>
      </c>
      <c r="F596" s="43">
        <f t="shared" ref="F596:T596" si="1536">SUMIF($D436:$D458,"*1_14*",F436:F458)</f>
        <v>0</v>
      </c>
      <c r="G596" s="43">
        <f t="shared" si="1536"/>
        <v>0</v>
      </c>
      <c r="H596" s="43">
        <f t="shared" si="1536"/>
        <v>0</v>
      </c>
      <c r="I596" s="43">
        <f t="shared" si="1536"/>
        <v>0</v>
      </c>
      <c r="J596" s="43">
        <f t="shared" si="1536"/>
        <v>0</v>
      </c>
      <c r="K596" s="43">
        <f t="shared" si="1536"/>
        <v>0</v>
      </c>
      <c r="L596" s="43">
        <f t="shared" si="1536"/>
        <v>0</v>
      </c>
      <c r="M596" s="43">
        <f t="shared" si="1536"/>
        <v>0</v>
      </c>
      <c r="N596" s="43">
        <f t="shared" si="1536"/>
        <v>0</v>
      </c>
      <c r="O596" s="43">
        <f t="shared" si="1536"/>
        <v>0</v>
      </c>
      <c r="P596" s="43">
        <f t="shared" si="1536"/>
        <v>0</v>
      </c>
      <c r="Q596" s="43">
        <f t="shared" si="1536"/>
        <v>0</v>
      </c>
      <c r="R596" s="43">
        <f t="shared" si="1536"/>
        <v>0</v>
      </c>
      <c r="S596" s="43">
        <f t="shared" si="1536"/>
        <v>0</v>
      </c>
      <c r="T596" s="43">
        <f t="shared" si="1536"/>
        <v>0</v>
      </c>
      <c r="U596" s="43">
        <f t="shared" ref="U596" si="1537">SUMIF($D436:$D458,"*1_14*",U436:U458)</f>
        <v>0</v>
      </c>
      <c r="V596" s="43">
        <f t="shared" ref="V596" si="1538">SUMIF($D436:$D458,"*1_14*",V436:V458)</f>
        <v>0</v>
      </c>
      <c r="W596" s="43">
        <f t="shared" ref="W596" si="1539">SUMIF($D436:$D458,"*1_14*",W436:W458)</f>
        <v>0</v>
      </c>
      <c r="X596" s="43">
        <f t="shared" ref="X596" si="1540">SUMIF($D436:$D458,"*1_14*",X436:X458)</f>
        <v>0</v>
      </c>
      <c r="Y596" s="43">
        <f t="shared" ref="Y596" si="1541">SUMIF($D436:$D458,"*1_14*",Y436:Y458)</f>
        <v>0</v>
      </c>
      <c r="Z596" s="43">
        <f t="shared" ref="Z596" si="1542">SUMIF($D436:$D458,"*1_14*",Z436:Z458)</f>
        <v>0</v>
      </c>
      <c r="AA596" s="43">
        <f t="shared" ref="AA596" si="1543">SUMIF($D436:$D458,"*1_14*",AA436:AA458)</f>
        <v>0</v>
      </c>
      <c r="AB596" s="43">
        <f t="shared" ref="AB596:AC596" si="1544">SUMIF($D436:$D458,"*1_14*",AB436:AB458)</f>
        <v>0</v>
      </c>
      <c r="AC596" s="43">
        <f t="shared" si="1544"/>
        <v>0</v>
      </c>
      <c r="AD596" s="43"/>
      <c r="AE596" s="54">
        <f t="shared" si="1517"/>
        <v>0</v>
      </c>
    </row>
    <row r="597" spans="1:31" hidden="1" outlineLevel="2" x14ac:dyDescent="0.2">
      <c r="A597" t="str">
        <f ca="1">Language!A$401</f>
        <v xml:space="preserve">    НДС к выручке от реализации актива</v>
      </c>
      <c r="C597" s="40" t="str">
        <f t="shared" ref="C597:C614" ca="1" si="1545">CUR_Main</f>
        <v>тыс. EUR</v>
      </c>
      <c r="F597" s="43">
        <f t="shared" ref="F597:T597" si="1546">SUMIF($D436:$D458,"*1_15*",F436:F458)</f>
        <v>0</v>
      </c>
      <c r="G597" s="43">
        <f t="shared" si="1546"/>
        <v>0</v>
      </c>
      <c r="H597" s="43">
        <f t="shared" si="1546"/>
        <v>0</v>
      </c>
      <c r="I597" s="43">
        <f t="shared" si="1546"/>
        <v>0</v>
      </c>
      <c r="J597" s="43">
        <f t="shared" si="1546"/>
        <v>0</v>
      </c>
      <c r="K597" s="43">
        <f t="shared" si="1546"/>
        <v>0</v>
      </c>
      <c r="L597" s="43">
        <f t="shared" si="1546"/>
        <v>0</v>
      </c>
      <c r="M597" s="43">
        <f t="shared" si="1546"/>
        <v>0</v>
      </c>
      <c r="N597" s="43">
        <f t="shared" si="1546"/>
        <v>0</v>
      </c>
      <c r="O597" s="43">
        <f t="shared" si="1546"/>
        <v>0</v>
      </c>
      <c r="P597" s="43">
        <f t="shared" si="1546"/>
        <v>0</v>
      </c>
      <c r="Q597" s="43">
        <f t="shared" si="1546"/>
        <v>0</v>
      </c>
      <c r="R597" s="43">
        <f t="shared" si="1546"/>
        <v>0</v>
      </c>
      <c r="S597" s="43">
        <f t="shared" si="1546"/>
        <v>0</v>
      </c>
      <c r="T597" s="43">
        <f t="shared" si="1546"/>
        <v>0</v>
      </c>
      <c r="U597" s="43">
        <f t="shared" ref="U597" si="1547">SUMIF($D436:$D458,"*1_15*",U436:U458)</f>
        <v>0</v>
      </c>
      <c r="V597" s="43">
        <f t="shared" ref="V597" si="1548">SUMIF($D436:$D458,"*1_15*",V436:V458)</f>
        <v>0</v>
      </c>
      <c r="W597" s="43">
        <f t="shared" ref="W597" si="1549">SUMIF($D436:$D458,"*1_15*",W436:W458)</f>
        <v>0</v>
      </c>
      <c r="X597" s="43">
        <f t="shared" ref="X597" si="1550">SUMIF($D436:$D458,"*1_15*",X436:X458)</f>
        <v>0</v>
      </c>
      <c r="Y597" s="43">
        <f t="shared" ref="Y597" si="1551">SUMIF($D436:$D458,"*1_15*",Y436:Y458)</f>
        <v>0</v>
      </c>
      <c r="Z597" s="43">
        <f t="shared" ref="Z597" si="1552">SUMIF($D436:$D458,"*1_15*",Z436:Z458)</f>
        <v>0</v>
      </c>
      <c r="AA597" s="43">
        <f t="shared" ref="AA597" si="1553">SUMIF($D436:$D458,"*1_15*",AA436:AA458)</f>
        <v>0</v>
      </c>
      <c r="AB597" s="43">
        <f t="shared" ref="AB597:AC597" si="1554">SUMIF($D436:$D458,"*1_15*",AB436:AB458)</f>
        <v>0</v>
      </c>
      <c r="AC597" s="43">
        <f t="shared" si="1554"/>
        <v>0</v>
      </c>
      <c r="AD597" s="43"/>
      <c r="AE597" s="54">
        <f t="shared" si="1517"/>
        <v>0</v>
      </c>
    </row>
    <row r="598" spans="1:31" s="35" customFormat="1" outlineLevel="1" collapsed="1" x14ac:dyDescent="0.2">
      <c r="A598" s="35" t="str">
        <f ca="1">Language!A427</f>
        <v xml:space="preserve"> = Итого: Финансовые вложения</v>
      </c>
      <c r="C598" s="40" t="str">
        <f t="shared" ca="1" si="1545"/>
        <v>тыс. EUR</v>
      </c>
      <c r="F598" s="58">
        <f t="shared" ref="F598:T598" si="1555">SUMIF($D459:$D475,"*1_00*",F459:F475)+SUMIF($D459:$D475,"*2_00*",F459:F475)*F$88</f>
        <v>0</v>
      </c>
      <c r="G598" s="58">
        <f t="shared" si="1555"/>
        <v>0</v>
      </c>
      <c r="H598" s="58">
        <f t="shared" si="1555"/>
        <v>0</v>
      </c>
      <c r="I598" s="58">
        <f t="shared" si="1555"/>
        <v>0</v>
      </c>
      <c r="J598" s="58">
        <f t="shared" si="1555"/>
        <v>0</v>
      </c>
      <c r="K598" s="58">
        <f t="shared" si="1555"/>
        <v>0</v>
      </c>
      <c r="L598" s="58">
        <f t="shared" si="1555"/>
        <v>0</v>
      </c>
      <c r="M598" s="58">
        <f t="shared" si="1555"/>
        <v>0</v>
      </c>
      <c r="N598" s="58">
        <f t="shared" si="1555"/>
        <v>0</v>
      </c>
      <c r="O598" s="58">
        <f t="shared" si="1555"/>
        <v>0</v>
      </c>
      <c r="P598" s="58">
        <f t="shared" si="1555"/>
        <v>0</v>
      </c>
      <c r="Q598" s="58">
        <f t="shared" si="1555"/>
        <v>0</v>
      </c>
      <c r="R598" s="58">
        <f t="shared" si="1555"/>
        <v>0</v>
      </c>
      <c r="S598" s="58">
        <f t="shared" si="1555"/>
        <v>0</v>
      </c>
      <c r="T598" s="58">
        <f t="shared" si="1555"/>
        <v>0</v>
      </c>
      <c r="U598" s="58">
        <f t="shared" ref="U598" si="1556">SUMIF($D459:$D475,"*1_00*",U459:U475)+SUMIF($D459:$D475,"*2_00*",U459:U475)*U$88</f>
        <v>0</v>
      </c>
      <c r="V598" s="58">
        <f t="shared" ref="V598" si="1557">SUMIF($D459:$D475,"*1_00*",V459:V475)+SUMIF($D459:$D475,"*2_00*",V459:V475)*V$88</f>
        <v>0</v>
      </c>
      <c r="W598" s="58">
        <f t="shared" ref="W598" si="1558">SUMIF($D459:$D475,"*1_00*",W459:W475)+SUMIF($D459:$D475,"*2_00*",W459:W475)*W$88</f>
        <v>0</v>
      </c>
      <c r="X598" s="58">
        <f t="shared" ref="X598" si="1559">SUMIF($D459:$D475,"*1_00*",X459:X475)+SUMIF($D459:$D475,"*2_00*",X459:X475)*X$88</f>
        <v>0</v>
      </c>
      <c r="Y598" s="58">
        <f t="shared" ref="Y598" si="1560">SUMIF($D459:$D475,"*1_00*",Y459:Y475)+SUMIF($D459:$D475,"*2_00*",Y459:Y475)*Y$88</f>
        <v>0</v>
      </c>
      <c r="Z598" s="58">
        <f t="shared" ref="Z598" si="1561">SUMIF($D459:$D475,"*1_00*",Z459:Z475)+SUMIF($D459:$D475,"*2_00*",Z459:Z475)*Z$88</f>
        <v>0</v>
      </c>
      <c r="AA598" s="58">
        <f t="shared" ref="AA598" si="1562">SUMIF($D459:$D475,"*1_00*",AA459:AA475)+SUMIF($D459:$D475,"*2_00*",AA459:AA475)*AA$88</f>
        <v>0</v>
      </c>
      <c r="AB598" s="58">
        <f t="shared" ref="AB598:AC598" si="1563">SUMIF($D459:$D475,"*1_00*",AB459:AB475)+SUMIF($D459:$D475,"*2_00*",AB459:AB475)*AB$88</f>
        <v>0</v>
      </c>
      <c r="AC598" s="58">
        <f t="shared" si="1563"/>
        <v>0</v>
      </c>
      <c r="AD598" s="58"/>
      <c r="AE598" s="57">
        <f t="shared" si="1517"/>
        <v>0</v>
      </c>
    </row>
    <row r="599" spans="1:31" hidden="1" outlineLevel="2" x14ac:dyDescent="0.2">
      <c r="A599" s="48" t="str">
        <f ca="1">Language!A$386</f>
        <v xml:space="preserve">    сумма платежей без НДС</v>
      </c>
      <c r="C599" s="40" t="str">
        <f t="shared" ca="1" si="1545"/>
        <v>тыс. EUR</v>
      </c>
      <c r="F599" s="43">
        <f t="shared" ref="F599:T599" si="1564">SUMIF($D459:$D475,"*1_01*",F459:F475)</f>
        <v>0</v>
      </c>
      <c r="G599" s="43">
        <f t="shared" si="1564"/>
        <v>0</v>
      </c>
      <c r="H599" s="43">
        <f t="shared" si="1564"/>
        <v>0</v>
      </c>
      <c r="I599" s="43">
        <f t="shared" si="1564"/>
        <v>0</v>
      </c>
      <c r="J599" s="43">
        <f t="shared" si="1564"/>
        <v>0</v>
      </c>
      <c r="K599" s="43">
        <f t="shared" si="1564"/>
        <v>0</v>
      </c>
      <c r="L599" s="43">
        <f t="shared" si="1564"/>
        <v>0</v>
      </c>
      <c r="M599" s="43">
        <f t="shared" si="1564"/>
        <v>0</v>
      </c>
      <c r="N599" s="43">
        <f t="shared" si="1564"/>
        <v>0</v>
      </c>
      <c r="O599" s="43">
        <f t="shared" si="1564"/>
        <v>0</v>
      </c>
      <c r="P599" s="43">
        <f t="shared" si="1564"/>
        <v>0</v>
      </c>
      <c r="Q599" s="43">
        <f t="shared" si="1564"/>
        <v>0</v>
      </c>
      <c r="R599" s="43">
        <f t="shared" si="1564"/>
        <v>0</v>
      </c>
      <c r="S599" s="43">
        <f t="shared" si="1564"/>
        <v>0</v>
      </c>
      <c r="T599" s="43">
        <f t="shared" si="1564"/>
        <v>0</v>
      </c>
      <c r="U599" s="43">
        <f t="shared" ref="U599" si="1565">SUMIF($D459:$D475,"*1_01*",U459:U475)</f>
        <v>0</v>
      </c>
      <c r="V599" s="43">
        <f t="shared" ref="V599" si="1566">SUMIF($D459:$D475,"*1_01*",V459:V475)</f>
        <v>0</v>
      </c>
      <c r="W599" s="43">
        <f t="shared" ref="W599" si="1567">SUMIF($D459:$D475,"*1_01*",W459:W475)</f>
        <v>0</v>
      </c>
      <c r="X599" s="43">
        <f t="shared" ref="X599" si="1568">SUMIF($D459:$D475,"*1_01*",X459:X475)</f>
        <v>0</v>
      </c>
      <c r="Y599" s="43">
        <f t="shared" ref="Y599" si="1569">SUMIF($D459:$D475,"*1_01*",Y459:Y475)</f>
        <v>0</v>
      </c>
      <c r="Z599" s="43">
        <f t="shared" ref="Z599" si="1570">SUMIF($D459:$D475,"*1_01*",Z459:Z475)</f>
        <v>0</v>
      </c>
      <c r="AA599" s="43">
        <f t="shared" ref="AA599" si="1571">SUMIF($D459:$D475,"*1_01*",AA459:AA475)</f>
        <v>0</v>
      </c>
      <c r="AB599" s="43">
        <f t="shared" ref="AB599:AC599" si="1572">SUMIF($D459:$D475,"*1_01*",AB459:AB475)</f>
        <v>0</v>
      </c>
      <c r="AC599" s="43">
        <f t="shared" si="1572"/>
        <v>0</v>
      </c>
      <c r="AD599" s="43"/>
      <c r="AE599" s="54">
        <f t="shared" si="1517"/>
        <v>0</v>
      </c>
    </row>
    <row r="600" spans="1:31" hidden="1" outlineLevel="2" x14ac:dyDescent="0.2">
      <c r="A600" s="48" t="str">
        <f ca="1">Language!A$389</f>
        <v xml:space="preserve">    полная балансовая стоимость</v>
      </c>
      <c r="C600" s="40" t="str">
        <f t="shared" ca="1" si="1545"/>
        <v>тыс. EUR</v>
      </c>
      <c r="D600" s="16" t="s">
        <v>2594</v>
      </c>
      <c r="F600" s="43">
        <f t="shared" ref="F600:T600" ca="1" si="1573">SUMIF($D459:$D475,"*1_06*",F459:F475)</f>
        <v>0</v>
      </c>
      <c r="G600" s="43">
        <f t="shared" ca="1" si="1573"/>
        <v>0</v>
      </c>
      <c r="H600" s="43">
        <f t="shared" ca="1" si="1573"/>
        <v>0</v>
      </c>
      <c r="I600" s="43">
        <f t="shared" ca="1" si="1573"/>
        <v>0</v>
      </c>
      <c r="J600" s="43">
        <f t="shared" ca="1" si="1573"/>
        <v>0</v>
      </c>
      <c r="K600" s="43">
        <f t="shared" ca="1" si="1573"/>
        <v>0</v>
      </c>
      <c r="L600" s="43">
        <f t="shared" ca="1" si="1573"/>
        <v>0</v>
      </c>
      <c r="M600" s="43">
        <f t="shared" ca="1" si="1573"/>
        <v>0</v>
      </c>
      <c r="N600" s="43">
        <f t="shared" ca="1" si="1573"/>
        <v>0</v>
      </c>
      <c r="O600" s="43">
        <f t="shared" ca="1" si="1573"/>
        <v>0</v>
      </c>
      <c r="P600" s="43">
        <f t="shared" ca="1" si="1573"/>
        <v>0</v>
      </c>
      <c r="Q600" s="43">
        <f t="shared" ca="1" si="1573"/>
        <v>0</v>
      </c>
      <c r="R600" s="43">
        <f t="shared" ca="1" si="1573"/>
        <v>0</v>
      </c>
      <c r="S600" s="43">
        <f t="shared" ca="1" si="1573"/>
        <v>0</v>
      </c>
      <c r="T600" s="43">
        <f t="shared" ca="1" si="1573"/>
        <v>0</v>
      </c>
      <c r="U600" s="43">
        <f t="shared" ref="U600" ca="1" si="1574">SUMIF($D459:$D475,"*1_06*",U459:U475)</f>
        <v>0</v>
      </c>
      <c r="V600" s="43">
        <f t="shared" ref="V600" ca="1" si="1575">SUMIF($D459:$D475,"*1_06*",V459:V475)</f>
        <v>0</v>
      </c>
      <c r="W600" s="43">
        <f t="shared" ref="W600" ca="1" si="1576">SUMIF($D459:$D475,"*1_06*",W459:W475)</f>
        <v>0</v>
      </c>
      <c r="X600" s="43">
        <f t="shared" ref="X600" ca="1" si="1577">SUMIF($D459:$D475,"*1_06*",X459:X475)</f>
        <v>0</v>
      </c>
      <c r="Y600" s="43">
        <f t="shared" ref="Y600" ca="1" si="1578">SUMIF($D459:$D475,"*1_06*",Y459:Y475)</f>
        <v>0</v>
      </c>
      <c r="Z600" s="43">
        <f t="shared" ref="Z600" ca="1" si="1579">SUMIF($D459:$D475,"*1_06*",Z459:Z475)</f>
        <v>0</v>
      </c>
      <c r="AA600" s="43">
        <f t="shared" ref="AA600" ca="1" si="1580">SUMIF($D459:$D475,"*1_06*",AA459:AA475)</f>
        <v>0</v>
      </c>
      <c r="AB600" s="43">
        <f t="shared" ref="AB600:AC600" ca="1" si="1581">SUMIF($D459:$D475,"*1_06*",AB459:AB475)</f>
        <v>0</v>
      </c>
      <c r="AC600" s="43">
        <f t="shared" ca="1" si="1581"/>
        <v>0</v>
      </c>
      <c r="AD600" s="43"/>
      <c r="AE600" s="54"/>
    </row>
    <row r="601" spans="1:31" hidden="1" outlineLevel="2" x14ac:dyDescent="0.2">
      <c r="A601" s="23" t="str">
        <f ca="1">Language!A$408</f>
        <v xml:space="preserve">    доходность финансовых вложений</v>
      </c>
      <c r="C601" s="40" t="str">
        <f t="shared" ca="1" si="1545"/>
        <v>тыс. EUR</v>
      </c>
      <c r="D601" s="16"/>
      <c r="F601" s="43">
        <f t="shared" ref="F601:T601" ca="1" si="1582">SUMIF($D459:$D475,"*1_16*",F459:F475)</f>
        <v>0</v>
      </c>
      <c r="G601" s="43">
        <f t="shared" ca="1" si="1582"/>
        <v>0</v>
      </c>
      <c r="H601" s="43">
        <f t="shared" ca="1" si="1582"/>
        <v>0</v>
      </c>
      <c r="I601" s="43">
        <f t="shared" ca="1" si="1582"/>
        <v>0</v>
      </c>
      <c r="J601" s="43">
        <f t="shared" ca="1" si="1582"/>
        <v>0</v>
      </c>
      <c r="K601" s="43">
        <f t="shared" ca="1" si="1582"/>
        <v>0</v>
      </c>
      <c r="L601" s="43">
        <f t="shared" ca="1" si="1582"/>
        <v>0</v>
      </c>
      <c r="M601" s="43">
        <f t="shared" ca="1" si="1582"/>
        <v>0</v>
      </c>
      <c r="N601" s="43">
        <f t="shared" ca="1" si="1582"/>
        <v>0</v>
      </c>
      <c r="O601" s="43">
        <f t="shared" ca="1" si="1582"/>
        <v>0</v>
      </c>
      <c r="P601" s="43">
        <f t="shared" ca="1" si="1582"/>
        <v>0</v>
      </c>
      <c r="Q601" s="43">
        <f t="shared" ca="1" si="1582"/>
        <v>0</v>
      </c>
      <c r="R601" s="43">
        <f t="shared" ca="1" si="1582"/>
        <v>0</v>
      </c>
      <c r="S601" s="43">
        <f t="shared" ca="1" si="1582"/>
        <v>0</v>
      </c>
      <c r="T601" s="43">
        <f t="shared" ca="1" si="1582"/>
        <v>0</v>
      </c>
      <c r="U601" s="43">
        <f t="shared" ref="U601" ca="1" si="1583">SUMIF($D459:$D475,"*1_16*",U459:U475)</f>
        <v>0</v>
      </c>
      <c r="V601" s="43">
        <f t="shared" ref="V601" ca="1" si="1584">SUMIF($D459:$D475,"*1_16*",V459:V475)</f>
        <v>0</v>
      </c>
      <c r="W601" s="43">
        <f t="shared" ref="W601" ca="1" si="1585">SUMIF($D459:$D475,"*1_16*",W459:W475)</f>
        <v>0</v>
      </c>
      <c r="X601" s="43">
        <f t="shared" ref="X601" ca="1" si="1586">SUMIF($D459:$D475,"*1_16*",X459:X475)</f>
        <v>0</v>
      </c>
      <c r="Y601" s="43">
        <f t="shared" ref="Y601" ca="1" si="1587">SUMIF($D459:$D475,"*1_16*",Y459:Y475)</f>
        <v>0</v>
      </c>
      <c r="Z601" s="43">
        <f t="shared" ref="Z601" ca="1" si="1588">SUMIF($D459:$D475,"*1_16*",Z459:Z475)</f>
        <v>0</v>
      </c>
      <c r="AA601" s="43">
        <f t="shared" ref="AA601" ca="1" si="1589">SUMIF($D459:$D475,"*1_16*",AA459:AA475)</f>
        <v>0</v>
      </c>
      <c r="AB601" s="43">
        <f t="shared" ref="AB601:AC601" ca="1" si="1590">SUMIF($D459:$D475,"*1_16*",AB459:AB475)</f>
        <v>0</v>
      </c>
      <c r="AC601" s="43">
        <f t="shared" ca="1" si="1590"/>
        <v>0</v>
      </c>
      <c r="AD601" s="43"/>
      <c r="AE601" s="54">
        <f ca="1">SUM(F601:AC601)</f>
        <v>0</v>
      </c>
    </row>
    <row r="602" spans="1:31" hidden="1" outlineLevel="2" x14ac:dyDescent="0.2">
      <c r="A602" s="48" t="str">
        <f ca="1">Language!A$409</f>
        <v xml:space="preserve">    авансы выданные</v>
      </c>
      <c r="C602" s="40" t="str">
        <f t="shared" ca="1" si="1545"/>
        <v>тыс. EUR</v>
      </c>
      <c r="D602" s="16" t="s">
        <v>2594</v>
      </c>
      <c r="F602" s="43">
        <f t="shared" ref="F602:T602" ca="1" si="1591">SUMIF($D459:$D475,"*1_17*",F459:F475)</f>
        <v>0</v>
      </c>
      <c r="G602" s="43">
        <f t="shared" ca="1" si="1591"/>
        <v>0</v>
      </c>
      <c r="H602" s="43">
        <f t="shared" ca="1" si="1591"/>
        <v>0</v>
      </c>
      <c r="I602" s="43">
        <f t="shared" ca="1" si="1591"/>
        <v>0</v>
      </c>
      <c r="J602" s="43">
        <f t="shared" ca="1" si="1591"/>
        <v>0</v>
      </c>
      <c r="K602" s="43">
        <f t="shared" ca="1" si="1591"/>
        <v>0</v>
      </c>
      <c r="L602" s="43">
        <f t="shared" ca="1" si="1591"/>
        <v>0</v>
      </c>
      <c r="M602" s="43">
        <f t="shared" ca="1" si="1591"/>
        <v>0</v>
      </c>
      <c r="N602" s="43">
        <f t="shared" ca="1" si="1591"/>
        <v>0</v>
      </c>
      <c r="O602" s="43">
        <f t="shared" ca="1" si="1591"/>
        <v>0</v>
      </c>
      <c r="P602" s="43">
        <f t="shared" ca="1" si="1591"/>
        <v>0</v>
      </c>
      <c r="Q602" s="43">
        <f t="shared" ca="1" si="1591"/>
        <v>0</v>
      </c>
      <c r="R602" s="43">
        <f t="shared" ca="1" si="1591"/>
        <v>0</v>
      </c>
      <c r="S602" s="43">
        <f t="shared" ca="1" si="1591"/>
        <v>0</v>
      </c>
      <c r="T602" s="43">
        <f t="shared" ca="1" si="1591"/>
        <v>0</v>
      </c>
      <c r="U602" s="43">
        <f t="shared" ref="U602" ca="1" si="1592">SUMIF($D459:$D475,"*1_17*",U459:U475)</f>
        <v>0</v>
      </c>
      <c r="V602" s="43">
        <f t="shared" ref="V602" ca="1" si="1593">SUMIF($D459:$D475,"*1_17*",V459:V475)</f>
        <v>0</v>
      </c>
      <c r="W602" s="43">
        <f t="shared" ref="W602" ca="1" si="1594">SUMIF($D459:$D475,"*1_17*",W459:W475)</f>
        <v>0</v>
      </c>
      <c r="X602" s="43">
        <f t="shared" ref="X602" ca="1" si="1595">SUMIF($D459:$D475,"*1_17*",X459:X475)</f>
        <v>0</v>
      </c>
      <c r="Y602" s="43">
        <f t="shared" ref="Y602" ca="1" si="1596">SUMIF($D459:$D475,"*1_17*",Y459:Y475)</f>
        <v>0</v>
      </c>
      <c r="Z602" s="43">
        <f t="shared" ref="Z602" ca="1" si="1597">SUMIF($D459:$D475,"*1_17*",Z459:Z475)</f>
        <v>0</v>
      </c>
      <c r="AA602" s="43">
        <f t="shared" ref="AA602" ca="1" si="1598">SUMIF($D459:$D475,"*1_17*",AA459:AA475)</f>
        <v>0</v>
      </c>
      <c r="AB602" s="43">
        <f t="shared" ref="AB602:AC602" ca="1" si="1599">SUMIF($D459:$D475,"*1_17*",AB459:AB475)</f>
        <v>0</v>
      </c>
      <c r="AC602" s="43">
        <f t="shared" ca="1" si="1599"/>
        <v>0</v>
      </c>
      <c r="AD602" s="43"/>
      <c r="AE602" s="54"/>
    </row>
    <row r="603" spans="1:31" hidden="1" outlineLevel="2" x14ac:dyDescent="0.2">
      <c r="A603" s="48" t="str">
        <f ca="1">Language!A$391</f>
        <v xml:space="preserve">    кредиторская задолженность</v>
      </c>
      <c r="C603" s="40" t="str">
        <f t="shared" ca="1" si="1545"/>
        <v>тыс. EUR</v>
      </c>
      <c r="D603" s="16" t="s">
        <v>2594</v>
      </c>
      <c r="F603" s="43">
        <f t="shared" ref="F603:T603" ca="1" si="1600">SUMIF($D459:$D475,"*1_08*",F459:F475)</f>
        <v>0</v>
      </c>
      <c r="G603" s="43">
        <f t="shared" ca="1" si="1600"/>
        <v>0</v>
      </c>
      <c r="H603" s="43">
        <f t="shared" ca="1" si="1600"/>
        <v>0</v>
      </c>
      <c r="I603" s="43">
        <f t="shared" ca="1" si="1600"/>
        <v>0</v>
      </c>
      <c r="J603" s="43">
        <f t="shared" ca="1" si="1600"/>
        <v>0</v>
      </c>
      <c r="K603" s="43">
        <f t="shared" ca="1" si="1600"/>
        <v>0</v>
      </c>
      <c r="L603" s="43">
        <f t="shared" ca="1" si="1600"/>
        <v>0</v>
      </c>
      <c r="M603" s="43">
        <f t="shared" ca="1" si="1600"/>
        <v>0</v>
      </c>
      <c r="N603" s="43">
        <f t="shared" ca="1" si="1600"/>
        <v>0</v>
      </c>
      <c r="O603" s="43">
        <f t="shared" ca="1" si="1600"/>
        <v>0</v>
      </c>
      <c r="P603" s="43">
        <f t="shared" ca="1" si="1600"/>
        <v>0</v>
      </c>
      <c r="Q603" s="43">
        <f t="shared" ca="1" si="1600"/>
        <v>0</v>
      </c>
      <c r="R603" s="43">
        <f t="shared" ca="1" si="1600"/>
        <v>0</v>
      </c>
      <c r="S603" s="43">
        <f t="shared" ca="1" si="1600"/>
        <v>0</v>
      </c>
      <c r="T603" s="43">
        <f t="shared" ca="1" si="1600"/>
        <v>0</v>
      </c>
      <c r="U603" s="43">
        <f t="shared" ref="U603" ca="1" si="1601">SUMIF($D459:$D475,"*1_08*",U459:U475)</f>
        <v>0</v>
      </c>
      <c r="V603" s="43">
        <f t="shared" ref="V603" ca="1" si="1602">SUMIF($D459:$D475,"*1_08*",V459:V475)</f>
        <v>0</v>
      </c>
      <c r="W603" s="43">
        <f t="shared" ref="W603" ca="1" si="1603">SUMIF($D459:$D475,"*1_08*",W459:W475)</f>
        <v>0</v>
      </c>
      <c r="X603" s="43">
        <f t="shared" ref="X603" ca="1" si="1604">SUMIF($D459:$D475,"*1_08*",X459:X475)</f>
        <v>0</v>
      </c>
      <c r="Y603" s="43">
        <f t="shared" ref="Y603" ca="1" si="1605">SUMIF($D459:$D475,"*1_08*",Y459:Y475)</f>
        <v>0</v>
      </c>
      <c r="Z603" s="43">
        <f t="shared" ref="Z603" ca="1" si="1606">SUMIF($D459:$D475,"*1_08*",Z459:Z475)</f>
        <v>0</v>
      </c>
      <c r="AA603" s="43">
        <f t="shared" ref="AA603" ca="1" si="1607">SUMIF($D459:$D475,"*1_08*",AA459:AA475)</f>
        <v>0</v>
      </c>
      <c r="AB603" s="43">
        <f t="shared" ref="AB603:AC603" ca="1" si="1608">SUMIF($D459:$D475,"*1_08*",AB459:AB475)</f>
        <v>0</v>
      </c>
      <c r="AC603" s="43">
        <f t="shared" ca="1" si="1608"/>
        <v>0</v>
      </c>
      <c r="AD603" s="43"/>
      <c r="AE603" s="54"/>
    </row>
    <row r="604" spans="1:31" hidden="1" outlineLevel="2" x14ac:dyDescent="0.2">
      <c r="A604" s="48" t="str">
        <f ca="1">Language!A$396</f>
        <v xml:space="preserve">    выплаченный НДС</v>
      </c>
      <c r="C604" s="40" t="str">
        <f t="shared" ca="1" si="1545"/>
        <v>тыс. EUR</v>
      </c>
      <c r="F604" s="43">
        <f t="shared" ref="F604:T604" si="1609">SUMIF($D459:$D475,"*1_04*",F459:F475)</f>
        <v>0</v>
      </c>
      <c r="G604" s="43">
        <f t="shared" si="1609"/>
        <v>0</v>
      </c>
      <c r="H604" s="43">
        <f t="shared" si="1609"/>
        <v>0</v>
      </c>
      <c r="I604" s="43">
        <f t="shared" si="1609"/>
        <v>0</v>
      </c>
      <c r="J604" s="43">
        <f t="shared" si="1609"/>
        <v>0</v>
      </c>
      <c r="K604" s="43">
        <f t="shared" si="1609"/>
        <v>0</v>
      </c>
      <c r="L604" s="43">
        <f t="shared" si="1609"/>
        <v>0</v>
      </c>
      <c r="M604" s="43">
        <f t="shared" si="1609"/>
        <v>0</v>
      </c>
      <c r="N604" s="43">
        <f t="shared" si="1609"/>
        <v>0</v>
      </c>
      <c r="O604" s="43">
        <f t="shared" si="1609"/>
        <v>0</v>
      </c>
      <c r="P604" s="43">
        <f t="shared" si="1609"/>
        <v>0</v>
      </c>
      <c r="Q604" s="43">
        <f t="shared" si="1609"/>
        <v>0</v>
      </c>
      <c r="R604" s="43">
        <f t="shared" si="1609"/>
        <v>0</v>
      </c>
      <c r="S604" s="43">
        <f t="shared" si="1609"/>
        <v>0</v>
      </c>
      <c r="T604" s="43">
        <f t="shared" si="1609"/>
        <v>0</v>
      </c>
      <c r="U604" s="43">
        <f t="shared" ref="U604" si="1610">SUMIF($D459:$D475,"*1_04*",U459:U475)</f>
        <v>0</v>
      </c>
      <c r="V604" s="43">
        <f t="shared" ref="V604" si="1611">SUMIF($D459:$D475,"*1_04*",V459:V475)</f>
        <v>0</v>
      </c>
      <c r="W604" s="43">
        <f t="shared" ref="W604" si="1612">SUMIF($D459:$D475,"*1_04*",W459:W475)</f>
        <v>0</v>
      </c>
      <c r="X604" s="43">
        <f t="shared" ref="X604" si="1613">SUMIF($D459:$D475,"*1_04*",X459:X475)</f>
        <v>0</v>
      </c>
      <c r="Y604" s="43">
        <f t="shared" ref="Y604" si="1614">SUMIF($D459:$D475,"*1_04*",Y459:Y475)</f>
        <v>0</v>
      </c>
      <c r="Z604" s="43">
        <f t="shared" ref="Z604" si="1615">SUMIF($D459:$D475,"*1_04*",Z459:Z475)</f>
        <v>0</v>
      </c>
      <c r="AA604" s="43">
        <f t="shared" ref="AA604" si="1616">SUMIF($D459:$D475,"*1_04*",AA459:AA475)</f>
        <v>0</v>
      </c>
      <c r="AB604" s="43">
        <f t="shared" ref="AB604:AC604" si="1617">SUMIF($D459:$D475,"*1_04*",AB459:AB475)</f>
        <v>0</v>
      </c>
      <c r="AC604" s="43">
        <f t="shared" si="1617"/>
        <v>0</v>
      </c>
      <c r="AD604" s="43"/>
      <c r="AE604" s="54">
        <f t="shared" ref="AE604:AE610" si="1618">SUM(F604:AC604)</f>
        <v>0</v>
      </c>
    </row>
    <row r="605" spans="1:31" hidden="1" outlineLevel="2" x14ac:dyDescent="0.2">
      <c r="A605" s="48" t="str">
        <f ca="1">Language!A$400</f>
        <v xml:space="preserve">    зачет НДС</v>
      </c>
      <c r="C605" s="40" t="str">
        <f t="shared" ca="1" si="1545"/>
        <v>тыс. EUR</v>
      </c>
      <c r="F605" s="43">
        <f t="shared" ref="F605:T605" ca="1" si="1619">SUMIF($D459:$D475,"*1_12*",F459:F475)</f>
        <v>0</v>
      </c>
      <c r="G605" s="43">
        <f t="shared" ca="1" si="1619"/>
        <v>0</v>
      </c>
      <c r="H605" s="43">
        <f t="shared" ca="1" si="1619"/>
        <v>0</v>
      </c>
      <c r="I605" s="43">
        <f t="shared" ca="1" si="1619"/>
        <v>0</v>
      </c>
      <c r="J605" s="43">
        <f t="shared" ca="1" si="1619"/>
        <v>0</v>
      </c>
      <c r="K605" s="43">
        <f t="shared" ca="1" si="1619"/>
        <v>0</v>
      </c>
      <c r="L605" s="43">
        <f t="shared" ca="1" si="1619"/>
        <v>0</v>
      </c>
      <c r="M605" s="43">
        <f t="shared" ca="1" si="1619"/>
        <v>0</v>
      </c>
      <c r="N605" s="43">
        <f t="shared" ca="1" si="1619"/>
        <v>0</v>
      </c>
      <c r="O605" s="43">
        <f t="shared" ca="1" si="1619"/>
        <v>0</v>
      </c>
      <c r="P605" s="43">
        <f t="shared" ca="1" si="1619"/>
        <v>0</v>
      </c>
      <c r="Q605" s="43">
        <f t="shared" ca="1" si="1619"/>
        <v>0</v>
      </c>
      <c r="R605" s="43">
        <f t="shared" ca="1" si="1619"/>
        <v>0</v>
      </c>
      <c r="S605" s="43">
        <f t="shared" ca="1" si="1619"/>
        <v>0</v>
      </c>
      <c r="T605" s="43">
        <f t="shared" ca="1" si="1619"/>
        <v>0</v>
      </c>
      <c r="U605" s="43">
        <f t="shared" ref="U605" ca="1" si="1620">SUMIF($D459:$D475,"*1_12*",U459:U475)</f>
        <v>0</v>
      </c>
      <c r="V605" s="43">
        <f t="shared" ref="V605" ca="1" si="1621">SUMIF($D459:$D475,"*1_12*",V459:V475)</f>
        <v>0</v>
      </c>
      <c r="W605" s="43">
        <f t="shared" ref="W605" ca="1" si="1622">SUMIF($D459:$D475,"*1_12*",W459:W475)</f>
        <v>0</v>
      </c>
      <c r="X605" s="43">
        <f t="shared" ref="X605" ca="1" si="1623">SUMIF($D459:$D475,"*1_12*",X459:X475)</f>
        <v>0</v>
      </c>
      <c r="Y605" s="43">
        <f t="shared" ref="Y605" ca="1" si="1624">SUMIF($D459:$D475,"*1_12*",Y459:Y475)</f>
        <v>0</v>
      </c>
      <c r="Z605" s="43">
        <f t="shared" ref="Z605" ca="1" si="1625">SUMIF($D459:$D475,"*1_12*",Z459:Z475)</f>
        <v>0</v>
      </c>
      <c r="AA605" s="43">
        <f t="shared" ref="AA605" ca="1" si="1626">SUMIF($D459:$D475,"*1_12*",AA459:AA475)</f>
        <v>0</v>
      </c>
      <c r="AB605" s="43">
        <f t="shared" ref="AB605:AC605" ca="1" si="1627">SUMIF($D459:$D475,"*1_12*",AB459:AB475)</f>
        <v>0</v>
      </c>
      <c r="AC605" s="43">
        <f t="shared" ca="1" si="1627"/>
        <v>0</v>
      </c>
      <c r="AD605" s="43"/>
      <c r="AE605" s="54">
        <f t="shared" ca="1" si="1618"/>
        <v>0</v>
      </c>
    </row>
    <row r="606" spans="1:31" hidden="1" outlineLevel="2" x14ac:dyDescent="0.2">
      <c r="A606" s="19" t="str">
        <f ca="1">Language!A$362</f>
        <v xml:space="preserve">    реализация актива (без НДС)</v>
      </c>
      <c r="C606" s="40" t="str">
        <f t="shared" ca="1" si="1545"/>
        <v>тыс. EUR</v>
      </c>
      <c r="F606" s="43">
        <f t="shared" ref="F606:T606" si="1628">SUMIF($D459:$D475,"*1_13*",F459:F475)</f>
        <v>0</v>
      </c>
      <c r="G606" s="43">
        <f t="shared" si="1628"/>
        <v>0</v>
      </c>
      <c r="H606" s="43">
        <f t="shared" si="1628"/>
        <v>0</v>
      </c>
      <c r="I606" s="43">
        <f t="shared" si="1628"/>
        <v>0</v>
      </c>
      <c r="J606" s="43">
        <f t="shared" si="1628"/>
        <v>0</v>
      </c>
      <c r="K606" s="43">
        <f t="shared" si="1628"/>
        <v>0</v>
      </c>
      <c r="L606" s="43">
        <f t="shared" si="1628"/>
        <v>0</v>
      </c>
      <c r="M606" s="43">
        <f t="shared" si="1628"/>
        <v>0</v>
      </c>
      <c r="N606" s="43">
        <f t="shared" si="1628"/>
        <v>0</v>
      </c>
      <c r="O606" s="43">
        <f t="shared" si="1628"/>
        <v>0</v>
      </c>
      <c r="P606" s="43">
        <f t="shared" si="1628"/>
        <v>0</v>
      </c>
      <c r="Q606" s="43">
        <f t="shared" si="1628"/>
        <v>0</v>
      </c>
      <c r="R606" s="43">
        <f t="shared" si="1628"/>
        <v>0</v>
      </c>
      <c r="S606" s="43">
        <f t="shared" si="1628"/>
        <v>0</v>
      </c>
      <c r="T606" s="43">
        <f t="shared" si="1628"/>
        <v>0</v>
      </c>
      <c r="U606" s="43">
        <f t="shared" ref="U606" si="1629">SUMIF($D459:$D475,"*1_13*",U459:U475)</f>
        <v>0</v>
      </c>
      <c r="V606" s="43">
        <f t="shared" ref="V606" si="1630">SUMIF($D459:$D475,"*1_13*",V459:V475)</f>
        <v>0</v>
      </c>
      <c r="W606" s="43">
        <f t="shared" ref="W606" si="1631">SUMIF($D459:$D475,"*1_13*",W459:W475)</f>
        <v>0</v>
      </c>
      <c r="X606" s="43">
        <f t="shared" ref="X606" si="1632">SUMIF($D459:$D475,"*1_13*",X459:X475)</f>
        <v>0</v>
      </c>
      <c r="Y606" s="43">
        <f t="shared" ref="Y606" si="1633">SUMIF($D459:$D475,"*1_13*",Y459:Y475)</f>
        <v>0</v>
      </c>
      <c r="Z606" s="43">
        <f t="shared" ref="Z606" si="1634">SUMIF($D459:$D475,"*1_13*",Z459:Z475)</f>
        <v>0</v>
      </c>
      <c r="AA606" s="43">
        <f t="shared" ref="AA606" si="1635">SUMIF($D459:$D475,"*1_13*",AA459:AA475)</f>
        <v>0</v>
      </c>
      <c r="AB606" s="43">
        <f t="shared" ref="AB606:AC606" si="1636">SUMIF($D459:$D475,"*1_13*",AB459:AB475)</f>
        <v>0</v>
      </c>
      <c r="AC606" s="43">
        <f t="shared" si="1636"/>
        <v>0</v>
      </c>
      <c r="AD606" s="43"/>
      <c r="AE606" s="54">
        <f t="shared" si="1618"/>
        <v>0</v>
      </c>
    </row>
    <row r="607" spans="1:31" hidden="1" outlineLevel="2" x14ac:dyDescent="0.2">
      <c r="A607" s="19" t="str">
        <f ca="1">Language!A$363</f>
        <v xml:space="preserve">    прибыль/убыток от реализации актива</v>
      </c>
      <c r="C607" s="40" t="str">
        <f t="shared" ca="1" si="1545"/>
        <v>тыс. EUR</v>
      </c>
      <c r="F607" s="43">
        <f t="shared" ref="F607:T607" si="1637">SUMIF($D459:$D475,"*1_14*",F459:F475)</f>
        <v>0</v>
      </c>
      <c r="G607" s="43">
        <f t="shared" si="1637"/>
        <v>0</v>
      </c>
      <c r="H607" s="43">
        <f t="shared" si="1637"/>
        <v>0</v>
      </c>
      <c r="I607" s="43">
        <f t="shared" si="1637"/>
        <v>0</v>
      </c>
      <c r="J607" s="43">
        <f t="shared" si="1637"/>
        <v>0</v>
      </c>
      <c r="K607" s="43">
        <f t="shared" si="1637"/>
        <v>0</v>
      </c>
      <c r="L607" s="43">
        <f t="shared" si="1637"/>
        <v>0</v>
      </c>
      <c r="M607" s="43">
        <f t="shared" si="1637"/>
        <v>0</v>
      </c>
      <c r="N607" s="43">
        <f t="shared" si="1637"/>
        <v>0</v>
      </c>
      <c r="O607" s="43">
        <f t="shared" si="1637"/>
        <v>0</v>
      </c>
      <c r="P607" s="43">
        <f t="shared" si="1637"/>
        <v>0</v>
      </c>
      <c r="Q607" s="43">
        <f t="shared" si="1637"/>
        <v>0</v>
      </c>
      <c r="R607" s="43">
        <f t="shared" si="1637"/>
        <v>0</v>
      </c>
      <c r="S607" s="43">
        <f t="shared" si="1637"/>
        <v>0</v>
      </c>
      <c r="T607" s="43">
        <f t="shared" si="1637"/>
        <v>0</v>
      </c>
      <c r="U607" s="43">
        <f t="shared" ref="U607" si="1638">SUMIF($D459:$D475,"*1_14*",U459:U475)</f>
        <v>0</v>
      </c>
      <c r="V607" s="43">
        <f t="shared" ref="V607" si="1639">SUMIF($D459:$D475,"*1_14*",V459:V475)</f>
        <v>0</v>
      </c>
      <c r="W607" s="43">
        <f t="shared" ref="W607" si="1640">SUMIF($D459:$D475,"*1_14*",W459:W475)</f>
        <v>0</v>
      </c>
      <c r="X607" s="43">
        <f t="shared" ref="X607" si="1641">SUMIF($D459:$D475,"*1_14*",X459:X475)</f>
        <v>0</v>
      </c>
      <c r="Y607" s="43">
        <f t="shared" ref="Y607" si="1642">SUMIF($D459:$D475,"*1_14*",Y459:Y475)</f>
        <v>0</v>
      </c>
      <c r="Z607" s="43">
        <f t="shared" ref="Z607" si="1643">SUMIF($D459:$D475,"*1_14*",Z459:Z475)</f>
        <v>0</v>
      </c>
      <c r="AA607" s="43">
        <f t="shared" ref="AA607" si="1644">SUMIF($D459:$D475,"*1_14*",AA459:AA475)</f>
        <v>0</v>
      </c>
      <c r="AB607" s="43">
        <f t="shared" ref="AB607:AC607" si="1645">SUMIF($D459:$D475,"*1_14*",AB459:AB475)</f>
        <v>0</v>
      </c>
      <c r="AC607" s="43">
        <f t="shared" si="1645"/>
        <v>0</v>
      </c>
      <c r="AD607" s="43"/>
      <c r="AE607" s="54">
        <f t="shared" si="1618"/>
        <v>0</v>
      </c>
    </row>
    <row r="608" spans="1:31" hidden="1" outlineLevel="2" x14ac:dyDescent="0.2">
      <c r="A608" t="str">
        <f ca="1">Language!A$401</f>
        <v xml:space="preserve">    НДС к выручке от реализации актива</v>
      </c>
      <c r="C608" s="40" t="str">
        <f t="shared" ca="1" si="1545"/>
        <v>тыс. EUR</v>
      </c>
      <c r="F608" s="43">
        <f t="shared" ref="F608:T608" si="1646">SUMIF($D459:$D475,"*1_15*",F459:F475)</f>
        <v>0</v>
      </c>
      <c r="G608" s="43">
        <f t="shared" si="1646"/>
        <v>0</v>
      </c>
      <c r="H608" s="43">
        <f t="shared" si="1646"/>
        <v>0</v>
      </c>
      <c r="I608" s="43">
        <f t="shared" si="1646"/>
        <v>0</v>
      </c>
      <c r="J608" s="43">
        <f t="shared" si="1646"/>
        <v>0</v>
      </c>
      <c r="K608" s="43">
        <f t="shared" si="1646"/>
        <v>0</v>
      </c>
      <c r="L608" s="43">
        <f t="shared" si="1646"/>
        <v>0</v>
      </c>
      <c r="M608" s="43">
        <f t="shared" si="1646"/>
        <v>0</v>
      </c>
      <c r="N608" s="43">
        <f t="shared" si="1646"/>
        <v>0</v>
      </c>
      <c r="O608" s="43">
        <f t="shared" si="1646"/>
        <v>0</v>
      </c>
      <c r="P608" s="43">
        <f t="shared" si="1646"/>
        <v>0</v>
      </c>
      <c r="Q608" s="43">
        <f t="shared" si="1646"/>
        <v>0</v>
      </c>
      <c r="R608" s="43">
        <f t="shared" si="1646"/>
        <v>0</v>
      </c>
      <c r="S608" s="43">
        <f t="shared" si="1646"/>
        <v>0</v>
      </c>
      <c r="T608" s="43">
        <f t="shared" si="1646"/>
        <v>0</v>
      </c>
      <c r="U608" s="43">
        <f t="shared" ref="U608" si="1647">SUMIF($D459:$D475,"*1_15*",U459:U475)</f>
        <v>0</v>
      </c>
      <c r="V608" s="43">
        <f t="shared" ref="V608" si="1648">SUMIF($D459:$D475,"*1_15*",V459:V475)</f>
        <v>0</v>
      </c>
      <c r="W608" s="43">
        <f t="shared" ref="W608" si="1649">SUMIF($D459:$D475,"*1_15*",W459:W475)</f>
        <v>0</v>
      </c>
      <c r="X608" s="43">
        <f t="shared" ref="X608" si="1650">SUMIF($D459:$D475,"*1_15*",X459:X475)</f>
        <v>0</v>
      </c>
      <c r="Y608" s="43">
        <f t="shared" ref="Y608" si="1651">SUMIF($D459:$D475,"*1_15*",Y459:Y475)</f>
        <v>0</v>
      </c>
      <c r="Z608" s="43">
        <f t="shared" ref="Z608" si="1652">SUMIF($D459:$D475,"*1_15*",Z459:Z475)</f>
        <v>0</v>
      </c>
      <c r="AA608" s="43">
        <f t="shared" ref="AA608" si="1653">SUMIF($D459:$D475,"*1_15*",AA459:AA475)</f>
        <v>0</v>
      </c>
      <c r="AB608" s="43">
        <f t="shared" ref="AB608:AC608" si="1654">SUMIF($D459:$D475,"*1_15*",AB459:AB475)</f>
        <v>0</v>
      </c>
      <c r="AC608" s="43">
        <f t="shared" si="1654"/>
        <v>0</v>
      </c>
      <c r="AD608" s="43"/>
      <c r="AE608" s="54">
        <f t="shared" si="1618"/>
        <v>0</v>
      </c>
    </row>
    <row r="609" spans="1:31" s="35" customFormat="1" outlineLevel="1" collapsed="1" x14ac:dyDescent="0.2">
      <c r="A609" s="35" t="s">
        <v>930</v>
      </c>
      <c r="C609" s="40" t="str">
        <f t="shared" ca="1" si="1545"/>
        <v>тыс. EUR</v>
      </c>
      <c r="F609" s="58">
        <f t="shared" ref="F609:T609" si="1655">SUMIF($D476:$D525,"*1_00*",F476:F525)+SUMIF($D476:$D525,"*2_00*",F476:F525)*F$88</f>
        <v>0</v>
      </c>
      <c r="G609" s="58">
        <f t="shared" si="1655"/>
        <v>0</v>
      </c>
      <c r="H609" s="58">
        <f t="shared" si="1655"/>
        <v>0</v>
      </c>
      <c r="I609" s="58">
        <f t="shared" si="1655"/>
        <v>0</v>
      </c>
      <c r="J609" s="58">
        <f t="shared" ca="1" si="1655"/>
        <v>174.59738454375801</v>
      </c>
      <c r="K609" s="58">
        <f t="shared" si="1655"/>
        <v>398.64199465215285</v>
      </c>
      <c r="L609" s="58">
        <f t="shared" si="1655"/>
        <v>0</v>
      </c>
      <c r="M609" s="58">
        <f t="shared" si="1655"/>
        <v>0</v>
      </c>
      <c r="N609" s="58">
        <f t="shared" si="1655"/>
        <v>0</v>
      </c>
      <c r="O609" s="58">
        <f t="shared" si="1655"/>
        <v>0</v>
      </c>
      <c r="P609" s="58">
        <f t="shared" si="1655"/>
        <v>0</v>
      </c>
      <c r="Q609" s="58">
        <f t="shared" si="1655"/>
        <v>0</v>
      </c>
      <c r="R609" s="58">
        <f t="shared" si="1655"/>
        <v>0</v>
      </c>
      <c r="S609" s="58">
        <f t="shared" si="1655"/>
        <v>0</v>
      </c>
      <c r="T609" s="58">
        <f t="shared" si="1655"/>
        <v>0</v>
      </c>
      <c r="U609" s="58">
        <f t="shared" ref="U609" si="1656">SUMIF($D476:$D525,"*1_00*",U476:U525)+SUMIF($D476:$D525,"*2_00*",U476:U525)*U$88</f>
        <v>0</v>
      </c>
      <c r="V609" s="58">
        <f t="shared" ref="V609" si="1657">SUMIF($D476:$D525,"*1_00*",V476:V525)+SUMIF($D476:$D525,"*2_00*",V476:V525)*V$88</f>
        <v>0</v>
      </c>
      <c r="W609" s="58">
        <f t="shared" ref="W609" si="1658">SUMIF($D476:$D525,"*1_00*",W476:W525)+SUMIF($D476:$D525,"*2_00*",W476:W525)*W$88</f>
        <v>0</v>
      </c>
      <c r="X609" s="58">
        <f t="shared" ref="X609" si="1659">SUMIF($D476:$D525,"*1_00*",X476:X525)+SUMIF($D476:$D525,"*2_00*",X476:X525)*X$88</f>
        <v>0</v>
      </c>
      <c r="Y609" s="58">
        <f t="shared" ref="Y609" si="1660">SUMIF($D476:$D525,"*1_00*",Y476:Y525)+SUMIF($D476:$D525,"*2_00*",Y476:Y525)*Y$88</f>
        <v>0</v>
      </c>
      <c r="Z609" s="58">
        <f t="shared" ref="Z609" si="1661">SUMIF($D476:$D525,"*1_00*",Z476:Z525)+SUMIF($D476:$D525,"*2_00*",Z476:Z525)*Z$88</f>
        <v>0</v>
      </c>
      <c r="AA609" s="58">
        <f t="shared" ref="AA609" si="1662">SUMIF($D476:$D525,"*1_00*",AA476:AA525)+SUMIF($D476:$D525,"*2_00*",AA476:AA525)*AA$88</f>
        <v>0</v>
      </c>
      <c r="AB609" s="58">
        <f t="shared" ref="AB609:AC609" si="1663">SUMIF($D476:$D525,"*1_00*",AB476:AB525)+SUMIF($D476:$D525,"*2_00*",AB476:AB525)*AB$88</f>
        <v>0</v>
      </c>
      <c r="AC609" s="58">
        <f t="shared" si="1663"/>
        <v>0</v>
      </c>
      <c r="AD609" s="58"/>
      <c r="AE609" s="57">
        <f t="shared" ca="1" si="1618"/>
        <v>573.23937919591083</v>
      </c>
    </row>
    <row r="610" spans="1:31" hidden="1" outlineLevel="2" x14ac:dyDescent="0.2">
      <c r="A610" s="48" t="str">
        <f ca="1">Language!A$386</f>
        <v xml:space="preserve">    сумма платежей без НДС</v>
      </c>
      <c r="C610" s="40" t="str">
        <f t="shared" ca="1" si="1545"/>
        <v>тыс. EUR</v>
      </c>
      <c r="F610" s="43">
        <f t="shared" ref="F610:T610" si="1664">SUMIF($D476:$D525,"*1_01*",F476:F525)</f>
        <v>0</v>
      </c>
      <c r="G610" s="43">
        <f t="shared" si="1664"/>
        <v>0</v>
      </c>
      <c r="H610" s="43">
        <f t="shared" si="1664"/>
        <v>0</v>
      </c>
      <c r="I610" s="43">
        <f t="shared" si="1664"/>
        <v>0</v>
      </c>
      <c r="J610" s="43">
        <f t="shared" ca="1" si="1664"/>
        <v>141.94909312500653</v>
      </c>
      <c r="K610" s="43">
        <f t="shared" si="1664"/>
        <v>324.09918264402671</v>
      </c>
      <c r="L610" s="43">
        <f t="shared" si="1664"/>
        <v>0</v>
      </c>
      <c r="M610" s="43">
        <f t="shared" si="1664"/>
        <v>0</v>
      </c>
      <c r="N610" s="43">
        <f t="shared" si="1664"/>
        <v>0</v>
      </c>
      <c r="O610" s="43">
        <f t="shared" si="1664"/>
        <v>0</v>
      </c>
      <c r="P610" s="43">
        <f t="shared" si="1664"/>
        <v>0</v>
      </c>
      <c r="Q610" s="43">
        <f t="shared" si="1664"/>
        <v>0</v>
      </c>
      <c r="R610" s="43">
        <f t="shared" si="1664"/>
        <v>0</v>
      </c>
      <c r="S610" s="43">
        <f t="shared" si="1664"/>
        <v>0</v>
      </c>
      <c r="T610" s="43">
        <f t="shared" si="1664"/>
        <v>0</v>
      </c>
      <c r="U610" s="43">
        <f t="shared" ref="U610" si="1665">SUMIF($D476:$D525,"*1_01*",U476:U525)</f>
        <v>0</v>
      </c>
      <c r="V610" s="43">
        <f t="shared" ref="V610" si="1666">SUMIF($D476:$D525,"*1_01*",V476:V525)</f>
        <v>0</v>
      </c>
      <c r="W610" s="43">
        <f t="shared" ref="W610" si="1667">SUMIF($D476:$D525,"*1_01*",W476:W525)</f>
        <v>0</v>
      </c>
      <c r="X610" s="43">
        <f t="shared" ref="X610" si="1668">SUMIF($D476:$D525,"*1_01*",X476:X525)</f>
        <v>0</v>
      </c>
      <c r="Y610" s="43">
        <f t="shared" ref="Y610" si="1669">SUMIF($D476:$D525,"*1_01*",Y476:Y525)</f>
        <v>0</v>
      </c>
      <c r="Z610" s="43">
        <f t="shared" ref="Z610" si="1670">SUMIF($D476:$D525,"*1_01*",Z476:Z525)</f>
        <v>0</v>
      </c>
      <c r="AA610" s="43">
        <f t="shared" ref="AA610" si="1671">SUMIF($D476:$D525,"*1_01*",AA476:AA525)</f>
        <v>0</v>
      </c>
      <c r="AB610" s="43">
        <f t="shared" ref="AB610:AC610" si="1672">SUMIF($D476:$D525,"*1_01*",AB476:AB525)</f>
        <v>0</v>
      </c>
      <c r="AC610" s="43">
        <f t="shared" si="1672"/>
        <v>0</v>
      </c>
      <c r="AD610" s="43"/>
      <c r="AE610" s="54">
        <f t="shared" ca="1" si="1618"/>
        <v>466.04827576903324</v>
      </c>
    </row>
    <row r="611" spans="1:31" hidden="1" outlineLevel="2" x14ac:dyDescent="0.2">
      <c r="A611" s="48" t="str">
        <f ca="1">Language!A$389</f>
        <v xml:space="preserve">    полная балансовая стоимость</v>
      </c>
      <c r="C611" s="40" t="str">
        <f t="shared" ca="1" si="1545"/>
        <v>тыс. EUR</v>
      </c>
      <c r="D611" s="16" t="s">
        <v>2594</v>
      </c>
      <c r="F611" s="43">
        <f t="shared" ref="F611:T611" ca="1" si="1673">SUMIF($D476:$D525,"*1_06*",F476:F525)</f>
        <v>0</v>
      </c>
      <c r="G611" s="43">
        <f t="shared" ca="1" si="1673"/>
        <v>0</v>
      </c>
      <c r="H611" s="43">
        <f t="shared" ca="1" si="1673"/>
        <v>0</v>
      </c>
      <c r="I611" s="43">
        <f t="shared" ca="1" si="1673"/>
        <v>0</v>
      </c>
      <c r="J611" s="43">
        <f t="shared" ca="1" si="1673"/>
        <v>0</v>
      </c>
      <c r="K611" s="43">
        <f t="shared" ca="1" si="1673"/>
        <v>0</v>
      </c>
      <c r="L611" s="43">
        <f t="shared" ca="1" si="1673"/>
        <v>466.04827576903324</v>
      </c>
      <c r="M611" s="43">
        <f t="shared" ca="1" si="1673"/>
        <v>466.04827576903324</v>
      </c>
      <c r="N611" s="43">
        <f t="shared" ca="1" si="1673"/>
        <v>466.04827576903324</v>
      </c>
      <c r="O611" s="43">
        <f t="shared" ca="1" si="1673"/>
        <v>466.04827576903324</v>
      </c>
      <c r="P611" s="43">
        <f t="shared" ca="1" si="1673"/>
        <v>466.04827576903324</v>
      </c>
      <c r="Q611" s="43">
        <f t="shared" ca="1" si="1673"/>
        <v>466.04827576903324</v>
      </c>
      <c r="R611" s="43">
        <f t="shared" ca="1" si="1673"/>
        <v>466.04827576903324</v>
      </c>
      <c r="S611" s="43">
        <f t="shared" ca="1" si="1673"/>
        <v>466.04827576903324</v>
      </c>
      <c r="T611" s="43">
        <f t="shared" ca="1" si="1673"/>
        <v>466.04827576903324</v>
      </c>
      <c r="U611" s="43">
        <f t="shared" ref="U611" ca="1" si="1674">SUMIF($D476:$D525,"*1_06*",U476:U525)</f>
        <v>466.04827576903324</v>
      </c>
      <c r="V611" s="43">
        <f t="shared" ref="V611" ca="1" si="1675">SUMIF($D476:$D525,"*1_06*",V476:V525)</f>
        <v>466.04827576903324</v>
      </c>
      <c r="W611" s="43">
        <f t="shared" ref="W611" ca="1" si="1676">SUMIF($D476:$D525,"*1_06*",W476:W525)</f>
        <v>466.04827576903324</v>
      </c>
      <c r="X611" s="43">
        <f t="shared" ref="X611" ca="1" si="1677">SUMIF($D476:$D525,"*1_06*",X476:X525)</f>
        <v>466.04827576903324</v>
      </c>
      <c r="Y611" s="43">
        <f t="shared" ref="Y611" ca="1" si="1678">SUMIF($D476:$D525,"*1_06*",Y476:Y525)</f>
        <v>466.04827576903324</v>
      </c>
      <c r="Z611" s="43">
        <f t="shared" ref="Z611" ca="1" si="1679">SUMIF($D476:$D525,"*1_06*",Z476:Z525)</f>
        <v>466.04827576903324</v>
      </c>
      <c r="AA611" s="43">
        <f t="shared" ref="AA611" ca="1" si="1680">SUMIF($D476:$D525,"*1_06*",AA476:AA525)</f>
        <v>466.04827576903324</v>
      </c>
      <c r="AB611" s="43">
        <f t="shared" ref="AB611:AC611" ca="1" si="1681">SUMIF($D476:$D525,"*1_06*",AB476:AB525)</f>
        <v>466.04827576903324</v>
      </c>
      <c r="AC611" s="43">
        <f t="shared" ca="1" si="1681"/>
        <v>466.04827576903324</v>
      </c>
      <c r="AD611" s="43"/>
      <c r="AE611" s="54"/>
    </row>
    <row r="612" spans="1:31" hidden="1" outlineLevel="2" x14ac:dyDescent="0.2">
      <c r="A612" s="48" t="str">
        <f ca="1">Language!A$409</f>
        <v xml:space="preserve">    авансы выданные</v>
      </c>
      <c r="C612" s="40" t="str">
        <f t="shared" ca="1" si="1545"/>
        <v>тыс. EUR</v>
      </c>
      <c r="D612" s="16" t="s">
        <v>2594</v>
      </c>
      <c r="F612" s="43">
        <f t="shared" ref="F612:T612" ca="1" si="1682">SUMIF($D476:$D525,"*1_17*",F476:F525)</f>
        <v>0</v>
      </c>
      <c r="G612" s="43">
        <f t="shared" ca="1" si="1682"/>
        <v>0</v>
      </c>
      <c r="H612" s="43">
        <f t="shared" ca="1" si="1682"/>
        <v>0</v>
      </c>
      <c r="I612" s="43">
        <f t="shared" ca="1" si="1682"/>
        <v>0</v>
      </c>
      <c r="J612" s="43">
        <f t="shared" ca="1" si="1682"/>
        <v>141.94909312500653</v>
      </c>
      <c r="K612" s="43">
        <f t="shared" ca="1" si="1682"/>
        <v>466.04827576903324</v>
      </c>
      <c r="L612" s="43">
        <f t="shared" ca="1" si="1682"/>
        <v>0</v>
      </c>
      <c r="M612" s="43">
        <f t="shared" ca="1" si="1682"/>
        <v>0</v>
      </c>
      <c r="N612" s="43">
        <f t="shared" ca="1" si="1682"/>
        <v>0</v>
      </c>
      <c r="O612" s="43">
        <f t="shared" ca="1" si="1682"/>
        <v>0</v>
      </c>
      <c r="P612" s="43">
        <f t="shared" ca="1" si="1682"/>
        <v>0</v>
      </c>
      <c r="Q612" s="43">
        <f t="shared" ca="1" si="1682"/>
        <v>0</v>
      </c>
      <c r="R612" s="43">
        <f t="shared" ca="1" si="1682"/>
        <v>0</v>
      </c>
      <c r="S612" s="43">
        <f t="shared" ca="1" si="1682"/>
        <v>0</v>
      </c>
      <c r="T612" s="43">
        <f t="shared" ca="1" si="1682"/>
        <v>0</v>
      </c>
      <c r="U612" s="43">
        <f t="shared" ref="U612" ca="1" si="1683">SUMIF($D476:$D525,"*1_17*",U476:U525)</f>
        <v>0</v>
      </c>
      <c r="V612" s="43">
        <f t="shared" ref="V612" ca="1" si="1684">SUMIF($D476:$D525,"*1_17*",V476:V525)</f>
        <v>0</v>
      </c>
      <c r="W612" s="43">
        <f t="shared" ref="W612" ca="1" si="1685">SUMIF($D476:$D525,"*1_17*",W476:W525)</f>
        <v>0</v>
      </c>
      <c r="X612" s="43">
        <f t="shared" ref="X612" ca="1" si="1686">SUMIF($D476:$D525,"*1_17*",X476:X525)</f>
        <v>0</v>
      </c>
      <c r="Y612" s="43">
        <f t="shared" ref="Y612" ca="1" si="1687">SUMIF($D476:$D525,"*1_17*",Y476:Y525)</f>
        <v>0</v>
      </c>
      <c r="Z612" s="43">
        <f t="shared" ref="Z612" ca="1" si="1688">SUMIF($D476:$D525,"*1_17*",Z476:Z525)</f>
        <v>0</v>
      </c>
      <c r="AA612" s="43">
        <f t="shared" ref="AA612" ca="1" si="1689">SUMIF($D476:$D525,"*1_17*",AA476:AA525)</f>
        <v>0</v>
      </c>
      <c r="AB612" s="43">
        <f t="shared" ref="AB612:AC612" ca="1" si="1690">SUMIF($D476:$D525,"*1_17*",AB476:AB525)</f>
        <v>0</v>
      </c>
      <c r="AC612" s="43">
        <f t="shared" ca="1" si="1690"/>
        <v>0</v>
      </c>
      <c r="AD612" s="43"/>
      <c r="AE612" s="54"/>
    </row>
    <row r="613" spans="1:31" hidden="1" outlineLevel="2" x14ac:dyDescent="0.2">
      <c r="A613" s="48" t="str">
        <f ca="1">Language!A$391</f>
        <v xml:space="preserve">    кредиторская задолженность</v>
      </c>
      <c r="C613" s="40" t="str">
        <f t="shared" ca="1" si="1545"/>
        <v>тыс. EUR</v>
      </c>
      <c r="D613" s="16" t="s">
        <v>2594</v>
      </c>
      <c r="F613" s="43">
        <f t="shared" ref="F613:T613" ca="1" si="1691">SUMIF($D476:$D525,"*1_08*",F476:F525)</f>
        <v>0</v>
      </c>
      <c r="G613" s="43">
        <f t="shared" ca="1" si="1691"/>
        <v>0</v>
      </c>
      <c r="H613" s="43">
        <f t="shared" ca="1" si="1691"/>
        <v>0</v>
      </c>
      <c r="I613" s="43">
        <f t="shared" ca="1" si="1691"/>
        <v>0</v>
      </c>
      <c r="J613" s="43">
        <f t="shared" ca="1" si="1691"/>
        <v>0</v>
      </c>
      <c r="K613" s="43">
        <f t="shared" ca="1" si="1691"/>
        <v>0</v>
      </c>
      <c r="L613" s="43">
        <f t="shared" ca="1" si="1691"/>
        <v>0</v>
      </c>
      <c r="M613" s="43">
        <f t="shared" ca="1" si="1691"/>
        <v>0</v>
      </c>
      <c r="N613" s="43">
        <f t="shared" ca="1" si="1691"/>
        <v>0</v>
      </c>
      <c r="O613" s="43">
        <f t="shared" ca="1" si="1691"/>
        <v>0</v>
      </c>
      <c r="P613" s="43">
        <f t="shared" ca="1" si="1691"/>
        <v>0</v>
      </c>
      <c r="Q613" s="43">
        <f t="shared" ca="1" si="1691"/>
        <v>0</v>
      </c>
      <c r="R613" s="43">
        <f t="shared" ca="1" si="1691"/>
        <v>0</v>
      </c>
      <c r="S613" s="43">
        <f t="shared" ca="1" si="1691"/>
        <v>0</v>
      </c>
      <c r="T613" s="43">
        <f t="shared" ca="1" si="1691"/>
        <v>0</v>
      </c>
      <c r="U613" s="43">
        <f t="shared" ref="U613" ca="1" si="1692">SUMIF($D476:$D525,"*1_08*",U476:U525)</f>
        <v>0</v>
      </c>
      <c r="V613" s="43">
        <f t="shared" ref="V613" ca="1" si="1693">SUMIF($D476:$D525,"*1_08*",V476:V525)</f>
        <v>0</v>
      </c>
      <c r="W613" s="43">
        <f t="shared" ref="W613" ca="1" si="1694">SUMIF($D476:$D525,"*1_08*",W476:W525)</f>
        <v>0</v>
      </c>
      <c r="X613" s="43">
        <f t="shared" ref="X613" ca="1" si="1695">SUMIF($D476:$D525,"*1_08*",X476:X525)</f>
        <v>0</v>
      </c>
      <c r="Y613" s="43">
        <f t="shared" ref="Y613" ca="1" si="1696">SUMIF($D476:$D525,"*1_08*",Y476:Y525)</f>
        <v>0</v>
      </c>
      <c r="Z613" s="43">
        <f t="shared" ref="Z613" ca="1" si="1697">SUMIF($D476:$D525,"*1_08*",Z476:Z525)</f>
        <v>0</v>
      </c>
      <c r="AA613" s="43">
        <f t="shared" ref="AA613" ca="1" si="1698">SUMIF($D476:$D525,"*1_08*",AA476:AA525)</f>
        <v>0</v>
      </c>
      <c r="AB613" s="43">
        <f t="shared" ref="AB613:AC613" ca="1" si="1699">SUMIF($D476:$D525,"*1_08*",AB476:AB525)</f>
        <v>0</v>
      </c>
      <c r="AC613" s="43">
        <f t="shared" ca="1" si="1699"/>
        <v>0</v>
      </c>
      <c r="AD613" s="43"/>
      <c r="AE613" s="54"/>
    </row>
    <row r="614" spans="1:31" hidden="1" outlineLevel="2" x14ac:dyDescent="0.2">
      <c r="A614" s="48" t="str">
        <f ca="1">Language!A$423</f>
        <v xml:space="preserve">    амортизация</v>
      </c>
      <c r="C614" s="40" t="str">
        <f t="shared" ca="1" si="1545"/>
        <v>тыс. EUR</v>
      </c>
      <c r="F614" s="43">
        <f t="shared" ref="F614:T614" ca="1" si="1700">SUMIF($D476:$D525,"*1_02*",F476:F525)</f>
        <v>0</v>
      </c>
      <c r="G614" s="43">
        <f t="shared" ca="1" si="1700"/>
        <v>0</v>
      </c>
      <c r="H614" s="43">
        <f t="shared" ca="1" si="1700"/>
        <v>0</v>
      </c>
      <c r="I614" s="43">
        <f t="shared" ca="1" si="1700"/>
        <v>0</v>
      </c>
      <c r="J614" s="43">
        <f t="shared" ca="1" si="1700"/>
        <v>0</v>
      </c>
      <c r="K614" s="43">
        <f t="shared" ca="1" si="1700"/>
        <v>0</v>
      </c>
      <c r="L614" s="43">
        <f t="shared" ca="1" si="1700"/>
        <v>0</v>
      </c>
      <c r="M614" s="43">
        <f t="shared" ca="1" si="1700"/>
        <v>0</v>
      </c>
      <c r="N614" s="43">
        <f t="shared" ca="1" si="1700"/>
        <v>0</v>
      </c>
      <c r="O614" s="43">
        <f t="shared" ca="1" si="1700"/>
        <v>0</v>
      </c>
      <c r="P614" s="43">
        <f t="shared" ca="1" si="1700"/>
        <v>0</v>
      </c>
      <c r="Q614" s="43">
        <f t="shared" ca="1" si="1700"/>
        <v>0</v>
      </c>
      <c r="R614" s="43">
        <f t="shared" ca="1" si="1700"/>
        <v>0</v>
      </c>
      <c r="S614" s="43">
        <f t="shared" ca="1" si="1700"/>
        <v>0</v>
      </c>
      <c r="T614" s="43">
        <f t="shared" ca="1" si="1700"/>
        <v>0</v>
      </c>
      <c r="U614" s="43">
        <f t="shared" ref="U614" ca="1" si="1701">SUMIF($D476:$D525,"*1_02*",U476:U525)</f>
        <v>0</v>
      </c>
      <c r="V614" s="43">
        <f t="shared" ref="V614" ca="1" si="1702">SUMIF($D476:$D525,"*1_02*",V476:V525)</f>
        <v>0</v>
      </c>
      <c r="W614" s="43">
        <f t="shared" ref="W614" ca="1" si="1703">SUMIF($D476:$D525,"*1_02*",W476:W525)</f>
        <v>0</v>
      </c>
      <c r="X614" s="43">
        <f t="shared" ref="X614" ca="1" si="1704">SUMIF($D476:$D525,"*1_02*",X476:X525)</f>
        <v>0</v>
      </c>
      <c r="Y614" s="43">
        <f t="shared" ref="Y614" ca="1" si="1705">SUMIF($D476:$D525,"*1_02*",Y476:Y525)</f>
        <v>0</v>
      </c>
      <c r="Z614" s="43">
        <f t="shared" ref="Z614" ca="1" si="1706">SUMIF($D476:$D525,"*1_02*",Z476:Z525)</f>
        <v>0</v>
      </c>
      <c r="AA614" s="43">
        <f t="shared" ref="AA614" ca="1" si="1707">SUMIF($D476:$D525,"*1_02*",AA476:AA525)</f>
        <v>0</v>
      </c>
      <c r="AB614" s="43">
        <f t="shared" ref="AB614:AC614" ca="1" si="1708">SUMIF($D476:$D525,"*1_02*",AB476:AB525)</f>
        <v>0</v>
      </c>
      <c r="AC614" s="43">
        <f t="shared" ca="1" si="1708"/>
        <v>0</v>
      </c>
      <c r="AD614" s="43"/>
      <c r="AE614" s="54">
        <f ca="1">SUM(F614:AC614)</f>
        <v>0</v>
      </c>
    </row>
    <row r="615" spans="1:31" hidden="1" outlineLevel="2" x14ac:dyDescent="0.2">
      <c r="A615" s="48" t="str">
        <f ca="1">Language!A$392</f>
        <v xml:space="preserve">    остаточная стоимость</v>
      </c>
      <c r="C615" s="40" t="str">
        <f ca="1">CUR_Main</f>
        <v>тыс. EUR</v>
      </c>
      <c r="D615" s="16" t="s">
        <v>2594</v>
      </c>
      <c r="F615" s="43">
        <f t="shared" ref="F615:T615" ca="1" si="1709">SUMIF($D476:$D525,"*1_10*",F476:F525)</f>
        <v>0</v>
      </c>
      <c r="G615" s="43">
        <f t="shared" ca="1" si="1709"/>
        <v>0</v>
      </c>
      <c r="H615" s="43">
        <f t="shared" ca="1" si="1709"/>
        <v>0</v>
      </c>
      <c r="I615" s="43">
        <f t="shared" ca="1" si="1709"/>
        <v>0</v>
      </c>
      <c r="J615" s="43">
        <f t="shared" ca="1" si="1709"/>
        <v>0</v>
      </c>
      <c r="K615" s="43">
        <f t="shared" ca="1" si="1709"/>
        <v>0</v>
      </c>
      <c r="L615" s="43">
        <f t="shared" ca="1" si="1709"/>
        <v>466.04827576903324</v>
      </c>
      <c r="M615" s="43">
        <f t="shared" ca="1" si="1709"/>
        <v>466.04827576903324</v>
      </c>
      <c r="N615" s="43">
        <f t="shared" ca="1" si="1709"/>
        <v>466.04827576903324</v>
      </c>
      <c r="O615" s="43">
        <f t="shared" ca="1" si="1709"/>
        <v>466.04827576903324</v>
      </c>
      <c r="P615" s="43">
        <f t="shared" ca="1" si="1709"/>
        <v>466.04827576903324</v>
      </c>
      <c r="Q615" s="43">
        <f t="shared" ca="1" si="1709"/>
        <v>466.04827576903324</v>
      </c>
      <c r="R615" s="43">
        <f t="shared" ca="1" si="1709"/>
        <v>466.04827576903324</v>
      </c>
      <c r="S615" s="43">
        <f t="shared" ca="1" si="1709"/>
        <v>466.04827576903324</v>
      </c>
      <c r="T615" s="43">
        <f t="shared" ca="1" si="1709"/>
        <v>466.04827576903324</v>
      </c>
      <c r="U615" s="43">
        <f t="shared" ref="U615" ca="1" si="1710">SUMIF($D476:$D525,"*1_10*",U476:U525)</f>
        <v>466.04827576903324</v>
      </c>
      <c r="V615" s="43">
        <f t="shared" ref="V615" ca="1" si="1711">SUMIF($D476:$D525,"*1_10*",V476:V525)</f>
        <v>466.04827576903324</v>
      </c>
      <c r="W615" s="43">
        <f t="shared" ref="W615" ca="1" si="1712">SUMIF($D476:$D525,"*1_10*",W476:W525)</f>
        <v>466.04827576903324</v>
      </c>
      <c r="X615" s="43">
        <f t="shared" ref="X615" ca="1" si="1713">SUMIF($D476:$D525,"*1_10*",X476:X525)</f>
        <v>466.04827576903324</v>
      </c>
      <c r="Y615" s="43">
        <f t="shared" ref="Y615" ca="1" si="1714">SUMIF($D476:$D525,"*1_10*",Y476:Y525)</f>
        <v>466.04827576903324</v>
      </c>
      <c r="Z615" s="43">
        <f t="shared" ref="Z615" ca="1" si="1715">SUMIF($D476:$D525,"*1_10*",Z476:Z525)</f>
        <v>466.04827576903324</v>
      </c>
      <c r="AA615" s="43">
        <f t="shared" ref="AA615" ca="1" si="1716">SUMIF($D476:$D525,"*1_10*",AA476:AA525)</f>
        <v>466.04827576903324</v>
      </c>
      <c r="AB615" s="43">
        <f t="shared" ref="AB615:AC615" ca="1" si="1717">SUMIF($D476:$D525,"*1_10*",AB476:AB525)</f>
        <v>466.04827576903324</v>
      </c>
      <c r="AC615" s="43">
        <f t="shared" ca="1" si="1717"/>
        <v>466.04827576903324</v>
      </c>
      <c r="AD615" s="43"/>
      <c r="AE615" s="54"/>
    </row>
    <row r="616" spans="1:31" hidden="1" outlineLevel="2" x14ac:dyDescent="0.2">
      <c r="A616" s="48" t="str">
        <f ca="1">Language!A$396</f>
        <v xml:space="preserve">    выплаченный НДС</v>
      </c>
      <c r="C616" s="40" t="str">
        <f ca="1">CUR_Main</f>
        <v>тыс. EUR</v>
      </c>
      <c r="F616" s="43">
        <f t="shared" ref="F616:T616" si="1718">SUMIF($D476:$D525,"*1_04*",F476:F525)</f>
        <v>0</v>
      </c>
      <c r="G616" s="43">
        <f t="shared" si="1718"/>
        <v>0</v>
      </c>
      <c r="H616" s="43">
        <f t="shared" si="1718"/>
        <v>0</v>
      </c>
      <c r="I616" s="43">
        <f t="shared" si="1718"/>
        <v>0</v>
      </c>
      <c r="J616" s="43">
        <f t="shared" ca="1" si="1718"/>
        <v>32.648291418751505</v>
      </c>
      <c r="K616" s="43">
        <f t="shared" si="1718"/>
        <v>74.542812008126148</v>
      </c>
      <c r="L616" s="43">
        <f t="shared" si="1718"/>
        <v>0</v>
      </c>
      <c r="M616" s="43">
        <f t="shared" si="1718"/>
        <v>0</v>
      </c>
      <c r="N616" s="43">
        <f t="shared" si="1718"/>
        <v>0</v>
      </c>
      <c r="O616" s="43">
        <f t="shared" si="1718"/>
        <v>0</v>
      </c>
      <c r="P616" s="43">
        <f t="shared" si="1718"/>
        <v>0</v>
      </c>
      <c r="Q616" s="43">
        <f t="shared" si="1718"/>
        <v>0</v>
      </c>
      <c r="R616" s="43">
        <f t="shared" si="1718"/>
        <v>0</v>
      </c>
      <c r="S616" s="43">
        <f t="shared" si="1718"/>
        <v>0</v>
      </c>
      <c r="T616" s="43">
        <f t="shared" si="1718"/>
        <v>0</v>
      </c>
      <c r="U616" s="43">
        <f t="shared" ref="U616" si="1719">SUMIF($D476:$D525,"*1_04*",U476:U525)</f>
        <v>0</v>
      </c>
      <c r="V616" s="43">
        <f t="shared" ref="V616" si="1720">SUMIF($D476:$D525,"*1_04*",V476:V525)</f>
        <v>0</v>
      </c>
      <c r="W616" s="43">
        <f t="shared" ref="W616" si="1721">SUMIF($D476:$D525,"*1_04*",W476:W525)</f>
        <v>0</v>
      </c>
      <c r="X616" s="43">
        <f t="shared" ref="X616" si="1722">SUMIF($D476:$D525,"*1_04*",X476:X525)</f>
        <v>0</v>
      </c>
      <c r="Y616" s="43">
        <f t="shared" ref="Y616" si="1723">SUMIF($D476:$D525,"*1_04*",Y476:Y525)</f>
        <v>0</v>
      </c>
      <c r="Z616" s="43">
        <f t="shared" ref="Z616" si="1724">SUMIF($D476:$D525,"*1_04*",Z476:Z525)</f>
        <v>0</v>
      </c>
      <c r="AA616" s="43">
        <f t="shared" ref="AA616" si="1725">SUMIF($D476:$D525,"*1_04*",AA476:AA525)</f>
        <v>0</v>
      </c>
      <c r="AB616" s="43">
        <f t="shared" ref="AB616:AC616" si="1726">SUMIF($D476:$D525,"*1_04*",AB476:AB525)</f>
        <v>0</v>
      </c>
      <c r="AC616" s="43">
        <f t="shared" si="1726"/>
        <v>0</v>
      </c>
      <c r="AD616" s="43"/>
      <c r="AE616" s="54">
        <f ca="1">SUM(F616:AC616)</f>
        <v>107.19110342687765</v>
      </c>
    </row>
    <row r="617" spans="1:31" hidden="1" outlineLevel="2" x14ac:dyDescent="0.2">
      <c r="A617" s="48" t="str">
        <f ca="1">Language!A$400</f>
        <v xml:space="preserve">    зачет НДС</v>
      </c>
      <c r="C617" s="40" t="str">
        <f ca="1">CUR_Main</f>
        <v>тыс. EUR</v>
      </c>
      <c r="F617" s="43">
        <f t="shared" ref="F617:T617" ca="1" si="1727">SUMIF($D476:$D525,"*1_12*",F476:F525)</f>
        <v>0</v>
      </c>
      <c r="G617" s="43">
        <f t="shared" ca="1" si="1727"/>
        <v>0</v>
      </c>
      <c r="H617" s="43">
        <f t="shared" ca="1" si="1727"/>
        <v>0</v>
      </c>
      <c r="I617" s="43">
        <f t="shared" ca="1" si="1727"/>
        <v>0</v>
      </c>
      <c r="J617" s="43">
        <f t="shared" ca="1" si="1727"/>
        <v>0</v>
      </c>
      <c r="K617" s="43">
        <f t="shared" ca="1" si="1727"/>
        <v>0</v>
      </c>
      <c r="L617" s="43">
        <f t="shared" ca="1" si="1727"/>
        <v>107.19110342687765</v>
      </c>
      <c r="M617" s="43">
        <f t="shared" ca="1" si="1727"/>
        <v>0</v>
      </c>
      <c r="N617" s="43">
        <f t="shared" ca="1" si="1727"/>
        <v>0</v>
      </c>
      <c r="O617" s="43">
        <f t="shared" ca="1" si="1727"/>
        <v>0</v>
      </c>
      <c r="P617" s="43">
        <f t="shared" ca="1" si="1727"/>
        <v>0</v>
      </c>
      <c r="Q617" s="43">
        <f t="shared" ca="1" si="1727"/>
        <v>0</v>
      </c>
      <c r="R617" s="43">
        <f t="shared" ca="1" si="1727"/>
        <v>0</v>
      </c>
      <c r="S617" s="43">
        <f t="shared" ca="1" si="1727"/>
        <v>0</v>
      </c>
      <c r="T617" s="43">
        <f t="shared" ca="1" si="1727"/>
        <v>0</v>
      </c>
      <c r="U617" s="43">
        <f t="shared" ref="U617" ca="1" si="1728">SUMIF($D476:$D525,"*1_12*",U476:U525)</f>
        <v>0</v>
      </c>
      <c r="V617" s="43">
        <f t="shared" ref="V617" ca="1" si="1729">SUMIF($D476:$D525,"*1_12*",V476:V525)</f>
        <v>0</v>
      </c>
      <c r="W617" s="43">
        <f t="shared" ref="W617" ca="1" si="1730">SUMIF($D476:$D525,"*1_12*",W476:W525)</f>
        <v>0</v>
      </c>
      <c r="X617" s="43">
        <f t="shared" ref="X617" ca="1" si="1731">SUMIF($D476:$D525,"*1_12*",X476:X525)</f>
        <v>0</v>
      </c>
      <c r="Y617" s="43">
        <f t="shared" ref="Y617" ca="1" si="1732">SUMIF($D476:$D525,"*1_12*",Y476:Y525)</f>
        <v>0</v>
      </c>
      <c r="Z617" s="43">
        <f t="shared" ref="Z617" ca="1" si="1733">SUMIF($D476:$D525,"*1_12*",Z476:Z525)</f>
        <v>0</v>
      </c>
      <c r="AA617" s="43">
        <f t="shared" ref="AA617" ca="1" si="1734">SUMIF($D476:$D525,"*1_12*",AA476:AA525)</f>
        <v>0</v>
      </c>
      <c r="AB617" s="43">
        <f t="shared" ref="AB617:AC617" ca="1" si="1735">SUMIF($D476:$D525,"*1_12*",AB476:AB525)</f>
        <v>0</v>
      </c>
      <c r="AC617" s="43">
        <f t="shared" ca="1" si="1735"/>
        <v>0</v>
      </c>
      <c r="AD617" s="43"/>
      <c r="AE617" s="54">
        <f ca="1">SUM(F617:AC617)</f>
        <v>107.19110342687765</v>
      </c>
    </row>
    <row r="618" spans="1:31" s="35" customFormat="1" outlineLevel="1" x14ac:dyDescent="0.2">
      <c r="A618" s="35" t="str">
        <f ca="1">Language!A429</f>
        <v xml:space="preserve"> = Итого: ВСЕ АКТИВЫ</v>
      </c>
      <c r="C618" s="40" t="str">
        <f ca="1">CUR_Main</f>
        <v>тыс. EUR</v>
      </c>
      <c r="F618" s="58">
        <f t="shared" ref="F618:T618" si="1736">F559+F551+F586+F598+F573+F609</f>
        <v>0</v>
      </c>
      <c r="G618" s="58">
        <f t="shared" si="1736"/>
        <v>0</v>
      </c>
      <c r="H618" s="58">
        <f t="shared" si="1736"/>
        <v>5695.3855543220343</v>
      </c>
      <c r="I618" s="58">
        <f t="shared" si="1736"/>
        <v>1519.56</v>
      </c>
      <c r="J618" s="58">
        <f t="shared" ca="1" si="1736"/>
        <v>7024.8891971793519</v>
      </c>
      <c r="K618" s="58">
        <f t="shared" si="1736"/>
        <v>2982.5256975335087</v>
      </c>
      <c r="L618" s="58">
        <f t="shared" si="1736"/>
        <v>0</v>
      </c>
      <c r="M618" s="58">
        <f t="shared" si="1736"/>
        <v>0</v>
      </c>
      <c r="N618" s="58">
        <f t="shared" si="1736"/>
        <v>0</v>
      </c>
      <c r="O618" s="58">
        <f t="shared" si="1736"/>
        <v>0</v>
      </c>
      <c r="P618" s="58">
        <f t="shared" si="1736"/>
        <v>0</v>
      </c>
      <c r="Q618" s="58">
        <f t="shared" si="1736"/>
        <v>0</v>
      </c>
      <c r="R618" s="58">
        <f t="shared" si="1736"/>
        <v>0</v>
      </c>
      <c r="S618" s="58">
        <f t="shared" si="1736"/>
        <v>0</v>
      </c>
      <c r="T618" s="58">
        <f t="shared" si="1736"/>
        <v>0</v>
      </c>
      <c r="U618" s="58">
        <f t="shared" ref="U618" si="1737">U559+U551+U586+U598+U573+U609</f>
        <v>0</v>
      </c>
      <c r="V618" s="58">
        <f t="shared" ref="V618" si="1738">V559+V551+V586+V598+V573+V609</f>
        <v>0</v>
      </c>
      <c r="W618" s="58">
        <f t="shared" ref="W618" si="1739">W559+W551+W586+W598+W573+W609</f>
        <v>0</v>
      </c>
      <c r="X618" s="58">
        <f t="shared" ref="X618" si="1740">X559+X551+X586+X598+X573+X609</f>
        <v>0</v>
      </c>
      <c r="Y618" s="58">
        <f t="shared" ref="Y618" si="1741">Y559+Y551+Y586+Y598+Y573+Y609</f>
        <v>0</v>
      </c>
      <c r="Z618" s="58">
        <f t="shared" ref="Z618" si="1742">Z559+Z551+Z586+Z598+Z573+Z609</f>
        <v>0</v>
      </c>
      <c r="AA618" s="58">
        <f t="shared" ref="AA618" si="1743">AA559+AA551+AA586+AA598+AA573+AA609</f>
        <v>0</v>
      </c>
      <c r="AB618" s="58">
        <f t="shared" ref="AB618:AC618" si="1744">AB559+AB551+AB586+AB598+AB573+AB609</f>
        <v>0</v>
      </c>
      <c r="AC618" s="58">
        <f t="shared" si="1744"/>
        <v>0</v>
      </c>
      <c r="AD618" s="58"/>
      <c r="AE618" s="57">
        <f ca="1">SUM(F618:AC618)</f>
        <v>17222.360449034895</v>
      </c>
    </row>
    <row r="619" spans="1:31" outlineLevel="1" x14ac:dyDescent="0.2">
      <c r="A619" s="63"/>
      <c r="B619" s="63"/>
      <c r="C619" s="63"/>
      <c r="D619" s="63"/>
      <c r="E619" s="63"/>
      <c r="F619" s="63"/>
      <c r="G619" s="63"/>
      <c r="H619" s="63"/>
      <c r="I619" s="120"/>
      <c r="J619" s="120"/>
      <c r="K619" s="63"/>
      <c r="L619" s="63"/>
      <c r="M619" s="63"/>
      <c r="N619" s="63"/>
      <c r="O619" s="63"/>
      <c r="P619" s="63"/>
      <c r="Q619" s="63"/>
      <c r="R619" s="63"/>
      <c r="S619" s="63"/>
      <c r="T619" s="63"/>
      <c r="U619" s="63"/>
      <c r="V619" s="63"/>
      <c r="W619" s="63"/>
      <c r="X619" s="63"/>
      <c r="Y619" s="63"/>
      <c r="Z619" s="63"/>
      <c r="AA619" s="63"/>
      <c r="AB619" s="63"/>
      <c r="AC619" s="63"/>
      <c r="AD619" s="63"/>
      <c r="AE619" s="64"/>
    </row>
    <row r="620" spans="1:31" outlineLevel="1" x14ac:dyDescent="0.2">
      <c r="A620" s="19"/>
      <c r="B620" s="19"/>
      <c r="C620" s="19"/>
      <c r="D620" s="19"/>
      <c r="E620" s="19"/>
      <c r="F620" s="19"/>
      <c r="G620" s="19"/>
      <c r="H620" s="19"/>
      <c r="I620" s="65">
        <f ca="1">SUM(G618:K618)</f>
        <v>17222.360449034895</v>
      </c>
      <c r="J620" s="65"/>
      <c r="K620" s="19"/>
      <c r="L620" s="19"/>
      <c r="M620" s="19"/>
      <c r="N620" s="19"/>
      <c r="O620" s="19"/>
      <c r="P620" s="19"/>
      <c r="Q620" s="19"/>
      <c r="R620" s="19"/>
      <c r="S620" s="19"/>
      <c r="T620" s="19"/>
      <c r="U620" s="19"/>
      <c r="V620" s="19"/>
      <c r="W620" s="19"/>
      <c r="X620" s="19"/>
      <c r="Y620" s="19"/>
      <c r="Z620" s="19"/>
      <c r="AA620" s="19"/>
      <c r="AB620" s="19"/>
      <c r="AC620" s="19"/>
      <c r="AD620" s="19"/>
      <c r="AE620" s="22"/>
    </row>
    <row r="621" spans="1:31" s="4" customFormat="1" ht="15.95" customHeight="1" collapsed="1" thickBot="1" x14ac:dyDescent="0.25">
      <c r="A621" s="165" t="str">
        <f ca="1">Language!A430</f>
        <v xml:space="preserve">         ЛИЗИНГ</v>
      </c>
      <c r="B621" s="165"/>
      <c r="C621" s="165"/>
      <c r="D621" s="165"/>
      <c r="E621" s="165"/>
      <c r="F621" s="177" t="str">
        <f t="shared" ref="F621:AC621" ca="1" si="1745">PeriodTitle</f>
        <v>1 кв. 2016</v>
      </c>
      <c r="G621" s="177" t="str">
        <f t="shared" ca="1" si="1745"/>
        <v>2 кв. 2016</v>
      </c>
      <c r="H621" s="177" t="str">
        <f t="shared" ca="1" si="1745"/>
        <v>3 кв. 2016</v>
      </c>
      <c r="I621" s="177" t="str">
        <f t="shared" ca="1" si="1745"/>
        <v>4 кв. 2016</v>
      </c>
      <c r="J621" s="177" t="str">
        <f t="shared" ca="1" si="1745"/>
        <v>1 кв. 2017</v>
      </c>
      <c r="K621" s="177" t="str">
        <f t="shared" ca="1" si="1745"/>
        <v>2 кв. 2017</v>
      </c>
      <c r="L621" s="177" t="str">
        <f t="shared" ca="1" si="1745"/>
        <v>3 кв. 2017</v>
      </c>
      <c r="M621" s="177" t="str">
        <f t="shared" ca="1" si="1745"/>
        <v>4 кв. 2017</v>
      </c>
      <c r="N621" s="177" t="str">
        <f t="shared" ca="1" si="1745"/>
        <v>1 кв. 2018</v>
      </c>
      <c r="O621" s="177" t="str">
        <f t="shared" ca="1" si="1745"/>
        <v>2 кв. 2018</v>
      </c>
      <c r="P621" s="177" t="str">
        <f t="shared" ca="1" si="1745"/>
        <v>3 кв. 2018</v>
      </c>
      <c r="Q621" s="177" t="str">
        <f t="shared" ca="1" si="1745"/>
        <v>4 кв. 2018</v>
      </c>
      <c r="R621" s="177" t="str">
        <f t="shared" ca="1" si="1745"/>
        <v>1 кв. 2019</v>
      </c>
      <c r="S621" s="177" t="str">
        <f t="shared" ca="1" si="1745"/>
        <v>2 кв. 2019</v>
      </c>
      <c r="T621" s="177" t="str">
        <f t="shared" ca="1" si="1745"/>
        <v>3 кв. 2019</v>
      </c>
      <c r="U621" s="177" t="str">
        <f t="shared" ca="1" si="1745"/>
        <v>4 кв. 2019</v>
      </c>
      <c r="V621" s="177" t="str">
        <f t="shared" ca="1" si="1745"/>
        <v>1 кв. 2020</v>
      </c>
      <c r="W621" s="177" t="str">
        <f t="shared" ca="1" si="1745"/>
        <v>2 кв. 2020</v>
      </c>
      <c r="X621" s="177" t="str">
        <f t="shared" ca="1" si="1745"/>
        <v>3 кв. 2020</v>
      </c>
      <c r="Y621" s="177" t="str">
        <f t="shared" ca="1" si="1745"/>
        <v>4 кв. 2020</v>
      </c>
      <c r="Z621" s="177" t="str">
        <f t="shared" ca="1" si="1745"/>
        <v>1 кв. 2021</v>
      </c>
      <c r="AA621" s="177" t="str">
        <f t="shared" ca="1" si="1745"/>
        <v>2 кв. 2021</v>
      </c>
      <c r="AB621" s="177" t="str">
        <f t="shared" ca="1" si="1745"/>
        <v>3 кв. 2021</v>
      </c>
      <c r="AC621" s="177" t="str">
        <f t="shared" ca="1" si="1745"/>
        <v>4 кв. 2021</v>
      </c>
      <c r="AD621" s="165"/>
      <c r="AE621" s="194" t="str">
        <f ca="1">Language!$A$372</f>
        <v>ИТОГО</v>
      </c>
    </row>
    <row r="622" spans="1:31" ht="12" hidden="1" outlineLevel="1" thickTop="1" x14ac:dyDescent="0.2">
      <c r="D622">
        <v>1</v>
      </c>
      <c r="E622" s="48">
        <v>23</v>
      </c>
    </row>
    <row r="623" spans="1:31" hidden="1" outlineLevel="1" x14ac:dyDescent="0.2">
      <c r="A623" s="273" t="str">
        <f ca="1">Language!A$431</f>
        <v>Наименование</v>
      </c>
    </row>
    <row r="624" spans="1:31" hidden="1" outlineLevel="1" x14ac:dyDescent="0.2">
      <c r="A624" s="52" t="str">
        <f ca="1">Language!A$73</f>
        <v>Валюта</v>
      </c>
      <c r="B624" s="254">
        <v>1</v>
      </c>
    </row>
    <row r="625" spans="1:31" hidden="1" outlineLevel="1" x14ac:dyDescent="0.2">
      <c r="A625" s="52" t="str">
        <f ca="1">Language!A$432</f>
        <v xml:space="preserve">    тип лизинга</v>
      </c>
      <c r="B625" s="254">
        <v>1</v>
      </c>
      <c r="C625" s="11" t="str">
        <f ca="1">OFFSET(Language!A$468,B625-1,0)</f>
        <v>с выкупом (учет на балансе лизингодателя)</v>
      </c>
    </row>
    <row r="626" spans="1:31" hidden="1" outlineLevel="1" x14ac:dyDescent="0.2">
      <c r="A626" s="52" t="str">
        <f ca="1">Language!A$433</f>
        <v xml:space="preserve">    № периода ввода в действие оборудования</v>
      </c>
      <c r="B626" s="254">
        <v>1</v>
      </c>
    </row>
    <row r="627" spans="1:31" hidden="1" outlineLevel="1" x14ac:dyDescent="0.2">
      <c r="A627" s="52" t="str">
        <f ca="1">Language!A$434</f>
        <v xml:space="preserve">    срок лизинга</v>
      </c>
      <c r="B627" s="254">
        <v>4</v>
      </c>
      <c r="C627" s="5" t="str">
        <f ca="1">PRJ_Step_SName</f>
        <v>кв.</v>
      </c>
    </row>
    <row r="628" spans="1:31" hidden="1" outlineLevel="1" x14ac:dyDescent="0.2">
      <c r="A628" s="52" t="str">
        <f ca="1">Language!A$435</f>
        <v>Стоимость объекта (с НДС)</v>
      </c>
      <c r="B628" s="277">
        <v>0</v>
      </c>
      <c r="C628" s="5" t="str">
        <f ca="1">CHOOSE(B624,CUR_Main,CUR_Foreign)</f>
        <v>тыс. EUR</v>
      </c>
      <c r="D628" s="16" t="str">
        <f>TEXT(B624,"0")&amp;"_01"&amp;";int_end"</f>
        <v>1_01;int_end</v>
      </c>
      <c r="E628" s="43">
        <f>B628/(1+B635)</f>
        <v>0</v>
      </c>
      <c r="F628" s="53">
        <f>IF(F$29&gt;=$B626,$E628,0)*IF(SUM($E629:E629)&gt;=$E628,0,1)*IF(AND(F$29&gt;=$B626+$B627,OR($B625=3,$B625=4)),0,1)</f>
        <v>0</v>
      </c>
      <c r="G628" s="53">
        <f>IF(G$29&gt;=$B626,$E628,0)*IF(SUM($E629:F629)&gt;=$E628,0,1)*IF(AND(G$29&gt;=$B626+$B627,OR($B625=3,$B625=4)),0,1)</f>
        <v>0</v>
      </c>
      <c r="H628" s="53">
        <f>IF(H$29&gt;=$B626,$E628,0)*IF(SUM($E629:G629)&gt;=$E628,0,1)*IF(AND(H$29&gt;=$B626+$B627,OR($B625=3,$B625=4)),0,1)</f>
        <v>0</v>
      </c>
      <c r="I628" s="53">
        <f>IF(I$29&gt;=$B626,$E628,0)*IF(SUM($E629:H629)&gt;=$E628,0,1)*IF(AND(I$29&gt;=$B626+$B627,OR($B625=3,$B625=4)),0,1)</f>
        <v>0</v>
      </c>
      <c r="J628" s="53">
        <f>IF(J$29&gt;=$B626,$E628,0)*IF(SUM($E629:I629)&gt;=$E628,0,1)*IF(AND(J$29&gt;=$B626+$B627,OR($B625=3,$B625=4)),0,1)</f>
        <v>0</v>
      </c>
      <c r="K628" s="53">
        <f>IF(K$29&gt;=$B626,$E628,0)*IF(SUM($E629:J629)&gt;=$E628,0,1)*IF(AND(K$29&gt;=$B626+$B627,OR($B625=3,$B625=4)),0,1)</f>
        <v>0</v>
      </c>
      <c r="L628" s="53">
        <f>IF(L$29&gt;=$B626,$E628,0)*IF(SUM($E629:K629)&gt;=$E628,0,1)*IF(AND(L$29&gt;=$B626+$B627,OR($B625=3,$B625=4)),0,1)</f>
        <v>0</v>
      </c>
      <c r="M628" s="53">
        <f>IF(M$29&gt;=$B626,$E628,0)*IF(SUM($E629:L629)&gt;=$E628,0,1)*IF(AND(M$29&gt;=$B626+$B627,OR($B625=3,$B625=4)),0,1)</f>
        <v>0</v>
      </c>
      <c r="N628" s="53">
        <f>IF(N$29&gt;=$B626,$E628,0)*IF(SUM($E629:M629)&gt;=$E628,0,1)*IF(AND(N$29&gt;=$B626+$B627,OR($B625=3,$B625=4)),0,1)</f>
        <v>0</v>
      </c>
      <c r="O628" s="53">
        <f>IF(O$29&gt;=$B626,$E628,0)*IF(SUM($E629:N629)&gt;=$E628,0,1)*IF(AND(O$29&gt;=$B626+$B627,OR($B625=3,$B625=4)),0,1)</f>
        <v>0</v>
      </c>
      <c r="P628" s="53">
        <f>IF(P$29&gt;=$B626,$E628,0)*IF(SUM($E629:O629)&gt;=$E628,0,1)*IF(AND(P$29&gt;=$B626+$B627,OR($B625=3,$B625=4)),0,1)</f>
        <v>0</v>
      </c>
      <c r="Q628" s="53">
        <f>IF(Q$29&gt;=$B626,$E628,0)*IF(SUM($E629:P629)&gt;=$E628,0,1)*IF(AND(Q$29&gt;=$B626+$B627,OR($B625=3,$B625=4)),0,1)</f>
        <v>0</v>
      </c>
      <c r="R628" s="53">
        <f>IF(R$29&gt;=$B626,$E628,0)*IF(SUM($E629:Q629)&gt;=$E628,0,1)*IF(AND(R$29&gt;=$B626+$B627,OR($B625=3,$B625=4)),0,1)</f>
        <v>0</v>
      </c>
      <c r="S628" s="53">
        <f>IF(S$29&gt;=$B626,$E628,0)*IF(SUM($E629:R629)&gt;=$E628,0,1)*IF(AND(S$29&gt;=$B626+$B627,OR($B625=3,$B625=4)),0,1)</f>
        <v>0</v>
      </c>
      <c r="T628" s="53">
        <f>IF(T$29&gt;=$B626,$E628,0)*IF(SUM($E629:S629)&gt;=$E628,0,1)*IF(AND(T$29&gt;=$B626+$B627,OR($B625=3,$B625=4)),0,1)</f>
        <v>0</v>
      </c>
      <c r="U628" s="53">
        <f>IF(U$29&gt;=$B626,$E628,0)*IF(SUM($E629:T629)&gt;=$E628,0,1)*IF(AND(U$29&gt;=$B626+$B627,OR($B625=3,$B625=4)),0,1)</f>
        <v>0</v>
      </c>
      <c r="V628" s="53">
        <f>IF(V$29&gt;=$B626,$E628,0)*IF(SUM($E629:U629)&gt;=$E628,0,1)*IF(AND(V$29&gt;=$B626+$B627,OR($B625=3,$B625=4)),0,1)</f>
        <v>0</v>
      </c>
      <c r="W628" s="53">
        <f>IF(W$29&gt;=$B626,$E628,0)*IF(SUM($E629:V629)&gt;=$E628,0,1)*IF(AND(W$29&gt;=$B626+$B627,OR($B625=3,$B625=4)),0,1)</f>
        <v>0</v>
      </c>
      <c r="X628" s="53">
        <f>IF(X$29&gt;=$B626,$E628,0)*IF(SUM($E629:W629)&gt;=$E628,0,1)*IF(AND(X$29&gt;=$B626+$B627,OR($B625=3,$B625=4)),0,1)</f>
        <v>0</v>
      </c>
      <c r="Y628" s="53">
        <f>IF(Y$29&gt;=$B626,$E628,0)*IF(SUM($E629:X629)&gt;=$E628,0,1)*IF(AND(Y$29&gt;=$B626+$B627,OR($B625=3,$B625=4)),0,1)</f>
        <v>0</v>
      </c>
      <c r="Z628" s="53">
        <f>IF(Z$29&gt;=$B626,$E628,0)*IF(SUM($E629:Y629)&gt;=$E628,0,1)*IF(AND(Z$29&gt;=$B626+$B627,OR($B625=3,$B625=4)),0,1)</f>
        <v>0</v>
      </c>
      <c r="AA628" s="53">
        <f>IF(AA$29&gt;=$B626,$E628,0)*IF(SUM($E629:Z629)&gt;=$E628,0,1)*IF(AND(AA$29&gt;=$B626+$B627,OR($B625=3,$B625=4)),0,1)</f>
        <v>0</v>
      </c>
      <c r="AB628" s="53">
        <f>IF(AB$29&gt;=$B626,$E628,0)*IF(SUM($E629:AA629)&gt;=$E628,0,1)*IF(AND(AB$29&gt;=$B626+$B627,OR($B625=3,$B625=4)),0,1)</f>
        <v>0</v>
      </c>
      <c r="AC628" s="53">
        <f>IF(AC$29&gt;=$B626,$E628,0)*IF(SUM($E629:AB629)&gt;=$E628,0,1)*IF(AND(AC$29&gt;=$B626+$B627,OR($B625=3,$B625=4)),0,1)</f>
        <v>0</v>
      </c>
    </row>
    <row r="629" spans="1:31" hidden="1" outlineLevel="1" x14ac:dyDescent="0.2">
      <c r="A629" s="52" t="str">
        <f ca="1">Language!A$436</f>
        <v xml:space="preserve">    амортизационные отчисления</v>
      </c>
      <c r="B629" s="278">
        <v>0.2</v>
      </c>
      <c r="C629" s="5" t="str">
        <f ca="1">CHOOSE(B624,CUR_Main,CUR_Foreign)</f>
        <v>тыс. EUR</v>
      </c>
      <c r="D629" t="str">
        <f>TEXT(B624,"0")&amp;"_02"</f>
        <v>1_02</v>
      </c>
      <c r="E629" s="43"/>
      <c r="F629" s="53">
        <f t="shared" ref="F629:AC629" si="1746">IF(F$29=$B626,$E628*$B629*PRJ_Step/360,IF(F$29&gt;$B626,MIN(E638,$E628*$B629*PRJ_Step/360),0))</f>
        <v>0</v>
      </c>
      <c r="G629" s="53">
        <f t="shared" si="1746"/>
        <v>0</v>
      </c>
      <c r="H629" s="53">
        <f t="shared" si="1746"/>
        <v>0</v>
      </c>
      <c r="I629" s="53">
        <f t="shared" si="1746"/>
        <v>0</v>
      </c>
      <c r="J629" s="53">
        <f t="shared" si="1746"/>
        <v>0</v>
      </c>
      <c r="K629" s="53">
        <f t="shared" si="1746"/>
        <v>0</v>
      </c>
      <c r="L629" s="53">
        <f t="shared" si="1746"/>
        <v>0</v>
      </c>
      <c r="M629" s="53">
        <f t="shared" si="1746"/>
        <v>0</v>
      </c>
      <c r="N629" s="53">
        <f t="shared" si="1746"/>
        <v>0</v>
      </c>
      <c r="O629" s="53">
        <f t="shared" si="1746"/>
        <v>0</v>
      </c>
      <c r="P629" s="53">
        <f t="shared" si="1746"/>
        <v>0</v>
      </c>
      <c r="Q629" s="53">
        <f t="shared" si="1746"/>
        <v>0</v>
      </c>
      <c r="R629" s="53">
        <f t="shared" si="1746"/>
        <v>0</v>
      </c>
      <c r="S629" s="53">
        <f t="shared" si="1746"/>
        <v>0</v>
      </c>
      <c r="T629" s="53">
        <f t="shared" si="1746"/>
        <v>0</v>
      </c>
      <c r="U629" s="53">
        <f t="shared" si="1746"/>
        <v>0</v>
      </c>
      <c r="V629" s="53">
        <f t="shared" si="1746"/>
        <v>0</v>
      </c>
      <c r="W629" s="53">
        <f t="shared" si="1746"/>
        <v>0</v>
      </c>
      <c r="X629" s="53">
        <f t="shared" si="1746"/>
        <v>0</v>
      </c>
      <c r="Y629" s="53">
        <f t="shared" si="1746"/>
        <v>0</v>
      </c>
      <c r="Z629" s="53">
        <f t="shared" si="1746"/>
        <v>0</v>
      </c>
      <c r="AA629" s="53">
        <f t="shared" si="1746"/>
        <v>0</v>
      </c>
      <c r="AB629" s="53">
        <f t="shared" si="1746"/>
        <v>0</v>
      </c>
      <c r="AC629" s="53">
        <f t="shared" si="1746"/>
        <v>0</v>
      </c>
      <c r="AE629" s="54">
        <f>SUM(F629:AC629)</f>
        <v>0</v>
      </c>
    </row>
    <row r="630" spans="1:31" hidden="1" outlineLevel="1" x14ac:dyDescent="0.2">
      <c r="A630" s="52" t="str">
        <f ca="1">Language!A$438</f>
        <v xml:space="preserve">    вознаграждение лизингодателю</v>
      </c>
      <c r="B630" s="278">
        <v>0.15</v>
      </c>
      <c r="C630" s="5" t="str">
        <f ca="1">CHOOSE(B624,CUR_Main,CUR_Foreign)</f>
        <v>тыс. EUR</v>
      </c>
      <c r="D630" t="str">
        <f>TEXT(B624,"0")&amp;"_04"</f>
        <v>1_04</v>
      </c>
      <c r="E630" s="43"/>
      <c r="F630" s="53">
        <f t="shared" ref="F630:T630" si="1747">IF(AND(F$29&gt;$B626-1,F$29&lt;=$B626+$B627-1),F638*$B630*PRJ_Step/360,0)</f>
        <v>0</v>
      </c>
      <c r="G630" s="53">
        <f t="shared" si="1747"/>
        <v>0</v>
      </c>
      <c r="H630" s="53">
        <f t="shared" si="1747"/>
        <v>0</v>
      </c>
      <c r="I630" s="53">
        <f t="shared" si="1747"/>
        <v>0</v>
      </c>
      <c r="J630" s="53">
        <f t="shared" si="1747"/>
        <v>0</v>
      </c>
      <c r="K630" s="53">
        <f t="shared" si="1747"/>
        <v>0</v>
      </c>
      <c r="L630" s="53">
        <f t="shared" si="1747"/>
        <v>0</v>
      </c>
      <c r="M630" s="53">
        <f t="shared" si="1747"/>
        <v>0</v>
      </c>
      <c r="N630" s="53">
        <f t="shared" si="1747"/>
        <v>0</v>
      </c>
      <c r="O630" s="53">
        <f t="shared" si="1747"/>
        <v>0</v>
      </c>
      <c r="P630" s="53">
        <f t="shared" si="1747"/>
        <v>0</v>
      </c>
      <c r="Q630" s="53">
        <f t="shared" si="1747"/>
        <v>0</v>
      </c>
      <c r="R630" s="53">
        <f t="shared" si="1747"/>
        <v>0</v>
      </c>
      <c r="S630" s="53">
        <f t="shared" si="1747"/>
        <v>0</v>
      </c>
      <c r="T630" s="53">
        <f t="shared" si="1747"/>
        <v>0</v>
      </c>
      <c r="U630" s="53">
        <f t="shared" ref="U630" si="1748">IF(AND(U$29&gt;$B626-1,U$29&lt;=$B626+$B627-1),U638*$B630*PRJ_Step/360,0)</f>
        <v>0</v>
      </c>
      <c r="V630" s="53">
        <f t="shared" ref="V630" si="1749">IF(AND(V$29&gt;$B626-1,V$29&lt;=$B626+$B627-1),V638*$B630*PRJ_Step/360,0)</f>
        <v>0</v>
      </c>
      <c r="W630" s="53">
        <f t="shared" ref="W630" si="1750">IF(AND(W$29&gt;$B626-1,W$29&lt;=$B626+$B627-1),W638*$B630*PRJ_Step/360,0)</f>
        <v>0</v>
      </c>
      <c r="X630" s="53">
        <f t="shared" ref="X630" si="1751">IF(AND(X$29&gt;$B626-1,X$29&lt;=$B626+$B627-1),X638*$B630*PRJ_Step/360,0)</f>
        <v>0</v>
      </c>
      <c r="Y630" s="53">
        <f t="shared" ref="Y630" si="1752">IF(AND(Y$29&gt;$B626-1,Y$29&lt;=$B626+$B627-1),Y638*$B630*PRJ_Step/360,0)</f>
        <v>0</v>
      </c>
      <c r="Z630" s="53">
        <f t="shared" ref="Z630" si="1753">IF(AND(Z$29&gt;$B626-1,Z$29&lt;=$B626+$B627-1),Z638*$B630*PRJ_Step/360,0)</f>
        <v>0</v>
      </c>
      <c r="AA630" s="53">
        <f t="shared" ref="AA630" si="1754">IF(AND(AA$29&gt;$B626-1,AA$29&lt;=$B626+$B627-1),AA638*$B630*PRJ_Step/360,0)</f>
        <v>0</v>
      </c>
      <c r="AB630" s="53">
        <f t="shared" ref="AB630:AC630" si="1755">IF(AND(AB$29&gt;$B626-1,AB$29&lt;=$B626+$B627-1),AB638*$B630*PRJ_Step/360,0)</f>
        <v>0</v>
      </c>
      <c r="AC630" s="53">
        <f t="shared" si="1755"/>
        <v>0</v>
      </c>
      <c r="AE630" s="54">
        <f t="shared" ref="AE630:AE636" si="1756">SUM(F630:AC630)</f>
        <v>0</v>
      </c>
    </row>
    <row r="631" spans="1:31" hidden="1" outlineLevel="1" x14ac:dyDescent="0.2">
      <c r="A631" s="52" t="str">
        <f ca="1">Language!A$441</f>
        <v>Авансовый платеж (с НДС)</v>
      </c>
      <c r="B631" s="278">
        <v>0</v>
      </c>
      <c r="C631" s="5" t="str">
        <f ca="1">CHOOSE(B624,CUR_Main,CUR_Foreign)</f>
        <v>тыс. EUR</v>
      </c>
      <c r="D631" t="str">
        <f>TEXT(B624,"0")&amp;"_07"</f>
        <v>1_07</v>
      </c>
      <c r="E631" s="43"/>
      <c r="F631" s="43">
        <f t="shared" ref="F631:T631" ca="1" si="1757">IF(F$29=$B626,$B631*$B636,0)</f>
        <v>0</v>
      </c>
      <c r="G631" s="43">
        <f t="shared" si="1757"/>
        <v>0</v>
      </c>
      <c r="H631" s="43">
        <f t="shared" si="1757"/>
        <v>0</v>
      </c>
      <c r="I631" s="43">
        <f t="shared" si="1757"/>
        <v>0</v>
      </c>
      <c r="J631" s="43">
        <f t="shared" si="1757"/>
        <v>0</v>
      </c>
      <c r="K631" s="43">
        <f t="shared" si="1757"/>
        <v>0</v>
      </c>
      <c r="L631" s="43">
        <f t="shared" si="1757"/>
        <v>0</v>
      </c>
      <c r="M631" s="43">
        <f t="shared" si="1757"/>
        <v>0</v>
      </c>
      <c r="N631" s="43">
        <f t="shared" si="1757"/>
        <v>0</v>
      </c>
      <c r="O631" s="43">
        <f t="shared" si="1757"/>
        <v>0</v>
      </c>
      <c r="P631" s="43">
        <f t="shared" si="1757"/>
        <v>0</v>
      </c>
      <c r="Q631" s="43">
        <f t="shared" si="1757"/>
        <v>0</v>
      </c>
      <c r="R631" s="43">
        <f t="shared" si="1757"/>
        <v>0</v>
      </c>
      <c r="S631" s="43">
        <f t="shared" si="1757"/>
        <v>0</v>
      </c>
      <c r="T631" s="43">
        <f t="shared" si="1757"/>
        <v>0</v>
      </c>
      <c r="U631" s="43">
        <f t="shared" ref="U631" si="1758">IF(U$29=$B626,$B631*$B636,0)</f>
        <v>0</v>
      </c>
      <c r="V631" s="43">
        <f t="shared" ref="V631" si="1759">IF(V$29=$B626,$B631*$B636,0)</f>
        <v>0</v>
      </c>
      <c r="W631" s="43">
        <f t="shared" ref="W631" si="1760">IF(W$29=$B626,$B631*$B636,0)</f>
        <v>0</v>
      </c>
      <c r="X631" s="43">
        <f t="shared" ref="X631" si="1761">IF(X$29=$B626,$B631*$B636,0)</f>
        <v>0</v>
      </c>
      <c r="Y631" s="43">
        <f t="shared" ref="Y631" si="1762">IF(Y$29=$B626,$B631*$B636,0)</f>
        <v>0</v>
      </c>
      <c r="Z631" s="43">
        <f t="shared" ref="Z631" si="1763">IF(Z$29=$B626,$B631*$B636,0)</f>
        <v>0</v>
      </c>
      <c r="AA631" s="43">
        <f t="shared" ref="AA631" si="1764">IF(AA$29=$B626,$B631*$B636,0)</f>
        <v>0</v>
      </c>
      <c r="AB631" s="43">
        <f t="shared" ref="AB631:AC631" si="1765">IF(AB$29=$B626,$B631*$B636,0)</f>
        <v>0</v>
      </c>
      <c r="AC631" s="43">
        <f t="shared" si="1765"/>
        <v>0</v>
      </c>
      <c r="AE631" s="54">
        <f t="shared" ca="1" si="1756"/>
        <v>0</v>
      </c>
    </row>
    <row r="632" spans="1:31" hidden="1" outlineLevel="1" collapsed="1" x14ac:dyDescent="0.2">
      <c r="A632" s="52" t="str">
        <f ca="1">Language!A$442</f>
        <v>График лизинговых платежей (с НДС)</v>
      </c>
      <c r="C632" s="5" t="str">
        <f ca="1">CHOOSE(B624,CUR_Main,CUR_Foreign)</f>
        <v>тыс. EUR</v>
      </c>
      <c r="D632" t="str">
        <f>TEXT(B624,"0")&amp;"_08"</f>
        <v>1_08</v>
      </c>
      <c r="E632" s="43"/>
      <c r="F632" s="321">
        <f t="shared" ref="F632:AC632" ca="1" si="1766">IF($B627=1,F636,IF($AE631=0,F636,IF(F631&gt;0,F631+($AE636-$AE631)/$B627,IF(AND(F$29&gt;$B626,F$29&lt;=$B626+$B627-1),($AE636-$AE631)/$B627,0))))</f>
        <v>0</v>
      </c>
      <c r="G632" s="321">
        <f t="shared" ca="1" si="1766"/>
        <v>0</v>
      </c>
      <c r="H632" s="321">
        <f t="shared" ca="1" si="1766"/>
        <v>0</v>
      </c>
      <c r="I632" s="321">
        <f t="shared" ca="1" si="1766"/>
        <v>0</v>
      </c>
      <c r="J632" s="321">
        <f t="shared" ca="1" si="1766"/>
        <v>0</v>
      </c>
      <c r="K632" s="321">
        <f t="shared" ca="1" si="1766"/>
        <v>0</v>
      </c>
      <c r="L632" s="321">
        <f t="shared" ca="1" si="1766"/>
        <v>0</v>
      </c>
      <c r="M632" s="321">
        <f t="shared" ca="1" si="1766"/>
        <v>0</v>
      </c>
      <c r="N632" s="321">
        <f t="shared" ca="1" si="1766"/>
        <v>0</v>
      </c>
      <c r="O632" s="321">
        <f t="shared" ca="1" si="1766"/>
        <v>0</v>
      </c>
      <c r="P632" s="321">
        <f t="shared" ca="1" si="1766"/>
        <v>0</v>
      </c>
      <c r="Q632" s="321">
        <f t="shared" ca="1" si="1766"/>
        <v>0</v>
      </c>
      <c r="R632" s="321">
        <f t="shared" ca="1" si="1766"/>
        <v>0</v>
      </c>
      <c r="S632" s="321">
        <f t="shared" ca="1" si="1766"/>
        <v>0</v>
      </c>
      <c r="T632" s="321">
        <f t="shared" ca="1" si="1766"/>
        <v>0</v>
      </c>
      <c r="U632" s="321">
        <f t="shared" ca="1" si="1766"/>
        <v>0</v>
      </c>
      <c r="V632" s="321">
        <f t="shared" ca="1" si="1766"/>
        <v>0</v>
      </c>
      <c r="W632" s="321">
        <f t="shared" ca="1" si="1766"/>
        <v>0</v>
      </c>
      <c r="X632" s="321">
        <f t="shared" ca="1" si="1766"/>
        <v>0</v>
      </c>
      <c r="Y632" s="321">
        <f t="shared" ca="1" si="1766"/>
        <v>0</v>
      </c>
      <c r="Z632" s="321">
        <f t="shared" ca="1" si="1766"/>
        <v>0</v>
      </c>
      <c r="AA632" s="321">
        <f t="shared" ca="1" si="1766"/>
        <v>0</v>
      </c>
      <c r="AB632" s="321">
        <f t="shared" ca="1" si="1766"/>
        <v>0</v>
      </c>
      <c r="AC632" s="321">
        <f t="shared" ca="1" si="1766"/>
        <v>0</v>
      </c>
      <c r="AE632" s="54">
        <f t="shared" ca="1" si="1756"/>
        <v>0</v>
      </c>
    </row>
    <row r="633" spans="1:31" hidden="1" outlineLevel="2" x14ac:dyDescent="0.2">
      <c r="A633" s="52" t="str">
        <f ca="1">Language!A$443</f>
        <v>Зачет лизинговых платежей в себестоимости (с НДС)</v>
      </c>
      <c r="B633" s="55">
        <f ca="1">AE632</f>
        <v>0</v>
      </c>
      <c r="C633" s="5" t="str">
        <f ca="1">CHOOSE(B624,CUR_Main,CUR_Foreign)</f>
        <v>тыс. EUR</v>
      </c>
      <c r="D633" t="str">
        <f>TEXT(B624,"0")&amp;"_06"</f>
        <v>1_06</v>
      </c>
      <c r="E633" s="43"/>
      <c r="F633" s="269">
        <f t="shared" ref="F633:T633" ca="1" si="1767">$B633/MAX(1,$B627)*IF(AND(F$29+1&gt;$B626,F$29+1&lt;=$B626+$B627),1,0)</f>
        <v>0</v>
      </c>
      <c r="G633" s="269">
        <f t="shared" ca="1" si="1767"/>
        <v>0</v>
      </c>
      <c r="H633" s="269">
        <f t="shared" ca="1" si="1767"/>
        <v>0</v>
      </c>
      <c r="I633" s="269">
        <f t="shared" ca="1" si="1767"/>
        <v>0</v>
      </c>
      <c r="J633" s="269">
        <f t="shared" ca="1" si="1767"/>
        <v>0</v>
      </c>
      <c r="K633" s="269">
        <f t="shared" ca="1" si="1767"/>
        <v>0</v>
      </c>
      <c r="L633" s="269">
        <f t="shared" ca="1" si="1767"/>
        <v>0</v>
      </c>
      <c r="M633" s="269">
        <f t="shared" ca="1" si="1767"/>
        <v>0</v>
      </c>
      <c r="N633" s="269">
        <f t="shared" ca="1" si="1767"/>
        <v>0</v>
      </c>
      <c r="O633" s="269">
        <f t="shared" ca="1" si="1767"/>
        <v>0</v>
      </c>
      <c r="P633" s="269">
        <f t="shared" ca="1" si="1767"/>
        <v>0</v>
      </c>
      <c r="Q633" s="269">
        <f t="shared" ca="1" si="1767"/>
        <v>0</v>
      </c>
      <c r="R633" s="269">
        <f t="shared" ca="1" si="1767"/>
        <v>0</v>
      </c>
      <c r="S633" s="269">
        <f t="shared" ca="1" si="1767"/>
        <v>0</v>
      </c>
      <c r="T633" s="269">
        <f t="shared" ca="1" si="1767"/>
        <v>0</v>
      </c>
      <c r="U633" s="269">
        <f t="shared" ref="U633" ca="1" si="1768">$B633/MAX(1,$B627)*IF(AND(U$29+1&gt;$B626,U$29+1&lt;=$B626+$B627),1,0)</f>
        <v>0</v>
      </c>
      <c r="V633" s="269">
        <f t="shared" ref="V633" ca="1" si="1769">$B633/MAX(1,$B627)*IF(AND(V$29+1&gt;$B626,V$29+1&lt;=$B626+$B627),1,0)</f>
        <v>0</v>
      </c>
      <c r="W633" s="269">
        <f t="shared" ref="W633" ca="1" si="1770">$B633/MAX(1,$B627)*IF(AND(W$29+1&gt;$B626,W$29+1&lt;=$B626+$B627),1,0)</f>
        <v>0</v>
      </c>
      <c r="X633" s="269">
        <f t="shared" ref="X633" ca="1" si="1771">$B633/MAX(1,$B627)*IF(AND(X$29+1&gt;$B626,X$29+1&lt;=$B626+$B627),1,0)</f>
        <v>0</v>
      </c>
      <c r="Y633" s="269">
        <f t="shared" ref="Y633" ca="1" si="1772">$B633/MAX(1,$B627)*IF(AND(Y$29+1&gt;$B626,Y$29+1&lt;=$B626+$B627),1,0)</f>
        <v>0</v>
      </c>
      <c r="Z633" s="269">
        <f t="shared" ref="Z633" ca="1" si="1773">$B633/MAX(1,$B627)*IF(AND(Z$29+1&gt;$B626,Z$29+1&lt;=$B626+$B627),1,0)</f>
        <v>0</v>
      </c>
      <c r="AA633" s="269">
        <f t="shared" ref="AA633" ca="1" si="1774">$B633/MAX(1,$B627)*IF(AND(AA$29+1&gt;$B626,AA$29+1&lt;=$B626+$B627),1,0)</f>
        <v>0</v>
      </c>
      <c r="AB633" s="269">
        <f t="shared" ref="AB633:AC633" ca="1" si="1775">$B633/MAX(1,$B627)*IF(AND(AB$29+1&gt;$B626,AB$29+1&lt;=$B626+$B627),1,0)</f>
        <v>0</v>
      </c>
      <c r="AC633" s="269">
        <f t="shared" ca="1" si="1775"/>
        <v>0</v>
      </c>
      <c r="AE633" s="54">
        <f ca="1">SUM(F633:AC633)</f>
        <v>0</v>
      </c>
    </row>
    <row r="634" spans="1:31" hidden="1" outlineLevel="2" x14ac:dyDescent="0.2">
      <c r="A634" s="52" t="str">
        <f ca="1">Language!A$444</f>
        <v>зачет лизинговых платежей (без НДС)</v>
      </c>
      <c r="B634" s="55">
        <f ca="1">AE634</f>
        <v>0</v>
      </c>
      <c r="C634" s="5" t="str">
        <f ca="1">CHOOSE(B624,CUR_Main,CUR_Foreign)</f>
        <v>тыс. EUR</v>
      </c>
      <c r="D634" t="str">
        <f>TEXT(B624,"0")&amp;"_05"</f>
        <v>1_05</v>
      </c>
      <c r="E634" s="43"/>
      <c r="F634" s="53">
        <f t="shared" ref="F634:T634" ca="1" si="1776">F633/(1+$B635)</f>
        <v>0</v>
      </c>
      <c r="G634" s="53">
        <f t="shared" ca="1" si="1776"/>
        <v>0</v>
      </c>
      <c r="H634" s="53">
        <f t="shared" ca="1" si="1776"/>
        <v>0</v>
      </c>
      <c r="I634" s="53">
        <f t="shared" ca="1" si="1776"/>
        <v>0</v>
      </c>
      <c r="J634" s="53">
        <f t="shared" ca="1" si="1776"/>
        <v>0</v>
      </c>
      <c r="K634" s="53">
        <f t="shared" ca="1" si="1776"/>
        <v>0</v>
      </c>
      <c r="L634" s="53">
        <f t="shared" ca="1" si="1776"/>
        <v>0</v>
      </c>
      <c r="M634" s="53">
        <f t="shared" ca="1" si="1776"/>
        <v>0</v>
      </c>
      <c r="N634" s="53">
        <f t="shared" ca="1" si="1776"/>
        <v>0</v>
      </c>
      <c r="O634" s="53">
        <f t="shared" ca="1" si="1776"/>
        <v>0</v>
      </c>
      <c r="P634" s="53">
        <f t="shared" ca="1" si="1776"/>
        <v>0</v>
      </c>
      <c r="Q634" s="53">
        <f t="shared" ca="1" si="1776"/>
        <v>0</v>
      </c>
      <c r="R634" s="53">
        <f t="shared" ca="1" si="1776"/>
        <v>0</v>
      </c>
      <c r="S634" s="53">
        <f t="shared" ca="1" si="1776"/>
        <v>0</v>
      </c>
      <c r="T634" s="53">
        <f t="shared" ca="1" si="1776"/>
        <v>0</v>
      </c>
      <c r="U634" s="53">
        <f t="shared" ref="U634" ca="1" si="1777">U633/(1+$B635)</f>
        <v>0</v>
      </c>
      <c r="V634" s="53">
        <f t="shared" ref="V634" ca="1" si="1778">V633/(1+$B635)</f>
        <v>0</v>
      </c>
      <c r="W634" s="53">
        <f t="shared" ref="W634" ca="1" si="1779">W633/(1+$B635)</f>
        <v>0</v>
      </c>
      <c r="X634" s="53">
        <f t="shared" ref="X634" ca="1" si="1780">X633/(1+$B635)</f>
        <v>0</v>
      </c>
      <c r="Y634" s="53">
        <f t="shared" ref="Y634" ca="1" si="1781">Y633/(1+$B635)</f>
        <v>0</v>
      </c>
      <c r="Z634" s="53">
        <f t="shared" ref="Z634" ca="1" si="1782">Z633/(1+$B635)</f>
        <v>0</v>
      </c>
      <c r="AA634" s="53">
        <f t="shared" ref="AA634" ca="1" si="1783">AA633/(1+$B635)</f>
        <v>0</v>
      </c>
      <c r="AB634" s="53">
        <f t="shared" ref="AB634:AC634" ca="1" si="1784">AB633/(1+$B635)</f>
        <v>0</v>
      </c>
      <c r="AC634" s="53">
        <f t="shared" ca="1" si="1784"/>
        <v>0</v>
      </c>
      <c r="AE634" s="54">
        <f ca="1">SUM(F634:AC634)</f>
        <v>0</v>
      </c>
    </row>
    <row r="635" spans="1:31" hidden="1" outlineLevel="2" x14ac:dyDescent="0.2">
      <c r="A635" s="52" t="str">
        <f ca="1">Language!A$447</f>
        <v xml:space="preserve">    НДС к платежам</v>
      </c>
      <c r="B635" s="278">
        <f>VAT</f>
        <v>0.23</v>
      </c>
      <c r="C635" s="5" t="str">
        <f ca="1">CHOOSE(B624,CUR_Main,CUR_Foreign)</f>
        <v>тыс. EUR</v>
      </c>
      <c r="D635" t="str">
        <f>TEXT(B624,"0")&amp;"_09"</f>
        <v>1_09</v>
      </c>
      <c r="E635" s="43"/>
      <c r="F635" s="53">
        <f t="shared" ref="F635:T635" ca="1" si="1785">F632-F632/(1+$B635)</f>
        <v>0</v>
      </c>
      <c r="G635" s="53">
        <f t="shared" ca="1" si="1785"/>
        <v>0</v>
      </c>
      <c r="H635" s="53">
        <f t="shared" ca="1" si="1785"/>
        <v>0</v>
      </c>
      <c r="I635" s="53">
        <f t="shared" ca="1" si="1785"/>
        <v>0</v>
      </c>
      <c r="J635" s="53">
        <f t="shared" ca="1" si="1785"/>
        <v>0</v>
      </c>
      <c r="K635" s="53">
        <f t="shared" ca="1" si="1785"/>
        <v>0</v>
      </c>
      <c r="L635" s="53">
        <f t="shared" ca="1" si="1785"/>
        <v>0</v>
      </c>
      <c r="M635" s="53">
        <f t="shared" ca="1" si="1785"/>
        <v>0</v>
      </c>
      <c r="N635" s="53">
        <f t="shared" ca="1" si="1785"/>
        <v>0</v>
      </c>
      <c r="O635" s="53">
        <f t="shared" ca="1" si="1785"/>
        <v>0</v>
      </c>
      <c r="P635" s="53">
        <f t="shared" ca="1" si="1785"/>
        <v>0</v>
      </c>
      <c r="Q635" s="53">
        <f t="shared" ca="1" si="1785"/>
        <v>0</v>
      </c>
      <c r="R635" s="53">
        <f t="shared" ca="1" si="1785"/>
        <v>0</v>
      </c>
      <c r="S635" s="53">
        <f t="shared" ca="1" si="1785"/>
        <v>0</v>
      </c>
      <c r="T635" s="53">
        <f t="shared" ca="1" si="1785"/>
        <v>0</v>
      </c>
      <c r="U635" s="53">
        <f t="shared" ref="U635" ca="1" si="1786">U632-U632/(1+$B635)</f>
        <v>0</v>
      </c>
      <c r="V635" s="53">
        <f t="shared" ref="V635" ca="1" si="1787">V632-V632/(1+$B635)</f>
        <v>0</v>
      </c>
      <c r="W635" s="53">
        <f t="shared" ref="W635" ca="1" si="1788">W632-W632/(1+$B635)</f>
        <v>0</v>
      </c>
      <c r="X635" s="53">
        <f t="shared" ref="X635" ca="1" si="1789">X632-X632/(1+$B635)</f>
        <v>0</v>
      </c>
      <c r="Y635" s="53">
        <f t="shared" ref="Y635" ca="1" si="1790">Y632-Y632/(1+$B635)</f>
        <v>0</v>
      </c>
      <c r="Z635" s="53">
        <f t="shared" ref="Z635" ca="1" si="1791">Z632-Z632/(1+$B635)</f>
        <v>0</v>
      </c>
      <c r="AA635" s="53">
        <f t="shared" ref="AA635" ca="1" si="1792">AA632-AA632/(1+$B635)</f>
        <v>0</v>
      </c>
      <c r="AB635" s="53">
        <f t="shared" ref="AB635:AC635" ca="1" si="1793">AB632-AB632/(1+$B635)</f>
        <v>0</v>
      </c>
      <c r="AC635" s="53">
        <f t="shared" ca="1" si="1793"/>
        <v>0</v>
      </c>
      <c r="AE635" s="54">
        <f t="shared" ca="1" si="1756"/>
        <v>0</v>
      </c>
    </row>
    <row r="636" spans="1:31" s="48" customFormat="1" hidden="1" outlineLevel="2" x14ac:dyDescent="0.2">
      <c r="A636" s="52" t="str">
        <f ca="1">Language!A$445</f>
        <v xml:space="preserve">   лизинговые платежи для  расчета графика платежей</v>
      </c>
      <c r="B636" s="312">
        <f ca="1">(AE630+SUM(F629:OFFSET($E629,0,$B626+$B627-1)))*(1+$B645)</f>
        <v>0</v>
      </c>
      <c r="C636" s="73" t="str">
        <f ca="1">CHOOSE(B624,CUR_Main,CUR_Foreign)</f>
        <v>тыс. EUR</v>
      </c>
      <c r="E636" s="105"/>
      <c r="F636" s="84">
        <f t="shared" ref="F636:T636" ca="1" si="1794">$B636/MAX(1,$B627)*IF(AND(F$29+1&gt;$B626,F$29+1&lt;=$B626+$B627),1,0)</f>
        <v>0</v>
      </c>
      <c r="G636" s="84">
        <f t="shared" ca="1" si="1794"/>
        <v>0</v>
      </c>
      <c r="H636" s="84">
        <f t="shared" ca="1" si="1794"/>
        <v>0</v>
      </c>
      <c r="I636" s="84">
        <f t="shared" ca="1" si="1794"/>
        <v>0</v>
      </c>
      <c r="J636" s="84">
        <f t="shared" ca="1" si="1794"/>
        <v>0</v>
      </c>
      <c r="K636" s="84">
        <f t="shared" ca="1" si="1794"/>
        <v>0</v>
      </c>
      <c r="L636" s="84">
        <f t="shared" ca="1" si="1794"/>
        <v>0</v>
      </c>
      <c r="M636" s="84">
        <f t="shared" ca="1" si="1794"/>
        <v>0</v>
      </c>
      <c r="N636" s="84">
        <f t="shared" ca="1" si="1794"/>
        <v>0</v>
      </c>
      <c r="O636" s="84">
        <f t="shared" ca="1" si="1794"/>
        <v>0</v>
      </c>
      <c r="P636" s="84">
        <f t="shared" ca="1" si="1794"/>
        <v>0</v>
      </c>
      <c r="Q636" s="84">
        <f t="shared" ca="1" si="1794"/>
        <v>0</v>
      </c>
      <c r="R636" s="84">
        <f t="shared" ca="1" si="1794"/>
        <v>0</v>
      </c>
      <c r="S636" s="84">
        <f t="shared" ca="1" si="1794"/>
        <v>0</v>
      </c>
      <c r="T636" s="84">
        <f t="shared" ca="1" si="1794"/>
        <v>0</v>
      </c>
      <c r="U636" s="84">
        <f t="shared" ref="U636" ca="1" si="1795">$B636/MAX(1,$B627)*IF(AND(U$29+1&gt;$B626,U$29+1&lt;=$B626+$B627),1,0)</f>
        <v>0</v>
      </c>
      <c r="V636" s="84">
        <f t="shared" ref="V636" ca="1" si="1796">$B636/MAX(1,$B627)*IF(AND(V$29+1&gt;$B626,V$29+1&lt;=$B626+$B627),1,0)</f>
        <v>0</v>
      </c>
      <c r="W636" s="84">
        <f t="shared" ref="W636" ca="1" si="1797">$B636/MAX(1,$B627)*IF(AND(W$29+1&gt;$B626,W$29+1&lt;=$B626+$B627),1,0)</f>
        <v>0</v>
      </c>
      <c r="X636" s="84">
        <f t="shared" ref="X636" ca="1" si="1798">$B636/MAX(1,$B627)*IF(AND(X$29+1&gt;$B626,X$29+1&lt;=$B626+$B627),1,0)</f>
        <v>0</v>
      </c>
      <c r="Y636" s="84">
        <f t="shared" ref="Y636" ca="1" si="1799">$B636/MAX(1,$B627)*IF(AND(Y$29+1&gt;$B626,Y$29+1&lt;=$B626+$B627),1,0)</f>
        <v>0</v>
      </c>
      <c r="Z636" s="84">
        <f t="shared" ref="Z636" ca="1" si="1800">$B636/MAX(1,$B627)*IF(AND(Z$29+1&gt;$B626,Z$29+1&lt;=$B626+$B627),1,0)</f>
        <v>0</v>
      </c>
      <c r="AA636" s="84">
        <f t="shared" ref="AA636" ca="1" si="1801">$B636/MAX(1,$B627)*IF(AND(AA$29+1&gt;$B626,AA$29+1&lt;=$B626+$B627),1,0)</f>
        <v>0</v>
      </c>
      <c r="AB636" s="84">
        <f t="shared" ref="AB636:AC636" ca="1" si="1802">$B636/MAX(1,$B627)*IF(AND(AB$29+1&gt;$B626,AB$29+1&lt;=$B626+$B627),1,0)</f>
        <v>0</v>
      </c>
      <c r="AC636" s="84">
        <f t="shared" ca="1" si="1802"/>
        <v>0</v>
      </c>
      <c r="AE636" s="93">
        <f t="shared" ca="1" si="1756"/>
        <v>0</v>
      </c>
    </row>
    <row r="637" spans="1:31" hidden="1" outlineLevel="2" x14ac:dyDescent="0.2">
      <c r="A637" s="52" t="str">
        <f ca="1">Language!A$448</f>
        <v xml:space="preserve">    авансы, уплаченные лизингодателю</v>
      </c>
      <c r="C637" s="5" t="str">
        <f ca="1">CHOOSE(B624,CUR_Main,CUR_Foreign)</f>
        <v>тыс. EUR</v>
      </c>
      <c r="D637" t="str">
        <f>TEXT(B624,"0")&amp;"_10"&amp;";int_end"</f>
        <v>1_10;int_end</v>
      </c>
      <c r="E637" s="43"/>
      <c r="F637" s="53">
        <f ca="1">SUM($F632:F632)-SUM($F635:F635)-SUM($F634:F634)</f>
        <v>0</v>
      </c>
      <c r="G637" s="53">
        <f ca="1">SUM($F632:G632)-SUM($F635:G635)-SUM($F634:G634)</f>
        <v>0</v>
      </c>
      <c r="H637" s="53">
        <f ca="1">SUM($F632:H632)-SUM($F635:H635)-SUM($F634:H634)</f>
        <v>0</v>
      </c>
      <c r="I637" s="53">
        <f ca="1">SUM($F632:I632)-SUM($F635:I635)-SUM($F634:I634)</f>
        <v>0</v>
      </c>
      <c r="J637" s="53">
        <f ca="1">SUM($F632:J632)-SUM($F635:J635)-SUM($F634:J634)</f>
        <v>0</v>
      </c>
      <c r="K637" s="53">
        <f ca="1">SUM($F632:K632)-SUM($F635:K635)-SUM($F634:K634)</f>
        <v>0</v>
      </c>
      <c r="L637" s="53">
        <f ca="1">SUM($F632:L632)-SUM($F635:L635)-SUM($F634:L634)</f>
        <v>0</v>
      </c>
      <c r="M637" s="53">
        <f ca="1">SUM($F632:M632)-SUM($F635:M635)-SUM($F634:M634)</f>
        <v>0</v>
      </c>
      <c r="N637" s="53">
        <f ca="1">SUM($F632:N632)-SUM($F635:N635)-SUM($F634:N634)</f>
        <v>0</v>
      </c>
      <c r="O637" s="53">
        <f ca="1">SUM($F632:O632)-SUM($F635:O635)-SUM($F634:O634)</f>
        <v>0</v>
      </c>
      <c r="P637" s="53">
        <f ca="1">SUM($F632:P632)-SUM($F635:P635)-SUM($F634:P634)</f>
        <v>0</v>
      </c>
      <c r="Q637" s="53">
        <f ca="1">SUM($F632:Q632)-SUM($F635:Q635)-SUM($F634:Q634)</f>
        <v>0</v>
      </c>
      <c r="R637" s="53">
        <f ca="1">SUM($F632:R632)-SUM($F635:R635)-SUM($F634:R634)</f>
        <v>0</v>
      </c>
      <c r="S637" s="53">
        <f ca="1">SUM($F632:S632)-SUM($F635:S635)-SUM($F634:S634)</f>
        <v>0</v>
      </c>
      <c r="T637" s="53">
        <f ca="1">SUM($F632:T632)-SUM($F635:T635)-SUM($F634:T634)</f>
        <v>0</v>
      </c>
      <c r="U637" s="53">
        <f ca="1">SUM($F632:U632)-SUM($F635:U635)-SUM($F634:U634)</f>
        <v>0</v>
      </c>
      <c r="V637" s="53">
        <f ca="1">SUM($F632:V632)-SUM($F635:V635)-SUM($F634:V634)</f>
        <v>0</v>
      </c>
      <c r="W637" s="53">
        <f ca="1">SUM($F632:W632)-SUM($F635:W635)-SUM($F634:W634)</f>
        <v>0</v>
      </c>
      <c r="X637" s="53">
        <f ca="1">SUM($F632:X632)-SUM($F635:X635)-SUM($F634:X634)</f>
        <v>0</v>
      </c>
      <c r="Y637" s="53">
        <f ca="1">SUM($F632:Y632)-SUM($F635:Y635)-SUM($F634:Y634)</f>
        <v>0</v>
      </c>
      <c r="Z637" s="53">
        <f ca="1">SUM($F632:Z632)-SUM($F635:Z635)-SUM($F634:Z634)</f>
        <v>0</v>
      </c>
      <c r="AA637" s="53">
        <f ca="1">SUM($F632:AA632)-SUM($F635:AA635)-SUM($F634:AA634)</f>
        <v>0</v>
      </c>
      <c r="AB637" s="53">
        <f ca="1">SUM($F632:AB632)-SUM($F635:AB635)-SUM($F634:AB634)</f>
        <v>0</v>
      </c>
      <c r="AC637" s="53">
        <f ca="1">SUM($F632:AC632)-SUM($F635:AC635)-SUM($F634:AC634)</f>
        <v>0</v>
      </c>
      <c r="AD637" s="53"/>
      <c r="AE637" s="84"/>
    </row>
    <row r="638" spans="1:31" hidden="1" outlineLevel="2" x14ac:dyDescent="0.2">
      <c r="A638" s="52" t="str">
        <f ca="1">Language!A$437</f>
        <v xml:space="preserve">    остаточная стоимость (без НДС)</v>
      </c>
      <c r="C638" s="5" t="str">
        <f ca="1">CHOOSE(B624,CUR_Main,CUR_Foreign)</f>
        <v>тыс. EUR</v>
      </c>
      <c r="D638" t="str">
        <f>TEXT(B624,"0")&amp;"_03"&amp;";int_end"</f>
        <v>1_03;int_end</v>
      </c>
      <c r="E638" s="43">
        <f>E628</f>
        <v>0</v>
      </c>
      <c r="F638" s="53">
        <f>IF(F628&gt;0,F628-SUM($E629:F629),0)</f>
        <v>0</v>
      </c>
      <c r="G638" s="53">
        <f>IF(G628&gt;0,G628-SUM($E629:G629),0)</f>
        <v>0</v>
      </c>
      <c r="H638" s="53">
        <f>IF(H628&gt;0,H628-SUM($E629:H629),0)</f>
        <v>0</v>
      </c>
      <c r="I638" s="53">
        <f>IF(I628&gt;0,I628-SUM($E629:I629),0)</f>
        <v>0</v>
      </c>
      <c r="J638" s="53">
        <f>IF(J628&gt;0,J628-SUM($E629:J629),0)</f>
        <v>0</v>
      </c>
      <c r="K638" s="53">
        <f>IF(K628&gt;0,K628-SUM($E629:K629),0)</f>
        <v>0</v>
      </c>
      <c r="L638" s="53">
        <f>IF(L628&gt;0,L628-SUM($E629:L629),0)</f>
        <v>0</v>
      </c>
      <c r="M638" s="53">
        <f>IF(M628&gt;0,M628-SUM($E629:M629),0)</f>
        <v>0</v>
      </c>
      <c r="N638" s="53">
        <f>IF(N628&gt;0,N628-SUM($E629:N629),0)</f>
        <v>0</v>
      </c>
      <c r="O638" s="53">
        <f>IF(O628&gt;0,O628-SUM($E629:O629),0)</f>
        <v>0</v>
      </c>
      <c r="P638" s="53">
        <f>IF(P628&gt;0,P628-SUM($E629:P629),0)</f>
        <v>0</v>
      </c>
      <c r="Q638" s="53">
        <f>IF(Q628&gt;0,Q628-SUM($E629:Q629),0)</f>
        <v>0</v>
      </c>
      <c r="R638" s="53">
        <f>IF(R628&gt;0,R628-SUM($E629:R629),0)</f>
        <v>0</v>
      </c>
      <c r="S638" s="53">
        <f>IF(S628&gt;0,S628-SUM($E629:S629),0)</f>
        <v>0</v>
      </c>
      <c r="T638" s="53">
        <f>IF(T628&gt;0,T628-SUM($E629:T629),0)</f>
        <v>0</v>
      </c>
      <c r="U638" s="53">
        <f>IF(U628&gt;0,U628-SUM($E629:U629),0)</f>
        <v>0</v>
      </c>
      <c r="V638" s="53">
        <f>IF(V628&gt;0,V628-SUM($E629:V629),0)</f>
        <v>0</v>
      </c>
      <c r="W638" s="53">
        <f>IF(W628&gt;0,W628-SUM($E629:W629),0)</f>
        <v>0</v>
      </c>
      <c r="X638" s="53">
        <f>IF(X628&gt;0,X628-SUM($E629:X629),0)</f>
        <v>0</v>
      </c>
      <c r="Y638" s="53">
        <f>IF(Y628&gt;0,Y628-SUM($E629:Y629),0)</f>
        <v>0</v>
      </c>
      <c r="Z638" s="53">
        <f>IF(Z628&gt;0,Z628-SUM($E629:Z629),0)</f>
        <v>0</v>
      </c>
      <c r="AA638" s="53">
        <f>IF(AA628&gt;0,AA628-SUM($E629:AA629),0)</f>
        <v>0</v>
      </c>
      <c r="AB638" s="53">
        <f>IF(AB628&gt;0,AB628-SUM($E629:AB629),0)</f>
        <v>0</v>
      </c>
      <c r="AC638" s="53">
        <f>IF(AC628&gt;0,AC628-SUM($E629:AC629),0)</f>
        <v>0</v>
      </c>
    </row>
    <row r="639" spans="1:31" hidden="1" outlineLevel="2" x14ac:dyDescent="0.2">
      <c r="A639" s="52" t="str">
        <f ca="1">Language!A$449</f>
        <v xml:space="preserve">    арендованные основные средства (ост. стоимость)</v>
      </c>
      <c r="C639" s="5" t="str">
        <f ca="1">CHOOSE(B624,CUR_Main,CUR_Foreign)</f>
        <v>тыс. EUR</v>
      </c>
      <c r="D639" t="str">
        <f>TEXT(B624,"0")&amp;"_11"&amp;";int_end"</f>
        <v>1_11;int_end</v>
      </c>
      <c r="E639" s="43"/>
      <c r="F639" s="53">
        <f t="shared" ref="F639:T639" si="1803">IF(AND(F$29&gt;=$B626,F$29&lt;$B626+$B627),F638,0)</f>
        <v>0</v>
      </c>
      <c r="G639" s="53">
        <f t="shared" si="1803"/>
        <v>0</v>
      </c>
      <c r="H639" s="53">
        <f t="shared" si="1803"/>
        <v>0</v>
      </c>
      <c r="I639" s="53">
        <f t="shared" si="1803"/>
        <v>0</v>
      </c>
      <c r="J639" s="53">
        <f t="shared" si="1803"/>
        <v>0</v>
      </c>
      <c r="K639" s="53">
        <f t="shared" si="1803"/>
        <v>0</v>
      </c>
      <c r="L639" s="53">
        <f t="shared" si="1803"/>
        <v>0</v>
      </c>
      <c r="M639" s="53">
        <f t="shared" si="1803"/>
        <v>0</v>
      </c>
      <c r="N639" s="53">
        <f t="shared" si="1803"/>
        <v>0</v>
      </c>
      <c r="O639" s="53">
        <f t="shared" si="1803"/>
        <v>0</v>
      </c>
      <c r="P639" s="53">
        <f t="shared" si="1803"/>
        <v>0</v>
      </c>
      <c r="Q639" s="53">
        <f t="shared" si="1803"/>
        <v>0</v>
      </c>
      <c r="R639" s="53">
        <f t="shared" si="1803"/>
        <v>0</v>
      </c>
      <c r="S639" s="53">
        <f t="shared" si="1803"/>
        <v>0</v>
      </c>
      <c r="T639" s="53">
        <f t="shared" si="1803"/>
        <v>0</v>
      </c>
      <c r="U639" s="53">
        <f t="shared" ref="U639" si="1804">IF(AND(U$29&gt;=$B626,U$29&lt;$B626+$B627),U638,0)</f>
        <v>0</v>
      </c>
      <c r="V639" s="53">
        <f t="shared" ref="V639" si="1805">IF(AND(V$29&gt;=$B626,V$29&lt;$B626+$B627),V638,0)</f>
        <v>0</v>
      </c>
      <c r="W639" s="53">
        <f t="shared" ref="W639" si="1806">IF(AND(W$29&gt;=$B626,W$29&lt;$B626+$B627),W638,0)</f>
        <v>0</v>
      </c>
      <c r="X639" s="53">
        <f t="shared" ref="X639" si="1807">IF(AND(X$29&gt;=$B626,X$29&lt;$B626+$B627),X638,0)</f>
        <v>0</v>
      </c>
      <c r="Y639" s="53">
        <f t="shared" ref="Y639" si="1808">IF(AND(Y$29&gt;=$B626,Y$29&lt;$B626+$B627),Y638,0)</f>
        <v>0</v>
      </c>
      <c r="Z639" s="53">
        <f t="shared" ref="Z639" si="1809">IF(AND(Z$29&gt;=$B626,Z$29&lt;$B626+$B627),Z638,0)</f>
        <v>0</v>
      </c>
      <c r="AA639" s="53">
        <f t="shared" ref="AA639" si="1810">IF(AND(AA$29&gt;=$B626,AA$29&lt;$B626+$B627),AA638,0)</f>
        <v>0</v>
      </c>
      <c r="AB639" s="53">
        <f t="shared" ref="AB639:AC639" si="1811">IF(AND(AB$29&gt;=$B626,AB$29&lt;$B626+$B627),AB638,0)</f>
        <v>0</v>
      </c>
      <c r="AC639" s="53">
        <f t="shared" si="1811"/>
        <v>0</v>
      </c>
    </row>
    <row r="640" spans="1:31" hidden="1" outlineLevel="2" x14ac:dyDescent="0.2">
      <c r="A640" s="52" t="str">
        <f ca="1">Language!A$450</f>
        <v xml:space="preserve">    налогооблагаемое имущество</v>
      </c>
      <c r="C640" s="5" t="str">
        <f ca="1">CHOOSE(B624,CUR_Main,CUR_Foreign)</f>
        <v>тыс. EUR</v>
      </c>
      <c r="D640" t="str">
        <f>TEXT(B624,"0")&amp;"_12"&amp;";int_end"</f>
        <v>1_12;int_end</v>
      </c>
      <c r="E640" s="43"/>
      <c r="F640" s="53">
        <f t="shared" ref="F640:T640" si="1812">IF(F$29&gt;=$B626,CHOOSE($B625,IF(F$29&gt;=$B626+$B627-1,F643,0),SUM(F639,F643),0,IF(F$29=$B626+$B627,F643,F639)),0)</f>
        <v>0</v>
      </c>
      <c r="G640" s="53">
        <f t="shared" si="1812"/>
        <v>0</v>
      </c>
      <c r="H640" s="53">
        <f t="shared" si="1812"/>
        <v>0</v>
      </c>
      <c r="I640" s="53">
        <f t="shared" si="1812"/>
        <v>0</v>
      </c>
      <c r="J640" s="53">
        <f t="shared" si="1812"/>
        <v>0</v>
      </c>
      <c r="K640" s="53">
        <f t="shared" si="1812"/>
        <v>0</v>
      </c>
      <c r="L640" s="53">
        <f t="shared" si="1812"/>
        <v>0</v>
      </c>
      <c r="M640" s="53">
        <f t="shared" si="1812"/>
        <v>0</v>
      </c>
      <c r="N640" s="53">
        <f t="shared" si="1812"/>
        <v>0</v>
      </c>
      <c r="O640" s="53">
        <f t="shared" si="1812"/>
        <v>0</v>
      </c>
      <c r="P640" s="53">
        <f t="shared" si="1812"/>
        <v>0</v>
      </c>
      <c r="Q640" s="53">
        <f t="shared" si="1812"/>
        <v>0</v>
      </c>
      <c r="R640" s="53">
        <f t="shared" si="1812"/>
        <v>0</v>
      </c>
      <c r="S640" s="53">
        <f t="shared" si="1812"/>
        <v>0</v>
      </c>
      <c r="T640" s="53">
        <f t="shared" si="1812"/>
        <v>0</v>
      </c>
      <c r="U640" s="53">
        <f t="shared" ref="U640" si="1813">IF(U$29&gt;=$B626,CHOOSE($B625,IF(U$29&gt;=$B626+$B627-1,U643,0),SUM(U639,U643),0,IF(U$29=$B626+$B627,U643,U639)),0)</f>
        <v>0</v>
      </c>
      <c r="V640" s="53">
        <f t="shared" ref="V640" si="1814">IF(V$29&gt;=$B626,CHOOSE($B625,IF(V$29&gt;=$B626+$B627-1,V643,0),SUM(V639,V643),0,IF(V$29=$B626+$B627,V643,V639)),0)</f>
        <v>0</v>
      </c>
      <c r="W640" s="53">
        <f t="shared" ref="W640" si="1815">IF(W$29&gt;=$B626,CHOOSE($B625,IF(W$29&gt;=$B626+$B627-1,W643,0),SUM(W639,W643),0,IF(W$29=$B626+$B627,W643,W639)),0)</f>
        <v>0</v>
      </c>
      <c r="X640" s="53">
        <f t="shared" ref="X640" si="1816">IF(X$29&gt;=$B626,CHOOSE($B625,IF(X$29&gt;=$B626+$B627-1,X643,0),SUM(X639,X643),0,IF(X$29=$B626+$B627,X643,X639)),0)</f>
        <v>0</v>
      </c>
      <c r="Y640" s="53">
        <f t="shared" ref="Y640" si="1817">IF(Y$29&gt;=$B626,CHOOSE($B625,IF(Y$29&gt;=$B626+$B627-1,Y643,0),SUM(Y639,Y643),0,IF(Y$29=$B626+$B627,Y643,Y639)),0)</f>
        <v>0</v>
      </c>
      <c r="Z640" s="53">
        <f t="shared" ref="Z640" si="1818">IF(Z$29&gt;=$B626,CHOOSE($B625,IF(Z$29&gt;=$B626+$B627-1,Z643,0),SUM(Z639,Z643),0,IF(Z$29=$B626+$B627,Z643,Z639)),0)</f>
        <v>0</v>
      </c>
      <c r="AA640" s="53">
        <f t="shared" ref="AA640" si="1819">IF(AA$29&gt;=$B626,CHOOSE($B625,IF(AA$29&gt;=$B626+$B627-1,AA643,0),SUM(AA639,AA643),0,IF(AA$29=$B626+$B627,AA643,AA639)),0)</f>
        <v>0</v>
      </c>
      <c r="AB640" s="53">
        <f t="shared" ref="AB640:AC640" si="1820">IF(AB$29&gt;=$B626,CHOOSE($B625,IF(AB$29&gt;=$B626+$B627-1,AB643,0),SUM(AB639,AB643),0,IF(AB$29=$B626+$B627,AB643,AB639)),0)</f>
        <v>0</v>
      </c>
      <c r="AC640" s="53">
        <f t="shared" si="1820"/>
        <v>0</v>
      </c>
    </row>
    <row r="641" spans="1:31" hidden="1" outlineLevel="2" x14ac:dyDescent="0.2">
      <c r="A641" s="52" t="str">
        <f ca="1">Language!A$451</f>
        <v>Выкуп основных средств по остаточной стоимости</v>
      </c>
      <c r="C641" s="5" t="str">
        <f ca="1">CHOOSE(B624,CUR_Main,CUR_Foreign)</f>
        <v>тыс. EUR</v>
      </c>
      <c r="D641" t="str">
        <f>TEXT(B624,"0")&amp;"_13"</f>
        <v>1_13</v>
      </c>
      <c r="E641" s="43"/>
      <c r="F641" s="53">
        <f t="shared" ref="F641:AC641" si="1821">IF(AND(F$29=$B626+$B627,OR($B625=1,$B625=2)),E638,0)</f>
        <v>0</v>
      </c>
      <c r="G641" s="53">
        <f t="shared" si="1821"/>
        <v>0</v>
      </c>
      <c r="H641" s="53">
        <f t="shared" si="1821"/>
        <v>0</v>
      </c>
      <c r="I641" s="53">
        <f t="shared" si="1821"/>
        <v>0</v>
      </c>
      <c r="J641" s="53">
        <f t="shared" si="1821"/>
        <v>0</v>
      </c>
      <c r="K641" s="53">
        <f t="shared" si="1821"/>
        <v>0</v>
      </c>
      <c r="L641" s="53">
        <f t="shared" si="1821"/>
        <v>0</v>
      </c>
      <c r="M641" s="53">
        <f t="shared" si="1821"/>
        <v>0</v>
      </c>
      <c r="N641" s="53">
        <f t="shared" si="1821"/>
        <v>0</v>
      </c>
      <c r="O641" s="53">
        <f t="shared" si="1821"/>
        <v>0</v>
      </c>
      <c r="P641" s="53">
        <f t="shared" si="1821"/>
        <v>0</v>
      </c>
      <c r="Q641" s="53">
        <f t="shared" si="1821"/>
        <v>0</v>
      </c>
      <c r="R641" s="53">
        <f t="shared" si="1821"/>
        <v>0</v>
      </c>
      <c r="S641" s="53">
        <f t="shared" si="1821"/>
        <v>0</v>
      </c>
      <c r="T641" s="53">
        <f t="shared" si="1821"/>
        <v>0</v>
      </c>
      <c r="U641" s="53">
        <f t="shared" si="1821"/>
        <v>0</v>
      </c>
      <c r="V641" s="53">
        <f t="shared" si="1821"/>
        <v>0</v>
      </c>
      <c r="W641" s="53">
        <f t="shared" si="1821"/>
        <v>0</v>
      </c>
      <c r="X641" s="53">
        <f t="shared" si="1821"/>
        <v>0</v>
      </c>
      <c r="Y641" s="53">
        <f t="shared" si="1821"/>
        <v>0</v>
      </c>
      <c r="Z641" s="53">
        <f t="shared" si="1821"/>
        <v>0</v>
      </c>
      <c r="AA641" s="53">
        <f t="shared" si="1821"/>
        <v>0</v>
      </c>
      <c r="AB641" s="53">
        <f t="shared" si="1821"/>
        <v>0</v>
      </c>
      <c r="AC641" s="53">
        <f t="shared" si="1821"/>
        <v>0</v>
      </c>
      <c r="AE641" s="54">
        <f>SUM(F641:AC641)</f>
        <v>0</v>
      </c>
    </row>
    <row r="642" spans="1:31" hidden="1" outlineLevel="2" x14ac:dyDescent="0.2">
      <c r="A642" s="52" t="str">
        <f ca="1">Language!A$452</f>
        <v xml:space="preserve">    балансовая стоимость после выкупа</v>
      </c>
      <c r="C642" s="5" t="str">
        <f ca="1">CHOOSE(B624,CUR_Main,CUR_Foreign)</f>
        <v>тыс. EUR</v>
      </c>
      <c r="D642" t="str">
        <f>TEXT(B624,"0")&amp;"_14"&amp;";int_end"</f>
        <v>1_14;int_end</v>
      </c>
      <c r="E642" s="43"/>
      <c r="F642" s="53">
        <f>IF(SUM($E641:F641)&gt;0,F628,0)</f>
        <v>0</v>
      </c>
      <c r="G642" s="53">
        <f>IF(SUM($E641:G641)&gt;0,G628,0)</f>
        <v>0</v>
      </c>
      <c r="H642" s="53">
        <f>IF(SUM($E641:H641)&gt;0,H628,0)</f>
        <v>0</v>
      </c>
      <c r="I642" s="53">
        <f>IF(SUM($E641:I641)&gt;0,I628,0)</f>
        <v>0</v>
      </c>
      <c r="J642" s="53">
        <f>IF(SUM($E641:J641)&gt;0,J628,0)</f>
        <v>0</v>
      </c>
      <c r="K642" s="53">
        <f>IF(SUM($E641:K641)&gt;0,K628,0)</f>
        <v>0</v>
      </c>
      <c r="L642" s="53">
        <f>IF(SUM($E641:L641)&gt;0,L628,0)</f>
        <v>0</v>
      </c>
      <c r="M642" s="53">
        <f>IF(SUM($E641:M641)&gt;0,M628,0)</f>
        <v>0</v>
      </c>
      <c r="N642" s="53">
        <f>IF(SUM($E641:N641)&gt;0,N628,0)</f>
        <v>0</v>
      </c>
      <c r="O642" s="53">
        <f>IF(SUM($E641:O641)&gt;0,O628,0)</f>
        <v>0</v>
      </c>
      <c r="P642" s="53">
        <f>IF(SUM($E641:P641)&gt;0,P628,0)</f>
        <v>0</v>
      </c>
      <c r="Q642" s="53">
        <f>IF(SUM($E641:Q641)&gt;0,Q628,0)</f>
        <v>0</v>
      </c>
      <c r="R642" s="53">
        <f>IF(SUM($E641:R641)&gt;0,R628,0)</f>
        <v>0</v>
      </c>
      <c r="S642" s="53">
        <f>IF(SUM($E641:S641)&gt;0,S628,0)</f>
        <v>0</v>
      </c>
      <c r="T642" s="53">
        <f>IF(SUM($E641:T641)&gt;0,T628,0)</f>
        <v>0</v>
      </c>
      <c r="U642" s="53">
        <f>IF(SUM($E641:U641)&gt;0,U628,0)</f>
        <v>0</v>
      </c>
      <c r="V642" s="53">
        <f>IF(SUM($E641:V641)&gt;0,V628,0)</f>
        <v>0</v>
      </c>
      <c r="W642" s="53">
        <f>IF(SUM($E641:W641)&gt;0,W628,0)</f>
        <v>0</v>
      </c>
      <c r="X642" s="53">
        <f>IF(SUM($E641:X641)&gt;0,X628,0)</f>
        <v>0</v>
      </c>
      <c r="Y642" s="53">
        <f>IF(SUM($E641:Y641)&gt;0,Y628,0)</f>
        <v>0</v>
      </c>
      <c r="Z642" s="53">
        <f>IF(SUM($E641:Z641)&gt;0,Z628,0)</f>
        <v>0</v>
      </c>
      <c r="AA642" s="53">
        <f>IF(SUM($E641:AA641)&gt;0,AA628,0)</f>
        <v>0</v>
      </c>
      <c r="AB642" s="53">
        <f>IF(SUM($E641:AB641)&gt;0,AB628,0)</f>
        <v>0</v>
      </c>
      <c r="AC642" s="53">
        <f>IF(SUM($E641:AC641)&gt;0,AC628,0)</f>
        <v>0</v>
      </c>
    </row>
    <row r="643" spans="1:31" hidden="1" outlineLevel="2" x14ac:dyDescent="0.2">
      <c r="A643" s="52" t="str">
        <f ca="1">Language!A$453</f>
        <v xml:space="preserve">    остаточная стоимость после выкупа</v>
      </c>
      <c r="C643" s="5" t="str">
        <f ca="1">CHOOSE(B624,CUR_Main,CUR_Foreign)</f>
        <v>тыс. EUR</v>
      </c>
      <c r="D643" t="str">
        <f>TEXT(B624,"0")&amp;"_15"&amp;";int_end"</f>
        <v>1_15;int_end</v>
      </c>
      <c r="E643" s="43"/>
      <c r="F643" s="53">
        <f>IF(SUM($E641:F641)&gt;0,F638,0)</f>
        <v>0</v>
      </c>
      <c r="G643" s="53">
        <f>IF(SUM($E641:G641)&gt;0,G638,0)</f>
        <v>0</v>
      </c>
      <c r="H643" s="53">
        <f>IF(SUM($E641:H641)&gt;0,H638,0)</f>
        <v>0</v>
      </c>
      <c r="I643" s="53">
        <f>IF(SUM($E641:I641)&gt;0,I638,0)</f>
        <v>0</v>
      </c>
      <c r="J643" s="53">
        <f>IF(SUM($E641:J641)&gt;0,J638,0)</f>
        <v>0</v>
      </c>
      <c r="K643" s="53">
        <f>IF(SUM($E641:K641)&gt;0,K638,0)</f>
        <v>0</v>
      </c>
      <c r="L643" s="53">
        <f>IF(SUM($E641:L641)&gt;0,L638,0)</f>
        <v>0</v>
      </c>
      <c r="M643" s="53">
        <f>IF(SUM($E641:M641)&gt;0,M638,0)</f>
        <v>0</v>
      </c>
      <c r="N643" s="53">
        <f>IF(SUM($E641:N641)&gt;0,N638,0)</f>
        <v>0</v>
      </c>
      <c r="O643" s="53">
        <f>IF(SUM($E641:O641)&gt;0,O638,0)</f>
        <v>0</v>
      </c>
      <c r="P643" s="53">
        <f>IF(SUM($E641:P641)&gt;0,P638,0)</f>
        <v>0</v>
      </c>
      <c r="Q643" s="53">
        <f>IF(SUM($E641:Q641)&gt;0,Q638,0)</f>
        <v>0</v>
      </c>
      <c r="R643" s="53">
        <f>IF(SUM($E641:R641)&gt;0,R638,0)</f>
        <v>0</v>
      </c>
      <c r="S643" s="53">
        <f>IF(SUM($E641:S641)&gt;0,S638,0)</f>
        <v>0</v>
      </c>
      <c r="T643" s="53">
        <f>IF(SUM($E641:T641)&gt;0,T638,0)</f>
        <v>0</v>
      </c>
      <c r="U643" s="53">
        <f>IF(SUM($E641:U641)&gt;0,U638,0)</f>
        <v>0</v>
      </c>
      <c r="V643" s="53">
        <f>IF(SUM($E641:V641)&gt;0,V638,0)</f>
        <v>0</v>
      </c>
      <c r="W643" s="53">
        <f>IF(SUM($E641:W641)&gt;0,W638,0)</f>
        <v>0</v>
      </c>
      <c r="X643" s="53">
        <f>IF(SUM($E641:X641)&gt;0,X638,0)</f>
        <v>0</v>
      </c>
      <c r="Y643" s="53">
        <f>IF(SUM($E641:Y641)&gt;0,Y638,0)</f>
        <v>0</v>
      </c>
      <c r="Z643" s="53">
        <f>IF(SUM($E641:Z641)&gt;0,Z638,0)</f>
        <v>0</v>
      </c>
      <c r="AA643" s="53">
        <f>IF(SUM($E641:AA641)&gt;0,AA638,0)</f>
        <v>0</v>
      </c>
      <c r="AB643" s="53">
        <f>IF(SUM($E641:AB641)&gt;0,AB638,0)</f>
        <v>0</v>
      </c>
      <c r="AC643" s="53">
        <f>IF(SUM($E641:AC641)&gt;0,AC638,0)</f>
        <v>0</v>
      </c>
    </row>
    <row r="644" spans="1:31" hidden="1" outlineLevel="2" x14ac:dyDescent="0.2">
      <c r="A644" s="52" t="str">
        <f ca="1">Language!A$454</f>
        <v xml:space="preserve">    амортизация средств у лизингополучателя после выкупа</v>
      </c>
      <c r="C644" s="5" t="str">
        <f ca="1">CHOOSE(B624,CUR_Main,CUR_Foreign)</f>
        <v>тыс. EUR</v>
      </c>
      <c r="D644" t="str">
        <f>TEXT(B624,"0")&amp;"_16"</f>
        <v>1_16</v>
      </c>
      <c r="E644" s="43">
        <v>0</v>
      </c>
      <c r="F644" s="53">
        <f>IF(SUM($E641:F641)&gt;0,F629,0)</f>
        <v>0</v>
      </c>
      <c r="G644" s="53">
        <f>IF(SUM($E641:G641)&gt;0,G629,0)</f>
        <v>0</v>
      </c>
      <c r="H644" s="53">
        <f>IF(SUM($E641:H641)&gt;0,H629,0)</f>
        <v>0</v>
      </c>
      <c r="I644" s="53">
        <f>IF(SUM($E641:I641)&gt;0,I629,0)</f>
        <v>0</v>
      </c>
      <c r="J644" s="53">
        <f>IF(SUM($E641:J641)&gt;0,J629,0)</f>
        <v>0</v>
      </c>
      <c r="K644" s="53">
        <f>IF(SUM($E641:K641)&gt;0,K629,0)</f>
        <v>0</v>
      </c>
      <c r="L644" s="53">
        <f>IF(SUM($E641:L641)&gt;0,L629,0)</f>
        <v>0</v>
      </c>
      <c r="M644" s="53">
        <f>IF(SUM($E641:M641)&gt;0,M629,0)</f>
        <v>0</v>
      </c>
      <c r="N644" s="53">
        <f>IF(SUM($E641:N641)&gt;0,N629,0)</f>
        <v>0</v>
      </c>
      <c r="O644" s="53">
        <f>IF(SUM($E641:O641)&gt;0,O629,0)</f>
        <v>0</v>
      </c>
      <c r="P644" s="53">
        <f>IF(SUM($E641:P641)&gt;0,P629,0)</f>
        <v>0</v>
      </c>
      <c r="Q644" s="53">
        <f>IF(SUM($E641:Q641)&gt;0,Q629,0)</f>
        <v>0</v>
      </c>
      <c r="R644" s="53">
        <f>IF(SUM($E641:R641)&gt;0,R629,0)</f>
        <v>0</v>
      </c>
      <c r="S644" s="53">
        <f>IF(SUM($E641:S641)&gt;0,S629,0)</f>
        <v>0</v>
      </c>
      <c r="T644" s="53">
        <f>IF(SUM($E641:T641)&gt;0,T629,0)</f>
        <v>0</v>
      </c>
      <c r="U644" s="53">
        <f>IF(SUM($E641:U641)&gt;0,U629,0)</f>
        <v>0</v>
      </c>
      <c r="V644" s="53">
        <f>IF(SUM($E641:V641)&gt;0,V629,0)</f>
        <v>0</v>
      </c>
      <c r="W644" s="53">
        <f>IF(SUM($E641:W641)&gt;0,W629,0)</f>
        <v>0</v>
      </c>
      <c r="X644" s="53">
        <f>IF(SUM($E641:X641)&gt;0,X629,0)</f>
        <v>0</v>
      </c>
      <c r="Y644" s="53">
        <f>IF(SUM($E641:Y641)&gt;0,Y629,0)</f>
        <v>0</v>
      </c>
      <c r="Z644" s="53">
        <f>IF(SUM($E641:Z641)&gt;0,Z629,0)</f>
        <v>0</v>
      </c>
      <c r="AA644" s="53">
        <f>IF(SUM($E641:AA641)&gt;0,AA629,0)</f>
        <v>0</v>
      </c>
      <c r="AB644" s="53">
        <f>IF(SUM($E641:AB641)&gt;0,AB629,0)</f>
        <v>0</v>
      </c>
      <c r="AC644" s="53">
        <f>IF(SUM($E641:AC641)&gt;0,AC629,0)</f>
        <v>0</v>
      </c>
      <c r="AE644" s="54">
        <f>SUM(F644:AC644)</f>
        <v>0</v>
      </c>
    </row>
    <row r="645" spans="1:31" hidden="1" outlineLevel="2" x14ac:dyDescent="0.2">
      <c r="A645" s="52" t="str">
        <f ca="1">Language!A$455</f>
        <v xml:space="preserve">    НДС уплаченный при выкупе </v>
      </c>
      <c r="B645" s="278">
        <f>VAT</f>
        <v>0.23</v>
      </c>
      <c r="C645" s="5" t="str">
        <f ca="1">CHOOSE(B624,CUR_Main,CUR_Foreign)</f>
        <v>тыс. EUR</v>
      </c>
      <c r="D645" t="str">
        <f>TEXT(B624,"0")&amp;"_17"</f>
        <v>1_17</v>
      </c>
      <c r="E645" s="43"/>
      <c r="F645" s="53">
        <f t="shared" ref="F645:T645" si="1822">F641*$B645</f>
        <v>0</v>
      </c>
      <c r="G645" s="53">
        <f t="shared" si="1822"/>
        <v>0</v>
      </c>
      <c r="H645" s="53">
        <f t="shared" si="1822"/>
        <v>0</v>
      </c>
      <c r="I645" s="53">
        <f t="shared" si="1822"/>
        <v>0</v>
      </c>
      <c r="J645" s="53">
        <f t="shared" si="1822"/>
        <v>0</v>
      </c>
      <c r="K645" s="53">
        <f t="shared" si="1822"/>
        <v>0</v>
      </c>
      <c r="L645" s="53">
        <f t="shared" si="1822"/>
        <v>0</v>
      </c>
      <c r="M645" s="53">
        <f t="shared" si="1822"/>
        <v>0</v>
      </c>
      <c r="N645" s="53">
        <f t="shared" si="1822"/>
        <v>0</v>
      </c>
      <c r="O645" s="53">
        <f t="shared" si="1822"/>
        <v>0</v>
      </c>
      <c r="P645" s="53">
        <f t="shared" si="1822"/>
        <v>0</v>
      </c>
      <c r="Q645" s="53">
        <f t="shared" si="1822"/>
        <v>0</v>
      </c>
      <c r="R645" s="53">
        <f t="shared" si="1822"/>
        <v>0</v>
      </c>
      <c r="S645" s="53">
        <f t="shared" si="1822"/>
        <v>0</v>
      </c>
      <c r="T645" s="53">
        <f t="shared" si="1822"/>
        <v>0</v>
      </c>
      <c r="U645" s="53">
        <f t="shared" ref="U645" si="1823">U641*$B645</f>
        <v>0</v>
      </c>
      <c r="V645" s="53">
        <f t="shared" ref="V645" si="1824">V641*$B645</f>
        <v>0</v>
      </c>
      <c r="W645" s="53">
        <f t="shared" ref="W645" si="1825">W641*$B645</f>
        <v>0</v>
      </c>
      <c r="X645" s="53">
        <f t="shared" ref="X645" si="1826">X641*$B645</f>
        <v>0</v>
      </c>
      <c r="Y645" s="53">
        <f t="shared" ref="Y645" si="1827">Y641*$B645</f>
        <v>0</v>
      </c>
      <c r="Z645" s="53">
        <f t="shared" ref="Z645" si="1828">Z641*$B645</f>
        <v>0</v>
      </c>
      <c r="AA645" s="53">
        <f t="shared" ref="AA645" si="1829">AA641*$B645</f>
        <v>0</v>
      </c>
      <c r="AB645" s="53">
        <f t="shared" ref="AB645:AC645" si="1830">AB641*$B645</f>
        <v>0</v>
      </c>
      <c r="AC645" s="53">
        <f t="shared" si="1830"/>
        <v>0</v>
      </c>
      <c r="AE645" s="54">
        <f>SUM(F645:AC645)</f>
        <v>0</v>
      </c>
    </row>
    <row r="646" spans="1:31" hidden="1" outlineLevel="1" x14ac:dyDescent="0.2">
      <c r="C646" s="5"/>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row>
    <row r="647" spans="1:31" hidden="1" outlineLevel="1" x14ac:dyDescent="0.2">
      <c r="A647" s="35" t="str">
        <f ca="1">Language!A456</f>
        <v xml:space="preserve"> = Итого лизинговые платежи, начисленные, без НДС</v>
      </c>
      <c r="C647" s="5" t="str">
        <f t="shared" ref="C647:C658" ca="1" si="1831">CUR_Main</f>
        <v>тыс. EUR</v>
      </c>
      <c r="E647" s="43"/>
      <c r="F647" s="56">
        <f t="shared" ref="F647:T647" ca="1" si="1832">SUMIF($D622:$D646,"*1_05*",F622:F646)+SUMIF($D622:$D646,"*2_05*",F622:F646)*F$88</f>
        <v>0</v>
      </c>
      <c r="G647" s="56">
        <f t="shared" ca="1" si="1832"/>
        <v>0</v>
      </c>
      <c r="H647" s="56">
        <f t="shared" ca="1" si="1832"/>
        <v>0</v>
      </c>
      <c r="I647" s="56">
        <f t="shared" ca="1" si="1832"/>
        <v>0</v>
      </c>
      <c r="J647" s="56">
        <f t="shared" ca="1" si="1832"/>
        <v>0</v>
      </c>
      <c r="K647" s="56">
        <f t="shared" ca="1" si="1832"/>
        <v>0</v>
      </c>
      <c r="L647" s="56">
        <f t="shared" ca="1" si="1832"/>
        <v>0</v>
      </c>
      <c r="M647" s="56">
        <f t="shared" ca="1" si="1832"/>
        <v>0</v>
      </c>
      <c r="N647" s="56">
        <f t="shared" ca="1" si="1832"/>
        <v>0</v>
      </c>
      <c r="O647" s="56">
        <f t="shared" ca="1" si="1832"/>
        <v>0</v>
      </c>
      <c r="P647" s="56">
        <f t="shared" ca="1" si="1832"/>
        <v>0</v>
      </c>
      <c r="Q647" s="56">
        <f t="shared" ca="1" si="1832"/>
        <v>0</v>
      </c>
      <c r="R647" s="56">
        <f t="shared" ca="1" si="1832"/>
        <v>0</v>
      </c>
      <c r="S647" s="56">
        <f t="shared" ca="1" si="1832"/>
        <v>0</v>
      </c>
      <c r="T647" s="56">
        <f t="shared" ca="1" si="1832"/>
        <v>0</v>
      </c>
      <c r="U647" s="56">
        <f t="shared" ref="U647" ca="1" si="1833">SUMIF($D622:$D646,"*1_05*",U622:U646)+SUMIF($D622:$D646,"*2_05*",U622:U646)*U$88</f>
        <v>0</v>
      </c>
      <c r="V647" s="56">
        <f t="shared" ref="V647" ca="1" si="1834">SUMIF($D622:$D646,"*1_05*",V622:V646)+SUMIF($D622:$D646,"*2_05*",V622:V646)*V$88</f>
        <v>0</v>
      </c>
      <c r="W647" s="56">
        <f t="shared" ref="W647" ca="1" si="1835">SUMIF($D622:$D646,"*1_05*",W622:W646)+SUMIF($D622:$D646,"*2_05*",W622:W646)*W$88</f>
        <v>0</v>
      </c>
      <c r="X647" s="56">
        <f t="shared" ref="X647" ca="1" si="1836">SUMIF($D622:$D646,"*1_05*",X622:X646)+SUMIF($D622:$D646,"*2_05*",X622:X646)*X$88</f>
        <v>0</v>
      </c>
      <c r="Y647" s="56">
        <f t="shared" ref="Y647" ca="1" si="1837">SUMIF($D622:$D646,"*1_05*",Y622:Y646)+SUMIF($D622:$D646,"*2_05*",Y622:Y646)*Y$88</f>
        <v>0</v>
      </c>
      <c r="Z647" s="56">
        <f t="shared" ref="Z647" ca="1" si="1838">SUMIF($D622:$D646,"*1_05*",Z622:Z646)+SUMIF($D622:$D646,"*2_05*",Z622:Z646)*Z$88</f>
        <v>0</v>
      </c>
      <c r="AA647" s="56">
        <f t="shared" ref="AA647" ca="1" si="1839">SUMIF($D622:$D646,"*1_05*",AA622:AA646)+SUMIF($D622:$D646,"*2_05*",AA622:AA646)*AA$88</f>
        <v>0</v>
      </c>
      <c r="AB647" s="56">
        <f t="shared" ref="AB647:AC647" ca="1" si="1840">SUMIF($D622:$D646,"*1_05*",AB622:AB646)+SUMIF($D622:$D646,"*2_05*",AB622:AB646)*AB$88</f>
        <v>0</v>
      </c>
      <c r="AC647" s="56">
        <f t="shared" ca="1" si="1840"/>
        <v>0</v>
      </c>
      <c r="AD647" s="35"/>
      <c r="AE647" s="57">
        <f ca="1">SUM(F647:AC647)</f>
        <v>0</v>
      </c>
    </row>
    <row r="648" spans="1:31" hidden="1" outlineLevel="1" x14ac:dyDescent="0.2">
      <c r="A648" s="35" t="str">
        <f ca="1">Language!A457</f>
        <v xml:space="preserve"> = Итого лизинговые платежи, начисленные, с НДС</v>
      </c>
      <c r="C648" s="5" t="str">
        <f t="shared" ca="1" si="1831"/>
        <v>тыс. EUR</v>
      </c>
      <c r="E648" s="43"/>
      <c r="F648" s="56">
        <f t="shared" ref="F648:T648" ca="1" si="1841">SUMIF($D622:$D646,"*1_06*",F622:F646)+SUMIF($D622:$D646,"*2_06*",F622:F646)*F$88</f>
        <v>0</v>
      </c>
      <c r="G648" s="56">
        <f t="shared" ca="1" si="1841"/>
        <v>0</v>
      </c>
      <c r="H648" s="56">
        <f t="shared" ca="1" si="1841"/>
        <v>0</v>
      </c>
      <c r="I648" s="56">
        <f t="shared" ca="1" si="1841"/>
        <v>0</v>
      </c>
      <c r="J648" s="56">
        <f t="shared" ca="1" si="1841"/>
        <v>0</v>
      </c>
      <c r="K648" s="56">
        <f t="shared" ca="1" si="1841"/>
        <v>0</v>
      </c>
      <c r="L648" s="56">
        <f t="shared" ca="1" si="1841"/>
        <v>0</v>
      </c>
      <c r="M648" s="56">
        <f t="shared" ca="1" si="1841"/>
        <v>0</v>
      </c>
      <c r="N648" s="56">
        <f t="shared" ca="1" si="1841"/>
        <v>0</v>
      </c>
      <c r="O648" s="56">
        <f t="shared" ca="1" si="1841"/>
        <v>0</v>
      </c>
      <c r="P648" s="56">
        <f t="shared" ca="1" si="1841"/>
        <v>0</v>
      </c>
      <c r="Q648" s="56">
        <f t="shared" ca="1" si="1841"/>
        <v>0</v>
      </c>
      <c r="R648" s="56">
        <f t="shared" ca="1" si="1841"/>
        <v>0</v>
      </c>
      <c r="S648" s="56">
        <f t="shared" ca="1" si="1841"/>
        <v>0</v>
      </c>
      <c r="T648" s="56">
        <f t="shared" ca="1" si="1841"/>
        <v>0</v>
      </c>
      <c r="U648" s="56">
        <f t="shared" ref="U648" ca="1" si="1842">SUMIF($D622:$D646,"*1_06*",U622:U646)+SUMIF($D622:$D646,"*2_06*",U622:U646)*U$88</f>
        <v>0</v>
      </c>
      <c r="V648" s="56">
        <f t="shared" ref="V648" ca="1" si="1843">SUMIF($D622:$D646,"*1_06*",V622:V646)+SUMIF($D622:$D646,"*2_06*",V622:V646)*V$88</f>
        <v>0</v>
      </c>
      <c r="W648" s="56">
        <f t="shared" ref="W648" ca="1" si="1844">SUMIF($D622:$D646,"*1_06*",W622:W646)+SUMIF($D622:$D646,"*2_06*",W622:W646)*W$88</f>
        <v>0</v>
      </c>
      <c r="X648" s="56">
        <f t="shared" ref="X648" ca="1" si="1845">SUMIF($D622:$D646,"*1_06*",X622:X646)+SUMIF($D622:$D646,"*2_06*",X622:X646)*X$88</f>
        <v>0</v>
      </c>
      <c r="Y648" s="56">
        <f t="shared" ref="Y648" ca="1" si="1846">SUMIF($D622:$D646,"*1_06*",Y622:Y646)+SUMIF($D622:$D646,"*2_06*",Y622:Y646)*Y$88</f>
        <v>0</v>
      </c>
      <c r="Z648" s="56">
        <f t="shared" ref="Z648" ca="1" si="1847">SUMIF($D622:$D646,"*1_06*",Z622:Z646)+SUMIF($D622:$D646,"*2_06*",Z622:Z646)*Z$88</f>
        <v>0</v>
      </c>
      <c r="AA648" s="56">
        <f t="shared" ref="AA648" ca="1" si="1848">SUMIF($D622:$D646,"*1_06*",AA622:AA646)+SUMIF($D622:$D646,"*2_06*",AA622:AA646)*AA$88</f>
        <v>0</v>
      </c>
      <c r="AB648" s="56">
        <f t="shared" ref="AB648:AC648" ca="1" si="1849">SUMIF($D622:$D646,"*1_06*",AB622:AB646)+SUMIF($D622:$D646,"*2_06*",AB622:AB646)*AB$88</f>
        <v>0</v>
      </c>
      <c r="AC648" s="56">
        <f t="shared" ca="1" si="1849"/>
        <v>0</v>
      </c>
      <c r="AD648" s="35"/>
      <c r="AE648" s="57">
        <f ca="1">SUM(F648:AC648)</f>
        <v>0</v>
      </c>
    </row>
    <row r="649" spans="1:31" hidden="1" outlineLevel="1" x14ac:dyDescent="0.2">
      <c r="A649" s="35" t="str">
        <f ca="1">Language!A458</f>
        <v xml:space="preserve"> = Итого лизинговые платежи, уплаченные, с НДС</v>
      </c>
      <c r="C649" s="5" t="str">
        <f t="shared" ca="1" si="1831"/>
        <v>тыс. EUR</v>
      </c>
      <c r="E649" s="43"/>
      <c r="F649" s="56">
        <f t="shared" ref="F649:T649" ca="1" si="1850">SUMIF($D622:$D646,"*1_08*",F622:F646)+SUMIF($D622:$D646,"*2_08*",F622:F646)*F$88</f>
        <v>0</v>
      </c>
      <c r="G649" s="56">
        <f t="shared" ca="1" si="1850"/>
        <v>0</v>
      </c>
      <c r="H649" s="56">
        <f t="shared" ca="1" si="1850"/>
        <v>0</v>
      </c>
      <c r="I649" s="56">
        <f t="shared" ca="1" si="1850"/>
        <v>0</v>
      </c>
      <c r="J649" s="56">
        <f t="shared" ca="1" si="1850"/>
        <v>0</v>
      </c>
      <c r="K649" s="56">
        <f t="shared" ca="1" si="1850"/>
        <v>0</v>
      </c>
      <c r="L649" s="56">
        <f t="shared" ca="1" si="1850"/>
        <v>0</v>
      </c>
      <c r="M649" s="56">
        <f t="shared" ca="1" si="1850"/>
        <v>0</v>
      </c>
      <c r="N649" s="56">
        <f t="shared" ca="1" si="1850"/>
        <v>0</v>
      </c>
      <c r="O649" s="56">
        <f t="shared" ca="1" si="1850"/>
        <v>0</v>
      </c>
      <c r="P649" s="56">
        <f t="shared" ca="1" si="1850"/>
        <v>0</v>
      </c>
      <c r="Q649" s="56">
        <f t="shared" ca="1" si="1850"/>
        <v>0</v>
      </c>
      <c r="R649" s="56">
        <f t="shared" ca="1" si="1850"/>
        <v>0</v>
      </c>
      <c r="S649" s="56">
        <f t="shared" ca="1" si="1850"/>
        <v>0</v>
      </c>
      <c r="T649" s="56">
        <f t="shared" ca="1" si="1850"/>
        <v>0</v>
      </c>
      <c r="U649" s="56">
        <f t="shared" ref="U649" ca="1" si="1851">SUMIF($D622:$D646,"*1_08*",U622:U646)+SUMIF($D622:$D646,"*2_08*",U622:U646)*U$88</f>
        <v>0</v>
      </c>
      <c r="V649" s="56">
        <f t="shared" ref="V649" ca="1" si="1852">SUMIF($D622:$D646,"*1_08*",V622:V646)+SUMIF($D622:$D646,"*2_08*",V622:V646)*V$88</f>
        <v>0</v>
      </c>
      <c r="W649" s="56">
        <f t="shared" ref="W649" ca="1" si="1853">SUMIF($D622:$D646,"*1_08*",W622:W646)+SUMIF($D622:$D646,"*2_08*",W622:W646)*W$88</f>
        <v>0</v>
      </c>
      <c r="X649" s="56">
        <f t="shared" ref="X649" ca="1" si="1854">SUMIF($D622:$D646,"*1_08*",X622:X646)+SUMIF($D622:$D646,"*2_08*",X622:X646)*X$88</f>
        <v>0</v>
      </c>
      <c r="Y649" s="56">
        <f t="shared" ref="Y649" ca="1" si="1855">SUMIF($D622:$D646,"*1_08*",Y622:Y646)+SUMIF($D622:$D646,"*2_08*",Y622:Y646)*Y$88</f>
        <v>0</v>
      </c>
      <c r="Z649" s="56">
        <f t="shared" ref="Z649" ca="1" si="1856">SUMIF($D622:$D646,"*1_08*",Z622:Z646)+SUMIF($D622:$D646,"*2_08*",Z622:Z646)*Z$88</f>
        <v>0</v>
      </c>
      <c r="AA649" s="56">
        <f t="shared" ref="AA649" ca="1" si="1857">SUMIF($D622:$D646,"*1_08*",AA622:AA646)+SUMIF($D622:$D646,"*2_08*",AA622:AA646)*AA$88</f>
        <v>0</v>
      </c>
      <c r="AB649" s="56">
        <f t="shared" ref="AB649:AC649" ca="1" si="1858">SUMIF($D622:$D646,"*1_08*",AB622:AB646)+SUMIF($D622:$D646,"*2_08*",AB622:AB646)*AB$88</f>
        <v>0</v>
      </c>
      <c r="AC649" s="56">
        <f t="shared" ca="1" si="1858"/>
        <v>0</v>
      </c>
      <c r="AD649" s="35"/>
      <c r="AE649" s="57">
        <f ca="1">SUM(F649:AC649)</f>
        <v>0</v>
      </c>
    </row>
    <row r="650" spans="1:31" hidden="1" outlineLevel="1" collapsed="1" x14ac:dyDescent="0.2">
      <c r="A650" s="35" t="str">
        <f ca="1">Language!A459</f>
        <v xml:space="preserve"> = Итого выкуп основных средств, с НДС</v>
      </c>
      <c r="C650" s="5" t="str">
        <f t="shared" ca="1" si="1831"/>
        <v>тыс. EUR</v>
      </c>
      <c r="E650" s="43"/>
      <c r="F650" s="58">
        <f t="shared" ref="F650:T650" si="1859">SUMIF($D622:$D646,"*1_13*",F622:F646)+SUMIF($D622:$D646,"*2_13*",F622:F646)*F$88+SUMIF($D622:$D646,"*1_17*",F622:F646)+SUMIF($D622:$D646,"*2_17*",F622:F646)*F$88</f>
        <v>0</v>
      </c>
      <c r="G650" s="58">
        <f t="shared" si="1859"/>
        <v>0</v>
      </c>
      <c r="H650" s="58">
        <f t="shared" si="1859"/>
        <v>0</v>
      </c>
      <c r="I650" s="58">
        <f t="shared" si="1859"/>
        <v>0</v>
      </c>
      <c r="J650" s="58">
        <f t="shared" si="1859"/>
        <v>0</v>
      </c>
      <c r="K650" s="58">
        <f t="shared" si="1859"/>
        <v>0</v>
      </c>
      <c r="L650" s="58">
        <f t="shared" si="1859"/>
        <v>0</v>
      </c>
      <c r="M650" s="58">
        <f t="shared" si="1859"/>
        <v>0</v>
      </c>
      <c r="N650" s="58">
        <f t="shared" si="1859"/>
        <v>0</v>
      </c>
      <c r="O650" s="58">
        <f t="shared" si="1859"/>
        <v>0</v>
      </c>
      <c r="P650" s="58">
        <f t="shared" si="1859"/>
        <v>0</v>
      </c>
      <c r="Q650" s="58">
        <f t="shared" si="1859"/>
        <v>0</v>
      </c>
      <c r="R650" s="58">
        <f t="shared" si="1859"/>
        <v>0</v>
      </c>
      <c r="S650" s="58">
        <f t="shared" si="1859"/>
        <v>0</v>
      </c>
      <c r="T650" s="58">
        <f t="shared" si="1859"/>
        <v>0</v>
      </c>
      <c r="U650" s="58">
        <f t="shared" ref="U650" si="1860">SUMIF($D622:$D646,"*1_13*",U622:U646)+SUMIF($D622:$D646,"*2_13*",U622:U646)*U$88+SUMIF($D622:$D646,"*1_17*",U622:U646)+SUMIF($D622:$D646,"*2_17*",U622:U646)*U$88</f>
        <v>0</v>
      </c>
      <c r="V650" s="58">
        <f t="shared" ref="V650" si="1861">SUMIF($D622:$D646,"*1_13*",V622:V646)+SUMIF($D622:$D646,"*2_13*",V622:V646)*V$88+SUMIF($D622:$D646,"*1_17*",V622:V646)+SUMIF($D622:$D646,"*2_17*",V622:V646)*V$88</f>
        <v>0</v>
      </c>
      <c r="W650" s="58">
        <f t="shared" ref="W650" si="1862">SUMIF($D622:$D646,"*1_13*",W622:W646)+SUMIF($D622:$D646,"*2_13*",W622:W646)*W$88+SUMIF($D622:$D646,"*1_17*",W622:W646)+SUMIF($D622:$D646,"*2_17*",W622:W646)*W$88</f>
        <v>0</v>
      </c>
      <c r="X650" s="58">
        <f t="shared" ref="X650" si="1863">SUMIF($D622:$D646,"*1_13*",X622:X646)+SUMIF($D622:$D646,"*2_13*",X622:X646)*X$88+SUMIF($D622:$D646,"*1_17*",X622:X646)+SUMIF($D622:$D646,"*2_17*",X622:X646)*X$88</f>
        <v>0</v>
      </c>
      <c r="Y650" s="58">
        <f t="shared" ref="Y650" si="1864">SUMIF($D622:$D646,"*1_13*",Y622:Y646)+SUMIF($D622:$D646,"*2_13*",Y622:Y646)*Y$88+SUMIF($D622:$D646,"*1_17*",Y622:Y646)+SUMIF($D622:$D646,"*2_17*",Y622:Y646)*Y$88</f>
        <v>0</v>
      </c>
      <c r="Z650" s="58">
        <f t="shared" ref="Z650" si="1865">SUMIF($D622:$D646,"*1_13*",Z622:Z646)+SUMIF($D622:$D646,"*2_13*",Z622:Z646)*Z$88+SUMIF($D622:$D646,"*1_17*",Z622:Z646)+SUMIF($D622:$D646,"*2_17*",Z622:Z646)*Z$88</f>
        <v>0</v>
      </c>
      <c r="AA650" s="58">
        <f t="shared" ref="AA650" si="1866">SUMIF($D622:$D646,"*1_13*",AA622:AA646)+SUMIF($D622:$D646,"*2_13*",AA622:AA646)*AA$88+SUMIF($D622:$D646,"*1_17*",AA622:AA646)+SUMIF($D622:$D646,"*2_17*",AA622:AA646)*AA$88</f>
        <v>0</v>
      </c>
      <c r="AB650" s="58">
        <f t="shared" ref="AB650:AC650" si="1867">SUMIF($D622:$D646,"*1_13*",AB622:AB646)+SUMIF($D622:$D646,"*2_13*",AB622:AB646)*AB$88+SUMIF($D622:$D646,"*1_17*",AB622:AB646)+SUMIF($D622:$D646,"*2_17*",AB622:AB646)*AB$88</f>
        <v>0</v>
      </c>
      <c r="AC650" s="58">
        <f t="shared" si="1867"/>
        <v>0</v>
      </c>
      <c r="AD650" s="35"/>
      <c r="AE650" s="57">
        <f>SUM(F650:AC650)</f>
        <v>0</v>
      </c>
    </row>
    <row r="651" spans="1:31" hidden="1" outlineLevel="2" x14ac:dyDescent="0.2">
      <c r="A651" s="23" t="str">
        <f ca="1">Language!A460</f>
        <v xml:space="preserve">    НДС к лизинговым платежам</v>
      </c>
      <c r="C651" s="5" t="str">
        <f t="shared" ca="1" si="1831"/>
        <v>тыс. EUR</v>
      </c>
      <c r="E651" s="43"/>
      <c r="F651" s="43">
        <f t="shared" ref="F651:T651" ca="1" si="1868">SUMIF($D622:$D646,"*1_09*",F622:F646)+SUMIF($D622:$D646,"*2_09*",F622:F646)*F$88</f>
        <v>0</v>
      </c>
      <c r="G651" s="43">
        <f t="shared" ca="1" si="1868"/>
        <v>0</v>
      </c>
      <c r="H651" s="43">
        <f t="shared" ca="1" si="1868"/>
        <v>0</v>
      </c>
      <c r="I651" s="43">
        <f t="shared" ca="1" si="1868"/>
        <v>0</v>
      </c>
      <c r="J651" s="43">
        <f t="shared" ca="1" si="1868"/>
        <v>0</v>
      </c>
      <c r="K651" s="43">
        <f t="shared" ca="1" si="1868"/>
        <v>0</v>
      </c>
      <c r="L651" s="43">
        <f t="shared" ca="1" si="1868"/>
        <v>0</v>
      </c>
      <c r="M651" s="43">
        <f t="shared" ca="1" si="1868"/>
        <v>0</v>
      </c>
      <c r="N651" s="43">
        <f t="shared" ca="1" si="1868"/>
        <v>0</v>
      </c>
      <c r="O651" s="43">
        <f t="shared" ca="1" si="1868"/>
        <v>0</v>
      </c>
      <c r="P651" s="43">
        <f t="shared" ca="1" si="1868"/>
        <v>0</v>
      </c>
      <c r="Q651" s="43">
        <f t="shared" ca="1" si="1868"/>
        <v>0</v>
      </c>
      <c r="R651" s="43">
        <f t="shared" ca="1" si="1868"/>
        <v>0</v>
      </c>
      <c r="S651" s="43">
        <f t="shared" ca="1" si="1868"/>
        <v>0</v>
      </c>
      <c r="T651" s="43">
        <f t="shared" ca="1" si="1868"/>
        <v>0</v>
      </c>
      <c r="U651" s="43">
        <f t="shared" ref="U651" ca="1" si="1869">SUMIF($D622:$D646,"*1_09*",U622:U646)+SUMIF($D622:$D646,"*2_09*",U622:U646)*U$88</f>
        <v>0</v>
      </c>
      <c r="V651" s="43">
        <f t="shared" ref="V651" ca="1" si="1870">SUMIF($D622:$D646,"*1_09*",V622:V646)+SUMIF($D622:$D646,"*2_09*",V622:V646)*V$88</f>
        <v>0</v>
      </c>
      <c r="W651" s="43">
        <f t="shared" ref="W651" ca="1" si="1871">SUMIF($D622:$D646,"*1_09*",W622:W646)+SUMIF($D622:$D646,"*2_09*",W622:W646)*W$88</f>
        <v>0</v>
      </c>
      <c r="X651" s="43">
        <f t="shared" ref="X651" ca="1" si="1872">SUMIF($D622:$D646,"*1_09*",X622:X646)+SUMIF($D622:$D646,"*2_09*",X622:X646)*X$88</f>
        <v>0</v>
      </c>
      <c r="Y651" s="43">
        <f t="shared" ref="Y651" ca="1" si="1873">SUMIF($D622:$D646,"*1_09*",Y622:Y646)+SUMIF($D622:$D646,"*2_09*",Y622:Y646)*Y$88</f>
        <v>0</v>
      </c>
      <c r="Z651" s="43">
        <f t="shared" ref="Z651" ca="1" si="1874">SUMIF($D622:$D646,"*1_09*",Z622:Z646)+SUMIF($D622:$D646,"*2_09*",Z622:Z646)*Z$88</f>
        <v>0</v>
      </c>
      <c r="AA651" s="43">
        <f t="shared" ref="AA651" ca="1" si="1875">SUMIF($D622:$D646,"*1_09*",AA622:AA646)+SUMIF($D622:$D646,"*2_09*",AA622:AA646)*AA$88</f>
        <v>0</v>
      </c>
      <c r="AB651" s="43">
        <f t="shared" ref="AB651:AC651" ca="1" si="1876">SUMIF($D622:$D646,"*1_09*",AB622:AB646)+SUMIF($D622:$D646,"*2_09*",AB622:AB646)*AB$88</f>
        <v>0</v>
      </c>
      <c r="AC651" s="43">
        <f t="shared" ca="1" si="1876"/>
        <v>0</v>
      </c>
      <c r="AE651" s="54">
        <f ca="1">SUM(F651:AC651)</f>
        <v>0</v>
      </c>
    </row>
    <row r="652" spans="1:31" hidden="1" outlineLevel="2" x14ac:dyDescent="0.2">
      <c r="A652" s="23" t="str">
        <f ca="1">Language!A461</f>
        <v xml:space="preserve">    НДС к выкупу</v>
      </c>
      <c r="C652" s="5" t="str">
        <f t="shared" ca="1" si="1831"/>
        <v>тыс. EUR</v>
      </c>
      <c r="E652" s="43"/>
      <c r="F652" s="43">
        <f t="shared" ref="F652:T652" si="1877">SUMIF($D622:$D646,"*1_17*",F622:F646)+SUMIF($D622:$D646,"*2_17*",F622:F646)*F$88</f>
        <v>0</v>
      </c>
      <c r="G652" s="43">
        <f t="shared" si="1877"/>
        <v>0</v>
      </c>
      <c r="H652" s="43">
        <f t="shared" si="1877"/>
        <v>0</v>
      </c>
      <c r="I652" s="43">
        <f t="shared" si="1877"/>
        <v>0</v>
      </c>
      <c r="J652" s="43">
        <f t="shared" si="1877"/>
        <v>0</v>
      </c>
      <c r="K652" s="43">
        <f t="shared" si="1877"/>
        <v>0</v>
      </c>
      <c r="L652" s="43">
        <f t="shared" si="1877"/>
        <v>0</v>
      </c>
      <c r="M652" s="43">
        <f t="shared" si="1877"/>
        <v>0</v>
      </c>
      <c r="N652" s="43">
        <f t="shared" si="1877"/>
        <v>0</v>
      </c>
      <c r="O652" s="43">
        <f t="shared" si="1877"/>
        <v>0</v>
      </c>
      <c r="P652" s="43">
        <f t="shared" si="1877"/>
        <v>0</v>
      </c>
      <c r="Q652" s="43">
        <f t="shared" si="1877"/>
        <v>0</v>
      </c>
      <c r="R652" s="43">
        <f t="shared" si="1877"/>
        <v>0</v>
      </c>
      <c r="S652" s="43">
        <f t="shared" si="1877"/>
        <v>0</v>
      </c>
      <c r="T652" s="43">
        <f t="shared" si="1877"/>
        <v>0</v>
      </c>
      <c r="U652" s="43">
        <f t="shared" ref="U652" si="1878">SUMIF($D622:$D646,"*1_17*",U622:U646)+SUMIF($D622:$D646,"*2_17*",U622:U646)*U$88</f>
        <v>0</v>
      </c>
      <c r="V652" s="43">
        <f t="shared" ref="V652" si="1879">SUMIF($D622:$D646,"*1_17*",V622:V646)+SUMIF($D622:$D646,"*2_17*",V622:V646)*V$88</f>
        <v>0</v>
      </c>
      <c r="W652" s="43">
        <f t="shared" ref="W652" si="1880">SUMIF($D622:$D646,"*1_17*",W622:W646)+SUMIF($D622:$D646,"*2_17*",W622:W646)*W$88</f>
        <v>0</v>
      </c>
      <c r="X652" s="43">
        <f t="shared" ref="X652" si="1881">SUMIF($D622:$D646,"*1_17*",X622:X646)+SUMIF($D622:$D646,"*2_17*",X622:X646)*X$88</f>
        <v>0</v>
      </c>
      <c r="Y652" s="43">
        <f t="shared" ref="Y652" si="1882">SUMIF($D622:$D646,"*1_17*",Y622:Y646)+SUMIF($D622:$D646,"*2_17*",Y622:Y646)*Y$88</f>
        <v>0</v>
      </c>
      <c r="Z652" s="43">
        <f t="shared" ref="Z652" si="1883">SUMIF($D622:$D646,"*1_17*",Z622:Z646)+SUMIF($D622:$D646,"*2_17*",Z622:Z646)*Z$88</f>
        <v>0</v>
      </c>
      <c r="AA652" s="43">
        <f t="shared" ref="AA652" si="1884">SUMIF($D622:$D646,"*1_17*",AA622:AA646)+SUMIF($D622:$D646,"*2_17*",AA622:AA646)*AA$88</f>
        <v>0</v>
      </c>
      <c r="AB652" s="43">
        <f t="shared" ref="AB652:AC652" si="1885">SUMIF($D622:$D646,"*1_17*",AB622:AB646)+SUMIF($D622:$D646,"*2_17*",AB622:AB646)*AB$88</f>
        <v>0</v>
      </c>
      <c r="AC652" s="43">
        <f t="shared" si="1885"/>
        <v>0</v>
      </c>
      <c r="AE652" s="54"/>
    </row>
    <row r="653" spans="1:31" hidden="1" outlineLevel="2" x14ac:dyDescent="0.2">
      <c r="A653" s="23" t="str">
        <f ca="1">Language!A462</f>
        <v xml:space="preserve">    авансы, уплаченные лизингодателю</v>
      </c>
      <c r="C653" s="5" t="str">
        <f t="shared" ca="1" si="1831"/>
        <v>тыс. EUR</v>
      </c>
      <c r="D653" t="s">
        <v>2594</v>
      </c>
      <c r="E653" s="43"/>
      <c r="F653" s="53">
        <f ca="1">SUM($F649:F649)-SUM($F651:F651)-SUM($F647:F647)</f>
        <v>0</v>
      </c>
      <c r="G653" s="53">
        <f ca="1">SUM($F649:G649)-SUM($F651:G651)-SUM($F647:G647)</f>
        <v>0</v>
      </c>
      <c r="H653" s="53">
        <f ca="1">SUM($F649:H649)-SUM($F651:H651)-SUM($F647:H647)</f>
        <v>0</v>
      </c>
      <c r="I653" s="53">
        <f ca="1">SUM($F649:I649)-SUM($F651:I651)-SUM($F647:I647)</f>
        <v>0</v>
      </c>
      <c r="J653" s="53">
        <f ca="1">SUM($F649:J649)-SUM($F651:J651)-SUM($F647:J647)</f>
        <v>0</v>
      </c>
      <c r="K653" s="53">
        <f ca="1">SUM($F649:K649)-SUM($F651:K651)-SUM($F647:K647)</f>
        <v>0</v>
      </c>
      <c r="L653" s="53">
        <f ca="1">SUM($F649:L649)-SUM($F651:L651)-SUM($F647:L647)</f>
        <v>0</v>
      </c>
      <c r="M653" s="53">
        <f ca="1">SUM($F649:M649)-SUM($F651:M651)-SUM($F647:M647)</f>
        <v>0</v>
      </c>
      <c r="N653" s="53">
        <f ca="1">SUM($F649:N649)-SUM($F651:N651)-SUM($F647:N647)</f>
        <v>0</v>
      </c>
      <c r="O653" s="53">
        <f ca="1">SUM($F649:O649)-SUM($F651:O651)-SUM($F647:O647)</f>
        <v>0</v>
      </c>
      <c r="P653" s="53">
        <f ca="1">SUM($F649:P649)-SUM($F651:P651)-SUM($F647:P647)</f>
        <v>0</v>
      </c>
      <c r="Q653" s="53">
        <f ca="1">SUM($F649:Q649)-SUM($F651:Q651)-SUM($F647:Q647)</f>
        <v>0</v>
      </c>
      <c r="R653" s="53">
        <f ca="1">SUM($F649:R649)-SUM($F651:R651)-SUM($F647:R647)</f>
        <v>0</v>
      </c>
      <c r="S653" s="53">
        <f ca="1">SUM($F649:S649)-SUM($F651:S651)-SUM($F647:S647)</f>
        <v>0</v>
      </c>
      <c r="T653" s="53">
        <f ca="1">SUM($F649:T649)-SUM($F651:T651)-SUM($F647:T647)</f>
        <v>0</v>
      </c>
      <c r="U653" s="53">
        <f ca="1">SUM($F649:U649)-SUM($F651:U651)-SUM($F647:U647)</f>
        <v>0</v>
      </c>
      <c r="V653" s="53">
        <f ca="1">SUM($F649:V649)-SUM($F651:V651)-SUM($F647:V647)</f>
        <v>0</v>
      </c>
      <c r="W653" s="53">
        <f ca="1">SUM($F649:W649)-SUM($F651:W651)-SUM($F647:W647)</f>
        <v>0</v>
      </c>
      <c r="X653" s="53">
        <f ca="1">SUM($F649:X649)-SUM($F651:X651)-SUM($F647:X647)</f>
        <v>0</v>
      </c>
      <c r="Y653" s="53">
        <f ca="1">SUM($F649:Y649)-SUM($F651:Y651)-SUM($F647:Y647)</f>
        <v>0</v>
      </c>
      <c r="Z653" s="53">
        <f ca="1">SUM($F649:Z649)-SUM($F651:Z651)-SUM($F647:Z647)</f>
        <v>0</v>
      </c>
      <c r="AA653" s="53">
        <f ca="1">SUM($F649:AA649)-SUM($F651:AA651)-SUM($F647:AA647)</f>
        <v>0</v>
      </c>
      <c r="AB653" s="53">
        <f ca="1">SUM($F649:AB649)-SUM($F651:AB651)-SUM($F647:AB647)</f>
        <v>0</v>
      </c>
      <c r="AC653" s="53">
        <f ca="1">SUM($F649:AC649)-SUM($F651:AC651)-SUM($F647:AC647)</f>
        <v>0</v>
      </c>
    </row>
    <row r="654" spans="1:31" hidden="1" outlineLevel="2" x14ac:dyDescent="0.2">
      <c r="A654" s="23" t="str">
        <f ca="1">Language!A463</f>
        <v xml:space="preserve">    арендованные основные средства </v>
      </c>
      <c r="C654" s="5" t="str">
        <f t="shared" ca="1" si="1831"/>
        <v>тыс. EUR</v>
      </c>
      <c r="D654" t="s">
        <v>2594</v>
      </c>
      <c r="E654" s="43"/>
      <c r="F654" s="43">
        <f t="shared" ref="F654:T654" si="1886">SUMIF($D622:$D646,"*1_11*",F622:F646)+SUMIF($D622:$D646,"*2_11*",F622:F646)*F$88</f>
        <v>0</v>
      </c>
      <c r="G654" s="43">
        <f t="shared" si="1886"/>
        <v>0</v>
      </c>
      <c r="H654" s="43">
        <f t="shared" si="1886"/>
        <v>0</v>
      </c>
      <c r="I654" s="43">
        <f t="shared" si="1886"/>
        <v>0</v>
      </c>
      <c r="J654" s="43">
        <f t="shared" si="1886"/>
        <v>0</v>
      </c>
      <c r="K654" s="43">
        <f t="shared" si="1886"/>
        <v>0</v>
      </c>
      <c r="L654" s="43">
        <f t="shared" si="1886"/>
        <v>0</v>
      </c>
      <c r="M654" s="43">
        <f t="shared" si="1886"/>
        <v>0</v>
      </c>
      <c r="N654" s="43">
        <f t="shared" si="1886"/>
        <v>0</v>
      </c>
      <c r="O654" s="43">
        <f t="shared" si="1886"/>
        <v>0</v>
      </c>
      <c r="P654" s="43">
        <f t="shared" si="1886"/>
        <v>0</v>
      </c>
      <c r="Q654" s="43">
        <f t="shared" si="1886"/>
        <v>0</v>
      </c>
      <c r="R654" s="43">
        <f t="shared" si="1886"/>
        <v>0</v>
      </c>
      <c r="S654" s="43">
        <f t="shared" si="1886"/>
        <v>0</v>
      </c>
      <c r="T654" s="43">
        <f t="shared" si="1886"/>
        <v>0</v>
      </c>
      <c r="U654" s="43">
        <f t="shared" ref="U654" si="1887">SUMIF($D622:$D646,"*1_11*",U622:U646)+SUMIF($D622:$D646,"*2_11*",U622:U646)*U$88</f>
        <v>0</v>
      </c>
      <c r="V654" s="43">
        <f t="shared" ref="V654" si="1888">SUMIF($D622:$D646,"*1_11*",V622:V646)+SUMIF($D622:$D646,"*2_11*",V622:V646)*V$88</f>
        <v>0</v>
      </c>
      <c r="W654" s="43">
        <f t="shared" ref="W654" si="1889">SUMIF($D622:$D646,"*1_11*",W622:W646)+SUMIF($D622:$D646,"*2_11*",W622:W646)*W$88</f>
        <v>0</v>
      </c>
      <c r="X654" s="43">
        <f t="shared" ref="X654" si="1890">SUMIF($D622:$D646,"*1_11*",X622:X646)+SUMIF($D622:$D646,"*2_11*",X622:X646)*X$88</f>
        <v>0</v>
      </c>
      <c r="Y654" s="43">
        <f t="shared" ref="Y654" si="1891">SUMIF($D622:$D646,"*1_11*",Y622:Y646)+SUMIF($D622:$D646,"*2_11*",Y622:Y646)*Y$88</f>
        <v>0</v>
      </c>
      <c r="Z654" s="43">
        <f t="shared" ref="Z654" si="1892">SUMIF($D622:$D646,"*1_11*",Z622:Z646)+SUMIF($D622:$D646,"*2_11*",Z622:Z646)*Z$88</f>
        <v>0</v>
      </c>
      <c r="AA654" s="43">
        <f t="shared" ref="AA654" si="1893">SUMIF($D622:$D646,"*1_11*",AA622:AA646)+SUMIF($D622:$D646,"*2_11*",AA622:AA646)*AA$88</f>
        <v>0</v>
      </c>
      <c r="AB654" s="43">
        <f t="shared" ref="AB654:AC654" si="1894">SUMIF($D622:$D646,"*1_11*",AB622:AB646)+SUMIF($D622:$D646,"*2_11*",AB622:AB646)*AB$88</f>
        <v>0</v>
      </c>
      <c r="AC654" s="43">
        <f t="shared" si="1894"/>
        <v>0</v>
      </c>
    </row>
    <row r="655" spans="1:31" hidden="1" outlineLevel="2" x14ac:dyDescent="0.2">
      <c r="A655" s="23" t="str">
        <f ca="1">Language!A464</f>
        <v xml:space="preserve">    налогооблагаемое имущество</v>
      </c>
      <c r="C655" s="5" t="str">
        <f t="shared" ca="1" si="1831"/>
        <v>тыс. EUR</v>
      </c>
      <c r="D655" t="s">
        <v>2594</v>
      </c>
      <c r="E655" s="43"/>
      <c r="F655" s="43">
        <f t="shared" ref="F655:T655" si="1895">SUMIF($D622:$D646,"*1_12*",F622:F646)+SUMIF($D622:$D646,"*2_12*",F622:F646)*F$88</f>
        <v>0</v>
      </c>
      <c r="G655" s="43">
        <f t="shared" si="1895"/>
        <v>0</v>
      </c>
      <c r="H655" s="43">
        <f t="shared" si="1895"/>
        <v>0</v>
      </c>
      <c r="I655" s="43">
        <f t="shared" si="1895"/>
        <v>0</v>
      </c>
      <c r="J655" s="43">
        <f t="shared" si="1895"/>
        <v>0</v>
      </c>
      <c r="K655" s="43">
        <f t="shared" si="1895"/>
        <v>0</v>
      </c>
      <c r="L655" s="43">
        <f t="shared" si="1895"/>
        <v>0</v>
      </c>
      <c r="M655" s="43">
        <f t="shared" si="1895"/>
        <v>0</v>
      </c>
      <c r="N655" s="43">
        <f t="shared" si="1895"/>
        <v>0</v>
      </c>
      <c r="O655" s="43">
        <f t="shared" si="1895"/>
        <v>0</v>
      </c>
      <c r="P655" s="43">
        <f t="shared" si="1895"/>
        <v>0</v>
      </c>
      <c r="Q655" s="43">
        <f t="shared" si="1895"/>
        <v>0</v>
      </c>
      <c r="R655" s="43">
        <f t="shared" si="1895"/>
        <v>0</v>
      </c>
      <c r="S655" s="43">
        <f t="shared" si="1895"/>
        <v>0</v>
      </c>
      <c r="T655" s="43">
        <f t="shared" si="1895"/>
        <v>0</v>
      </c>
      <c r="U655" s="43">
        <f t="shared" ref="U655" si="1896">SUMIF($D622:$D646,"*1_12*",U622:U646)+SUMIF($D622:$D646,"*2_12*",U622:U646)*U$88</f>
        <v>0</v>
      </c>
      <c r="V655" s="43">
        <f t="shared" ref="V655" si="1897">SUMIF($D622:$D646,"*1_12*",V622:V646)+SUMIF($D622:$D646,"*2_12*",V622:V646)*V$88</f>
        <v>0</v>
      </c>
      <c r="W655" s="43">
        <f t="shared" ref="W655" si="1898">SUMIF($D622:$D646,"*1_12*",W622:W646)+SUMIF($D622:$D646,"*2_12*",W622:W646)*W$88</f>
        <v>0</v>
      </c>
      <c r="X655" s="43">
        <f t="shared" ref="X655" si="1899">SUMIF($D622:$D646,"*1_12*",X622:X646)+SUMIF($D622:$D646,"*2_12*",X622:X646)*X$88</f>
        <v>0</v>
      </c>
      <c r="Y655" s="43">
        <f t="shared" ref="Y655" si="1900">SUMIF($D622:$D646,"*1_12*",Y622:Y646)+SUMIF($D622:$D646,"*2_12*",Y622:Y646)*Y$88</f>
        <v>0</v>
      </c>
      <c r="Z655" s="43">
        <f t="shared" ref="Z655" si="1901">SUMIF($D622:$D646,"*1_12*",Z622:Z646)+SUMIF($D622:$D646,"*2_12*",Z622:Z646)*Z$88</f>
        <v>0</v>
      </c>
      <c r="AA655" s="43">
        <f t="shared" ref="AA655" si="1902">SUMIF($D622:$D646,"*1_12*",AA622:AA646)+SUMIF($D622:$D646,"*2_12*",AA622:AA646)*AA$88</f>
        <v>0</v>
      </c>
      <c r="AB655" s="43">
        <f t="shared" ref="AB655:AC655" si="1903">SUMIF($D622:$D646,"*1_12*",AB622:AB646)+SUMIF($D622:$D646,"*2_12*",AB622:AB646)*AB$88</f>
        <v>0</v>
      </c>
      <c r="AC655" s="43">
        <f t="shared" si="1903"/>
        <v>0</v>
      </c>
    </row>
    <row r="656" spans="1:31" hidden="1" outlineLevel="2" x14ac:dyDescent="0.2">
      <c r="A656" s="23" t="str">
        <f ca="1">Language!A465</f>
        <v xml:space="preserve">    балансовая стоимость после выкупа</v>
      </c>
      <c r="C656" s="5" t="str">
        <f t="shared" ca="1" si="1831"/>
        <v>тыс. EUR</v>
      </c>
      <c r="D656" t="s">
        <v>2594</v>
      </c>
      <c r="E656" s="43"/>
      <c r="F656" s="43">
        <f t="shared" ref="F656:T656" si="1904">SUMIF($D622:$D646,"*1_14*",F622:F646)+SUMIF($D622:$D646,"*2_14*",F622:F646)*F$88</f>
        <v>0</v>
      </c>
      <c r="G656" s="43">
        <f t="shared" si="1904"/>
        <v>0</v>
      </c>
      <c r="H656" s="43">
        <f t="shared" si="1904"/>
        <v>0</v>
      </c>
      <c r="I656" s="43">
        <f t="shared" si="1904"/>
        <v>0</v>
      </c>
      <c r="J656" s="43">
        <f t="shared" si="1904"/>
        <v>0</v>
      </c>
      <c r="K656" s="43">
        <f t="shared" si="1904"/>
        <v>0</v>
      </c>
      <c r="L656" s="43">
        <f t="shared" si="1904"/>
        <v>0</v>
      </c>
      <c r="M656" s="43">
        <f t="shared" si="1904"/>
        <v>0</v>
      </c>
      <c r="N656" s="43">
        <f t="shared" si="1904"/>
        <v>0</v>
      </c>
      <c r="O656" s="43">
        <f t="shared" si="1904"/>
        <v>0</v>
      </c>
      <c r="P656" s="43">
        <f t="shared" si="1904"/>
        <v>0</v>
      </c>
      <c r="Q656" s="43">
        <f t="shared" si="1904"/>
        <v>0</v>
      </c>
      <c r="R656" s="43">
        <f t="shared" si="1904"/>
        <v>0</v>
      </c>
      <c r="S656" s="43">
        <f t="shared" si="1904"/>
        <v>0</v>
      </c>
      <c r="T656" s="43">
        <f t="shared" si="1904"/>
        <v>0</v>
      </c>
      <c r="U656" s="43">
        <f t="shared" ref="U656" si="1905">SUMIF($D622:$D646,"*1_14*",U622:U646)+SUMIF($D622:$D646,"*2_14*",U622:U646)*U$88</f>
        <v>0</v>
      </c>
      <c r="V656" s="43">
        <f t="shared" ref="V656" si="1906">SUMIF($D622:$D646,"*1_14*",V622:V646)+SUMIF($D622:$D646,"*2_14*",V622:V646)*V$88</f>
        <v>0</v>
      </c>
      <c r="W656" s="43">
        <f t="shared" ref="W656" si="1907">SUMIF($D622:$D646,"*1_14*",W622:W646)+SUMIF($D622:$D646,"*2_14*",W622:W646)*W$88</f>
        <v>0</v>
      </c>
      <c r="X656" s="43">
        <f t="shared" ref="X656" si="1908">SUMIF($D622:$D646,"*1_14*",X622:X646)+SUMIF($D622:$D646,"*2_14*",X622:X646)*X$88</f>
        <v>0</v>
      </c>
      <c r="Y656" s="43">
        <f t="shared" ref="Y656" si="1909">SUMIF($D622:$D646,"*1_14*",Y622:Y646)+SUMIF($D622:$D646,"*2_14*",Y622:Y646)*Y$88</f>
        <v>0</v>
      </c>
      <c r="Z656" s="43">
        <f t="shared" ref="Z656" si="1910">SUMIF($D622:$D646,"*1_14*",Z622:Z646)+SUMIF($D622:$D646,"*2_14*",Z622:Z646)*Z$88</f>
        <v>0</v>
      </c>
      <c r="AA656" s="43">
        <f t="shared" ref="AA656" si="1911">SUMIF($D622:$D646,"*1_14*",AA622:AA646)+SUMIF($D622:$D646,"*2_14*",AA622:AA646)*AA$88</f>
        <v>0</v>
      </c>
      <c r="AB656" s="43">
        <f t="shared" ref="AB656:AC656" si="1912">SUMIF($D622:$D646,"*1_14*",AB622:AB646)+SUMIF($D622:$D646,"*2_14*",AB622:AB646)*AB$88</f>
        <v>0</v>
      </c>
      <c r="AC656" s="43">
        <f t="shared" si="1912"/>
        <v>0</v>
      </c>
    </row>
    <row r="657" spans="1:33" hidden="1" outlineLevel="2" x14ac:dyDescent="0.2">
      <c r="A657" s="23" t="str">
        <f ca="1">Language!A466</f>
        <v xml:space="preserve">    остаточная стоимость после выкупа</v>
      </c>
      <c r="C657" s="5" t="str">
        <f t="shared" ca="1" si="1831"/>
        <v>тыс. EUR</v>
      </c>
      <c r="D657" t="s">
        <v>2594</v>
      </c>
      <c r="E657" s="43"/>
      <c r="F657" s="43">
        <f t="shared" ref="F657:T657" si="1913">SUMIF($D622:$D646,"*1_15*",F622:F646)+SUMIF($D622:$D646,"*2_15*",F622:F646)*F$88</f>
        <v>0</v>
      </c>
      <c r="G657" s="43">
        <f t="shared" si="1913"/>
        <v>0</v>
      </c>
      <c r="H657" s="43">
        <f t="shared" si="1913"/>
        <v>0</v>
      </c>
      <c r="I657" s="43">
        <f t="shared" si="1913"/>
        <v>0</v>
      </c>
      <c r="J657" s="43">
        <f t="shared" si="1913"/>
        <v>0</v>
      </c>
      <c r="K657" s="43">
        <f t="shared" si="1913"/>
        <v>0</v>
      </c>
      <c r="L657" s="43">
        <f t="shared" si="1913"/>
        <v>0</v>
      </c>
      <c r="M657" s="43">
        <f t="shared" si="1913"/>
        <v>0</v>
      </c>
      <c r="N657" s="43">
        <f t="shared" si="1913"/>
        <v>0</v>
      </c>
      <c r="O657" s="43">
        <f t="shared" si="1913"/>
        <v>0</v>
      </c>
      <c r="P657" s="43">
        <f t="shared" si="1913"/>
        <v>0</v>
      </c>
      <c r="Q657" s="43">
        <f t="shared" si="1913"/>
        <v>0</v>
      </c>
      <c r="R657" s="43">
        <f t="shared" si="1913"/>
        <v>0</v>
      </c>
      <c r="S657" s="43">
        <f t="shared" si="1913"/>
        <v>0</v>
      </c>
      <c r="T657" s="43">
        <f t="shared" si="1913"/>
        <v>0</v>
      </c>
      <c r="U657" s="43">
        <f t="shared" ref="U657" si="1914">SUMIF($D622:$D646,"*1_15*",U622:U646)+SUMIF($D622:$D646,"*2_15*",U622:U646)*U$88</f>
        <v>0</v>
      </c>
      <c r="V657" s="43">
        <f t="shared" ref="V657" si="1915">SUMIF($D622:$D646,"*1_15*",V622:V646)+SUMIF($D622:$D646,"*2_15*",V622:V646)*V$88</f>
        <v>0</v>
      </c>
      <c r="W657" s="43">
        <f t="shared" ref="W657" si="1916">SUMIF($D622:$D646,"*1_15*",W622:W646)+SUMIF($D622:$D646,"*2_15*",W622:W646)*W$88</f>
        <v>0</v>
      </c>
      <c r="X657" s="43">
        <f t="shared" ref="X657" si="1917">SUMIF($D622:$D646,"*1_15*",X622:X646)+SUMIF($D622:$D646,"*2_15*",X622:X646)*X$88</f>
        <v>0</v>
      </c>
      <c r="Y657" s="43">
        <f t="shared" ref="Y657" si="1918">SUMIF($D622:$D646,"*1_15*",Y622:Y646)+SUMIF($D622:$D646,"*2_15*",Y622:Y646)*Y$88</f>
        <v>0</v>
      </c>
      <c r="Z657" s="43">
        <f t="shared" ref="Z657" si="1919">SUMIF($D622:$D646,"*1_15*",Z622:Z646)+SUMIF($D622:$D646,"*2_15*",Z622:Z646)*Z$88</f>
        <v>0</v>
      </c>
      <c r="AA657" s="43">
        <f t="shared" ref="AA657" si="1920">SUMIF($D622:$D646,"*1_15*",AA622:AA646)+SUMIF($D622:$D646,"*2_15*",AA622:AA646)*AA$88</f>
        <v>0</v>
      </c>
      <c r="AB657" s="43">
        <f t="shared" ref="AB657:AC657" si="1921">SUMIF($D622:$D646,"*1_15*",AB622:AB646)+SUMIF($D622:$D646,"*2_15*",AB622:AB646)*AB$88</f>
        <v>0</v>
      </c>
      <c r="AC657" s="43">
        <f t="shared" si="1921"/>
        <v>0</v>
      </c>
    </row>
    <row r="658" spans="1:33" hidden="1" outlineLevel="2" x14ac:dyDescent="0.2">
      <c r="A658" s="24" t="str">
        <f ca="1">Language!A467</f>
        <v xml:space="preserve">    амортизация средств у лизингополучателя после выкупа</v>
      </c>
      <c r="B658" s="19"/>
      <c r="C658" s="26" t="str">
        <f t="shared" ca="1" si="1831"/>
        <v>тыс. EUR</v>
      </c>
      <c r="D658" s="19"/>
      <c r="E658" s="65"/>
      <c r="F658" s="65">
        <f t="shared" ref="F658:T658" si="1922">SUMIF($D622:$D646,"*1_16*",F622:F646)+SUMIF($D622:$D646,"*2_16*",F622:F646)*F$88</f>
        <v>0</v>
      </c>
      <c r="G658" s="65">
        <f t="shared" si="1922"/>
        <v>0</v>
      </c>
      <c r="H658" s="65">
        <f t="shared" si="1922"/>
        <v>0</v>
      </c>
      <c r="I658" s="65">
        <f t="shared" si="1922"/>
        <v>0</v>
      </c>
      <c r="J658" s="65">
        <f t="shared" si="1922"/>
        <v>0</v>
      </c>
      <c r="K658" s="65">
        <f t="shared" si="1922"/>
        <v>0</v>
      </c>
      <c r="L658" s="65">
        <f t="shared" si="1922"/>
        <v>0</v>
      </c>
      <c r="M658" s="65">
        <f t="shared" si="1922"/>
        <v>0</v>
      </c>
      <c r="N658" s="65">
        <f t="shared" si="1922"/>
        <v>0</v>
      </c>
      <c r="O658" s="65">
        <f t="shared" si="1922"/>
        <v>0</v>
      </c>
      <c r="P658" s="65">
        <f t="shared" si="1922"/>
        <v>0</v>
      </c>
      <c r="Q658" s="65">
        <f t="shared" si="1922"/>
        <v>0</v>
      </c>
      <c r="R658" s="65">
        <f t="shared" si="1922"/>
        <v>0</v>
      </c>
      <c r="S658" s="65">
        <f t="shared" si="1922"/>
        <v>0</v>
      </c>
      <c r="T658" s="65">
        <f t="shared" si="1922"/>
        <v>0</v>
      </c>
      <c r="U658" s="65">
        <f t="shared" ref="U658" si="1923">SUMIF($D622:$D646,"*1_16*",U622:U646)+SUMIF($D622:$D646,"*2_16*",U622:U646)*U$88</f>
        <v>0</v>
      </c>
      <c r="V658" s="65">
        <f t="shared" ref="V658" si="1924">SUMIF($D622:$D646,"*1_16*",V622:V646)+SUMIF($D622:$D646,"*2_16*",V622:V646)*V$88</f>
        <v>0</v>
      </c>
      <c r="W658" s="65">
        <f t="shared" ref="W658" si="1925">SUMIF($D622:$D646,"*1_16*",W622:W646)+SUMIF($D622:$D646,"*2_16*",W622:W646)*W$88</f>
        <v>0</v>
      </c>
      <c r="X658" s="65">
        <f t="shared" ref="X658" si="1926">SUMIF($D622:$D646,"*1_16*",X622:X646)+SUMIF($D622:$D646,"*2_16*",X622:X646)*X$88</f>
        <v>0</v>
      </c>
      <c r="Y658" s="65">
        <f t="shared" ref="Y658" si="1927">SUMIF($D622:$D646,"*1_16*",Y622:Y646)+SUMIF($D622:$D646,"*2_16*",Y622:Y646)*Y$88</f>
        <v>0</v>
      </c>
      <c r="Z658" s="65">
        <f t="shared" ref="Z658" si="1928">SUMIF($D622:$D646,"*1_16*",Z622:Z646)+SUMIF($D622:$D646,"*2_16*",Z622:Z646)*Z$88</f>
        <v>0</v>
      </c>
      <c r="AA658" s="65">
        <f t="shared" ref="AA658" si="1929">SUMIF($D622:$D646,"*1_16*",AA622:AA646)+SUMIF($D622:$D646,"*2_16*",AA622:AA646)*AA$88</f>
        <v>0</v>
      </c>
      <c r="AB658" s="65">
        <f t="shared" ref="AB658:AC658" si="1930">SUMIF($D622:$D646,"*1_16*",AB622:AB646)+SUMIF($D622:$D646,"*2_16*",AB622:AB646)*AB$88</f>
        <v>0</v>
      </c>
      <c r="AC658" s="65">
        <f t="shared" si="1930"/>
        <v>0</v>
      </c>
      <c r="AD658" s="19"/>
      <c r="AE658" s="66">
        <f>SUM(F658:AC658)</f>
        <v>0</v>
      </c>
    </row>
    <row r="659" spans="1:33" hidden="1" outlineLevel="1" x14ac:dyDescent="0.2">
      <c r="A659" s="111"/>
      <c r="B659" s="63"/>
      <c r="C659" s="67"/>
      <c r="D659" s="63"/>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63"/>
      <c r="AE659" s="121"/>
    </row>
    <row r="660" spans="1:33" hidden="1" outlineLevel="1" x14ac:dyDescent="0.2">
      <c r="A660" s="24"/>
      <c r="B660" s="19"/>
      <c r="C660" s="26"/>
      <c r="D660" s="19"/>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19"/>
      <c r="AE660" s="66"/>
    </row>
    <row r="661" spans="1:33" s="4" customFormat="1" ht="15.95" customHeight="1" collapsed="1" thickTop="1" thickBot="1" x14ac:dyDescent="0.25">
      <c r="A661" s="165" t="str">
        <f ca="1">Language!A527</f>
        <v xml:space="preserve">         ПЛАН РЕАЛИЗАЦИИ</v>
      </c>
      <c r="B661" s="165"/>
      <c r="C661" s="165"/>
      <c r="D661" s="165">
        <v>1</v>
      </c>
      <c r="E661" s="165"/>
      <c r="F661" s="177" t="str">
        <f t="shared" ref="F661:AC661" ca="1" si="1931">PeriodTitle</f>
        <v>1 кв. 2016</v>
      </c>
      <c r="G661" s="177" t="str">
        <f t="shared" ca="1" si="1931"/>
        <v>2 кв. 2016</v>
      </c>
      <c r="H661" s="177" t="str">
        <f t="shared" ca="1" si="1931"/>
        <v>3 кв. 2016</v>
      </c>
      <c r="I661" s="177" t="str">
        <f t="shared" ca="1" si="1931"/>
        <v>4 кв. 2016</v>
      </c>
      <c r="J661" s="177" t="str">
        <f t="shared" ca="1" si="1931"/>
        <v>1 кв. 2017</v>
      </c>
      <c r="K661" s="177" t="str">
        <f t="shared" ca="1" si="1931"/>
        <v>2 кв. 2017</v>
      </c>
      <c r="L661" s="177" t="str">
        <f t="shared" ca="1" si="1931"/>
        <v>3 кв. 2017</v>
      </c>
      <c r="M661" s="177" t="str">
        <f t="shared" ca="1" si="1931"/>
        <v>4 кв. 2017</v>
      </c>
      <c r="N661" s="177" t="str">
        <f t="shared" ca="1" si="1931"/>
        <v>1 кв. 2018</v>
      </c>
      <c r="O661" s="177" t="str">
        <f t="shared" ca="1" si="1931"/>
        <v>2 кв. 2018</v>
      </c>
      <c r="P661" s="177" t="str">
        <f t="shared" ca="1" si="1931"/>
        <v>3 кв. 2018</v>
      </c>
      <c r="Q661" s="177" t="str">
        <f t="shared" ca="1" si="1931"/>
        <v>4 кв. 2018</v>
      </c>
      <c r="R661" s="177" t="str">
        <f t="shared" ca="1" si="1931"/>
        <v>1 кв. 2019</v>
      </c>
      <c r="S661" s="177" t="str">
        <f t="shared" ca="1" si="1931"/>
        <v>2 кв. 2019</v>
      </c>
      <c r="T661" s="177" t="str">
        <f t="shared" ca="1" si="1931"/>
        <v>3 кв. 2019</v>
      </c>
      <c r="U661" s="177" t="str">
        <f t="shared" ca="1" si="1931"/>
        <v>4 кв. 2019</v>
      </c>
      <c r="V661" s="177" t="str">
        <f t="shared" ca="1" si="1931"/>
        <v>1 кв. 2020</v>
      </c>
      <c r="W661" s="177" t="str">
        <f t="shared" ca="1" si="1931"/>
        <v>2 кв. 2020</v>
      </c>
      <c r="X661" s="177" t="str">
        <f t="shared" ca="1" si="1931"/>
        <v>3 кв. 2020</v>
      </c>
      <c r="Y661" s="177" t="str">
        <f t="shared" ca="1" si="1931"/>
        <v>4 кв. 2020</v>
      </c>
      <c r="Z661" s="177" t="str">
        <f t="shared" ca="1" si="1931"/>
        <v>1 кв. 2021</v>
      </c>
      <c r="AA661" s="177" t="str">
        <f t="shared" ca="1" si="1931"/>
        <v>2 кв. 2021</v>
      </c>
      <c r="AB661" s="177" t="str">
        <f t="shared" ca="1" si="1931"/>
        <v>3 кв. 2021</v>
      </c>
      <c r="AC661" s="177" t="str">
        <f t="shared" ca="1" si="1931"/>
        <v>4 кв. 2021</v>
      </c>
      <c r="AD661" s="165"/>
      <c r="AE661" s="194" t="str">
        <f ca="1">Language!$A$372</f>
        <v>ИТОГО</v>
      </c>
    </row>
    <row r="662" spans="1:33" ht="12" hidden="1" outlineLevel="1" thickTop="1" x14ac:dyDescent="0.2"/>
    <row r="663" spans="1:33" hidden="1" outlineLevel="1" x14ac:dyDescent="0.2">
      <c r="B663" s="85" t="str">
        <f ca="1">Language!A$529</f>
        <v>Номинальный объем</v>
      </c>
      <c r="D663">
        <v>2</v>
      </c>
      <c r="E663">
        <v>1</v>
      </c>
    </row>
    <row r="664" spans="1:33" hidden="1" outlineLevel="1" x14ac:dyDescent="0.2">
      <c r="A664" s="273" t="s">
        <v>2838</v>
      </c>
      <c r="B664" s="279">
        <v>0</v>
      </c>
      <c r="C664" s="254" t="str">
        <f ca="1">Language!A$530</f>
        <v>ед.</v>
      </c>
      <c r="D664" s="46" t="s">
        <v>2429</v>
      </c>
      <c r="F664" s="280"/>
      <c r="G664" s="280"/>
      <c r="H664" s="280"/>
      <c r="I664" s="280"/>
      <c r="J664" s="280"/>
      <c r="K664" s="280"/>
      <c r="L664" s="280"/>
      <c r="M664" s="280"/>
      <c r="N664" s="280"/>
      <c r="O664" s="280"/>
      <c r="P664" s="280"/>
      <c r="Q664" s="280"/>
      <c r="R664" s="280"/>
      <c r="S664" s="280"/>
      <c r="T664" s="280"/>
      <c r="U664" s="280"/>
      <c r="V664" s="280"/>
      <c r="W664" s="280"/>
      <c r="X664" s="280"/>
      <c r="Y664" s="280"/>
      <c r="Z664" s="280"/>
      <c r="AA664" s="280"/>
      <c r="AB664" s="280"/>
      <c r="AC664" s="280"/>
    </row>
    <row r="665" spans="1:33" ht="12" hidden="1" outlineLevel="1" thickTop="1" x14ac:dyDescent="0.2">
      <c r="A665" s="273" t="s">
        <v>2919</v>
      </c>
      <c r="B665" s="279">
        <v>0</v>
      </c>
      <c r="C665" s="254" t="str">
        <f ca="1">Language!A$530</f>
        <v>ед.</v>
      </c>
      <c r="D665" s="46" t="s">
        <v>2429</v>
      </c>
      <c r="F665" s="280"/>
      <c r="G665" s="280"/>
      <c r="H665" s="280"/>
      <c r="I665" s="280"/>
      <c r="J665" s="280"/>
      <c r="K665" s="280"/>
      <c r="L665" s="280"/>
      <c r="M665" s="280"/>
      <c r="N665" s="280"/>
      <c r="O665" s="280"/>
      <c r="P665" s="280"/>
      <c r="Q665" s="280"/>
      <c r="R665" s="280"/>
      <c r="S665" s="280"/>
      <c r="T665" s="280"/>
      <c r="U665" s="280"/>
      <c r="V665" s="280"/>
      <c r="W665" s="280"/>
      <c r="X665" s="280"/>
      <c r="Y665" s="280"/>
      <c r="Z665" s="280"/>
      <c r="AA665" s="280"/>
      <c r="AB665" s="280"/>
      <c r="AC665" s="280"/>
    </row>
    <row r="666" spans="1:33" hidden="1" outlineLevel="1" x14ac:dyDescent="0.2"/>
    <row r="667" spans="1:33" hidden="1" outlineLevel="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4"/>
    </row>
    <row r="668" spans="1:33" hidden="1" outlineLevel="1" x14ac:dyDescent="0.2"/>
    <row r="669" spans="1:33" s="4" customFormat="1" ht="15.95" customHeight="1" thickTop="1" thickBot="1" x14ac:dyDescent="0.25">
      <c r="A669" s="165" t="str">
        <f ca="1">Language!A532</f>
        <v xml:space="preserve">         ОБЪЕМЫ РЕАЛИЗАЦИИ (в единицах)</v>
      </c>
      <c r="B669" s="165"/>
      <c r="C669" s="165"/>
      <c r="D669" s="165"/>
      <c r="E669" s="165"/>
      <c r="F669" s="177" t="str">
        <f t="shared" ref="F669:AC669" ca="1" si="1932">PeriodTitle</f>
        <v>1 кв. 2016</v>
      </c>
      <c r="G669" s="177" t="str">
        <f t="shared" ca="1" si="1932"/>
        <v>2 кв. 2016</v>
      </c>
      <c r="H669" s="177" t="str">
        <f t="shared" ca="1" si="1932"/>
        <v>3 кв. 2016</v>
      </c>
      <c r="I669" s="177" t="str">
        <f t="shared" ca="1" si="1932"/>
        <v>4 кв. 2016</v>
      </c>
      <c r="J669" s="177" t="str">
        <f t="shared" ca="1" si="1932"/>
        <v>1 кв. 2017</v>
      </c>
      <c r="K669" s="177" t="str">
        <f t="shared" ca="1" si="1932"/>
        <v>2 кв. 2017</v>
      </c>
      <c r="L669" s="177" t="str">
        <f t="shared" ca="1" si="1932"/>
        <v>3 кв. 2017</v>
      </c>
      <c r="M669" s="177" t="str">
        <f t="shared" ca="1" si="1932"/>
        <v>4 кв. 2017</v>
      </c>
      <c r="N669" s="177" t="str">
        <f t="shared" ca="1" si="1932"/>
        <v>1 кв. 2018</v>
      </c>
      <c r="O669" s="177" t="str">
        <f t="shared" ca="1" si="1932"/>
        <v>2 кв. 2018</v>
      </c>
      <c r="P669" s="177" t="str">
        <f t="shared" ca="1" si="1932"/>
        <v>3 кв. 2018</v>
      </c>
      <c r="Q669" s="177" t="str">
        <f t="shared" ca="1" si="1932"/>
        <v>4 кв. 2018</v>
      </c>
      <c r="R669" s="177" t="str">
        <f t="shared" ca="1" si="1932"/>
        <v>1 кв. 2019</v>
      </c>
      <c r="S669" s="177" t="str">
        <f t="shared" ca="1" si="1932"/>
        <v>2 кв. 2019</v>
      </c>
      <c r="T669" s="177" t="str">
        <f t="shared" ca="1" si="1932"/>
        <v>3 кв. 2019</v>
      </c>
      <c r="U669" s="177" t="str">
        <f t="shared" ca="1" si="1932"/>
        <v>4 кв. 2019</v>
      </c>
      <c r="V669" s="177" t="str">
        <f t="shared" ca="1" si="1932"/>
        <v>1 кв. 2020</v>
      </c>
      <c r="W669" s="177" t="str">
        <f t="shared" ca="1" si="1932"/>
        <v>2 кв. 2020</v>
      </c>
      <c r="X669" s="177" t="str">
        <f t="shared" ca="1" si="1932"/>
        <v>3 кв. 2020</v>
      </c>
      <c r="Y669" s="177" t="str">
        <f t="shared" ca="1" si="1932"/>
        <v>4 кв. 2020</v>
      </c>
      <c r="Z669" s="177" t="str">
        <f t="shared" ca="1" si="1932"/>
        <v>1 кв. 2021</v>
      </c>
      <c r="AA669" s="177" t="str">
        <f t="shared" ca="1" si="1932"/>
        <v>2 кв. 2021</v>
      </c>
      <c r="AB669" s="177" t="str">
        <f t="shared" ca="1" si="1932"/>
        <v>3 кв. 2021</v>
      </c>
      <c r="AC669" s="177" t="str">
        <f t="shared" ca="1" si="1932"/>
        <v>4 кв. 2021</v>
      </c>
      <c r="AD669" s="165"/>
      <c r="AE669" s="194" t="str">
        <f ca="1">Language!$A$372</f>
        <v>ИТОГО</v>
      </c>
    </row>
    <row r="670" spans="1:33" ht="12" outlineLevel="1" thickTop="1" x14ac:dyDescent="0.2">
      <c r="D670">
        <v>0</v>
      </c>
      <c r="E670">
        <v>1</v>
      </c>
      <c r="AG670" t="s">
        <v>676</v>
      </c>
    </row>
    <row r="671" spans="1:33" outlineLevel="1" x14ac:dyDescent="0.2">
      <c r="A671" t="str">
        <f>A664</f>
        <v>Долота</v>
      </c>
      <c r="B671" s="71"/>
      <c r="C671" s="5" t="str">
        <f ca="1">C664</f>
        <v>ед.</v>
      </c>
      <c r="F671" s="281">
        <f>SUM('Продажи 2'!B20:B33)</f>
        <v>0</v>
      </c>
      <c r="G671" s="281">
        <f>SUM('Продажи 2'!C20:C33)</f>
        <v>0</v>
      </c>
      <c r="H671" s="281">
        <f>SUM('Продажи 2'!D20:D33)</f>
        <v>0</v>
      </c>
      <c r="I671" s="281">
        <f>SUM('Продажи 2'!E20:E33)</f>
        <v>0</v>
      </c>
      <c r="J671" s="281">
        <f>SUM('Продажи 2'!F20:F33)</f>
        <v>0</v>
      </c>
      <c r="K671" s="281">
        <f>SUM('Продажи 2'!G20:G33)</f>
        <v>84</v>
      </c>
      <c r="L671" s="281">
        <f>SUM('Продажи 2'!H20:H33)</f>
        <v>136</v>
      </c>
      <c r="M671" s="281">
        <f>SUM('Продажи 2'!I20:I33)</f>
        <v>204</v>
      </c>
      <c r="N671" s="281">
        <f>SUM('Продажи 2'!J20:J33)</f>
        <v>270</v>
      </c>
      <c r="O671" s="281">
        <f>SUM('Продажи 2'!K20:K33)</f>
        <v>270</v>
      </c>
      <c r="P671" s="281">
        <f>SUM('Продажи 2'!L20:L33)</f>
        <v>270</v>
      </c>
      <c r="Q671" s="281">
        <f>SUM('Продажи 2'!M20:M33)</f>
        <v>270</v>
      </c>
      <c r="R671" s="281">
        <f>SUM('Продажи 2'!N20:N33)</f>
        <v>270</v>
      </c>
      <c r="S671" s="281">
        <f>SUM('Продажи 2'!O20:O33)</f>
        <v>270</v>
      </c>
      <c r="T671" s="281">
        <f>SUM('Продажи 2'!P20:P33)</f>
        <v>270</v>
      </c>
      <c r="U671" s="281">
        <f>SUM('Продажи 2'!Q20:Q33)</f>
        <v>270</v>
      </c>
      <c r="V671" s="281">
        <f>SUM('Продажи 2'!R20:R33)</f>
        <v>270</v>
      </c>
      <c r="W671" s="281">
        <f>SUM('Продажи 2'!S20:S33)</f>
        <v>270</v>
      </c>
      <c r="X671" s="281">
        <f>SUM('Продажи 2'!T20:T33)</f>
        <v>270</v>
      </c>
      <c r="Y671" s="281">
        <f>SUM('Продажи 2'!U20:U33)</f>
        <v>270</v>
      </c>
      <c r="Z671" s="281">
        <f>SUM('Продажи 2'!V20:V33)</f>
        <v>270</v>
      </c>
      <c r="AA671" s="281">
        <f>SUM('Продажи 2'!W20:W33)</f>
        <v>270</v>
      </c>
      <c r="AB671" s="281">
        <f>SUM('Продажи 2'!X20:X33)</f>
        <v>270</v>
      </c>
      <c r="AC671" s="281">
        <f>SUM('Продажи 2'!Y20:Y33)</f>
        <v>270</v>
      </c>
      <c r="AD671" s="43"/>
      <c r="AE671" s="57">
        <f>SUM(F671:AC671)</f>
        <v>4744</v>
      </c>
      <c r="AG671">
        <v>84014</v>
      </c>
    </row>
    <row r="672" spans="1:33" outlineLevel="1" x14ac:dyDescent="0.2">
      <c r="A672" t="str">
        <f>A665</f>
        <v>ВЗД</v>
      </c>
      <c r="B672" s="71"/>
      <c r="C672" s="5" t="str">
        <f ca="1">C665</f>
        <v>ед.</v>
      </c>
      <c r="F672" s="281">
        <f>SUM('Продажи 2'!$B$62:$B$71)</f>
        <v>0</v>
      </c>
      <c r="G672" s="281">
        <f>SUM('Продажи 2'!$C$62:$C$71)</f>
        <v>0</v>
      </c>
      <c r="H672" s="281">
        <f>SUM('Продажи 2'!$D$62:$D$71)</f>
        <v>0</v>
      </c>
      <c r="I672" s="281">
        <f>SUM('Продажи 2'!$E$62:$E$71)</f>
        <v>0</v>
      </c>
      <c r="J672" s="281">
        <f>SUM('Продажи 2'!$F$62:$F$71)</f>
        <v>0</v>
      </c>
      <c r="K672" s="281">
        <f>SUM('Продажи 2'!$G$62:$G$71)</f>
        <v>0</v>
      </c>
      <c r="L672" s="281">
        <f>SUM('Продажи 2'!$H$62:$H$71)</f>
        <v>73</v>
      </c>
      <c r="M672" s="281">
        <f>SUM('Продажи 2'!$I$62:$I$71)</f>
        <v>122</v>
      </c>
      <c r="N672" s="281">
        <f>SUM('Продажи 2'!$J$62:$J$71)</f>
        <v>182</v>
      </c>
      <c r="O672" s="281">
        <f>SUM('Продажи 2'!$K$62:$K$71)</f>
        <v>240</v>
      </c>
      <c r="P672" s="281">
        <f>SUM('Продажи 2'!$L$62:$L$71)</f>
        <v>240</v>
      </c>
      <c r="Q672" s="281">
        <f>SUM('Продажи 2'!$M$62:$M$71)</f>
        <v>240</v>
      </c>
      <c r="R672" s="281">
        <f>SUM('Продажи 2'!$N$62:$N$71)</f>
        <v>240</v>
      </c>
      <c r="S672" s="281">
        <f>SUM('Продажи 2'!$O$62:$O$71)</f>
        <v>240</v>
      </c>
      <c r="T672" s="281">
        <f>SUM('Продажи 2'!$P$62:$P$71)</f>
        <v>240</v>
      </c>
      <c r="U672" s="281">
        <f>SUM('Продажи 2'!$Q$62:$Q$71)</f>
        <v>240</v>
      </c>
      <c r="V672" s="281">
        <f>SUM('Продажи 2'!$R$62:$R$71)</f>
        <v>240</v>
      </c>
      <c r="W672" s="281">
        <f>SUM('Продажи 2'!$S$62:$S$71)</f>
        <v>240</v>
      </c>
      <c r="X672" s="281">
        <f>SUM('Продажи 2'!$T$62:$T$71)</f>
        <v>240</v>
      </c>
      <c r="Y672" s="281">
        <f>SUM('Продажи 2'!$U$62:$U$71)</f>
        <v>240</v>
      </c>
      <c r="Z672" s="281">
        <f>SUM('Продажи 2'!$V$62:$V$71)</f>
        <v>240</v>
      </c>
      <c r="AA672" s="281">
        <f>SUM('Продажи 2'!$W$62:$W$71)</f>
        <v>240</v>
      </c>
      <c r="AB672" s="281">
        <f>SUM('Продажи 2'!$X$62:$X$71)</f>
        <v>240</v>
      </c>
      <c r="AC672" s="281">
        <f>SUM('Продажи 2'!$Y$62:$Y$71)</f>
        <v>240</v>
      </c>
      <c r="AD672" s="43"/>
      <c r="AE672" s="57">
        <f>SUM(F672:AC672)</f>
        <v>3977</v>
      </c>
      <c r="AG672">
        <v>84014</v>
      </c>
    </row>
    <row r="673" spans="1:31" outlineLevel="1" x14ac:dyDescent="0.2">
      <c r="A673" s="41"/>
      <c r="B673" s="72"/>
      <c r="C673" s="73"/>
      <c r="D673" s="74"/>
      <c r="E673" s="48"/>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row>
    <row r="674" spans="1:31" outlineLevel="1" x14ac:dyDescent="0.2">
      <c r="A674" s="76"/>
      <c r="B674" s="76"/>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63"/>
      <c r="AE674" s="64"/>
    </row>
    <row r="675" spans="1:31" outlineLevel="1" x14ac:dyDescent="0.2">
      <c r="A675" s="24"/>
      <c r="B675" s="19"/>
      <c r="C675" s="26"/>
      <c r="D675" s="19"/>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19"/>
      <c r="AE675" s="66"/>
    </row>
    <row r="676" spans="1:31" s="4" customFormat="1" ht="15.95" customHeight="1" thickBot="1" x14ac:dyDescent="0.25">
      <c r="A676" s="165" t="str">
        <f ca="1">Language!A533</f>
        <v xml:space="preserve">         ЦЕНА РЕАЛИЗАЦИИ (за единицу, с НДС)</v>
      </c>
      <c r="B676" s="165"/>
      <c r="C676" s="165"/>
      <c r="D676" s="165"/>
      <c r="E676" s="165"/>
      <c r="F676" s="177" t="str">
        <f t="shared" ref="F676:AC676" ca="1" si="1933">PeriodTitle</f>
        <v>1 кв. 2016</v>
      </c>
      <c r="G676" s="177" t="str">
        <f t="shared" ca="1" si="1933"/>
        <v>2 кв. 2016</v>
      </c>
      <c r="H676" s="177" t="str">
        <f t="shared" ca="1" si="1933"/>
        <v>3 кв. 2016</v>
      </c>
      <c r="I676" s="177" t="str">
        <f t="shared" ca="1" si="1933"/>
        <v>4 кв. 2016</v>
      </c>
      <c r="J676" s="177" t="str">
        <f t="shared" ca="1" si="1933"/>
        <v>1 кв. 2017</v>
      </c>
      <c r="K676" s="177" t="str">
        <f t="shared" ca="1" si="1933"/>
        <v>2 кв. 2017</v>
      </c>
      <c r="L676" s="177" t="str">
        <f t="shared" ca="1" si="1933"/>
        <v>3 кв. 2017</v>
      </c>
      <c r="M676" s="177" t="str">
        <f t="shared" ca="1" si="1933"/>
        <v>4 кв. 2017</v>
      </c>
      <c r="N676" s="177" t="str">
        <f t="shared" ca="1" si="1933"/>
        <v>1 кв. 2018</v>
      </c>
      <c r="O676" s="177" t="str">
        <f t="shared" ca="1" si="1933"/>
        <v>2 кв. 2018</v>
      </c>
      <c r="P676" s="177" t="str">
        <f t="shared" ca="1" si="1933"/>
        <v>3 кв. 2018</v>
      </c>
      <c r="Q676" s="177" t="str">
        <f t="shared" ca="1" si="1933"/>
        <v>4 кв. 2018</v>
      </c>
      <c r="R676" s="177" t="str">
        <f t="shared" ca="1" si="1933"/>
        <v>1 кв. 2019</v>
      </c>
      <c r="S676" s="177" t="str">
        <f t="shared" ca="1" si="1933"/>
        <v>2 кв. 2019</v>
      </c>
      <c r="T676" s="177" t="str">
        <f t="shared" ca="1" si="1933"/>
        <v>3 кв. 2019</v>
      </c>
      <c r="U676" s="177" t="str">
        <f t="shared" ca="1" si="1933"/>
        <v>4 кв. 2019</v>
      </c>
      <c r="V676" s="177" t="str">
        <f t="shared" ca="1" si="1933"/>
        <v>1 кв. 2020</v>
      </c>
      <c r="W676" s="177" t="str">
        <f t="shared" ca="1" si="1933"/>
        <v>2 кв. 2020</v>
      </c>
      <c r="X676" s="177" t="str">
        <f t="shared" ca="1" si="1933"/>
        <v>3 кв. 2020</v>
      </c>
      <c r="Y676" s="177" t="str">
        <f t="shared" ca="1" si="1933"/>
        <v>4 кв. 2020</v>
      </c>
      <c r="Z676" s="177" t="str">
        <f t="shared" ca="1" si="1933"/>
        <v>1 кв. 2021</v>
      </c>
      <c r="AA676" s="177" t="str">
        <f t="shared" ca="1" si="1933"/>
        <v>2 кв. 2021</v>
      </c>
      <c r="AB676" s="177" t="str">
        <f t="shared" ca="1" si="1933"/>
        <v>3 кв. 2021</v>
      </c>
      <c r="AC676" s="177" t="str">
        <f t="shared" ca="1" si="1933"/>
        <v>4 кв. 2021</v>
      </c>
      <c r="AD676" s="165"/>
      <c r="AE676" s="194"/>
    </row>
    <row r="677" spans="1:31" ht="12" outlineLevel="1" thickTop="1" x14ac:dyDescent="0.2">
      <c r="B677" s="36" t="str">
        <f ca="1">Language!A$73</f>
        <v>Валюта</v>
      </c>
      <c r="D677">
        <v>0</v>
      </c>
      <c r="E677">
        <v>7</v>
      </c>
    </row>
    <row r="678" spans="1:31" outlineLevel="1" collapsed="1" x14ac:dyDescent="0.2">
      <c r="A678" t="str">
        <f>A664</f>
        <v>Долота</v>
      </c>
      <c r="B678" s="254">
        <v>1</v>
      </c>
      <c r="C678" s="79" t="str">
        <f ca="1">CHOOSE(B678,CUR_Main,CUR_Foreign)</f>
        <v>тыс. EUR</v>
      </c>
      <c r="D678" s="46" t="s">
        <v>2429</v>
      </c>
      <c r="F678" s="285"/>
      <c r="G678" s="285"/>
      <c r="H678" s="285"/>
      <c r="I678" s="285"/>
      <c r="J678" s="285"/>
      <c r="K678" s="285">
        <f>'Продажи 2'!G49/1000/Проект!K671</f>
        <v>8.5066776748961868</v>
      </c>
      <c r="L678" s="285">
        <f>'Продажи 2'!H49/1000/Проект!L671</f>
        <v>8.5134748275305991</v>
      </c>
      <c r="M678" s="285">
        <f>'Продажи 2'!I49/1000/Проект!M671</f>
        <v>8.4676262884251177</v>
      </c>
      <c r="N678" s="285">
        <f>'Продажи 2'!J49/1000/Проект!N671</f>
        <v>8.4906447461459571</v>
      </c>
      <c r="O678" s="285">
        <f>'Продажи 2'!K49/1000/Проект!O671</f>
        <v>8.4906447461459571</v>
      </c>
      <c r="P678" s="285">
        <f>'Продажи 2'!L49/1000/Проект!P671</f>
        <v>8.4906447461459571</v>
      </c>
      <c r="Q678" s="285">
        <f>'Продажи 2'!M49/1000/Проект!Q671</f>
        <v>8.4906447461459571</v>
      </c>
      <c r="R678" s="285">
        <f>'Продажи 2'!N49/1000/Проект!R671</f>
        <v>8.4906447461459571</v>
      </c>
      <c r="S678" s="285">
        <f>'Продажи 2'!O49/1000/Проект!S671</f>
        <v>8.4906447461459571</v>
      </c>
      <c r="T678" s="285">
        <f>'Продажи 2'!P49/1000/Проект!T671</f>
        <v>8.4906447461459571</v>
      </c>
      <c r="U678" s="285">
        <f>'Продажи 2'!Q49/1000/Проект!U671</f>
        <v>8.4906447461459571</v>
      </c>
      <c r="V678" s="285">
        <f>'Продажи 2'!R49/1000/Проект!V671</f>
        <v>8.4906447461459571</v>
      </c>
      <c r="W678" s="285">
        <f>'Продажи 2'!S49/1000/Проект!W671</f>
        <v>8.4906447461459571</v>
      </c>
      <c r="X678" s="285">
        <f>'Продажи 2'!T49/1000/Проект!X671</f>
        <v>8.4906447461459571</v>
      </c>
      <c r="Y678" s="285">
        <f>'Продажи 2'!U49/1000/Проект!Y671</f>
        <v>8.4906447461459571</v>
      </c>
      <c r="Z678" s="285">
        <f>'Продажи 2'!V49/1000/Проект!Z671</f>
        <v>8.4906447461459571</v>
      </c>
      <c r="AA678" s="285">
        <f>'Продажи 2'!W49/1000/Проект!AA671</f>
        <v>8.4906447461459571</v>
      </c>
      <c r="AB678" s="285">
        <f>'Продажи 2'!X49/1000/Проект!AB671</f>
        <v>8.4906447461459571</v>
      </c>
      <c r="AC678" s="285">
        <f>'Продажи 2'!Y49/1000/Проект!AC671</f>
        <v>8.4906447461459571</v>
      </c>
    </row>
    <row r="679" spans="1:31" hidden="1" outlineLevel="2" x14ac:dyDescent="0.2">
      <c r="A679" t="str">
        <f ca="1">Language!A$104</f>
        <v>Предполагаемый темп годового роста цен</v>
      </c>
      <c r="C679" s="5" t="s">
        <v>2430</v>
      </c>
      <c r="D679" s="16" t="s">
        <v>2429</v>
      </c>
      <c r="F679" s="268">
        <f t="shared" ref="F679:T679" si="1934">CHOOSE($B678,F$80,F$91)</f>
        <v>0</v>
      </c>
      <c r="G679" s="268">
        <f t="shared" si="1934"/>
        <v>0</v>
      </c>
      <c r="H679" s="268">
        <f t="shared" si="1934"/>
        <v>0</v>
      </c>
      <c r="I679" s="268">
        <f t="shared" si="1934"/>
        <v>0</v>
      </c>
      <c r="J679" s="268">
        <f t="shared" ref="J679" si="1935">CHOOSE($B678,J$80,J$91)</f>
        <v>0</v>
      </c>
      <c r="K679" s="268">
        <f t="shared" si="1934"/>
        <v>0</v>
      </c>
      <c r="L679" s="268">
        <f t="shared" si="1934"/>
        <v>0</v>
      </c>
      <c r="M679" s="268">
        <f t="shared" si="1934"/>
        <v>0</v>
      </c>
      <c r="N679" s="268">
        <f t="shared" si="1934"/>
        <v>0</v>
      </c>
      <c r="O679" s="268">
        <f t="shared" si="1934"/>
        <v>0</v>
      </c>
      <c r="P679" s="268">
        <f t="shared" si="1934"/>
        <v>0</v>
      </c>
      <c r="Q679" s="268">
        <f t="shared" si="1934"/>
        <v>0</v>
      </c>
      <c r="R679" s="268">
        <f t="shared" si="1934"/>
        <v>0</v>
      </c>
      <c r="S679" s="268">
        <f t="shared" si="1934"/>
        <v>0</v>
      </c>
      <c r="T679" s="268">
        <f t="shared" si="1934"/>
        <v>0</v>
      </c>
      <c r="U679" s="268">
        <f t="shared" ref="U679" si="1936">CHOOSE($B678,U$80,U$91)</f>
        <v>0</v>
      </c>
      <c r="V679" s="268">
        <f t="shared" ref="V679" si="1937">CHOOSE($B678,V$80,V$91)</f>
        <v>0</v>
      </c>
      <c r="W679" s="268">
        <f t="shared" ref="W679" si="1938">CHOOSE($B678,W$80,W$91)</f>
        <v>0</v>
      </c>
      <c r="X679" s="268">
        <f t="shared" ref="X679" si="1939">CHOOSE($B678,X$80,X$91)</f>
        <v>0</v>
      </c>
      <c r="Y679" s="268">
        <f t="shared" ref="Y679" si="1940">CHOOSE($B678,Y$80,Y$91)</f>
        <v>0</v>
      </c>
      <c r="Z679" s="268">
        <f t="shared" ref="Z679" si="1941">CHOOSE($B678,Z$80,Z$91)</f>
        <v>0</v>
      </c>
      <c r="AA679" s="268">
        <f t="shared" ref="AA679" si="1942">CHOOSE($B678,AA$80,AA$91)</f>
        <v>0</v>
      </c>
      <c r="AB679" s="268">
        <f t="shared" ref="AB679:AC679" si="1943">CHOOSE($B678,AB$80,AB$91)</f>
        <v>0</v>
      </c>
      <c r="AC679" s="268">
        <f t="shared" si="1943"/>
        <v>0</v>
      </c>
    </row>
    <row r="680" spans="1:31" hidden="1" outlineLevel="2" x14ac:dyDescent="0.2">
      <c r="A680" t="str">
        <f ca="1">Language!A$106</f>
        <v>То же, в пересчете на период, равный шагу проекта</v>
      </c>
      <c r="C680" s="5" t="s">
        <v>2430</v>
      </c>
      <c r="D680" s="16" t="s">
        <v>2429</v>
      </c>
      <c r="F680" s="30">
        <f t="shared" ref="F680:T680" si="1944">POWER(1+F679,PRJ_Step/360)-1</f>
        <v>0</v>
      </c>
      <c r="G680" s="30">
        <f t="shared" si="1944"/>
        <v>0</v>
      </c>
      <c r="H680" s="30">
        <f t="shared" si="1944"/>
        <v>0</v>
      </c>
      <c r="I680" s="30">
        <f t="shared" si="1944"/>
        <v>0</v>
      </c>
      <c r="J680" s="30">
        <f t="shared" ref="J680" si="1945">POWER(1+J679,PRJ_Step/360)-1</f>
        <v>0</v>
      </c>
      <c r="K680" s="30">
        <f t="shared" si="1944"/>
        <v>0</v>
      </c>
      <c r="L680" s="30">
        <f t="shared" si="1944"/>
        <v>0</v>
      </c>
      <c r="M680" s="30">
        <f t="shared" si="1944"/>
        <v>0</v>
      </c>
      <c r="N680" s="30">
        <f t="shared" si="1944"/>
        <v>0</v>
      </c>
      <c r="O680" s="30">
        <f t="shared" si="1944"/>
        <v>0</v>
      </c>
      <c r="P680" s="30">
        <f t="shared" si="1944"/>
        <v>0</v>
      </c>
      <c r="Q680" s="30">
        <f t="shared" si="1944"/>
        <v>0</v>
      </c>
      <c r="R680" s="30">
        <f t="shared" si="1944"/>
        <v>0</v>
      </c>
      <c r="S680" s="30">
        <f t="shared" si="1944"/>
        <v>0</v>
      </c>
      <c r="T680" s="30">
        <f t="shared" si="1944"/>
        <v>0</v>
      </c>
      <c r="U680" s="30">
        <f t="shared" ref="U680" si="1946">POWER(1+U679,PRJ_Step/360)-1</f>
        <v>0</v>
      </c>
      <c r="V680" s="30">
        <f t="shared" ref="V680" si="1947">POWER(1+V679,PRJ_Step/360)-1</f>
        <v>0</v>
      </c>
      <c r="W680" s="30">
        <f t="shared" ref="W680" si="1948">POWER(1+W679,PRJ_Step/360)-1</f>
        <v>0</v>
      </c>
      <c r="X680" s="30">
        <f t="shared" ref="X680" si="1949">POWER(1+X679,PRJ_Step/360)-1</f>
        <v>0</v>
      </c>
      <c r="Y680" s="30">
        <f t="shared" ref="Y680" si="1950">POWER(1+Y679,PRJ_Step/360)-1</f>
        <v>0</v>
      </c>
      <c r="Z680" s="30">
        <f t="shared" ref="Z680" si="1951">POWER(1+Z679,PRJ_Step/360)-1</f>
        <v>0</v>
      </c>
      <c r="AA680" s="30">
        <f t="shared" ref="AA680" si="1952">POWER(1+AA679,PRJ_Step/360)-1</f>
        <v>0</v>
      </c>
      <c r="AB680" s="30">
        <f t="shared" ref="AB680:AC680" si="1953">POWER(1+AB679,PRJ_Step/360)-1</f>
        <v>0</v>
      </c>
      <c r="AC680" s="30">
        <f t="shared" si="1953"/>
        <v>0</v>
      </c>
    </row>
    <row r="681" spans="1:31" hidden="1" outlineLevel="2" x14ac:dyDescent="0.2">
      <c r="A681" t="str">
        <f ca="1">Language!A$534</f>
        <v xml:space="preserve">    цена без НДС и акцизов</v>
      </c>
      <c r="B681" s="36" t="str">
        <f ca="1">Language!A$538</f>
        <v>Адвалорные</v>
      </c>
      <c r="C681" s="36" t="str">
        <f ca="1">Language!A$539</f>
        <v>Твердые</v>
      </c>
      <c r="D681" s="46" t="s">
        <v>2429</v>
      </c>
      <c r="F681" s="82">
        <f t="shared" ref="F681:T681" si="1954">(F678/(1+$B684)-$C682)/(1+$B682)</f>
        <v>0</v>
      </c>
      <c r="G681" s="82">
        <f t="shared" si="1954"/>
        <v>0</v>
      </c>
      <c r="H681" s="82">
        <f t="shared" si="1954"/>
        <v>0</v>
      </c>
      <c r="I681" s="82">
        <f t="shared" si="1954"/>
        <v>0</v>
      </c>
      <c r="J681" s="82">
        <f t="shared" ref="J681" si="1955">(J678/(1+$B684)-$C682)/(1+$B682)</f>
        <v>0</v>
      </c>
      <c r="K681" s="82">
        <f t="shared" si="1954"/>
        <v>8.5066776748961868</v>
      </c>
      <c r="L681" s="82">
        <f t="shared" si="1954"/>
        <v>8.5134748275305991</v>
      </c>
      <c r="M681" s="82">
        <f t="shared" si="1954"/>
        <v>8.4676262884251177</v>
      </c>
      <c r="N681" s="82">
        <f t="shared" si="1954"/>
        <v>8.4906447461459571</v>
      </c>
      <c r="O681" s="82">
        <f t="shared" si="1954"/>
        <v>8.4906447461459571</v>
      </c>
      <c r="P681" s="82">
        <f t="shared" si="1954"/>
        <v>8.4906447461459571</v>
      </c>
      <c r="Q681" s="82">
        <f t="shared" si="1954"/>
        <v>8.4906447461459571</v>
      </c>
      <c r="R681" s="82">
        <f t="shared" si="1954"/>
        <v>8.4906447461459571</v>
      </c>
      <c r="S681" s="82">
        <f t="shared" si="1954"/>
        <v>8.4906447461459571</v>
      </c>
      <c r="T681" s="82">
        <f t="shared" si="1954"/>
        <v>8.4906447461459571</v>
      </c>
      <c r="U681" s="82">
        <f t="shared" ref="U681" si="1956">(U678/(1+$B684)-$C682)/(1+$B682)</f>
        <v>8.4906447461459571</v>
      </c>
      <c r="V681" s="82">
        <f t="shared" ref="V681" si="1957">(V678/(1+$B684)-$C682)/(1+$B682)</f>
        <v>8.4906447461459571</v>
      </c>
      <c r="W681" s="82">
        <f t="shared" ref="W681" si="1958">(W678/(1+$B684)-$C682)/(1+$B682)</f>
        <v>8.4906447461459571</v>
      </c>
      <c r="X681" s="82">
        <f t="shared" ref="X681" si="1959">(X678/(1+$B684)-$C682)/(1+$B682)</f>
        <v>8.4906447461459571</v>
      </c>
      <c r="Y681" s="82">
        <f t="shared" ref="Y681" si="1960">(Y678/(1+$B684)-$C682)/(1+$B682)</f>
        <v>8.4906447461459571</v>
      </c>
      <c r="Z681" s="82">
        <f t="shared" ref="Z681" si="1961">(Z678/(1+$B684)-$C682)/(1+$B682)</f>
        <v>8.4906447461459571</v>
      </c>
      <c r="AA681" s="82">
        <f t="shared" ref="AA681" si="1962">(AA678/(1+$B684)-$C682)/(1+$B682)</f>
        <v>8.4906447461459571</v>
      </c>
      <c r="AB681" s="82">
        <f t="shared" ref="AB681:AC681" si="1963">(AB678/(1+$B684)-$C682)/(1+$B682)</f>
        <v>8.4906447461459571</v>
      </c>
      <c r="AC681" s="82">
        <f t="shared" si="1963"/>
        <v>8.4906447461459571</v>
      </c>
    </row>
    <row r="682" spans="1:31" hidden="1" outlineLevel="2" x14ac:dyDescent="0.2">
      <c r="A682" t="str">
        <f ca="1">Language!A$535</f>
        <v xml:space="preserve">    акцизы</v>
      </c>
      <c r="B682" s="282">
        <v>0</v>
      </c>
      <c r="C682" s="284">
        <v>0</v>
      </c>
      <c r="D682" s="46" t="s">
        <v>2429</v>
      </c>
      <c r="F682" s="82">
        <f t="shared" ref="F682:T682" si="1964">F681*$B682+$C682</f>
        <v>0</v>
      </c>
      <c r="G682" s="82">
        <f t="shared" si="1964"/>
        <v>0</v>
      </c>
      <c r="H682" s="82">
        <f t="shared" si="1964"/>
        <v>0</v>
      </c>
      <c r="I682" s="82">
        <f t="shared" si="1964"/>
        <v>0</v>
      </c>
      <c r="J682" s="82">
        <f t="shared" ref="J682" si="1965">J681*$B682+$C682</f>
        <v>0</v>
      </c>
      <c r="K682" s="82">
        <f t="shared" si="1964"/>
        <v>0</v>
      </c>
      <c r="L682" s="82">
        <f t="shared" si="1964"/>
        <v>0</v>
      </c>
      <c r="M682" s="82">
        <f t="shared" si="1964"/>
        <v>0</v>
      </c>
      <c r="N682" s="82">
        <f t="shared" si="1964"/>
        <v>0</v>
      </c>
      <c r="O682" s="82">
        <f t="shared" si="1964"/>
        <v>0</v>
      </c>
      <c r="P682" s="82">
        <f t="shared" si="1964"/>
        <v>0</v>
      </c>
      <c r="Q682" s="82">
        <f t="shared" si="1964"/>
        <v>0</v>
      </c>
      <c r="R682" s="82">
        <f t="shared" si="1964"/>
        <v>0</v>
      </c>
      <c r="S682" s="82">
        <f t="shared" si="1964"/>
        <v>0</v>
      </c>
      <c r="T682" s="82">
        <f t="shared" si="1964"/>
        <v>0</v>
      </c>
      <c r="U682" s="82">
        <f t="shared" ref="U682" si="1966">U681*$B682+$C682</f>
        <v>0</v>
      </c>
      <c r="V682" s="82">
        <f t="shared" ref="V682" si="1967">V681*$B682+$C682</f>
        <v>0</v>
      </c>
      <c r="W682" s="82">
        <f t="shared" ref="W682" si="1968">W681*$B682+$C682</f>
        <v>0</v>
      </c>
      <c r="X682" s="82">
        <f t="shared" ref="X682" si="1969">X681*$B682+$C682</f>
        <v>0</v>
      </c>
      <c r="Y682" s="82">
        <f t="shared" ref="Y682" si="1970">Y681*$B682+$C682</f>
        <v>0</v>
      </c>
      <c r="Z682" s="82">
        <f t="shared" ref="Z682" si="1971">Z681*$B682+$C682</f>
        <v>0</v>
      </c>
      <c r="AA682" s="82">
        <f t="shared" ref="AA682" si="1972">AA681*$B682+$C682</f>
        <v>0</v>
      </c>
      <c r="AB682" s="82">
        <f t="shared" ref="AB682:AC682" si="1973">AB681*$B682+$C682</f>
        <v>0</v>
      </c>
      <c r="AC682" s="82">
        <f t="shared" si="1973"/>
        <v>0</v>
      </c>
    </row>
    <row r="683" spans="1:31" hidden="1" outlineLevel="2" x14ac:dyDescent="0.2">
      <c r="A683" t="str">
        <f ca="1">Language!A$536</f>
        <v xml:space="preserve">    налог с продаж</v>
      </c>
      <c r="B683" s="283">
        <v>0</v>
      </c>
      <c r="C683" s="80" t="str">
        <f ca="1">CHOOSE(B678,CUR_Main,CUR_Foreign)</f>
        <v>тыс. EUR</v>
      </c>
      <c r="D683" s="46" t="s">
        <v>2429</v>
      </c>
      <c r="F683" s="82">
        <f t="shared" ref="F683:T683" si="1974">(F681+F682)*$B683</f>
        <v>0</v>
      </c>
      <c r="G683" s="82">
        <f t="shared" si="1974"/>
        <v>0</v>
      </c>
      <c r="H683" s="82">
        <f t="shared" si="1974"/>
        <v>0</v>
      </c>
      <c r="I683" s="82">
        <f t="shared" si="1974"/>
        <v>0</v>
      </c>
      <c r="J683" s="82">
        <f t="shared" ref="J683" si="1975">(J681+J682)*$B683</f>
        <v>0</v>
      </c>
      <c r="K683" s="82">
        <f t="shared" si="1974"/>
        <v>0</v>
      </c>
      <c r="L683" s="82">
        <f t="shared" si="1974"/>
        <v>0</v>
      </c>
      <c r="M683" s="82">
        <f t="shared" si="1974"/>
        <v>0</v>
      </c>
      <c r="N683" s="82">
        <f t="shared" si="1974"/>
        <v>0</v>
      </c>
      <c r="O683" s="82">
        <f t="shared" si="1974"/>
        <v>0</v>
      </c>
      <c r="P683" s="82">
        <f t="shared" si="1974"/>
        <v>0</v>
      </c>
      <c r="Q683" s="82">
        <f t="shared" si="1974"/>
        <v>0</v>
      </c>
      <c r="R683" s="82">
        <f t="shared" si="1974"/>
        <v>0</v>
      </c>
      <c r="S683" s="82">
        <f t="shared" si="1974"/>
        <v>0</v>
      </c>
      <c r="T683" s="82">
        <f t="shared" si="1974"/>
        <v>0</v>
      </c>
      <c r="U683" s="82">
        <f t="shared" ref="U683" si="1976">(U681+U682)*$B683</f>
        <v>0</v>
      </c>
      <c r="V683" s="82">
        <f t="shared" ref="V683" si="1977">(V681+V682)*$B683</f>
        <v>0</v>
      </c>
      <c r="W683" s="82">
        <f t="shared" ref="W683" si="1978">(W681+W682)*$B683</f>
        <v>0</v>
      </c>
      <c r="X683" s="82">
        <f t="shared" ref="X683" si="1979">(X681+X682)*$B683</f>
        <v>0</v>
      </c>
      <c r="Y683" s="82">
        <f t="shared" ref="Y683" si="1980">(Y681+Y682)*$B683</f>
        <v>0</v>
      </c>
      <c r="Z683" s="82">
        <f t="shared" ref="Z683" si="1981">(Z681+Z682)*$B683</f>
        <v>0</v>
      </c>
      <c r="AA683" s="82">
        <f t="shared" ref="AA683" si="1982">(AA681+AA682)*$B683</f>
        <v>0</v>
      </c>
      <c r="AB683" s="82">
        <f t="shared" ref="AB683:AC683" si="1983">(AB681+AB682)*$B683</f>
        <v>0</v>
      </c>
      <c r="AC683" s="82">
        <f t="shared" si="1983"/>
        <v>0</v>
      </c>
    </row>
    <row r="684" spans="1:31" hidden="1" outlineLevel="2" x14ac:dyDescent="0.2">
      <c r="A684" t="str">
        <f ca="1">Language!A$537</f>
        <v xml:space="preserve">    НДС</v>
      </c>
      <c r="B684" s="283">
        <v>0</v>
      </c>
      <c r="C684" s="81" t="str">
        <f ca="1">CHOOSE(B678,CUR_Main,CUR_Foreign)</f>
        <v>тыс. EUR</v>
      </c>
      <c r="D684" s="46" t="s">
        <v>2429</v>
      </c>
      <c r="F684" s="82">
        <f t="shared" ref="F684:T684" si="1984">(F681+F682)*$B684</f>
        <v>0</v>
      </c>
      <c r="G684" s="82">
        <f t="shared" si="1984"/>
        <v>0</v>
      </c>
      <c r="H684" s="82">
        <f t="shared" si="1984"/>
        <v>0</v>
      </c>
      <c r="I684" s="82">
        <f t="shared" si="1984"/>
        <v>0</v>
      </c>
      <c r="J684" s="82">
        <f t="shared" ref="J684" si="1985">(J681+J682)*$B684</f>
        <v>0</v>
      </c>
      <c r="K684" s="82">
        <f t="shared" si="1984"/>
        <v>0</v>
      </c>
      <c r="L684" s="82">
        <f t="shared" si="1984"/>
        <v>0</v>
      </c>
      <c r="M684" s="82">
        <f t="shared" si="1984"/>
        <v>0</v>
      </c>
      <c r="N684" s="82">
        <f t="shared" si="1984"/>
        <v>0</v>
      </c>
      <c r="O684" s="82">
        <f t="shared" si="1984"/>
        <v>0</v>
      </c>
      <c r="P684" s="82">
        <f t="shared" si="1984"/>
        <v>0</v>
      </c>
      <c r="Q684" s="82">
        <f t="shared" si="1984"/>
        <v>0</v>
      </c>
      <c r="R684" s="82">
        <f t="shared" si="1984"/>
        <v>0</v>
      </c>
      <c r="S684" s="82">
        <f t="shared" si="1984"/>
        <v>0</v>
      </c>
      <c r="T684" s="82">
        <f t="shared" si="1984"/>
        <v>0</v>
      </c>
      <c r="U684" s="82">
        <f t="shared" ref="U684" si="1986">(U681+U682)*$B684</f>
        <v>0</v>
      </c>
      <c r="V684" s="82">
        <f t="shared" ref="V684" si="1987">(V681+V682)*$B684</f>
        <v>0</v>
      </c>
      <c r="W684" s="82">
        <f t="shared" ref="W684" si="1988">(W681+W682)*$B684</f>
        <v>0</v>
      </c>
      <c r="X684" s="82">
        <f t="shared" ref="X684" si="1989">(X681+X682)*$B684</f>
        <v>0</v>
      </c>
      <c r="Y684" s="82">
        <f t="shared" ref="Y684" si="1990">(Y681+Y682)*$B684</f>
        <v>0</v>
      </c>
      <c r="Z684" s="82">
        <f t="shared" ref="Z684" si="1991">(Z681+Z682)*$B684</f>
        <v>0</v>
      </c>
      <c r="AA684" s="82">
        <f t="shared" ref="AA684" si="1992">(AA681+AA682)*$B684</f>
        <v>0</v>
      </c>
      <c r="AB684" s="82">
        <f t="shared" ref="AB684:AC684" si="1993">(AB681+AB682)*$B684</f>
        <v>0</v>
      </c>
      <c r="AC684" s="82">
        <f t="shared" si="1993"/>
        <v>0</v>
      </c>
    </row>
    <row r="685" spans="1:31" outlineLevel="1" collapsed="1" x14ac:dyDescent="0.2">
      <c r="A685" t="str">
        <f>A665</f>
        <v>ВЗД</v>
      </c>
      <c r="B685" s="254">
        <v>1</v>
      </c>
      <c r="C685" s="79" t="str">
        <f ca="1">CHOOSE(B685,CUR_Main,CUR_Foreign)</f>
        <v>тыс. EUR</v>
      </c>
      <c r="D685" s="46" t="s">
        <v>2429</v>
      </c>
      <c r="F685" s="285"/>
      <c r="G685" s="285"/>
      <c r="H685" s="285"/>
      <c r="I685" s="285"/>
      <c r="J685" s="285"/>
      <c r="K685" s="285"/>
      <c r="L685" s="285">
        <f>'Продажи 2'!H83/1000/Проект!L672</f>
        <v>21.553160407801261</v>
      </c>
      <c r="M685" s="285">
        <f>'Продажи 2'!I83/1000/Проект!M672</f>
        <v>21.756598703636698</v>
      </c>
      <c r="N685" s="285">
        <f>'Продажи 2'!J83/1000/Проект!N672</f>
        <v>21.739266573339638</v>
      </c>
      <c r="O685" s="285">
        <f>'Продажи 2'!K83/1000/Проект!O672</f>
        <v>21.803949462157622</v>
      </c>
      <c r="P685" s="285">
        <f>'Продажи 2'!L83/1000/Проект!P672</f>
        <v>21.803949462157622</v>
      </c>
      <c r="Q685" s="285">
        <f>'Продажи 2'!M83/1000/Проект!Q672</f>
        <v>21.803949462157622</v>
      </c>
      <c r="R685" s="285">
        <f>'Продажи 2'!N83/1000/Проект!R672</f>
        <v>21.803949462157622</v>
      </c>
      <c r="S685" s="285">
        <f>'Продажи 2'!O83/1000/Проект!S672</f>
        <v>21.803949462157622</v>
      </c>
      <c r="T685" s="285">
        <f>'Продажи 2'!P83/1000/Проект!T672</f>
        <v>21.803949462157622</v>
      </c>
      <c r="U685" s="285">
        <f>'Продажи 2'!Q83/1000/Проект!U672</f>
        <v>21.803949462157622</v>
      </c>
      <c r="V685" s="285">
        <f>'Продажи 2'!R83/1000/Проект!V672</f>
        <v>21.803949462157622</v>
      </c>
      <c r="W685" s="285">
        <f>'Продажи 2'!S83/1000/Проект!W672</f>
        <v>21.803949462157622</v>
      </c>
      <c r="X685" s="285">
        <f>'Продажи 2'!T83/1000/Проект!X672</f>
        <v>21.803949462157622</v>
      </c>
      <c r="Y685" s="285">
        <f>'Продажи 2'!U83/1000/Проект!Y672</f>
        <v>21.803949462157622</v>
      </c>
      <c r="Z685" s="285">
        <f>'Продажи 2'!V83/1000/Проект!Z672</f>
        <v>21.803949462157622</v>
      </c>
      <c r="AA685" s="285">
        <f>'Продажи 2'!W83/1000/Проект!AA672</f>
        <v>21.803949462157622</v>
      </c>
      <c r="AB685" s="285">
        <f>'Продажи 2'!X83/1000/Проект!AB672</f>
        <v>21.803949462157622</v>
      </c>
      <c r="AC685" s="285">
        <f>'Продажи 2'!Y83/1000/Проект!AC672</f>
        <v>21.803949462157622</v>
      </c>
    </row>
    <row r="686" spans="1:31" hidden="1" outlineLevel="2" x14ac:dyDescent="0.2">
      <c r="A686" t="str">
        <f ca="1">Language!A$104</f>
        <v>Предполагаемый темп годового роста цен</v>
      </c>
      <c r="C686" s="5" t="s">
        <v>2430</v>
      </c>
      <c r="D686" s="16" t="s">
        <v>2429</v>
      </c>
      <c r="F686" s="268">
        <f t="shared" ref="F686:AC686" si="1994">CHOOSE($B685,F$80,F$91)</f>
        <v>0</v>
      </c>
      <c r="G686" s="268">
        <f t="shared" si="1994"/>
        <v>0</v>
      </c>
      <c r="H686" s="268">
        <f t="shared" si="1994"/>
        <v>0</v>
      </c>
      <c r="I686" s="268">
        <f t="shared" si="1994"/>
        <v>0</v>
      </c>
      <c r="J686" s="268">
        <f t="shared" si="1994"/>
        <v>0</v>
      </c>
      <c r="K686" s="268">
        <f t="shared" si="1994"/>
        <v>0</v>
      </c>
      <c r="L686" s="268">
        <f t="shared" si="1994"/>
        <v>0</v>
      </c>
      <c r="M686" s="268">
        <f t="shared" si="1994"/>
        <v>0</v>
      </c>
      <c r="N686" s="268">
        <f t="shared" si="1994"/>
        <v>0</v>
      </c>
      <c r="O686" s="268">
        <f t="shared" si="1994"/>
        <v>0</v>
      </c>
      <c r="P686" s="268">
        <f t="shared" si="1994"/>
        <v>0</v>
      </c>
      <c r="Q686" s="268">
        <f t="shared" si="1994"/>
        <v>0</v>
      </c>
      <c r="R686" s="268">
        <f t="shared" si="1994"/>
        <v>0</v>
      </c>
      <c r="S686" s="268">
        <f t="shared" si="1994"/>
        <v>0</v>
      </c>
      <c r="T686" s="268">
        <f t="shared" si="1994"/>
        <v>0</v>
      </c>
      <c r="U686" s="268">
        <f t="shared" si="1994"/>
        <v>0</v>
      </c>
      <c r="V686" s="268">
        <f t="shared" si="1994"/>
        <v>0</v>
      </c>
      <c r="W686" s="268">
        <f t="shared" si="1994"/>
        <v>0</v>
      </c>
      <c r="X686" s="268">
        <f t="shared" si="1994"/>
        <v>0</v>
      </c>
      <c r="Y686" s="268">
        <f t="shared" si="1994"/>
        <v>0</v>
      </c>
      <c r="Z686" s="268">
        <f t="shared" si="1994"/>
        <v>0</v>
      </c>
      <c r="AA686" s="268">
        <f t="shared" si="1994"/>
        <v>0</v>
      </c>
      <c r="AB686" s="268">
        <f t="shared" si="1994"/>
        <v>0</v>
      </c>
      <c r="AC686" s="268">
        <f t="shared" si="1994"/>
        <v>0</v>
      </c>
    </row>
    <row r="687" spans="1:31" hidden="1" outlineLevel="2" x14ac:dyDescent="0.2">
      <c r="A687" t="str">
        <f ca="1">Language!A$106</f>
        <v>То же, в пересчете на период, равный шагу проекта</v>
      </c>
      <c r="C687" s="5" t="s">
        <v>2430</v>
      </c>
      <c r="D687" s="16" t="s">
        <v>2429</v>
      </c>
      <c r="F687" s="30">
        <f t="shared" ref="F687:AC687" si="1995">POWER(1+F686,PRJ_Step/360)-1</f>
        <v>0</v>
      </c>
      <c r="G687" s="30">
        <f t="shared" si="1995"/>
        <v>0</v>
      </c>
      <c r="H687" s="30">
        <f t="shared" si="1995"/>
        <v>0</v>
      </c>
      <c r="I687" s="30">
        <f t="shared" si="1995"/>
        <v>0</v>
      </c>
      <c r="J687" s="30">
        <f t="shared" si="1995"/>
        <v>0</v>
      </c>
      <c r="K687" s="30">
        <f t="shared" si="1995"/>
        <v>0</v>
      </c>
      <c r="L687" s="30">
        <f t="shared" si="1995"/>
        <v>0</v>
      </c>
      <c r="M687" s="30">
        <f t="shared" si="1995"/>
        <v>0</v>
      </c>
      <c r="N687" s="30">
        <f t="shared" si="1995"/>
        <v>0</v>
      </c>
      <c r="O687" s="30">
        <f t="shared" si="1995"/>
        <v>0</v>
      </c>
      <c r="P687" s="30">
        <f t="shared" si="1995"/>
        <v>0</v>
      </c>
      <c r="Q687" s="30">
        <f t="shared" si="1995"/>
        <v>0</v>
      </c>
      <c r="R687" s="30">
        <f t="shared" si="1995"/>
        <v>0</v>
      </c>
      <c r="S687" s="30">
        <f t="shared" si="1995"/>
        <v>0</v>
      </c>
      <c r="T687" s="30">
        <f t="shared" si="1995"/>
        <v>0</v>
      </c>
      <c r="U687" s="30">
        <f t="shared" si="1995"/>
        <v>0</v>
      </c>
      <c r="V687" s="30">
        <f t="shared" si="1995"/>
        <v>0</v>
      </c>
      <c r="W687" s="30">
        <f t="shared" si="1995"/>
        <v>0</v>
      </c>
      <c r="X687" s="30">
        <f t="shared" si="1995"/>
        <v>0</v>
      </c>
      <c r="Y687" s="30">
        <f t="shared" si="1995"/>
        <v>0</v>
      </c>
      <c r="Z687" s="30">
        <f t="shared" si="1995"/>
        <v>0</v>
      </c>
      <c r="AA687" s="30">
        <f t="shared" si="1995"/>
        <v>0</v>
      </c>
      <c r="AB687" s="30">
        <f t="shared" si="1995"/>
        <v>0</v>
      </c>
      <c r="AC687" s="30">
        <f t="shared" si="1995"/>
        <v>0</v>
      </c>
    </row>
    <row r="688" spans="1:31" hidden="1" outlineLevel="2" x14ac:dyDescent="0.2">
      <c r="A688" t="str">
        <f ca="1">Language!A$534</f>
        <v xml:space="preserve">    цена без НДС и акцизов</v>
      </c>
      <c r="B688" s="36" t="str">
        <f ca="1">Language!A$538</f>
        <v>Адвалорные</v>
      </c>
      <c r="C688" s="36" t="str">
        <f ca="1">Language!A$539</f>
        <v>Твердые</v>
      </c>
      <c r="D688" s="46" t="s">
        <v>2429</v>
      </c>
      <c r="F688" s="82">
        <f t="shared" ref="F688:AC688" si="1996">(F685/(1+$B691)-$C689)/(1+$B689)</f>
        <v>0</v>
      </c>
      <c r="G688" s="82">
        <f t="shared" si="1996"/>
        <v>0</v>
      </c>
      <c r="H688" s="82">
        <f t="shared" si="1996"/>
        <v>0</v>
      </c>
      <c r="I688" s="82">
        <f t="shared" si="1996"/>
        <v>0</v>
      </c>
      <c r="J688" s="82">
        <f t="shared" si="1996"/>
        <v>0</v>
      </c>
      <c r="K688" s="82">
        <f t="shared" si="1996"/>
        <v>0</v>
      </c>
      <c r="L688" s="82">
        <f t="shared" si="1996"/>
        <v>21.553160407801261</v>
      </c>
      <c r="M688" s="82">
        <f t="shared" si="1996"/>
        <v>21.756598703636698</v>
      </c>
      <c r="N688" s="82">
        <f t="shared" si="1996"/>
        <v>21.739266573339638</v>
      </c>
      <c r="O688" s="82">
        <f t="shared" si="1996"/>
        <v>21.803949462157622</v>
      </c>
      <c r="P688" s="82">
        <f t="shared" si="1996"/>
        <v>21.803949462157622</v>
      </c>
      <c r="Q688" s="82">
        <f t="shared" si="1996"/>
        <v>21.803949462157622</v>
      </c>
      <c r="R688" s="82">
        <f t="shared" si="1996"/>
        <v>21.803949462157622</v>
      </c>
      <c r="S688" s="82">
        <f t="shared" si="1996"/>
        <v>21.803949462157622</v>
      </c>
      <c r="T688" s="82">
        <f t="shared" si="1996"/>
        <v>21.803949462157622</v>
      </c>
      <c r="U688" s="82">
        <f t="shared" si="1996"/>
        <v>21.803949462157622</v>
      </c>
      <c r="V688" s="82">
        <f t="shared" si="1996"/>
        <v>21.803949462157622</v>
      </c>
      <c r="W688" s="82">
        <f t="shared" si="1996"/>
        <v>21.803949462157622</v>
      </c>
      <c r="X688" s="82">
        <f t="shared" si="1996"/>
        <v>21.803949462157622</v>
      </c>
      <c r="Y688" s="82">
        <f t="shared" si="1996"/>
        <v>21.803949462157622</v>
      </c>
      <c r="Z688" s="82">
        <f t="shared" si="1996"/>
        <v>21.803949462157622</v>
      </c>
      <c r="AA688" s="82">
        <f t="shared" si="1996"/>
        <v>21.803949462157622</v>
      </c>
      <c r="AB688" s="82">
        <f t="shared" si="1996"/>
        <v>21.803949462157622</v>
      </c>
      <c r="AC688" s="82">
        <f t="shared" si="1996"/>
        <v>21.803949462157622</v>
      </c>
    </row>
    <row r="689" spans="1:31" hidden="1" outlineLevel="2" x14ac:dyDescent="0.2">
      <c r="A689" t="str">
        <f ca="1">Language!A$535</f>
        <v xml:space="preserve">    акцизы</v>
      </c>
      <c r="B689" s="282">
        <v>0</v>
      </c>
      <c r="C689" s="284">
        <v>0</v>
      </c>
      <c r="D689" s="46" t="s">
        <v>2429</v>
      </c>
      <c r="F689" s="82">
        <f t="shared" ref="F689:AC689" si="1997">F688*$B689+$C689</f>
        <v>0</v>
      </c>
      <c r="G689" s="82">
        <f t="shared" si="1997"/>
        <v>0</v>
      </c>
      <c r="H689" s="82">
        <f t="shared" si="1997"/>
        <v>0</v>
      </c>
      <c r="I689" s="82">
        <f t="shared" si="1997"/>
        <v>0</v>
      </c>
      <c r="J689" s="82">
        <f t="shared" si="1997"/>
        <v>0</v>
      </c>
      <c r="K689" s="82">
        <f t="shared" si="1997"/>
        <v>0</v>
      </c>
      <c r="L689" s="82">
        <f t="shared" si="1997"/>
        <v>0</v>
      </c>
      <c r="M689" s="82">
        <f t="shared" si="1997"/>
        <v>0</v>
      </c>
      <c r="N689" s="82">
        <f t="shared" si="1997"/>
        <v>0</v>
      </c>
      <c r="O689" s="82">
        <f t="shared" si="1997"/>
        <v>0</v>
      </c>
      <c r="P689" s="82">
        <f t="shared" si="1997"/>
        <v>0</v>
      </c>
      <c r="Q689" s="82">
        <f t="shared" si="1997"/>
        <v>0</v>
      </c>
      <c r="R689" s="82">
        <f t="shared" si="1997"/>
        <v>0</v>
      </c>
      <c r="S689" s="82">
        <f t="shared" si="1997"/>
        <v>0</v>
      </c>
      <c r="T689" s="82">
        <f t="shared" si="1997"/>
        <v>0</v>
      </c>
      <c r="U689" s="82">
        <f t="shared" si="1997"/>
        <v>0</v>
      </c>
      <c r="V689" s="82">
        <f t="shared" si="1997"/>
        <v>0</v>
      </c>
      <c r="W689" s="82">
        <f t="shared" si="1997"/>
        <v>0</v>
      </c>
      <c r="X689" s="82">
        <f t="shared" si="1997"/>
        <v>0</v>
      </c>
      <c r="Y689" s="82">
        <f t="shared" si="1997"/>
        <v>0</v>
      </c>
      <c r="Z689" s="82">
        <f t="shared" si="1997"/>
        <v>0</v>
      </c>
      <c r="AA689" s="82">
        <f t="shared" si="1997"/>
        <v>0</v>
      </c>
      <c r="AB689" s="82">
        <f t="shared" si="1997"/>
        <v>0</v>
      </c>
      <c r="AC689" s="82">
        <f t="shared" si="1997"/>
        <v>0</v>
      </c>
    </row>
    <row r="690" spans="1:31" hidden="1" outlineLevel="2" x14ac:dyDescent="0.2">
      <c r="A690" t="str">
        <f ca="1">Language!A$536</f>
        <v xml:space="preserve">    налог с продаж</v>
      </c>
      <c r="B690" s="283">
        <v>0</v>
      </c>
      <c r="C690" s="80" t="str">
        <f ca="1">CHOOSE(B685,CUR_Main,CUR_Foreign)</f>
        <v>тыс. EUR</v>
      </c>
      <c r="D690" s="46" t="s">
        <v>2429</v>
      </c>
      <c r="F690" s="82">
        <f t="shared" ref="F690:AC690" si="1998">(F688+F689)*$B690</f>
        <v>0</v>
      </c>
      <c r="G690" s="82">
        <f t="shared" si="1998"/>
        <v>0</v>
      </c>
      <c r="H690" s="82">
        <f t="shared" si="1998"/>
        <v>0</v>
      </c>
      <c r="I690" s="82">
        <f t="shared" si="1998"/>
        <v>0</v>
      </c>
      <c r="J690" s="82">
        <f t="shared" si="1998"/>
        <v>0</v>
      </c>
      <c r="K690" s="82">
        <f t="shared" si="1998"/>
        <v>0</v>
      </c>
      <c r="L690" s="82">
        <f t="shared" si="1998"/>
        <v>0</v>
      </c>
      <c r="M690" s="82">
        <f t="shared" si="1998"/>
        <v>0</v>
      </c>
      <c r="N690" s="82">
        <f t="shared" si="1998"/>
        <v>0</v>
      </c>
      <c r="O690" s="82">
        <f t="shared" si="1998"/>
        <v>0</v>
      </c>
      <c r="P690" s="82">
        <f t="shared" si="1998"/>
        <v>0</v>
      </c>
      <c r="Q690" s="82">
        <f t="shared" si="1998"/>
        <v>0</v>
      </c>
      <c r="R690" s="82">
        <f t="shared" si="1998"/>
        <v>0</v>
      </c>
      <c r="S690" s="82">
        <f t="shared" si="1998"/>
        <v>0</v>
      </c>
      <c r="T690" s="82">
        <f t="shared" si="1998"/>
        <v>0</v>
      </c>
      <c r="U690" s="82">
        <f t="shared" si="1998"/>
        <v>0</v>
      </c>
      <c r="V690" s="82">
        <f t="shared" si="1998"/>
        <v>0</v>
      </c>
      <c r="W690" s="82">
        <f t="shared" si="1998"/>
        <v>0</v>
      </c>
      <c r="X690" s="82">
        <f t="shared" si="1998"/>
        <v>0</v>
      </c>
      <c r="Y690" s="82">
        <f t="shared" si="1998"/>
        <v>0</v>
      </c>
      <c r="Z690" s="82">
        <f t="shared" si="1998"/>
        <v>0</v>
      </c>
      <c r="AA690" s="82">
        <f t="shared" si="1998"/>
        <v>0</v>
      </c>
      <c r="AB690" s="82">
        <f t="shared" si="1998"/>
        <v>0</v>
      </c>
      <c r="AC690" s="82">
        <f t="shared" si="1998"/>
        <v>0</v>
      </c>
    </row>
    <row r="691" spans="1:31" hidden="1" outlineLevel="2" x14ac:dyDescent="0.2">
      <c r="A691" t="str">
        <f ca="1">Language!A$537</f>
        <v xml:space="preserve">    НДС</v>
      </c>
      <c r="B691" s="283">
        <v>0</v>
      </c>
      <c r="C691" s="81" t="str">
        <f ca="1">CHOOSE(B685,CUR_Main,CUR_Foreign)</f>
        <v>тыс. EUR</v>
      </c>
      <c r="D691" s="46" t="s">
        <v>2429</v>
      </c>
      <c r="F691" s="82">
        <f t="shared" ref="F691:AC691" si="1999">(F688+F689)*$B691</f>
        <v>0</v>
      </c>
      <c r="G691" s="82">
        <f t="shared" si="1999"/>
        <v>0</v>
      </c>
      <c r="H691" s="82">
        <f t="shared" si="1999"/>
        <v>0</v>
      </c>
      <c r="I691" s="82">
        <f t="shared" si="1999"/>
        <v>0</v>
      </c>
      <c r="J691" s="82">
        <f t="shared" si="1999"/>
        <v>0</v>
      </c>
      <c r="K691" s="82">
        <f t="shared" si="1999"/>
        <v>0</v>
      </c>
      <c r="L691" s="82">
        <f t="shared" si="1999"/>
        <v>0</v>
      </c>
      <c r="M691" s="82">
        <f t="shared" si="1999"/>
        <v>0</v>
      </c>
      <c r="N691" s="82">
        <f t="shared" si="1999"/>
        <v>0</v>
      </c>
      <c r="O691" s="82">
        <f t="shared" si="1999"/>
        <v>0</v>
      </c>
      <c r="P691" s="82">
        <f t="shared" si="1999"/>
        <v>0</v>
      </c>
      <c r="Q691" s="82">
        <f t="shared" si="1999"/>
        <v>0</v>
      </c>
      <c r="R691" s="82">
        <f t="shared" si="1999"/>
        <v>0</v>
      </c>
      <c r="S691" s="82">
        <f t="shared" si="1999"/>
        <v>0</v>
      </c>
      <c r="T691" s="82">
        <f t="shared" si="1999"/>
        <v>0</v>
      </c>
      <c r="U691" s="82">
        <f t="shared" si="1999"/>
        <v>0</v>
      </c>
      <c r="V691" s="82">
        <f t="shared" si="1999"/>
        <v>0</v>
      </c>
      <c r="W691" s="82">
        <f t="shared" si="1999"/>
        <v>0</v>
      </c>
      <c r="X691" s="82">
        <f t="shared" si="1999"/>
        <v>0</v>
      </c>
      <c r="Y691" s="82">
        <f t="shared" si="1999"/>
        <v>0</v>
      </c>
      <c r="Z691" s="82">
        <f t="shared" si="1999"/>
        <v>0</v>
      </c>
      <c r="AA691" s="82">
        <f t="shared" si="1999"/>
        <v>0</v>
      </c>
      <c r="AB691" s="82">
        <f t="shared" si="1999"/>
        <v>0</v>
      </c>
      <c r="AC691" s="82">
        <f t="shared" si="1999"/>
        <v>0</v>
      </c>
    </row>
    <row r="692" spans="1:31" outlineLevel="1" x14ac:dyDescent="0.2"/>
    <row r="693" spans="1:31" outlineLevel="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4"/>
    </row>
    <row r="694" spans="1:31" outlineLevel="1" x14ac:dyDescent="0.2">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0"/>
    </row>
    <row r="695" spans="1:31" s="4" customFormat="1" ht="15.95" customHeight="1" thickBot="1" x14ac:dyDescent="0.25">
      <c r="A695" s="165" t="str">
        <f ca="1">Language!A540</f>
        <v xml:space="preserve">         ДОХОДЫ ОТ ПРОДАЖ</v>
      </c>
      <c r="B695" s="165"/>
      <c r="C695" s="165"/>
      <c r="D695" s="165"/>
      <c r="E695" s="165"/>
      <c r="F695" s="177" t="str">
        <f t="shared" ref="F695:AC695" ca="1" si="2000">PeriodTitle</f>
        <v>1 кв. 2016</v>
      </c>
      <c r="G695" s="177" t="str">
        <f t="shared" ca="1" si="2000"/>
        <v>2 кв. 2016</v>
      </c>
      <c r="H695" s="177" t="str">
        <f t="shared" ca="1" si="2000"/>
        <v>3 кв. 2016</v>
      </c>
      <c r="I695" s="177" t="str">
        <f t="shared" ca="1" si="2000"/>
        <v>4 кв. 2016</v>
      </c>
      <c r="J695" s="177" t="str">
        <f t="shared" ca="1" si="2000"/>
        <v>1 кв. 2017</v>
      </c>
      <c r="K695" s="177" t="str">
        <f t="shared" ca="1" si="2000"/>
        <v>2 кв. 2017</v>
      </c>
      <c r="L695" s="177" t="str">
        <f t="shared" ca="1" si="2000"/>
        <v>3 кв. 2017</v>
      </c>
      <c r="M695" s="177" t="str">
        <f t="shared" ca="1" si="2000"/>
        <v>4 кв. 2017</v>
      </c>
      <c r="N695" s="177" t="str">
        <f t="shared" ca="1" si="2000"/>
        <v>1 кв. 2018</v>
      </c>
      <c r="O695" s="177" t="str">
        <f t="shared" ca="1" si="2000"/>
        <v>2 кв. 2018</v>
      </c>
      <c r="P695" s="177" t="str">
        <f t="shared" ca="1" si="2000"/>
        <v>3 кв. 2018</v>
      </c>
      <c r="Q695" s="177" t="str">
        <f t="shared" ca="1" si="2000"/>
        <v>4 кв. 2018</v>
      </c>
      <c r="R695" s="177" t="str">
        <f t="shared" ca="1" si="2000"/>
        <v>1 кв. 2019</v>
      </c>
      <c r="S695" s="177" t="str">
        <f t="shared" ca="1" si="2000"/>
        <v>2 кв. 2019</v>
      </c>
      <c r="T695" s="177" t="str">
        <f t="shared" ca="1" si="2000"/>
        <v>3 кв. 2019</v>
      </c>
      <c r="U695" s="177" t="str">
        <f t="shared" ca="1" si="2000"/>
        <v>4 кв. 2019</v>
      </c>
      <c r="V695" s="177" t="str">
        <f t="shared" ca="1" si="2000"/>
        <v>1 кв. 2020</v>
      </c>
      <c r="W695" s="177" t="str">
        <f t="shared" ca="1" si="2000"/>
        <v>2 кв. 2020</v>
      </c>
      <c r="X695" s="177" t="str">
        <f t="shared" ca="1" si="2000"/>
        <v>3 кв. 2020</v>
      </c>
      <c r="Y695" s="177" t="str">
        <f t="shared" ca="1" si="2000"/>
        <v>4 кв. 2020</v>
      </c>
      <c r="Z695" s="177" t="str">
        <f t="shared" ca="1" si="2000"/>
        <v>1 кв. 2021</v>
      </c>
      <c r="AA695" s="177" t="str">
        <f t="shared" ca="1" si="2000"/>
        <v>2 кв. 2021</v>
      </c>
      <c r="AB695" s="177" t="str">
        <f t="shared" ca="1" si="2000"/>
        <v>3 кв. 2021</v>
      </c>
      <c r="AC695" s="177" t="str">
        <f t="shared" ca="1" si="2000"/>
        <v>4 кв. 2021</v>
      </c>
      <c r="AD695" s="165"/>
      <c r="AE695" s="194" t="str">
        <f ca="1">Language!$A$372</f>
        <v>ИТОГО</v>
      </c>
    </row>
    <row r="696" spans="1:31" ht="12" outlineLevel="1" thickTop="1" x14ac:dyDescent="0.2">
      <c r="D696">
        <v>0</v>
      </c>
      <c r="E696">
        <v>8</v>
      </c>
    </row>
    <row r="697" spans="1:31" outlineLevel="1" collapsed="1" x14ac:dyDescent="0.2">
      <c r="A697" t="str">
        <f>A664</f>
        <v>Долота</v>
      </c>
      <c r="C697" s="5" t="str">
        <f ca="1">CHOOSE(B678,CUR_Main,CUR_Foreign)</f>
        <v>тыс. EUR</v>
      </c>
      <c r="D697" s="46" t="str">
        <f>TEXT(B678,"0")&amp;"_01"</f>
        <v>1_01</v>
      </c>
      <c r="F697" s="83">
        <f t="shared" ref="F697:T697" si="2001">F698+F671*F684</f>
        <v>0</v>
      </c>
      <c r="G697" s="83">
        <f t="shared" si="2001"/>
        <v>0</v>
      </c>
      <c r="H697" s="83">
        <f t="shared" si="2001"/>
        <v>0</v>
      </c>
      <c r="I697" s="83">
        <f t="shared" si="2001"/>
        <v>0</v>
      </c>
      <c r="J697" s="83">
        <f t="shared" si="2001"/>
        <v>0</v>
      </c>
      <c r="K697" s="83">
        <f t="shared" si="2001"/>
        <v>714.56092469127964</v>
      </c>
      <c r="L697" s="83">
        <f t="shared" si="2001"/>
        <v>1157.8325765441614</v>
      </c>
      <c r="M697" s="83">
        <f t="shared" si="2001"/>
        <v>1727.3957628387241</v>
      </c>
      <c r="N697" s="83">
        <f t="shared" si="2001"/>
        <v>2292.4740814594084</v>
      </c>
      <c r="O697" s="83">
        <f t="shared" si="2001"/>
        <v>2292.4740814594084</v>
      </c>
      <c r="P697" s="83">
        <f t="shared" si="2001"/>
        <v>2292.4740814594084</v>
      </c>
      <c r="Q697" s="83">
        <f t="shared" si="2001"/>
        <v>2292.4740814594084</v>
      </c>
      <c r="R697" s="83">
        <f t="shared" si="2001"/>
        <v>2292.4740814594084</v>
      </c>
      <c r="S697" s="83">
        <f t="shared" si="2001"/>
        <v>2292.4740814594084</v>
      </c>
      <c r="T697" s="83">
        <f t="shared" si="2001"/>
        <v>2292.4740814594084</v>
      </c>
      <c r="U697" s="83">
        <f t="shared" ref="U697" si="2002">U698+U671*U684</f>
        <v>2292.4740814594084</v>
      </c>
      <c r="V697" s="83">
        <f t="shared" ref="V697" si="2003">V698+V671*V684</f>
        <v>2292.4740814594084</v>
      </c>
      <c r="W697" s="83">
        <f t="shared" ref="W697" si="2004">W698+W671*W684</f>
        <v>2292.4740814594084</v>
      </c>
      <c r="X697" s="83">
        <f t="shared" ref="X697" si="2005">X698+X671*X684</f>
        <v>2292.4740814594084</v>
      </c>
      <c r="Y697" s="83">
        <f t="shared" ref="Y697:AC697" si="2006">Y698+Y671*Y684</f>
        <v>2292.4740814594084</v>
      </c>
      <c r="Z697" s="83">
        <f t="shared" si="2006"/>
        <v>2292.4740814594084</v>
      </c>
      <c r="AA697" s="83">
        <f t="shared" si="2006"/>
        <v>2292.4740814594084</v>
      </c>
      <c r="AB697" s="83">
        <f t="shared" si="2006"/>
        <v>2292.4740814594084</v>
      </c>
      <c r="AC697" s="83">
        <f t="shared" si="2006"/>
        <v>2292.4740814594084</v>
      </c>
      <c r="AE697" s="57">
        <f t="shared" ref="AE697:AE702" si="2007">SUM(F697:AC697)</f>
        <v>40279.374567424704</v>
      </c>
    </row>
    <row r="698" spans="1:31" hidden="1" outlineLevel="2" x14ac:dyDescent="0.2">
      <c r="A698" t="str">
        <f ca="1">Language!A$541</f>
        <v xml:space="preserve">    к оплате от покупателей (без НДС)</v>
      </c>
      <c r="C698" s="5" t="str">
        <f ca="1">CHOOSE(B678,CUR_Main,CUR_Foreign)</f>
        <v>тыс. EUR</v>
      </c>
      <c r="D698" t="str">
        <f>TEXT(B678,"0")&amp;"_02"</f>
        <v>1_02</v>
      </c>
      <c r="F698" s="53">
        <f t="shared" ref="F698:T698" si="2008">F671*(F681+F682)</f>
        <v>0</v>
      </c>
      <c r="G698" s="53">
        <f t="shared" si="2008"/>
        <v>0</v>
      </c>
      <c r="H698" s="53">
        <f t="shared" si="2008"/>
        <v>0</v>
      </c>
      <c r="I698" s="53">
        <f t="shared" si="2008"/>
        <v>0</v>
      </c>
      <c r="J698" s="53">
        <f t="shared" si="2008"/>
        <v>0</v>
      </c>
      <c r="K698" s="53">
        <f t="shared" si="2008"/>
        <v>714.56092469127964</v>
      </c>
      <c r="L698" s="53">
        <f t="shared" si="2008"/>
        <v>1157.8325765441614</v>
      </c>
      <c r="M698" s="53">
        <f t="shared" si="2008"/>
        <v>1727.3957628387241</v>
      </c>
      <c r="N698" s="53">
        <f t="shared" si="2008"/>
        <v>2292.4740814594084</v>
      </c>
      <c r="O698" s="53">
        <f t="shared" si="2008"/>
        <v>2292.4740814594084</v>
      </c>
      <c r="P698" s="53">
        <f t="shared" si="2008"/>
        <v>2292.4740814594084</v>
      </c>
      <c r="Q698" s="53">
        <f t="shared" si="2008"/>
        <v>2292.4740814594084</v>
      </c>
      <c r="R698" s="53">
        <f t="shared" si="2008"/>
        <v>2292.4740814594084</v>
      </c>
      <c r="S698" s="53">
        <f t="shared" si="2008"/>
        <v>2292.4740814594084</v>
      </c>
      <c r="T698" s="53">
        <f t="shared" si="2008"/>
        <v>2292.4740814594084</v>
      </c>
      <c r="U698" s="53">
        <f t="shared" ref="U698" si="2009">U671*(U681+U682)</f>
        <v>2292.4740814594084</v>
      </c>
      <c r="V698" s="53">
        <f t="shared" ref="V698" si="2010">V671*(V681+V682)</f>
        <v>2292.4740814594084</v>
      </c>
      <c r="W698" s="53">
        <f t="shared" ref="W698" si="2011">W671*(W681+W682)</f>
        <v>2292.4740814594084</v>
      </c>
      <c r="X698" s="53">
        <f t="shared" ref="X698" si="2012">X671*(X681+X682)</f>
        <v>2292.4740814594084</v>
      </c>
      <c r="Y698" s="53">
        <f t="shared" ref="Y698:AC698" si="2013">Y671*(Y681+Y682)</f>
        <v>2292.4740814594084</v>
      </c>
      <c r="Z698" s="53">
        <f t="shared" si="2013"/>
        <v>2292.4740814594084</v>
      </c>
      <c r="AA698" s="53">
        <f t="shared" si="2013"/>
        <v>2292.4740814594084</v>
      </c>
      <c r="AB698" s="53">
        <f t="shared" si="2013"/>
        <v>2292.4740814594084</v>
      </c>
      <c r="AC698" s="53">
        <f t="shared" si="2013"/>
        <v>2292.4740814594084</v>
      </c>
      <c r="AE698" s="54">
        <f t="shared" si="2007"/>
        <v>40279.374567424704</v>
      </c>
    </row>
    <row r="699" spans="1:31" hidden="1" outlineLevel="2" x14ac:dyDescent="0.2">
      <c r="A699" t="str">
        <f ca="1">Language!A$542</f>
        <v xml:space="preserve">    в т.ч. акцизов, налогов и пошлин</v>
      </c>
      <c r="C699" s="5" t="str">
        <f ca="1">CHOOSE(B678,CUR_Main,CUR_Foreign)</f>
        <v>тыс. EUR</v>
      </c>
      <c r="D699" t="str">
        <f>TEXT(B678,"0")&amp;"_03"</f>
        <v>1_03</v>
      </c>
      <c r="F699" s="53">
        <f t="shared" ref="F699:T699" si="2014">F671*(F682+F683)</f>
        <v>0</v>
      </c>
      <c r="G699" s="53">
        <f t="shared" si="2014"/>
        <v>0</v>
      </c>
      <c r="H699" s="53">
        <f t="shared" si="2014"/>
        <v>0</v>
      </c>
      <c r="I699" s="53">
        <f t="shared" si="2014"/>
        <v>0</v>
      </c>
      <c r="J699" s="53">
        <f t="shared" si="2014"/>
        <v>0</v>
      </c>
      <c r="K699" s="53">
        <f t="shared" si="2014"/>
        <v>0</v>
      </c>
      <c r="L699" s="53">
        <f t="shared" si="2014"/>
        <v>0</v>
      </c>
      <c r="M699" s="53">
        <f t="shared" si="2014"/>
        <v>0</v>
      </c>
      <c r="N699" s="53">
        <f t="shared" si="2014"/>
        <v>0</v>
      </c>
      <c r="O699" s="53">
        <f t="shared" si="2014"/>
        <v>0</v>
      </c>
      <c r="P699" s="53">
        <f t="shared" si="2014"/>
        <v>0</v>
      </c>
      <c r="Q699" s="53">
        <f t="shared" si="2014"/>
        <v>0</v>
      </c>
      <c r="R699" s="53">
        <f t="shared" si="2014"/>
        <v>0</v>
      </c>
      <c r="S699" s="53">
        <f t="shared" si="2014"/>
        <v>0</v>
      </c>
      <c r="T699" s="53">
        <f t="shared" si="2014"/>
        <v>0</v>
      </c>
      <c r="U699" s="53">
        <f t="shared" ref="U699" si="2015">U671*(U682+U683)</f>
        <v>0</v>
      </c>
      <c r="V699" s="53">
        <f t="shared" ref="V699" si="2016">V671*(V682+V683)</f>
        <v>0</v>
      </c>
      <c r="W699" s="53">
        <f t="shared" ref="W699" si="2017">W671*(W682+W683)</f>
        <v>0</v>
      </c>
      <c r="X699" s="53">
        <f t="shared" ref="X699" si="2018">X671*(X682+X683)</f>
        <v>0</v>
      </c>
      <c r="Y699" s="53">
        <f t="shared" ref="Y699:AC699" si="2019">Y671*(Y682+Y683)</f>
        <v>0</v>
      </c>
      <c r="Z699" s="53">
        <f t="shared" si="2019"/>
        <v>0</v>
      </c>
      <c r="AA699" s="53">
        <f t="shared" si="2019"/>
        <v>0</v>
      </c>
      <c r="AB699" s="53">
        <f t="shared" si="2019"/>
        <v>0</v>
      </c>
      <c r="AC699" s="53">
        <f t="shared" si="2019"/>
        <v>0</v>
      </c>
      <c r="AE699" s="54">
        <f t="shared" si="2007"/>
        <v>0</v>
      </c>
    </row>
    <row r="700" spans="1:31" hidden="1" outlineLevel="2" x14ac:dyDescent="0.2">
      <c r="A700" t="str">
        <f ca="1">Language!A$543</f>
        <v xml:space="preserve">    НДС на поставленную продукцию</v>
      </c>
      <c r="C700" s="5" t="str">
        <f ca="1">CHOOSE(B678,CUR_Main,CUR_Foreign)</f>
        <v>тыс. EUR</v>
      </c>
      <c r="D700" t="str">
        <f>TEXT(B678,"0")&amp;"_08"</f>
        <v>1_08</v>
      </c>
      <c r="F700" s="84">
        <f t="shared" ref="F700:Y700" si="2020">(F698-MAX(E704-F704,0)+MAX(F704-E704,0))*$B684</f>
        <v>0</v>
      </c>
      <c r="G700" s="84">
        <f t="shared" si="2020"/>
        <v>0</v>
      </c>
      <c r="H700" s="84">
        <f t="shared" si="2020"/>
        <v>0</v>
      </c>
      <c r="I700" s="84">
        <f t="shared" si="2020"/>
        <v>0</v>
      </c>
      <c r="J700" s="84">
        <f t="shared" si="2020"/>
        <v>0</v>
      </c>
      <c r="K700" s="84">
        <f t="shared" si="2020"/>
        <v>0</v>
      </c>
      <c r="L700" s="84">
        <f t="shared" si="2020"/>
        <v>0</v>
      </c>
      <c r="M700" s="84">
        <f t="shared" si="2020"/>
        <v>0</v>
      </c>
      <c r="N700" s="84">
        <f t="shared" si="2020"/>
        <v>0</v>
      </c>
      <c r="O700" s="84">
        <f t="shared" si="2020"/>
        <v>0</v>
      </c>
      <c r="P700" s="84">
        <f t="shared" si="2020"/>
        <v>0</v>
      </c>
      <c r="Q700" s="84">
        <f t="shared" si="2020"/>
        <v>0</v>
      </c>
      <c r="R700" s="84">
        <f t="shared" si="2020"/>
        <v>0</v>
      </c>
      <c r="S700" s="84">
        <f t="shared" si="2020"/>
        <v>0</v>
      </c>
      <c r="T700" s="84">
        <f t="shared" si="2020"/>
        <v>0</v>
      </c>
      <c r="U700" s="84">
        <f t="shared" si="2020"/>
        <v>0</v>
      </c>
      <c r="V700" s="84">
        <f t="shared" si="2020"/>
        <v>0</v>
      </c>
      <c r="W700" s="84">
        <f t="shared" si="2020"/>
        <v>0</v>
      </c>
      <c r="X700" s="84">
        <f t="shared" si="2020"/>
        <v>0</v>
      </c>
      <c r="Y700" s="84">
        <f t="shared" si="2020"/>
        <v>0</v>
      </c>
      <c r="Z700" s="84">
        <f t="shared" ref="Z700" si="2021">(Z698-MAX(Y704-Z704,0)+MAX(Z704-Y704,0))*$B684</f>
        <v>0</v>
      </c>
      <c r="AA700" s="84">
        <f t="shared" ref="AA700" si="2022">(AA698-MAX(Z704-AA704,0)+MAX(AA704-Z704,0))*$B684</f>
        <v>0</v>
      </c>
      <c r="AB700" s="84">
        <f t="shared" ref="AB700" si="2023">(AB698-MAX(AA704-AB704,0)+MAX(AB704-AA704,0))*$B684</f>
        <v>0</v>
      </c>
      <c r="AC700" s="84">
        <f t="shared" ref="AC700" si="2024">(AC698-MAX(AB704-AC704,0)+MAX(AC704-AB704,0))*$B684</f>
        <v>0</v>
      </c>
      <c r="AE700" s="54">
        <f t="shared" si="2007"/>
        <v>0</v>
      </c>
    </row>
    <row r="701" spans="1:31" hidden="1" outlineLevel="2" x14ac:dyDescent="0.2">
      <c r="A701" t="str">
        <f ca="1">Language!A$544</f>
        <v xml:space="preserve">    график оплаты (без НДС)</v>
      </c>
      <c r="C701" s="5" t="str">
        <f ca="1">CHOOSE(B678,CUR_Main,CUR_Foreign)</f>
        <v>тыс. EUR</v>
      </c>
      <c r="D701" t="str">
        <f>TEXT(B678,"0")&amp;"_04"</f>
        <v>1_04</v>
      </c>
      <c r="F701" s="271">
        <f t="shared" ref="F701:T701" si="2025">F698</f>
        <v>0</v>
      </c>
      <c r="G701" s="271">
        <f t="shared" si="2025"/>
        <v>0</v>
      </c>
      <c r="H701" s="271">
        <f t="shared" si="2025"/>
        <v>0</v>
      </c>
      <c r="I701" s="271">
        <f t="shared" si="2025"/>
        <v>0</v>
      </c>
      <c r="J701" s="271">
        <f t="shared" si="2025"/>
        <v>0</v>
      </c>
      <c r="K701" s="271">
        <f t="shared" si="2025"/>
        <v>714.56092469127964</v>
      </c>
      <c r="L701" s="271">
        <f t="shared" si="2025"/>
        <v>1157.8325765441614</v>
      </c>
      <c r="M701" s="271">
        <f t="shared" si="2025"/>
        <v>1727.3957628387241</v>
      </c>
      <c r="N701" s="271">
        <f t="shared" si="2025"/>
        <v>2292.4740814594084</v>
      </c>
      <c r="O701" s="271">
        <f t="shared" si="2025"/>
        <v>2292.4740814594084</v>
      </c>
      <c r="P701" s="271">
        <f t="shared" si="2025"/>
        <v>2292.4740814594084</v>
      </c>
      <c r="Q701" s="271">
        <f t="shared" si="2025"/>
        <v>2292.4740814594084</v>
      </c>
      <c r="R701" s="271">
        <f t="shared" si="2025"/>
        <v>2292.4740814594084</v>
      </c>
      <c r="S701" s="271">
        <f t="shared" si="2025"/>
        <v>2292.4740814594084</v>
      </c>
      <c r="T701" s="271">
        <f t="shared" si="2025"/>
        <v>2292.4740814594084</v>
      </c>
      <c r="U701" s="271">
        <f t="shared" ref="U701" si="2026">U698</f>
        <v>2292.4740814594084</v>
      </c>
      <c r="V701" s="271">
        <f t="shared" ref="V701" si="2027">V698</f>
        <v>2292.4740814594084</v>
      </c>
      <c r="W701" s="271">
        <f t="shared" ref="W701" si="2028">W698</f>
        <v>2292.4740814594084</v>
      </c>
      <c r="X701" s="271">
        <f t="shared" ref="X701" si="2029">X698</f>
        <v>2292.4740814594084</v>
      </c>
      <c r="Y701" s="271">
        <f t="shared" ref="Y701:AC701" si="2030">Y698</f>
        <v>2292.4740814594084</v>
      </c>
      <c r="Z701" s="271">
        <f t="shared" si="2030"/>
        <v>2292.4740814594084</v>
      </c>
      <c r="AA701" s="271">
        <f t="shared" si="2030"/>
        <v>2292.4740814594084</v>
      </c>
      <c r="AB701" s="271">
        <f t="shared" si="2030"/>
        <v>2292.4740814594084</v>
      </c>
      <c r="AC701" s="271">
        <f t="shared" si="2030"/>
        <v>2292.4740814594084</v>
      </c>
      <c r="AE701" s="54">
        <f t="shared" si="2007"/>
        <v>40279.374567424704</v>
      </c>
    </row>
    <row r="702" spans="1:31" hidden="1" outlineLevel="2" x14ac:dyDescent="0.2">
      <c r="A702" t="str">
        <f ca="1">Language!A$545</f>
        <v xml:space="preserve">    полученный НДС</v>
      </c>
      <c r="C702" s="5" t="str">
        <f ca="1">CHOOSE(B678,CUR_Main,CUR_Foreign)</f>
        <v>тыс. EUR</v>
      </c>
      <c r="D702" t="str">
        <f>TEXT(B678,"0")&amp;"_05"</f>
        <v>1_05</v>
      </c>
      <c r="F702" s="84">
        <f t="shared" ref="F702:T702" si="2031">F701*$B684</f>
        <v>0</v>
      </c>
      <c r="G702" s="84">
        <f t="shared" si="2031"/>
        <v>0</v>
      </c>
      <c r="H702" s="84">
        <f t="shared" si="2031"/>
        <v>0</v>
      </c>
      <c r="I702" s="84">
        <f t="shared" si="2031"/>
        <v>0</v>
      </c>
      <c r="J702" s="84">
        <f t="shared" si="2031"/>
        <v>0</v>
      </c>
      <c r="K702" s="84">
        <f t="shared" si="2031"/>
        <v>0</v>
      </c>
      <c r="L702" s="84">
        <f t="shared" si="2031"/>
        <v>0</v>
      </c>
      <c r="M702" s="84">
        <f t="shared" si="2031"/>
        <v>0</v>
      </c>
      <c r="N702" s="84">
        <f t="shared" si="2031"/>
        <v>0</v>
      </c>
      <c r="O702" s="84">
        <f t="shared" si="2031"/>
        <v>0</v>
      </c>
      <c r="P702" s="84">
        <f t="shared" si="2031"/>
        <v>0</v>
      </c>
      <c r="Q702" s="84">
        <f t="shared" si="2031"/>
        <v>0</v>
      </c>
      <c r="R702" s="84">
        <f t="shared" si="2031"/>
        <v>0</v>
      </c>
      <c r="S702" s="84">
        <f t="shared" si="2031"/>
        <v>0</v>
      </c>
      <c r="T702" s="84">
        <f t="shared" si="2031"/>
        <v>0</v>
      </c>
      <c r="U702" s="84">
        <f t="shared" ref="U702" si="2032">U701*$B684</f>
        <v>0</v>
      </c>
      <c r="V702" s="84">
        <f t="shared" ref="V702" si="2033">V701*$B684</f>
        <v>0</v>
      </c>
      <c r="W702" s="84">
        <f t="shared" ref="W702" si="2034">W701*$B684</f>
        <v>0</v>
      </c>
      <c r="X702" s="84">
        <f t="shared" ref="X702" si="2035">X701*$B684</f>
        <v>0</v>
      </c>
      <c r="Y702" s="84">
        <f t="shared" ref="Y702:AC702" si="2036">Y701*$B684</f>
        <v>0</v>
      </c>
      <c r="Z702" s="84">
        <f t="shared" si="2036"/>
        <v>0</v>
      </c>
      <c r="AA702" s="84">
        <f t="shared" si="2036"/>
        <v>0</v>
      </c>
      <c r="AB702" s="84">
        <f t="shared" si="2036"/>
        <v>0</v>
      </c>
      <c r="AC702" s="84">
        <f t="shared" si="2036"/>
        <v>0</v>
      </c>
      <c r="AE702" s="54">
        <f t="shared" si="2007"/>
        <v>0</v>
      </c>
    </row>
    <row r="703" spans="1:31" hidden="1" outlineLevel="2" x14ac:dyDescent="0.2">
      <c r="A703" t="str">
        <f ca="1">Language!A$546</f>
        <v xml:space="preserve">    дебиторская задолженность</v>
      </c>
      <c r="C703" s="5" t="str">
        <f ca="1">CHOOSE(B678,CUR_Main,CUR_Foreign)</f>
        <v>тыс. EUR</v>
      </c>
      <c r="D703" t="str">
        <f>TEXT(B678,"0")&amp;"_06"&amp;";int_end"</f>
        <v>1_06;int_end</v>
      </c>
      <c r="F703" s="84">
        <f>IF(SUM($F697:F697)&gt;=0,MAX(SUM($F697:F697)-SUM($F701:F701)-SUM($F702:F702),0),MIN(SUM($F697:F697)-SUM($F701:F701)-SUM($F702:F702),0))</f>
        <v>0</v>
      </c>
      <c r="G703" s="84">
        <f>IF(SUM($F697:G697)&gt;=0,MAX(SUM($F697:G697)-SUM($F701:G701)-SUM($F702:G702),0),MIN(SUM($F697:G697)-SUM($F701:G701)-SUM($F702:G702),0))</f>
        <v>0</v>
      </c>
      <c r="H703" s="84">
        <f>IF(SUM($F697:H697)&gt;=0,MAX(SUM($F697:H697)-SUM($F701:H701)-SUM($F702:H702),0),MIN(SUM($F697:H697)-SUM($F701:H701)-SUM($F702:H702),0))</f>
        <v>0</v>
      </c>
      <c r="I703" s="84">
        <f>IF(SUM($F697:I697)&gt;=0,MAX(SUM($F697:I697)-SUM($F701:I701)-SUM($F702:I702),0),MIN(SUM($F697:I697)-SUM($F701:I701)-SUM($F702:I702),0))</f>
        <v>0</v>
      </c>
      <c r="J703" s="84">
        <f>IF(SUM($F697:J697)&gt;=0,MAX(SUM($F697:J697)-SUM($F701:J701)-SUM($F702:J702),0),MIN(SUM($F697:J697)-SUM($F701:J701)-SUM($F702:J702),0))</f>
        <v>0</v>
      </c>
      <c r="K703" s="84">
        <f>IF(SUM($F697:K697)&gt;=0,MAX(SUM($F697:K697)-SUM($F701:K701)-SUM($F702:K702),0),MIN(SUM($F697:K697)-SUM($F701:K701)-SUM($F702:K702),0))</f>
        <v>0</v>
      </c>
      <c r="L703" s="84">
        <f>IF(SUM($F697:L697)&gt;=0,MAX(SUM($F697:L697)-SUM($F701:L701)-SUM($F702:L702),0),MIN(SUM($F697:L697)-SUM($F701:L701)-SUM($F702:L702),0))</f>
        <v>0</v>
      </c>
      <c r="M703" s="84">
        <f>IF(SUM($F697:M697)&gt;=0,MAX(SUM($F697:M697)-SUM($F701:M701)-SUM($F702:M702),0),MIN(SUM($F697:M697)-SUM($F701:M701)-SUM($F702:M702),0))</f>
        <v>0</v>
      </c>
      <c r="N703" s="84">
        <f>IF(SUM($F697:N697)&gt;=0,MAX(SUM($F697:N697)-SUM($F701:N701)-SUM($F702:N702),0),MIN(SUM($F697:N697)-SUM($F701:N701)-SUM($F702:N702),0))</f>
        <v>0</v>
      </c>
      <c r="O703" s="84">
        <f>IF(SUM($F697:O697)&gt;=0,MAX(SUM($F697:O697)-SUM($F701:O701)-SUM($F702:O702),0),MIN(SUM($F697:O697)-SUM($F701:O701)-SUM($F702:O702),0))</f>
        <v>0</v>
      </c>
      <c r="P703" s="84">
        <f>IF(SUM($F697:P697)&gt;=0,MAX(SUM($F697:P697)-SUM($F701:P701)-SUM($F702:P702),0),MIN(SUM($F697:P697)-SUM($F701:P701)-SUM($F702:P702),0))</f>
        <v>0</v>
      </c>
      <c r="Q703" s="84">
        <f>IF(SUM($F697:Q697)&gt;=0,MAX(SUM($F697:Q697)-SUM($F701:Q701)-SUM($F702:Q702),0),MIN(SUM($F697:Q697)-SUM($F701:Q701)-SUM($F702:Q702),0))</f>
        <v>0</v>
      </c>
      <c r="R703" s="84">
        <f>IF(SUM($F697:R697)&gt;=0,MAX(SUM($F697:R697)-SUM($F701:R701)-SUM($F702:R702),0),MIN(SUM($F697:R697)-SUM($F701:R701)-SUM($F702:R702),0))</f>
        <v>0</v>
      </c>
      <c r="S703" s="84">
        <f>IF(SUM($F697:S697)&gt;=0,MAX(SUM($F697:S697)-SUM($F701:S701)-SUM($F702:S702),0),MIN(SUM($F697:S697)-SUM($F701:S701)-SUM($F702:S702),0))</f>
        <v>0</v>
      </c>
      <c r="T703" s="84">
        <f>IF(SUM($F697:T697)&gt;=0,MAX(SUM($F697:T697)-SUM($F701:T701)-SUM($F702:T702),0),MIN(SUM($F697:T697)-SUM($F701:T701)-SUM($F702:T702),0))</f>
        <v>0</v>
      </c>
      <c r="U703" s="84">
        <f>IF(SUM($F697:U697)&gt;=0,MAX(SUM($F697:U697)-SUM($F701:U701)-SUM($F702:U702),0),MIN(SUM($F697:U697)-SUM($F701:U701)-SUM($F702:U702),0))</f>
        <v>0</v>
      </c>
      <c r="V703" s="84">
        <f>IF(SUM($F697:V697)&gt;=0,MAX(SUM($F697:V697)-SUM($F701:V701)-SUM($F702:V702),0),MIN(SUM($F697:V697)-SUM($F701:V701)-SUM($F702:V702),0))</f>
        <v>0</v>
      </c>
      <c r="W703" s="84">
        <f>IF(SUM($F697:W697)&gt;=0,MAX(SUM($F697:W697)-SUM($F701:W701)-SUM($F702:W702),0),MIN(SUM($F697:W697)-SUM($F701:W701)-SUM($F702:W702),0))</f>
        <v>0</v>
      </c>
      <c r="X703" s="84">
        <f>IF(SUM($F697:X697)&gt;=0,MAX(SUM($F697:X697)-SUM($F701:X701)-SUM($F702:X702),0),MIN(SUM($F697:X697)-SUM($F701:X701)-SUM($F702:X702),0))</f>
        <v>0</v>
      </c>
      <c r="Y703" s="84">
        <f>IF(SUM($F697:Y697)&gt;=0,MAX(SUM($F697:Y697)-SUM($F701:Y701)-SUM($F702:Y702),0),MIN(SUM($F697:Y697)-SUM($F701:Y701)-SUM($F702:Y702),0))</f>
        <v>0</v>
      </c>
      <c r="Z703" s="84">
        <f>IF(SUM($F697:Z697)&gt;=0,MAX(SUM($F697:Z697)-SUM($F701:Z701)-SUM($F702:Z702),0),MIN(SUM($F697:Z697)-SUM($F701:Z701)-SUM($F702:Z702),0))</f>
        <v>0</v>
      </c>
      <c r="AA703" s="84">
        <f>IF(SUM($F697:AA697)&gt;=0,MAX(SUM($F697:AA697)-SUM($F701:AA701)-SUM($F702:AA702),0),MIN(SUM($F697:AA697)-SUM($F701:AA701)-SUM($F702:AA702),0))</f>
        <v>0</v>
      </c>
      <c r="AB703" s="84">
        <f>IF(SUM($F697:AB697)&gt;=0,MAX(SUM($F697:AB697)-SUM($F701:AB701)-SUM($F702:AB702),0),MIN(SUM($F697:AB697)-SUM($F701:AB701)-SUM($F702:AB702),0))</f>
        <v>0</v>
      </c>
      <c r="AC703" s="84">
        <f>IF(SUM($F697:AC697)&gt;=0,MAX(SUM($F697:AC697)-SUM($F701:AC701)-SUM($F702:AC702),0),MIN(SUM($F697:AC697)-SUM($F701:AC701)-SUM($F702:AC702),0))</f>
        <v>0</v>
      </c>
    </row>
    <row r="704" spans="1:31" hidden="1" outlineLevel="2" x14ac:dyDescent="0.2">
      <c r="A704" t="str">
        <f ca="1">Language!A$547</f>
        <v xml:space="preserve">    полученные авансы</v>
      </c>
      <c r="C704" s="5" t="str">
        <f ca="1">CHOOSE(B678,CUR_Main,CUR_Foreign)</f>
        <v>тыс. EUR</v>
      </c>
      <c r="D704" t="str">
        <f>TEXT(B678,"0")&amp;"_07"&amp;";int_end"</f>
        <v>1_07;int_end</v>
      </c>
      <c r="F704" s="84">
        <f>IF(SUM($F698:F698)&gt;=0,MAX(SUM($F701:F701)-SUM($F698:F698),0),MIN(SUM($F701:F701)-SUM($F698:F698),0))</f>
        <v>0</v>
      </c>
      <c r="G704" s="84">
        <f>IF(SUM($F698:G698)&gt;=0,MAX(SUM($F701:G701)-SUM($F698:G698),0),MIN(SUM($F701:G701)-SUM($F698:G698),0))</f>
        <v>0</v>
      </c>
      <c r="H704" s="84">
        <f>IF(SUM($F698:H698)&gt;=0,MAX(SUM($F701:H701)-SUM($F698:H698),0),MIN(SUM($F701:H701)-SUM($F698:H698),0))</f>
        <v>0</v>
      </c>
      <c r="I704" s="84">
        <f>IF(SUM($F698:I698)&gt;=0,MAX(SUM($F701:I701)-SUM($F698:I698),0),MIN(SUM($F701:I701)-SUM($F698:I698),0))</f>
        <v>0</v>
      </c>
      <c r="J704" s="84">
        <f>IF(SUM($F698:J698)&gt;=0,MAX(SUM($F701:J701)-SUM($F698:J698),0),MIN(SUM($F701:J701)-SUM($F698:J698),0))</f>
        <v>0</v>
      </c>
      <c r="K704" s="84">
        <f>IF(SUM($F698:K698)&gt;=0,MAX(SUM($F701:K701)-SUM($F698:K698),0),MIN(SUM($F701:K701)-SUM($F698:K698),0))</f>
        <v>0</v>
      </c>
      <c r="L704" s="84">
        <f>IF(SUM($F698:L698)&gt;=0,MAX(SUM($F701:L701)-SUM($F698:L698),0),MIN(SUM($F701:L701)-SUM($F698:L698),0))</f>
        <v>0</v>
      </c>
      <c r="M704" s="84">
        <f>IF(SUM($F698:M698)&gt;=0,MAX(SUM($F701:M701)-SUM($F698:M698),0),MIN(SUM($F701:M701)-SUM($F698:M698),0))</f>
        <v>0</v>
      </c>
      <c r="N704" s="84">
        <f>IF(SUM($F698:N698)&gt;=0,MAX(SUM($F701:N701)-SUM($F698:N698),0),MIN(SUM($F701:N701)-SUM($F698:N698),0))</f>
        <v>0</v>
      </c>
      <c r="O704" s="84">
        <f>IF(SUM($F698:O698)&gt;=0,MAX(SUM($F701:O701)-SUM($F698:O698),0),MIN(SUM($F701:O701)-SUM($F698:O698),0))</f>
        <v>0</v>
      </c>
      <c r="P704" s="84">
        <f>IF(SUM($F698:P698)&gt;=0,MAX(SUM($F701:P701)-SUM($F698:P698),0),MIN(SUM($F701:P701)-SUM($F698:P698),0))</f>
        <v>0</v>
      </c>
      <c r="Q704" s="84">
        <f>IF(SUM($F698:Q698)&gt;=0,MAX(SUM($F701:Q701)-SUM($F698:Q698),0),MIN(SUM($F701:Q701)-SUM($F698:Q698),0))</f>
        <v>0</v>
      </c>
      <c r="R704" s="84">
        <f>IF(SUM($F698:R698)&gt;=0,MAX(SUM($F701:R701)-SUM($F698:R698),0),MIN(SUM($F701:R701)-SUM($F698:R698),0))</f>
        <v>0</v>
      </c>
      <c r="S704" s="84">
        <f>IF(SUM($F698:S698)&gt;=0,MAX(SUM($F701:S701)-SUM($F698:S698),0),MIN(SUM($F701:S701)-SUM($F698:S698),0))</f>
        <v>0</v>
      </c>
      <c r="T704" s="84">
        <f>IF(SUM($F698:T698)&gt;=0,MAX(SUM($F701:T701)-SUM($F698:T698),0),MIN(SUM($F701:T701)-SUM($F698:T698),0))</f>
        <v>0</v>
      </c>
      <c r="U704" s="84">
        <f>IF(SUM($F698:U698)&gt;=0,MAX(SUM($F701:U701)-SUM($F698:U698),0),MIN(SUM($F701:U701)-SUM($F698:U698),0))</f>
        <v>0</v>
      </c>
      <c r="V704" s="84">
        <f>IF(SUM($F698:V698)&gt;=0,MAX(SUM($F701:V701)-SUM($F698:V698),0),MIN(SUM($F701:V701)-SUM($F698:V698),0))</f>
        <v>0</v>
      </c>
      <c r="W704" s="84">
        <f>IF(SUM($F698:W698)&gt;=0,MAX(SUM($F701:W701)-SUM($F698:W698),0),MIN(SUM($F701:W701)-SUM($F698:W698),0))</f>
        <v>0</v>
      </c>
      <c r="X704" s="84">
        <f>IF(SUM($F698:X698)&gt;=0,MAX(SUM($F701:X701)-SUM($F698:X698),0),MIN(SUM($F701:X701)-SUM($F698:X698),0))</f>
        <v>0</v>
      </c>
      <c r="Y704" s="84">
        <f>IF(SUM($F698:Y698)&gt;=0,MAX(SUM($F701:Y701)-SUM($F698:Y698),0),MIN(SUM($F701:Y701)-SUM($F698:Y698),0))</f>
        <v>0</v>
      </c>
      <c r="Z704" s="84">
        <f>IF(SUM($F698:Z698)&gt;=0,MAX(SUM($F701:Z701)-SUM($F698:Z698),0),MIN(SUM($F701:Z701)-SUM($F698:Z698),0))</f>
        <v>0</v>
      </c>
      <c r="AA704" s="84">
        <f>IF(SUM($F698:AA698)&gt;=0,MAX(SUM($F701:AA701)-SUM($F698:AA698),0),MIN(SUM($F701:AA701)-SUM($F698:AA698),0))</f>
        <v>0</v>
      </c>
      <c r="AB704" s="84">
        <f>IF(SUM($F698:AB698)&gt;=0,MAX(SUM($F701:AB701)-SUM($F698:AB698),0),MIN(SUM($F701:AB701)-SUM($F698:AB698),0))</f>
        <v>0</v>
      </c>
      <c r="AC704" s="84">
        <f>IF(SUM($F698:AC698)&gt;=0,MAX(SUM($F701:AC701)-SUM($F698:AC698),0),MIN(SUM($F701:AC701)-SUM($F698:AC698),0))</f>
        <v>0</v>
      </c>
    </row>
    <row r="705" spans="1:31" outlineLevel="1" collapsed="1" x14ac:dyDescent="0.2">
      <c r="A705" t="str">
        <f>A665</f>
        <v>ВЗД</v>
      </c>
      <c r="C705" s="5" t="str">
        <f ca="1">CHOOSE(B685,CUR_Main,CUR_Foreign)</f>
        <v>тыс. EUR</v>
      </c>
      <c r="D705" s="46" t="str">
        <f>TEXT(B685,"0")&amp;"_01"</f>
        <v>1_01</v>
      </c>
      <c r="F705" s="83">
        <f t="shared" ref="F705:AC705" si="2037">F706+F672*F691</f>
        <v>0</v>
      </c>
      <c r="G705" s="83">
        <f t="shared" si="2037"/>
        <v>0</v>
      </c>
      <c r="H705" s="83">
        <f t="shared" si="2037"/>
        <v>0</v>
      </c>
      <c r="I705" s="83">
        <f t="shared" si="2037"/>
        <v>0</v>
      </c>
      <c r="J705" s="83">
        <f t="shared" si="2037"/>
        <v>0</v>
      </c>
      <c r="K705" s="83">
        <f t="shared" si="2037"/>
        <v>0</v>
      </c>
      <c r="L705" s="83">
        <f t="shared" si="2037"/>
        <v>1573.3807097694921</v>
      </c>
      <c r="M705" s="83">
        <f t="shared" si="2037"/>
        <v>2654.3050418436769</v>
      </c>
      <c r="N705" s="83">
        <f t="shared" si="2037"/>
        <v>3956.5465163478138</v>
      </c>
      <c r="O705" s="83">
        <f t="shared" si="2037"/>
        <v>5232.9478709178293</v>
      </c>
      <c r="P705" s="83">
        <f t="shared" si="2037"/>
        <v>5232.9478709178293</v>
      </c>
      <c r="Q705" s="83">
        <f t="shared" si="2037"/>
        <v>5232.9478709178293</v>
      </c>
      <c r="R705" s="83">
        <f t="shared" si="2037"/>
        <v>5232.9478709178293</v>
      </c>
      <c r="S705" s="83">
        <f t="shared" si="2037"/>
        <v>5232.9478709178293</v>
      </c>
      <c r="T705" s="83">
        <f t="shared" si="2037"/>
        <v>5232.9478709178293</v>
      </c>
      <c r="U705" s="83">
        <f t="shared" si="2037"/>
        <v>5232.9478709178293</v>
      </c>
      <c r="V705" s="83">
        <f t="shared" si="2037"/>
        <v>5232.9478709178293</v>
      </c>
      <c r="W705" s="83">
        <f t="shared" si="2037"/>
        <v>5232.9478709178293</v>
      </c>
      <c r="X705" s="83">
        <f t="shared" si="2037"/>
        <v>5232.9478709178293</v>
      </c>
      <c r="Y705" s="83">
        <f t="shared" si="2037"/>
        <v>5232.9478709178293</v>
      </c>
      <c r="Z705" s="83">
        <f t="shared" si="2037"/>
        <v>5232.9478709178293</v>
      </c>
      <c r="AA705" s="83">
        <f t="shared" si="2037"/>
        <v>5232.9478709178293</v>
      </c>
      <c r="AB705" s="83">
        <f t="shared" si="2037"/>
        <v>5232.9478709178293</v>
      </c>
      <c r="AC705" s="83">
        <f t="shared" si="2037"/>
        <v>5232.9478709178293</v>
      </c>
      <c r="AE705" s="57">
        <f t="shared" ref="AE705:AE710" si="2038">SUM(F705:AC705)</f>
        <v>86678.450331728411</v>
      </c>
    </row>
    <row r="706" spans="1:31" hidden="1" outlineLevel="2" x14ac:dyDescent="0.2">
      <c r="A706" t="str">
        <f ca="1">Language!A$541</f>
        <v xml:space="preserve">    к оплате от покупателей (без НДС)</v>
      </c>
      <c r="C706" s="5" t="str">
        <f ca="1">CHOOSE(B685,CUR_Main,CUR_Foreign)</f>
        <v>тыс. EUR</v>
      </c>
      <c r="D706" t="str">
        <f>TEXT(B685,"0")&amp;"_02"</f>
        <v>1_02</v>
      </c>
      <c r="F706" s="53">
        <f t="shared" ref="F706:AC706" si="2039">F672*(F688+F689)</f>
        <v>0</v>
      </c>
      <c r="G706" s="53">
        <f t="shared" si="2039"/>
        <v>0</v>
      </c>
      <c r="H706" s="53">
        <f t="shared" si="2039"/>
        <v>0</v>
      </c>
      <c r="I706" s="53">
        <f t="shared" si="2039"/>
        <v>0</v>
      </c>
      <c r="J706" s="53">
        <f t="shared" si="2039"/>
        <v>0</v>
      </c>
      <c r="K706" s="53">
        <f t="shared" si="2039"/>
        <v>0</v>
      </c>
      <c r="L706" s="53">
        <f t="shared" si="2039"/>
        <v>1573.3807097694921</v>
      </c>
      <c r="M706" s="53">
        <f t="shared" si="2039"/>
        <v>2654.3050418436769</v>
      </c>
      <c r="N706" s="53">
        <f t="shared" si="2039"/>
        <v>3956.5465163478138</v>
      </c>
      <c r="O706" s="53">
        <f t="shared" si="2039"/>
        <v>5232.9478709178293</v>
      </c>
      <c r="P706" s="53">
        <f t="shared" si="2039"/>
        <v>5232.9478709178293</v>
      </c>
      <c r="Q706" s="53">
        <f t="shared" si="2039"/>
        <v>5232.9478709178293</v>
      </c>
      <c r="R706" s="53">
        <f t="shared" si="2039"/>
        <v>5232.9478709178293</v>
      </c>
      <c r="S706" s="53">
        <f t="shared" si="2039"/>
        <v>5232.9478709178293</v>
      </c>
      <c r="T706" s="53">
        <f t="shared" si="2039"/>
        <v>5232.9478709178293</v>
      </c>
      <c r="U706" s="53">
        <f t="shared" si="2039"/>
        <v>5232.9478709178293</v>
      </c>
      <c r="V706" s="53">
        <f t="shared" si="2039"/>
        <v>5232.9478709178293</v>
      </c>
      <c r="W706" s="53">
        <f t="shared" si="2039"/>
        <v>5232.9478709178293</v>
      </c>
      <c r="X706" s="53">
        <f t="shared" si="2039"/>
        <v>5232.9478709178293</v>
      </c>
      <c r="Y706" s="53">
        <f t="shared" si="2039"/>
        <v>5232.9478709178293</v>
      </c>
      <c r="Z706" s="53">
        <f t="shared" si="2039"/>
        <v>5232.9478709178293</v>
      </c>
      <c r="AA706" s="53">
        <f t="shared" si="2039"/>
        <v>5232.9478709178293</v>
      </c>
      <c r="AB706" s="53">
        <f t="shared" si="2039"/>
        <v>5232.9478709178293</v>
      </c>
      <c r="AC706" s="53">
        <f t="shared" si="2039"/>
        <v>5232.9478709178293</v>
      </c>
      <c r="AE706" s="54">
        <f t="shared" si="2038"/>
        <v>86678.450331728411</v>
      </c>
    </row>
    <row r="707" spans="1:31" hidden="1" outlineLevel="2" x14ac:dyDescent="0.2">
      <c r="A707" t="str">
        <f ca="1">Language!A$542</f>
        <v xml:space="preserve">    в т.ч. акцизов, налогов и пошлин</v>
      </c>
      <c r="C707" s="5" t="str">
        <f ca="1">CHOOSE(B685,CUR_Main,CUR_Foreign)</f>
        <v>тыс. EUR</v>
      </c>
      <c r="D707" t="str">
        <f>TEXT(B685,"0")&amp;"_03"</f>
        <v>1_03</v>
      </c>
      <c r="F707" s="53">
        <f t="shared" ref="F707:AC707" si="2040">F672*(F689+F690)</f>
        <v>0</v>
      </c>
      <c r="G707" s="53">
        <f t="shared" si="2040"/>
        <v>0</v>
      </c>
      <c r="H707" s="53">
        <f t="shared" si="2040"/>
        <v>0</v>
      </c>
      <c r="I707" s="53">
        <f t="shared" si="2040"/>
        <v>0</v>
      </c>
      <c r="J707" s="53">
        <f t="shared" si="2040"/>
        <v>0</v>
      </c>
      <c r="K707" s="53">
        <f t="shared" si="2040"/>
        <v>0</v>
      </c>
      <c r="L707" s="53">
        <f t="shared" si="2040"/>
        <v>0</v>
      </c>
      <c r="M707" s="53">
        <f t="shared" si="2040"/>
        <v>0</v>
      </c>
      <c r="N707" s="53">
        <f t="shared" si="2040"/>
        <v>0</v>
      </c>
      <c r="O707" s="53">
        <f t="shared" si="2040"/>
        <v>0</v>
      </c>
      <c r="P707" s="53">
        <f t="shared" si="2040"/>
        <v>0</v>
      </c>
      <c r="Q707" s="53">
        <f t="shared" si="2040"/>
        <v>0</v>
      </c>
      <c r="R707" s="53">
        <f t="shared" si="2040"/>
        <v>0</v>
      </c>
      <c r="S707" s="53">
        <f t="shared" si="2040"/>
        <v>0</v>
      </c>
      <c r="T707" s="53">
        <f t="shared" si="2040"/>
        <v>0</v>
      </c>
      <c r="U707" s="53">
        <f t="shared" si="2040"/>
        <v>0</v>
      </c>
      <c r="V707" s="53">
        <f t="shared" si="2040"/>
        <v>0</v>
      </c>
      <c r="W707" s="53">
        <f t="shared" si="2040"/>
        <v>0</v>
      </c>
      <c r="X707" s="53">
        <f t="shared" si="2040"/>
        <v>0</v>
      </c>
      <c r="Y707" s="53">
        <f t="shared" si="2040"/>
        <v>0</v>
      </c>
      <c r="Z707" s="53">
        <f t="shared" si="2040"/>
        <v>0</v>
      </c>
      <c r="AA707" s="53">
        <f t="shared" si="2040"/>
        <v>0</v>
      </c>
      <c r="AB707" s="53">
        <f t="shared" si="2040"/>
        <v>0</v>
      </c>
      <c r="AC707" s="53">
        <f t="shared" si="2040"/>
        <v>0</v>
      </c>
      <c r="AE707" s="54">
        <f t="shared" si="2038"/>
        <v>0</v>
      </c>
    </row>
    <row r="708" spans="1:31" hidden="1" outlineLevel="2" x14ac:dyDescent="0.2">
      <c r="A708" t="str">
        <f ca="1">Language!A$543</f>
        <v xml:space="preserve">    НДС на поставленную продукцию</v>
      </c>
      <c r="C708" s="5" t="str">
        <f ca="1">CHOOSE(B685,CUR_Main,CUR_Foreign)</f>
        <v>тыс. EUR</v>
      </c>
      <c r="D708" t="str">
        <f>TEXT(B685,"0")&amp;"_08"</f>
        <v>1_08</v>
      </c>
      <c r="F708" s="84">
        <f t="shared" ref="F708:AC708" si="2041">(F706-MAX(E712-F712,0)+MAX(F712-E712,0))*$B691</f>
        <v>0</v>
      </c>
      <c r="G708" s="84">
        <f t="shared" si="2041"/>
        <v>0</v>
      </c>
      <c r="H708" s="84">
        <f t="shared" si="2041"/>
        <v>0</v>
      </c>
      <c r="I708" s="84">
        <f t="shared" si="2041"/>
        <v>0</v>
      </c>
      <c r="J708" s="84">
        <f t="shared" si="2041"/>
        <v>0</v>
      </c>
      <c r="K708" s="84">
        <f t="shared" si="2041"/>
        <v>0</v>
      </c>
      <c r="L708" s="84">
        <f t="shared" si="2041"/>
        <v>0</v>
      </c>
      <c r="M708" s="84">
        <f t="shared" si="2041"/>
        <v>0</v>
      </c>
      <c r="N708" s="84">
        <f t="shared" si="2041"/>
        <v>0</v>
      </c>
      <c r="O708" s="84">
        <f t="shared" si="2041"/>
        <v>0</v>
      </c>
      <c r="P708" s="84">
        <f t="shared" si="2041"/>
        <v>0</v>
      </c>
      <c r="Q708" s="84">
        <f t="shared" si="2041"/>
        <v>0</v>
      </c>
      <c r="R708" s="84">
        <f t="shared" si="2041"/>
        <v>0</v>
      </c>
      <c r="S708" s="84">
        <f t="shared" si="2041"/>
        <v>0</v>
      </c>
      <c r="T708" s="84">
        <f t="shared" si="2041"/>
        <v>0</v>
      </c>
      <c r="U708" s="84">
        <f t="shared" si="2041"/>
        <v>0</v>
      </c>
      <c r="V708" s="84">
        <f t="shared" si="2041"/>
        <v>0</v>
      </c>
      <c r="W708" s="84">
        <f t="shared" si="2041"/>
        <v>0</v>
      </c>
      <c r="X708" s="84">
        <f t="shared" si="2041"/>
        <v>0</v>
      </c>
      <c r="Y708" s="84">
        <f t="shared" si="2041"/>
        <v>0</v>
      </c>
      <c r="Z708" s="84">
        <f t="shared" si="2041"/>
        <v>0</v>
      </c>
      <c r="AA708" s="84">
        <f t="shared" si="2041"/>
        <v>0</v>
      </c>
      <c r="AB708" s="84">
        <f t="shared" si="2041"/>
        <v>0</v>
      </c>
      <c r="AC708" s="84">
        <f t="shared" si="2041"/>
        <v>0</v>
      </c>
      <c r="AE708" s="54">
        <f t="shared" si="2038"/>
        <v>0</v>
      </c>
    </row>
    <row r="709" spans="1:31" hidden="1" outlineLevel="2" x14ac:dyDescent="0.2">
      <c r="A709" t="str">
        <f ca="1">Language!A$544</f>
        <v xml:space="preserve">    график оплаты (без НДС)</v>
      </c>
      <c r="C709" s="5" t="str">
        <f ca="1">CHOOSE(B685,CUR_Main,CUR_Foreign)</f>
        <v>тыс. EUR</v>
      </c>
      <c r="D709" t="str">
        <f>TEXT(B685,"0")&amp;"_04"</f>
        <v>1_04</v>
      </c>
      <c r="F709" s="271">
        <f t="shared" ref="F709:AC709" si="2042">F706</f>
        <v>0</v>
      </c>
      <c r="G709" s="271">
        <f t="shared" si="2042"/>
        <v>0</v>
      </c>
      <c r="H709" s="271">
        <f t="shared" si="2042"/>
        <v>0</v>
      </c>
      <c r="I709" s="271">
        <f t="shared" si="2042"/>
        <v>0</v>
      </c>
      <c r="J709" s="271">
        <f t="shared" si="2042"/>
        <v>0</v>
      </c>
      <c r="K709" s="271">
        <f t="shared" si="2042"/>
        <v>0</v>
      </c>
      <c r="L709" s="271">
        <f t="shared" si="2042"/>
        <v>1573.3807097694921</v>
      </c>
      <c r="M709" s="271">
        <f t="shared" si="2042"/>
        <v>2654.3050418436769</v>
      </c>
      <c r="N709" s="271">
        <f t="shared" si="2042"/>
        <v>3956.5465163478138</v>
      </c>
      <c r="O709" s="271">
        <f t="shared" si="2042"/>
        <v>5232.9478709178293</v>
      </c>
      <c r="P709" s="271">
        <f t="shared" si="2042"/>
        <v>5232.9478709178293</v>
      </c>
      <c r="Q709" s="271">
        <f t="shared" si="2042"/>
        <v>5232.9478709178293</v>
      </c>
      <c r="R709" s="271">
        <f t="shared" si="2042"/>
        <v>5232.9478709178293</v>
      </c>
      <c r="S709" s="271">
        <f t="shared" si="2042"/>
        <v>5232.9478709178293</v>
      </c>
      <c r="T709" s="271">
        <f t="shared" si="2042"/>
        <v>5232.9478709178293</v>
      </c>
      <c r="U709" s="271">
        <f t="shared" si="2042"/>
        <v>5232.9478709178293</v>
      </c>
      <c r="V709" s="271">
        <f t="shared" si="2042"/>
        <v>5232.9478709178293</v>
      </c>
      <c r="W709" s="271">
        <f t="shared" si="2042"/>
        <v>5232.9478709178293</v>
      </c>
      <c r="X709" s="271">
        <f t="shared" si="2042"/>
        <v>5232.9478709178293</v>
      </c>
      <c r="Y709" s="271">
        <f t="shared" si="2042"/>
        <v>5232.9478709178293</v>
      </c>
      <c r="Z709" s="271">
        <f t="shared" si="2042"/>
        <v>5232.9478709178293</v>
      </c>
      <c r="AA709" s="271">
        <f t="shared" si="2042"/>
        <v>5232.9478709178293</v>
      </c>
      <c r="AB709" s="271">
        <f t="shared" si="2042"/>
        <v>5232.9478709178293</v>
      </c>
      <c r="AC709" s="271">
        <f t="shared" si="2042"/>
        <v>5232.9478709178293</v>
      </c>
      <c r="AE709" s="54">
        <f t="shared" si="2038"/>
        <v>86678.450331728411</v>
      </c>
    </row>
    <row r="710" spans="1:31" hidden="1" outlineLevel="2" x14ac:dyDescent="0.2">
      <c r="A710" t="str">
        <f ca="1">Language!A$545</f>
        <v xml:space="preserve">    полученный НДС</v>
      </c>
      <c r="C710" s="5" t="str">
        <f ca="1">CHOOSE(B685,CUR_Main,CUR_Foreign)</f>
        <v>тыс. EUR</v>
      </c>
      <c r="D710" t="str">
        <f>TEXT(B685,"0")&amp;"_05"</f>
        <v>1_05</v>
      </c>
      <c r="F710" s="84">
        <f t="shared" ref="F710:AC710" si="2043">F709*$B691</f>
        <v>0</v>
      </c>
      <c r="G710" s="84">
        <f t="shared" si="2043"/>
        <v>0</v>
      </c>
      <c r="H710" s="84">
        <f t="shared" si="2043"/>
        <v>0</v>
      </c>
      <c r="I710" s="84">
        <f t="shared" si="2043"/>
        <v>0</v>
      </c>
      <c r="J710" s="84">
        <f t="shared" si="2043"/>
        <v>0</v>
      </c>
      <c r="K710" s="84">
        <f t="shared" si="2043"/>
        <v>0</v>
      </c>
      <c r="L710" s="84">
        <f t="shared" si="2043"/>
        <v>0</v>
      </c>
      <c r="M710" s="84">
        <f t="shared" si="2043"/>
        <v>0</v>
      </c>
      <c r="N710" s="84">
        <f t="shared" si="2043"/>
        <v>0</v>
      </c>
      <c r="O710" s="84">
        <f t="shared" si="2043"/>
        <v>0</v>
      </c>
      <c r="P710" s="84">
        <f t="shared" si="2043"/>
        <v>0</v>
      </c>
      <c r="Q710" s="84">
        <f t="shared" si="2043"/>
        <v>0</v>
      </c>
      <c r="R710" s="84">
        <f t="shared" si="2043"/>
        <v>0</v>
      </c>
      <c r="S710" s="84">
        <f t="shared" si="2043"/>
        <v>0</v>
      </c>
      <c r="T710" s="84">
        <f t="shared" si="2043"/>
        <v>0</v>
      </c>
      <c r="U710" s="84">
        <f t="shared" si="2043"/>
        <v>0</v>
      </c>
      <c r="V710" s="84">
        <f t="shared" si="2043"/>
        <v>0</v>
      </c>
      <c r="W710" s="84">
        <f t="shared" si="2043"/>
        <v>0</v>
      </c>
      <c r="X710" s="84">
        <f t="shared" si="2043"/>
        <v>0</v>
      </c>
      <c r="Y710" s="84">
        <f t="shared" si="2043"/>
        <v>0</v>
      </c>
      <c r="Z710" s="84">
        <f t="shared" si="2043"/>
        <v>0</v>
      </c>
      <c r="AA710" s="84">
        <f t="shared" si="2043"/>
        <v>0</v>
      </c>
      <c r="AB710" s="84">
        <f t="shared" si="2043"/>
        <v>0</v>
      </c>
      <c r="AC710" s="84">
        <f t="shared" si="2043"/>
        <v>0</v>
      </c>
      <c r="AE710" s="54">
        <f t="shared" si="2038"/>
        <v>0</v>
      </c>
    </row>
    <row r="711" spans="1:31" hidden="1" outlineLevel="2" x14ac:dyDescent="0.2">
      <c r="A711" t="str">
        <f ca="1">Language!A$546</f>
        <v xml:space="preserve">    дебиторская задолженность</v>
      </c>
      <c r="C711" s="5" t="str">
        <f ca="1">CHOOSE(B685,CUR_Main,CUR_Foreign)</f>
        <v>тыс. EUR</v>
      </c>
      <c r="D711" t="str">
        <f>TEXT(B685,"0")&amp;"_06"&amp;";int_end"</f>
        <v>1_06;int_end</v>
      </c>
      <c r="F711" s="84">
        <f>IF(SUM($F705:F705)&gt;=0,MAX(SUM($F705:F705)-SUM($F709:F709)-SUM($F710:F710),0),MIN(SUM($F705:F705)-SUM($F709:F709)-SUM($F710:F710),0))</f>
        <v>0</v>
      </c>
      <c r="G711" s="84">
        <f>IF(SUM($F705:G705)&gt;=0,MAX(SUM($F705:G705)-SUM($F709:G709)-SUM($F710:G710),0),MIN(SUM($F705:G705)-SUM($F709:G709)-SUM($F710:G710),0))</f>
        <v>0</v>
      </c>
      <c r="H711" s="84">
        <f>IF(SUM($F705:H705)&gt;=0,MAX(SUM($F705:H705)-SUM($F709:H709)-SUM($F710:H710),0),MIN(SUM($F705:H705)-SUM($F709:H709)-SUM($F710:H710),0))</f>
        <v>0</v>
      </c>
      <c r="I711" s="84">
        <f>IF(SUM($F705:I705)&gt;=0,MAX(SUM($F705:I705)-SUM($F709:I709)-SUM($F710:I710),0),MIN(SUM($F705:I705)-SUM($F709:I709)-SUM($F710:I710),0))</f>
        <v>0</v>
      </c>
      <c r="J711" s="84">
        <f>IF(SUM($F705:J705)&gt;=0,MAX(SUM($F705:J705)-SUM($F709:J709)-SUM($F710:J710),0),MIN(SUM($F705:J705)-SUM($F709:J709)-SUM($F710:J710),0))</f>
        <v>0</v>
      </c>
      <c r="K711" s="84">
        <f>IF(SUM($F705:K705)&gt;=0,MAX(SUM($F705:K705)-SUM($F709:K709)-SUM($F710:K710),0),MIN(SUM($F705:K705)-SUM($F709:K709)-SUM($F710:K710),0))</f>
        <v>0</v>
      </c>
      <c r="L711" s="84">
        <f>IF(SUM($F705:L705)&gt;=0,MAX(SUM($F705:L705)-SUM($F709:L709)-SUM($F710:L710),0),MIN(SUM($F705:L705)-SUM($F709:L709)-SUM($F710:L710),0))</f>
        <v>0</v>
      </c>
      <c r="M711" s="84">
        <f>IF(SUM($F705:M705)&gt;=0,MAX(SUM($F705:M705)-SUM($F709:M709)-SUM($F710:M710),0),MIN(SUM($F705:M705)-SUM($F709:M709)-SUM($F710:M710),0))</f>
        <v>0</v>
      </c>
      <c r="N711" s="84">
        <f>IF(SUM($F705:N705)&gt;=0,MAX(SUM($F705:N705)-SUM($F709:N709)-SUM($F710:N710),0),MIN(SUM($F705:N705)-SUM($F709:N709)-SUM($F710:N710),0))</f>
        <v>0</v>
      </c>
      <c r="O711" s="84">
        <f>IF(SUM($F705:O705)&gt;=0,MAX(SUM($F705:O705)-SUM($F709:O709)-SUM($F710:O710),0),MIN(SUM($F705:O705)-SUM($F709:O709)-SUM($F710:O710),0))</f>
        <v>0</v>
      </c>
      <c r="P711" s="84">
        <f>IF(SUM($F705:P705)&gt;=0,MAX(SUM($F705:P705)-SUM($F709:P709)-SUM($F710:P710),0),MIN(SUM($F705:P705)-SUM($F709:P709)-SUM($F710:P710),0))</f>
        <v>0</v>
      </c>
      <c r="Q711" s="84">
        <f>IF(SUM($F705:Q705)&gt;=0,MAX(SUM($F705:Q705)-SUM($F709:Q709)-SUM($F710:Q710),0),MIN(SUM($F705:Q705)-SUM($F709:Q709)-SUM($F710:Q710),0))</f>
        <v>0</v>
      </c>
      <c r="R711" s="84">
        <f>IF(SUM($F705:R705)&gt;=0,MAX(SUM($F705:R705)-SUM($F709:R709)-SUM($F710:R710),0),MIN(SUM($F705:R705)-SUM($F709:R709)-SUM($F710:R710),0))</f>
        <v>0</v>
      </c>
      <c r="S711" s="84">
        <f>IF(SUM($F705:S705)&gt;=0,MAX(SUM($F705:S705)-SUM($F709:S709)-SUM($F710:S710),0),MIN(SUM($F705:S705)-SUM($F709:S709)-SUM($F710:S710),0))</f>
        <v>0</v>
      </c>
      <c r="T711" s="84">
        <f>IF(SUM($F705:T705)&gt;=0,MAX(SUM($F705:T705)-SUM($F709:T709)-SUM($F710:T710),0),MIN(SUM($F705:T705)-SUM($F709:T709)-SUM($F710:T710),0))</f>
        <v>0</v>
      </c>
      <c r="U711" s="84">
        <f>IF(SUM($F705:U705)&gt;=0,MAX(SUM($F705:U705)-SUM($F709:U709)-SUM($F710:U710),0),MIN(SUM($F705:U705)-SUM($F709:U709)-SUM($F710:U710),0))</f>
        <v>0</v>
      </c>
      <c r="V711" s="84">
        <f>IF(SUM($F705:V705)&gt;=0,MAX(SUM($F705:V705)-SUM($F709:V709)-SUM($F710:V710),0),MIN(SUM($F705:V705)-SUM($F709:V709)-SUM($F710:V710),0))</f>
        <v>0</v>
      </c>
      <c r="W711" s="84">
        <f>IF(SUM($F705:W705)&gt;=0,MAX(SUM($F705:W705)-SUM($F709:W709)-SUM($F710:W710),0),MIN(SUM($F705:W705)-SUM($F709:W709)-SUM($F710:W710),0))</f>
        <v>0</v>
      </c>
      <c r="X711" s="84">
        <f>IF(SUM($F705:X705)&gt;=0,MAX(SUM($F705:X705)-SUM($F709:X709)-SUM($F710:X710),0),MIN(SUM($F705:X705)-SUM($F709:X709)-SUM($F710:X710),0))</f>
        <v>0</v>
      </c>
      <c r="Y711" s="84">
        <f>IF(SUM($F705:Y705)&gt;=0,MAX(SUM($F705:Y705)-SUM($F709:Y709)-SUM($F710:Y710),0),MIN(SUM($F705:Y705)-SUM($F709:Y709)-SUM($F710:Y710),0))</f>
        <v>0</v>
      </c>
      <c r="Z711" s="84">
        <f>IF(SUM($F705:Z705)&gt;=0,MAX(SUM($F705:Z705)-SUM($F709:Z709)-SUM($F710:Z710),0),MIN(SUM($F705:Z705)-SUM($F709:Z709)-SUM($F710:Z710),0))</f>
        <v>0</v>
      </c>
      <c r="AA711" s="84">
        <f>IF(SUM($F705:AA705)&gt;=0,MAX(SUM($F705:AA705)-SUM($F709:AA709)-SUM($F710:AA710),0),MIN(SUM($F705:AA705)-SUM($F709:AA709)-SUM($F710:AA710),0))</f>
        <v>0</v>
      </c>
      <c r="AB711" s="84">
        <f>IF(SUM($F705:AB705)&gt;=0,MAX(SUM($F705:AB705)-SUM($F709:AB709)-SUM($F710:AB710),0),MIN(SUM($F705:AB705)-SUM($F709:AB709)-SUM($F710:AB710),0))</f>
        <v>0</v>
      </c>
      <c r="AC711" s="84">
        <f>IF(SUM($F705:AC705)&gt;=0,MAX(SUM($F705:AC705)-SUM($F709:AC709)-SUM($F710:AC710),0),MIN(SUM($F705:AC705)-SUM($F709:AC709)-SUM($F710:AC710),0))</f>
        <v>0</v>
      </c>
    </row>
    <row r="712" spans="1:31" hidden="1" outlineLevel="2" x14ac:dyDescent="0.2">
      <c r="A712" t="str">
        <f ca="1">Language!A$547</f>
        <v xml:space="preserve">    полученные авансы</v>
      </c>
      <c r="C712" s="5" t="str">
        <f ca="1">CHOOSE(B685,CUR_Main,CUR_Foreign)</f>
        <v>тыс. EUR</v>
      </c>
      <c r="D712" t="str">
        <f>TEXT(B685,"0")&amp;"_07"&amp;";int_end"</f>
        <v>1_07;int_end</v>
      </c>
      <c r="F712" s="84">
        <f>IF(SUM($F706:F706)&gt;=0,MAX(SUM($F709:F709)-SUM($F706:F706),0),MIN(SUM($F709:F709)-SUM($F706:F706),0))</f>
        <v>0</v>
      </c>
      <c r="G712" s="84">
        <f>IF(SUM($F706:G706)&gt;=0,MAX(SUM($F709:G709)-SUM($F706:G706),0),MIN(SUM($F709:G709)-SUM($F706:G706),0))</f>
        <v>0</v>
      </c>
      <c r="H712" s="84">
        <f>IF(SUM($F706:H706)&gt;=0,MAX(SUM($F709:H709)-SUM($F706:H706),0),MIN(SUM($F709:H709)-SUM($F706:H706),0))</f>
        <v>0</v>
      </c>
      <c r="I712" s="84">
        <f>IF(SUM($F706:I706)&gt;=0,MAX(SUM($F709:I709)-SUM($F706:I706),0),MIN(SUM($F709:I709)-SUM($F706:I706),0))</f>
        <v>0</v>
      </c>
      <c r="J712" s="84">
        <f>IF(SUM($F706:J706)&gt;=0,MAX(SUM($F709:J709)-SUM($F706:J706),0),MIN(SUM($F709:J709)-SUM($F706:J706),0))</f>
        <v>0</v>
      </c>
      <c r="K712" s="84">
        <f>IF(SUM($F706:K706)&gt;=0,MAX(SUM($F709:K709)-SUM($F706:K706),0),MIN(SUM($F709:K709)-SUM($F706:K706),0))</f>
        <v>0</v>
      </c>
      <c r="L712" s="84">
        <f>IF(SUM($F706:L706)&gt;=0,MAX(SUM($F709:L709)-SUM($F706:L706),0),MIN(SUM($F709:L709)-SUM($F706:L706),0))</f>
        <v>0</v>
      </c>
      <c r="M712" s="84">
        <f>IF(SUM($F706:M706)&gt;=0,MAX(SUM($F709:M709)-SUM($F706:M706),0),MIN(SUM($F709:M709)-SUM($F706:M706),0))</f>
        <v>0</v>
      </c>
      <c r="N712" s="84">
        <f>IF(SUM($F706:N706)&gt;=0,MAX(SUM($F709:N709)-SUM($F706:N706),0),MIN(SUM($F709:N709)-SUM($F706:N706),0))</f>
        <v>0</v>
      </c>
      <c r="O712" s="84">
        <f>IF(SUM($F706:O706)&gt;=0,MAX(SUM($F709:O709)-SUM($F706:O706),0),MIN(SUM($F709:O709)-SUM($F706:O706),0))</f>
        <v>0</v>
      </c>
      <c r="P712" s="84">
        <f>IF(SUM($F706:P706)&gt;=0,MAX(SUM($F709:P709)-SUM($F706:P706),0),MIN(SUM($F709:P709)-SUM($F706:P706),0))</f>
        <v>0</v>
      </c>
      <c r="Q712" s="84">
        <f>IF(SUM($F706:Q706)&gt;=0,MAX(SUM($F709:Q709)-SUM($F706:Q706),0),MIN(SUM($F709:Q709)-SUM($F706:Q706),0))</f>
        <v>0</v>
      </c>
      <c r="R712" s="84">
        <f>IF(SUM($F706:R706)&gt;=0,MAX(SUM($F709:R709)-SUM($F706:R706),0),MIN(SUM($F709:R709)-SUM($F706:R706),0))</f>
        <v>0</v>
      </c>
      <c r="S712" s="84">
        <f>IF(SUM($F706:S706)&gt;=0,MAX(SUM($F709:S709)-SUM($F706:S706),0),MIN(SUM($F709:S709)-SUM($F706:S706),0))</f>
        <v>0</v>
      </c>
      <c r="T712" s="84">
        <f>IF(SUM($F706:T706)&gt;=0,MAX(SUM($F709:T709)-SUM($F706:T706),0),MIN(SUM($F709:T709)-SUM($F706:T706),0))</f>
        <v>0</v>
      </c>
      <c r="U712" s="84">
        <f>IF(SUM($F706:U706)&gt;=0,MAX(SUM($F709:U709)-SUM($F706:U706),0),MIN(SUM($F709:U709)-SUM($F706:U706),0))</f>
        <v>0</v>
      </c>
      <c r="V712" s="84">
        <f>IF(SUM($F706:V706)&gt;=0,MAX(SUM($F709:V709)-SUM($F706:V706),0),MIN(SUM($F709:V709)-SUM($F706:V706),0))</f>
        <v>0</v>
      </c>
      <c r="W712" s="84">
        <f>IF(SUM($F706:W706)&gt;=0,MAX(SUM($F709:W709)-SUM($F706:W706),0),MIN(SUM($F709:W709)-SUM($F706:W706),0))</f>
        <v>0</v>
      </c>
      <c r="X712" s="84">
        <f>IF(SUM($F706:X706)&gt;=0,MAX(SUM($F709:X709)-SUM($F706:X706),0),MIN(SUM($F709:X709)-SUM($F706:X706),0))</f>
        <v>0</v>
      </c>
      <c r="Y712" s="84">
        <f>IF(SUM($F706:Y706)&gt;=0,MAX(SUM($F709:Y709)-SUM($F706:Y706),0),MIN(SUM($F709:Y709)-SUM($F706:Y706),0))</f>
        <v>0</v>
      </c>
      <c r="Z712" s="84">
        <f>IF(SUM($F706:Z706)&gt;=0,MAX(SUM($F709:Z709)-SUM($F706:Z706),0),MIN(SUM($F709:Z709)-SUM($F706:Z706),0))</f>
        <v>0</v>
      </c>
      <c r="AA712" s="84">
        <f>IF(SUM($F706:AA706)&gt;=0,MAX(SUM($F709:AA709)-SUM($F706:AA706),0),MIN(SUM($F709:AA709)-SUM($F706:AA706),0))</f>
        <v>0</v>
      </c>
      <c r="AB712" s="84">
        <f>IF(SUM($F706:AB706)&gt;=0,MAX(SUM($F709:AB709)-SUM($F706:AB706),0),MIN(SUM($F709:AB709)-SUM($F706:AB706),0))</f>
        <v>0</v>
      </c>
      <c r="AC712" s="84">
        <f>IF(SUM($F706:AC706)&gt;=0,MAX(SUM($F709:AC709)-SUM($F706:AC706),0),MIN(SUM($F709:AC709)-SUM($F706:AC706),0))</f>
        <v>0</v>
      </c>
    </row>
    <row r="713" spans="1:31" outlineLevel="1" x14ac:dyDescent="0.2"/>
    <row r="714" spans="1:31" outlineLevel="1" collapsed="1" x14ac:dyDescent="0.2">
      <c r="A714" s="35" t="str">
        <f ca="1">Language!A548</f>
        <v xml:space="preserve"> = Итого</v>
      </c>
      <c r="C714" s="5" t="str">
        <f t="shared" ref="C714:C721" ca="1" si="2044">CUR_Main</f>
        <v>тыс. EUR</v>
      </c>
      <c r="F714" s="53">
        <f t="shared" ref="F714:T714" si="2045">SUMIF($D696:$D713,"*1_01*",F696:F713)+SUMIF($D696:$D713,"*2_01*",F696:F713)*F$88</f>
        <v>0</v>
      </c>
      <c r="G714" s="53">
        <f t="shared" si="2045"/>
        <v>0</v>
      </c>
      <c r="H714" s="53">
        <f t="shared" si="2045"/>
        <v>0</v>
      </c>
      <c r="I714" s="53">
        <f t="shared" si="2045"/>
        <v>0</v>
      </c>
      <c r="J714" s="53">
        <f t="shared" si="2045"/>
        <v>0</v>
      </c>
      <c r="K714" s="53">
        <f t="shared" si="2045"/>
        <v>714.56092469127964</v>
      </c>
      <c r="L714" s="53">
        <f t="shared" si="2045"/>
        <v>2731.2132863136535</v>
      </c>
      <c r="M714" s="53">
        <f t="shared" si="2045"/>
        <v>4381.7008046824012</v>
      </c>
      <c r="N714" s="53">
        <f t="shared" si="2045"/>
        <v>6249.0205978072227</v>
      </c>
      <c r="O714" s="53">
        <f t="shared" si="2045"/>
        <v>7525.4219523772372</v>
      </c>
      <c r="P714" s="53">
        <f t="shared" si="2045"/>
        <v>7525.4219523772372</v>
      </c>
      <c r="Q714" s="53">
        <f t="shared" si="2045"/>
        <v>7525.4219523772372</v>
      </c>
      <c r="R714" s="53">
        <f t="shared" si="2045"/>
        <v>7525.4219523772372</v>
      </c>
      <c r="S714" s="53">
        <f t="shared" si="2045"/>
        <v>7525.4219523772372</v>
      </c>
      <c r="T714" s="53">
        <f t="shared" si="2045"/>
        <v>7525.4219523772372</v>
      </c>
      <c r="U714" s="53">
        <f t="shared" ref="U714" si="2046">SUMIF($D696:$D713,"*1_01*",U696:U713)+SUMIF($D696:$D713,"*2_01*",U696:U713)*U$88</f>
        <v>7525.4219523772372</v>
      </c>
      <c r="V714" s="53">
        <f t="shared" ref="V714" si="2047">SUMIF($D696:$D713,"*1_01*",V696:V713)+SUMIF($D696:$D713,"*2_01*",V696:V713)*V$88</f>
        <v>7525.4219523772372</v>
      </c>
      <c r="W714" s="53">
        <f t="shared" ref="W714" si="2048">SUMIF($D696:$D713,"*1_01*",W696:W713)+SUMIF($D696:$D713,"*2_01*",W696:W713)*W$88</f>
        <v>7525.4219523772372</v>
      </c>
      <c r="X714" s="53">
        <f t="shared" ref="X714" si="2049">SUMIF($D696:$D713,"*1_01*",X696:X713)+SUMIF($D696:$D713,"*2_01*",X696:X713)*X$88</f>
        <v>7525.4219523772372</v>
      </c>
      <c r="Y714" s="53">
        <f t="shared" ref="Y714:AC714" si="2050">SUMIF($D696:$D713,"*1_01*",Y696:Y713)+SUMIF($D696:$D713,"*2_01*",Y696:Y713)*Y$88</f>
        <v>7525.4219523772372</v>
      </c>
      <c r="Z714" s="53">
        <f t="shared" si="2050"/>
        <v>7525.4219523772372</v>
      </c>
      <c r="AA714" s="53">
        <f t="shared" si="2050"/>
        <v>7525.4219523772372</v>
      </c>
      <c r="AB714" s="53">
        <f t="shared" si="2050"/>
        <v>7525.4219523772372</v>
      </c>
      <c r="AC714" s="53">
        <f t="shared" si="2050"/>
        <v>7525.4219523772372</v>
      </c>
      <c r="AE714" s="57">
        <f t="shared" ref="AE714:AE719" si="2051">SUM(F714:AC714)</f>
        <v>126957.82489915307</v>
      </c>
    </row>
    <row r="715" spans="1:31" hidden="1" outlineLevel="2" x14ac:dyDescent="0.2">
      <c r="A715" t="str">
        <f ca="1">Language!A541</f>
        <v xml:space="preserve">    к оплате от покупателей (без НДС)</v>
      </c>
      <c r="C715" s="5" t="str">
        <f t="shared" ca="1" si="2044"/>
        <v>тыс. EUR</v>
      </c>
      <c r="F715" s="53">
        <f t="shared" ref="F715:T715" si="2052">SUMIF($D696:$D713,"*1_02*",F696:F713)+SUMIF($D696:$D713,"*2_02*",F696:F713)*F$88</f>
        <v>0</v>
      </c>
      <c r="G715" s="53">
        <f t="shared" si="2052"/>
        <v>0</v>
      </c>
      <c r="H715" s="53">
        <f t="shared" si="2052"/>
        <v>0</v>
      </c>
      <c r="I715" s="53">
        <f t="shared" si="2052"/>
        <v>0</v>
      </c>
      <c r="J715" s="53">
        <f t="shared" si="2052"/>
        <v>0</v>
      </c>
      <c r="K715" s="53">
        <f t="shared" si="2052"/>
        <v>714.56092469127964</v>
      </c>
      <c r="L715" s="53">
        <f t="shared" si="2052"/>
        <v>2731.2132863136535</v>
      </c>
      <c r="M715" s="53">
        <f t="shared" si="2052"/>
        <v>4381.7008046824012</v>
      </c>
      <c r="N715" s="53">
        <f t="shared" si="2052"/>
        <v>6249.0205978072227</v>
      </c>
      <c r="O715" s="53">
        <f t="shared" si="2052"/>
        <v>7525.4219523772372</v>
      </c>
      <c r="P715" s="53">
        <f t="shared" si="2052"/>
        <v>7525.4219523772372</v>
      </c>
      <c r="Q715" s="53">
        <f t="shared" si="2052"/>
        <v>7525.4219523772372</v>
      </c>
      <c r="R715" s="53">
        <f t="shared" si="2052"/>
        <v>7525.4219523772372</v>
      </c>
      <c r="S715" s="53">
        <f t="shared" si="2052"/>
        <v>7525.4219523772372</v>
      </c>
      <c r="T715" s="53">
        <f t="shared" si="2052"/>
        <v>7525.4219523772372</v>
      </c>
      <c r="U715" s="53">
        <f t="shared" ref="U715" si="2053">SUMIF($D696:$D713,"*1_02*",U696:U713)+SUMIF($D696:$D713,"*2_02*",U696:U713)*U$88</f>
        <v>7525.4219523772372</v>
      </c>
      <c r="V715" s="53">
        <f t="shared" ref="V715" si="2054">SUMIF($D696:$D713,"*1_02*",V696:V713)+SUMIF($D696:$D713,"*2_02*",V696:V713)*V$88</f>
        <v>7525.4219523772372</v>
      </c>
      <c r="W715" s="53">
        <f t="shared" ref="W715" si="2055">SUMIF($D696:$D713,"*1_02*",W696:W713)+SUMIF($D696:$D713,"*2_02*",W696:W713)*W$88</f>
        <v>7525.4219523772372</v>
      </c>
      <c r="X715" s="53">
        <f t="shared" ref="X715" si="2056">SUMIF($D696:$D713,"*1_02*",X696:X713)+SUMIF($D696:$D713,"*2_02*",X696:X713)*X$88</f>
        <v>7525.4219523772372</v>
      </c>
      <c r="Y715" s="53">
        <f t="shared" ref="Y715" si="2057">SUMIF($D696:$D713,"*1_02*",Y696:Y713)+SUMIF($D696:$D713,"*2_02*",Y696:Y713)*Y$88</f>
        <v>7525.4219523772372</v>
      </c>
      <c r="Z715" s="53">
        <f t="shared" ref="Z715" si="2058">SUMIF($D696:$D713,"*1_02*",Z696:Z713)+SUMIF($D696:$D713,"*2_02*",Z696:Z713)*Z$88</f>
        <v>7525.4219523772372</v>
      </c>
      <c r="AA715" s="53">
        <f t="shared" ref="AA715" si="2059">SUMIF($D696:$D713,"*1_02*",AA696:AA713)+SUMIF($D696:$D713,"*2_02*",AA696:AA713)*AA$88</f>
        <v>7525.4219523772372</v>
      </c>
      <c r="AB715" s="53">
        <f t="shared" ref="AB715:AC715" si="2060">SUMIF($D696:$D713,"*1_02*",AB696:AB713)+SUMIF($D696:$D713,"*2_02*",AB696:AB713)*AB$88</f>
        <v>7525.4219523772372</v>
      </c>
      <c r="AC715" s="53">
        <f t="shared" si="2060"/>
        <v>7525.4219523772372</v>
      </c>
      <c r="AE715" s="54">
        <f t="shared" si="2051"/>
        <v>126957.82489915307</v>
      </c>
    </row>
    <row r="716" spans="1:31" hidden="1" outlineLevel="2" x14ac:dyDescent="0.2">
      <c r="A716" t="str">
        <f ca="1">Language!A542</f>
        <v xml:space="preserve">    в т.ч. акцизов, налогов и пошлин</v>
      </c>
      <c r="C716" s="5" t="str">
        <f t="shared" ca="1" si="2044"/>
        <v>тыс. EUR</v>
      </c>
      <c r="F716" s="53">
        <f t="shared" ref="F716:T716" si="2061">SUMIF($D696:$D713,"*1_03*",F696:F713)+SUMIF($D696:$D713,"*2_03*",F696:F713)*F$88</f>
        <v>0</v>
      </c>
      <c r="G716" s="53">
        <f t="shared" si="2061"/>
        <v>0</v>
      </c>
      <c r="H716" s="53">
        <f t="shared" si="2061"/>
        <v>0</v>
      </c>
      <c r="I716" s="53">
        <f t="shared" si="2061"/>
        <v>0</v>
      </c>
      <c r="J716" s="53">
        <f t="shared" si="2061"/>
        <v>0</v>
      </c>
      <c r="K716" s="53">
        <f t="shared" si="2061"/>
        <v>0</v>
      </c>
      <c r="L716" s="53">
        <f t="shared" si="2061"/>
        <v>0</v>
      </c>
      <c r="M716" s="53">
        <f t="shared" si="2061"/>
        <v>0</v>
      </c>
      <c r="N716" s="53">
        <f t="shared" si="2061"/>
        <v>0</v>
      </c>
      <c r="O716" s="53">
        <f t="shared" si="2061"/>
        <v>0</v>
      </c>
      <c r="P716" s="53">
        <f t="shared" si="2061"/>
        <v>0</v>
      </c>
      <c r="Q716" s="53">
        <f t="shared" si="2061"/>
        <v>0</v>
      </c>
      <c r="R716" s="53">
        <f t="shared" si="2061"/>
        <v>0</v>
      </c>
      <c r="S716" s="53">
        <f t="shared" si="2061"/>
        <v>0</v>
      </c>
      <c r="T716" s="53">
        <f t="shared" si="2061"/>
        <v>0</v>
      </c>
      <c r="U716" s="53">
        <f t="shared" ref="U716" si="2062">SUMIF($D696:$D713,"*1_03*",U696:U713)+SUMIF($D696:$D713,"*2_03*",U696:U713)*U$88</f>
        <v>0</v>
      </c>
      <c r="V716" s="53">
        <f t="shared" ref="V716" si="2063">SUMIF($D696:$D713,"*1_03*",V696:V713)+SUMIF($D696:$D713,"*2_03*",V696:V713)*V$88</f>
        <v>0</v>
      </c>
      <c r="W716" s="53">
        <f t="shared" ref="W716" si="2064">SUMIF($D696:$D713,"*1_03*",W696:W713)+SUMIF($D696:$D713,"*2_03*",W696:W713)*W$88</f>
        <v>0</v>
      </c>
      <c r="X716" s="53">
        <f t="shared" ref="X716" si="2065">SUMIF($D696:$D713,"*1_03*",X696:X713)+SUMIF($D696:$D713,"*2_03*",X696:X713)*X$88</f>
        <v>0</v>
      </c>
      <c r="Y716" s="53">
        <f t="shared" ref="Y716" si="2066">SUMIF($D696:$D713,"*1_03*",Y696:Y713)+SUMIF($D696:$D713,"*2_03*",Y696:Y713)*Y$88</f>
        <v>0</v>
      </c>
      <c r="Z716" s="53">
        <f t="shared" ref="Z716" si="2067">SUMIF($D696:$D713,"*1_03*",Z696:Z713)+SUMIF($D696:$D713,"*2_03*",Z696:Z713)*Z$88</f>
        <v>0</v>
      </c>
      <c r="AA716" s="53">
        <f t="shared" ref="AA716" si="2068">SUMIF($D696:$D713,"*1_03*",AA696:AA713)+SUMIF($D696:$D713,"*2_03*",AA696:AA713)*AA$88</f>
        <v>0</v>
      </c>
      <c r="AB716" s="53">
        <f t="shared" ref="AB716:AC716" si="2069">SUMIF($D696:$D713,"*1_03*",AB696:AB713)+SUMIF($D696:$D713,"*2_03*",AB696:AB713)*AB$88</f>
        <v>0</v>
      </c>
      <c r="AC716" s="53">
        <f t="shared" si="2069"/>
        <v>0</v>
      </c>
      <c r="AE716" s="54">
        <f t="shared" si="2051"/>
        <v>0</v>
      </c>
    </row>
    <row r="717" spans="1:31" hidden="1" outlineLevel="2" x14ac:dyDescent="0.2">
      <c r="A717" t="str">
        <f ca="1">Language!A543</f>
        <v xml:space="preserve">    НДС на поставленную продукцию</v>
      </c>
      <c r="C717" s="5" t="str">
        <f t="shared" ca="1" si="2044"/>
        <v>тыс. EUR</v>
      </c>
      <c r="F717" s="84">
        <f t="shared" ref="F717:T717" si="2070">SUMIF($D696:$D713,"*1_08*",F696:F713)+SUMIF($D696:$D713,"*2_08*",F696:F713)*F$88</f>
        <v>0</v>
      </c>
      <c r="G717" s="84">
        <f t="shared" si="2070"/>
        <v>0</v>
      </c>
      <c r="H717" s="84">
        <f t="shared" si="2070"/>
        <v>0</v>
      </c>
      <c r="I717" s="84">
        <f t="shared" si="2070"/>
        <v>0</v>
      </c>
      <c r="J717" s="84">
        <f t="shared" si="2070"/>
        <v>0</v>
      </c>
      <c r="K717" s="84">
        <f t="shared" si="2070"/>
        <v>0</v>
      </c>
      <c r="L717" s="84">
        <f t="shared" si="2070"/>
        <v>0</v>
      </c>
      <c r="M717" s="84">
        <f t="shared" si="2070"/>
        <v>0</v>
      </c>
      <c r="N717" s="84">
        <f t="shared" si="2070"/>
        <v>0</v>
      </c>
      <c r="O717" s="84">
        <f t="shared" si="2070"/>
        <v>0</v>
      </c>
      <c r="P717" s="84">
        <f t="shared" si="2070"/>
        <v>0</v>
      </c>
      <c r="Q717" s="84">
        <f t="shared" si="2070"/>
        <v>0</v>
      </c>
      <c r="R717" s="84">
        <f t="shared" si="2070"/>
        <v>0</v>
      </c>
      <c r="S717" s="84">
        <f t="shared" si="2070"/>
        <v>0</v>
      </c>
      <c r="T717" s="84">
        <f t="shared" si="2070"/>
        <v>0</v>
      </c>
      <c r="U717" s="84">
        <f t="shared" ref="U717" si="2071">SUMIF($D696:$D713,"*1_08*",U696:U713)+SUMIF($D696:$D713,"*2_08*",U696:U713)*U$88</f>
        <v>0</v>
      </c>
      <c r="V717" s="84">
        <f t="shared" ref="V717" si="2072">SUMIF($D696:$D713,"*1_08*",V696:V713)+SUMIF($D696:$D713,"*2_08*",V696:V713)*V$88</f>
        <v>0</v>
      </c>
      <c r="W717" s="84">
        <f t="shared" ref="W717" si="2073">SUMIF($D696:$D713,"*1_08*",W696:W713)+SUMIF($D696:$D713,"*2_08*",W696:W713)*W$88</f>
        <v>0</v>
      </c>
      <c r="X717" s="84">
        <f t="shared" ref="X717" si="2074">SUMIF($D696:$D713,"*1_08*",X696:X713)+SUMIF($D696:$D713,"*2_08*",X696:X713)*X$88</f>
        <v>0</v>
      </c>
      <c r="Y717" s="84">
        <f t="shared" ref="Y717" si="2075">SUMIF($D696:$D713,"*1_08*",Y696:Y713)+SUMIF($D696:$D713,"*2_08*",Y696:Y713)*Y$88</f>
        <v>0</v>
      </c>
      <c r="Z717" s="84">
        <f t="shared" ref="Z717" si="2076">SUMIF($D696:$D713,"*1_08*",Z696:Z713)+SUMIF($D696:$D713,"*2_08*",Z696:Z713)*Z$88</f>
        <v>0</v>
      </c>
      <c r="AA717" s="84">
        <f t="shared" ref="AA717" si="2077">SUMIF($D696:$D713,"*1_08*",AA696:AA713)+SUMIF($D696:$D713,"*2_08*",AA696:AA713)*AA$88</f>
        <v>0</v>
      </c>
      <c r="AB717" s="84">
        <f t="shared" ref="AB717:AC717" si="2078">SUMIF($D696:$D713,"*1_08*",AB696:AB713)+SUMIF($D696:$D713,"*2_08*",AB696:AB713)*AB$88</f>
        <v>0</v>
      </c>
      <c r="AC717" s="84">
        <f t="shared" si="2078"/>
        <v>0</v>
      </c>
      <c r="AE717" s="54">
        <f t="shared" si="2051"/>
        <v>0</v>
      </c>
    </row>
    <row r="718" spans="1:31" hidden="1" outlineLevel="2" x14ac:dyDescent="0.2">
      <c r="A718" t="str">
        <f ca="1">Language!A544</f>
        <v xml:space="preserve">    график оплаты (без НДС)</v>
      </c>
      <c r="C718" s="5" t="str">
        <f t="shared" ca="1" si="2044"/>
        <v>тыс. EUR</v>
      </c>
      <c r="F718" s="53">
        <f t="shared" ref="F718:T718" si="2079">SUMIF($D696:$D713,"*1_04*",F696:F713)+SUMIF($D696:$D713,"*2_04*",F696:F713)*F$88</f>
        <v>0</v>
      </c>
      <c r="G718" s="53">
        <f t="shared" si="2079"/>
        <v>0</v>
      </c>
      <c r="H718" s="53">
        <f t="shared" si="2079"/>
        <v>0</v>
      </c>
      <c r="I718" s="53">
        <f t="shared" si="2079"/>
        <v>0</v>
      </c>
      <c r="J718" s="53">
        <f t="shared" si="2079"/>
        <v>0</v>
      </c>
      <c r="K718" s="53">
        <f t="shared" si="2079"/>
        <v>714.56092469127964</v>
      </c>
      <c r="L718" s="53">
        <f t="shared" si="2079"/>
        <v>2731.2132863136535</v>
      </c>
      <c r="M718" s="53">
        <f t="shared" si="2079"/>
        <v>4381.7008046824012</v>
      </c>
      <c r="N718" s="53">
        <f t="shared" si="2079"/>
        <v>6249.0205978072227</v>
      </c>
      <c r="O718" s="53">
        <f t="shared" si="2079"/>
        <v>7525.4219523772372</v>
      </c>
      <c r="P718" s="53">
        <f t="shared" si="2079"/>
        <v>7525.4219523772372</v>
      </c>
      <c r="Q718" s="53">
        <f t="shared" si="2079"/>
        <v>7525.4219523772372</v>
      </c>
      <c r="R718" s="53">
        <f t="shared" si="2079"/>
        <v>7525.4219523772372</v>
      </c>
      <c r="S718" s="53">
        <f t="shared" si="2079"/>
        <v>7525.4219523772372</v>
      </c>
      <c r="T718" s="53">
        <f t="shared" si="2079"/>
        <v>7525.4219523772372</v>
      </c>
      <c r="U718" s="53">
        <f t="shared" ref="U718" si="2080">SUMIF($D696:$D713,"*1_04*",U696:U713)+SUMIF($D696:$D713,"*2_04*",U696:U713)*U$88</f>
        <v>7525.4219523772372</v>
      </c>
      <c r="V718" s="53">
        <f t="shared" ref="V718" si="2081">SUMIF($D696:$D713,"*1_04*",V696:V713)+SUMIF($D696:$D713,"*2_04*",V696:V713)*V$88</f>
        <v>7525.4219523772372</v>
      </c>
      <c r="W718" s="53">
        <f t="shared" ref="W718" si="2082">SUMIF($D696:$D713,"*1_04*",W696:W713)+SUMIF($D696:$D713,"*2_04*",W696:W713)*W$88</f>
        <v>7525.4219523772372</v>
      </c>
      <c r="X718" s="53">
        <f t="shared" ref="X718" si="2083">SUMIF($D696:$D713,"*1_04*",X696:X713)+SUMIF($D696:$D713,"*2_04*",X696:X713)*X$88</f>
        <v>7525.4219523772372</v>
      </c>
      <c r="Y718" s="53">
        <f t="shared" ref="Y718" si="2084">SUMIF($D696:$D713,"*1_04*",Y696:Y713)+SUMIF($D696:$D713,"*2_04*",Y696:Y713)*Y$88</f>
        <v>7525.4219523772372</v>
      </c>
      <c r="Z718" s="53">
        <f t="shared" ref="Z718" si="2085">SUMIF($D696:$D713,"*1_04*",Z696:Z713)+SUMIF($D696:$D713,"*2_04*",Z696:Z713)*Z$88</f>
        <v>7525.4219523772372</v>
      </c>
      <c r="AA718" s="53">
        <f t="shared" ref="AA718" si="2086">SUMIF($D696:$D713,"*1_04*",AA696:AA713)+SUMIF($D696:$D713,"*2_04*",AA696:AA713)*AA$88</f>
        <v>7525.4219523772372</v>
      </c>
      <c r="AB718" s="53">
        <f t="shared" ref="AB718:AC718" si="2087">SUMIF($D696:$D713,"*1_04*",AB696:AB713)+SUMIF($D696:$D713,"*2_04*",AB696:AB713)*AB$88</f>
        <v>7525.4219523772372</v>
      </c>
      <c r="AC718" s="53">
        <f t="shared" si="2087"/>
        <v>7525.4219523772372</v>
      </c>
      <c r="AE718" s="54">
        <f t="shared" si="2051"/>
        <v>126957.82489915307</v>
      </c>
    </row>
    <row r="719" spans="1:31" hidden="1" outlineLevel="2" x14ac:dyDescent="0.2">
      <c r="A719" t="str">
        <f ca="1">Language!A545</f>
        <v xml:space="preserve">    полученный НДС</v>
      </c>
      <c r="C719" s="5" t="str">
        <f t="shared" ca="1" si="2044"/>
        <v>тыс. EUR</v>
      </c>
      <c r="F719" s="53">
        <f t="shared" ref="F719:T719" si="2088">SUMIF($D696:$D713,"*1_05*",F696:F713)+SUMIF($D696:$D713,"*2_05*",F696:F713)*F$88</f>
        <v>0</v>
      </c>
      <c r="G719" s="53">
        <f t="shared" si="2088"/>
        <v>0</v>
      </c>
      <c r="H719" s="53">
        <f t="shared" si="2088"/>
        <v>0</v>
      </c>
      <c r="I719" s="53">
        <f t="shared" si="2088"/>
        <v>0</v>
      </c>
      <c r="J719" s="53">
        <f t="shared" si="2088"/>
        <v>0</v>
      </c>
      <c r="K719" s="53">
        <f t="shared" si="2088"/>
        <v>0</v>
      </c>
      <c r="L719" s="53">
        <f t="shared" si="2088"/>
        <v>0</v>
      </c>
      <c r="M719" s="53">
        <f t="shared" si="2088"/>
        <v>0</v>
      </c>
      <c r="N719" s="53">
        <f t="shared" si="2088"/>
        <v>0</v>
      </c>
      <c r="O719" s="53">
        <f t="shared" si="2088"/>
        <v>0</v>
      </c>
      <c r="P719" s="53">
        <f t="shared" si="2088"/>
        <v>0</v>
      </c>
      <c r="Q719" s="53">
        <f t="shared" si="2088"/>
        <v>0</v>
      </c>
      <c r="R719" s="53">
        <f t="shared" si="2088"/>
        <v>0</v>
      </c>
      <c r="S719" s="53">
        <f t="shared" si="2088"/>
        <v>0</v>
      </c>
      <c r="T719" s="53">
        <f t="shared" si="2088"/>
        <v>0</v>
      </c>
      <c r="U719" s="53">
        <f t="shared" ref="U719" si="2089">SUMIF($D696:$D713,"*1_05*",U696:U713)+SUMIF($D696:$D713,"*2_05*",U696:U713)*U$88</f>
        <v>0</v>
      </c>
      <c r="V719" s="53">
        <f t="shared" ref="V719" si="2090">SUMIF($D696:$D713,"*1_05*",V696:V713)+SUMIF($D696:$D713,"*2_05*",V696:V713)*V$88</f>
        <v>0</v>
      </c>
      <c r="W719" s="53">
        <f t="shared" ref="W719" si="2091">SUMIF($D696:$D713,"*1_05*",W696:W713)+SUMIF($D696:$D713,"*2_05*",W696:W713)*W$88</f>
        <v>0</v>
      </c>
      <c r="X719" s="53">
        <f t="shared" ref="X719" si="2092">SUMIF($D696:$D713,"*1_05*",X696:X713)+SUMIF($D696:$D713,"*2_05*",X696:X713)*X$88</f>
        <v>0</v>
      </c>
      <c r="Y719" s="53">
        <f t="shared" ref="Y719" si="2093">SUMIF($D696:$D713,"*1_05*",Y696:Y713)+SUMIF($D696:$D713,"*2_05*",Y696:Y713)*Y$88</f>
        <v>0</v>
      </c>
      <c r="Z719" s="53">
        <f t="shared" ref="Z719" si="2094">SUMIF($D696:$D713,"*1_05*",Z696:Z713)+SUMIF($D696:$D713,"*2_05*",Z696:Z713)*Z$88</f>
        <v>0</v>
      </c>
      <c r="AA719" s="53">
        <f t="shared" ref="AA719" si="2095">SUMIF($D696:$D713,"*1_05*",AA696:AA713)+SUMIF($D696:$D713,"*2_05*",AA696:AA713)*AA$88</f>
        <v>0</v>
      </c>
      <c r="AB719" s="53">
        <f t="shared" ref="AB719:AC719" si="2096">SUMIF($D696:$D713,"*1_05*",AB696:AB713)+SUMIF($D696:$D713,"*2_05*",AB696:AB713)*AB$88</f>
        <v>0</v>
      </c>
      <c r="AC719" s="53">
        <f t="shared" si="2096"/>
        <v>0</v>
      </c>
      <c r="AE719" s="54">
        <f t="shared" si="2051"/>
        <v>0</v>
      </c>
    </row>
    <row r="720" spans="1:31" hidden="1" outlineLevel="2" x14ac:dyDescent="0.2">
      <c r="A720" t="str">
        <f ca="1">Language!A546</f>
        <v xml:space="preserve">    дебиторская задолженность</v>
      </c>
      <c r="C720" s="5" t="str">
        <f t="shared" ca="1" si="2044"/>
        <v>тыс. EUR</v>
      </c>
      <c r="D720" s="16" t="s">
        <v>2594</v>
      </c>
      <c r="F720" s="53">
        <f t="shared" ref="F720:T720" si="2097">SUMIF($D696:$D713,"*1_06*",F696:F713)+SUMIF($D696:$D713,"*2_06*",F696:F713)*F$88</f>
        <v>0</v>
      </c>
      <c r="G720" s="53">
        <f t="shared" si="2097"/>
        <v>0</v>
      </c>
      <c r="H720" s="53">
        <f t="shared" si="2097"/>
        <v>0</v>
      </c>
      <c r="I720" s="53">
        <f t="shared" si="2097"/>
        <v>0</v>
      </c>
      <c r="J720" s="53">
        <f t="shared" si="2097"/>
        <v>0</v>
      </c>
      <c r="K720" s="53">
        <f t="shared" si="2097"/>
        <v>0</v>
      </c>
      <c r="L720" s="53">
        <f t="shared" si="2097"/>
        <v>0</v>
      </c>
      <c r="M720" s="53">
        <f t="shared" si="2097"/>
        <v>0</v>
      </c>
      <c r="N720" s="53">
        <f t="shared" si="2097"/>
        <v>0</v>
      </c>
      <c r="O720" s="53">
        <f t="shared" si="2097"/>
        <v>0</v>
      </c>
      <c r="P720" s="53">
        <f t="shared" si="2097"/>
        <v>0</v>
      </c>
      <c r="Q720" s="53">
        <f t="shared" si="2097"/>
        <v>0</v>
      </c>
      <c r="R720" s="53">
        <f t="shared" si="2097"/>
        <v>0</v>
      </c>
      <c r="S720" s="53">
        <f t="shared" si="2097"/>
        <v>0</v>
      </c>
      <c r="T720" s="53">
        <f t="shared" si="2097"/>
        <v>0</v>
      </c>
      <c r="U720" s="53">
        <f t="shared" ref="U720" si="2098">SUMIF($D696:$D713,"*1_06*",U696:U713)+SUMIF($D696:$D713,"*2_06*",U696:U713)*U$88</f>
        <v>0</v>
      </c>
      <c r="V720" s="53">
        <f t="shared" ref="V720" si="2099">SUMIF($D696:$D713,"*1_06*",V696:V713)+SUMIF($D696:$D713,"*2_06*",V696:V713)*V$88</f>
        <v>0</v>
      </c>
      <c r="W720" s="53">
        <f t="shared" ref="W720" si="2100">SUMIF($D696:$D713,"*1_06*",W696:W713)+SUMIF($D696:$D713,"*2_06*",W696:W713)*W$88</f>
        <v>0</v>
      </c>
      <c r="X720" s="53">
        <f t="shared" ref="X720" si="2101">SUMIF($D696:$D713,"*1_06*",X696:X713)+SUMIF($D696:$D713,"*2_06*",X696:X713)*X$88</f>
        <v>0</v>
      </c>
      <c r="Y720" s="53">
        <f t="shared" ref="Y720" si="2102">SUMIF($D696:$D713,"*1_06*",Y696:Y713)+SUMIF($D696:$D713,"*2_06*",Y696:Y713)*Y$88</f>
        <v>0</v>
      </c>
      <c r="Z720" s="53">
        <f t="shared" ref="Z720" si="2103">SUMIF($D696:$D713,"*1_06*",Z696:Z713)+SUMIF($D696:$D713,"*2_06*",Z696:Z713)*Z$88</f>
        <v>0</v>
      </c>
      <c r="AA720" s="53">
        <f t="shared" ref="AA720" si="2104">SUMIF($D696:$D713,"*1_06*",AA696:AA713)+SUMIF($D696:$D713,"*2_06*",AA696:AA713)*AA$88</f>
        <v>0</v>
      </c>
      <c r="AB720" s="53">
        <f t="shared" ref="AB720:AC720" si="2105">SUMIF($D696:$D713,"*1_06*",AB696:AB713)+SUMIF($D696:$D713,"*2_06*",AB696:AB713)*AB$88</f>
        <v>0</v>
      </c>
      <c r="AC720" s="53">
        <f t="shared" si="2105"/>
        <v>0</v>
      </c>
    </row>
    <row r="721" spans="1:31" hidden="1" outlineLevel="2" x14ac:dyDescent="0.2">
      <c r="A721" t="str">
        <f ca="1">Language!A547</f>
        <v xml:space="preserve">    полученные авансы</v>
      </c>
      <c r="C721" s="5" t="str">
        <f t="shared" ca="1" si="2044"/>
        <v>тыс. EUR</v>
      </c>
      <c r="D721" s="16" t="s">
        <v>2594</v>
      </c>
      <c r="F721" s="53">
        <f t="shared" ref="F721:T721" si="2106">SUMIF($D696:$D713,"*1_07*",F696:F713)+SUMIF($D696:$D713,"*2_07*",F696:F713)*F$88</f>
        <v>0</v>
      </c>
      <c r="G721" s="53">
        <f t="shared" si="2106"/>
        <v>0</v>
      </c>
      <c r="H721" s="53">
        <f t="shared" si="2106"/>
        <v>0</v>
      </c>
      <c r="I721" s="53">
        <f t="shared" si="2106"/>
        <v>0</v>
      </c>
      <c r="J721" s="53">
        <f t="shared" si="2106"/>
        <v>0</v>
      </c>
      <c r="K721" s="53">
        <f t="shared" si="2106"/>
        <v>0</v>
      </c>
      <c r="L721" s="53">
        <f t="shared" si="2106"/>
        <v>0</v>
      </c>
      <c r="M721" s="53">
        <f t="shared" si="2106"/>
        <v>0</v>
      </c>
      <c r="N721" s="53">
        <f t="shared" si="2106"/>
        <v>0</v>
      </c>
      <c r="O721" s="53">
        <f t="shared" si="2106"/>
        <v>0</v>
      </c>
      <c r="P721" s="53">
        <f t="shared" si="2106"/>
        <v>0</v>
      </c>
      <c r="Q721" s="53">
        <f t="shared" si="2106"/>
        <v>0</v>
      </c>
      <c r="R721" s="53">
        <f t="shared" si="2106"/>
        <v>0</v>
      </c>
      <c r="S721" s="53">
        <f t="shared" si="2106"/>
        <v>0</v>
      </c>
      <c r="T721" s="53">
        <f t="shared" si="2106"/>
        <v>0</v>
      </c>
      <c r="U721" s="53">
        <f t="shared" ref="U721" si="2107">SUMIF($D696:$D713,"*1_07*",U696:U713)+SUMIF($D696:$D713,"*2_07*",U696:U713)*U$88</f>
        <v>0</v>
      </c>
      <c r="V721" s="53">
        <f t="shared" ref="V721" si="2108">SUMIF($D696:$D713,"*1_07*",V696:V713)+SUMIF($D696:$D713,"*2_07*",V696:V713)*V$88</f>
        <v>0</v>
      </c>
      <c r="W721" s="53">
        <f t="shared" ref="W721" si="2109">SUMIF($D696:$D713,"*1_07*",W696:W713)+SUMIF($D696:$D713,"*2_07*",W696:W713)*W$88</f>
        <v>0</v>
      </c>
      <c r="X721" s="53">
        <f t="shared" ref="X721" si="2110">SUMIF($D696:$D713,"*1_07*",X696:X713)+SUMIF($D696:$D713,"*2_07*",X696:X713)*X$88</f>
        <v>0</v>
      </c>
      <c r="Y721" s="53">
        <f t="shared" ref="Y721" si="2111">SUMIF($D696:$D713,"*1_07*",Y696:Y713)+SUMIF($D696:$D713,"*2_07*",Y696:Y713)*Y$88</f>
        <v>0</v>
      </c>
      <c r="Z721" s="53">
        <f t="shared" ref="Z721" si="2112">SUMIF($D696:$D713,"*1_07*",Z696:Z713)+SUMIF($D696:$D713,"*2_07*",Z696:Z713)*Z$88</f>
        <v>0</v>
      </c>
      <c r="AA721" s="53">
        <f t="shared" ref="AA721" si="2113">SUMIF($D696:$D713,"*1_07*",AA696:AA713)+SUMIF($D696:$D713,"*2_07*",AA696:AA713)*AA$88</f>
        <v>0</v>
      </c>
      <c r="AB721" s="53">
        <f t="shared" ref="AB721:AC721" si="2114">SUMIF($D696:$D713,"*1_07*",AB696:AB713)+SUMIF($D696:$D713,"*2_07*",AB696:AB713)*AB$88</f>
        <v>0</v>
      </c>
      <c r="AC721" s="53">
        <f t="shared" si="2114"/>
        <v>0</v>
      </c>
    </row>
    <row r="722" spans="1:31" outlineLevel="1" x14ac:dyDescent="0.2">
      <c r="A722" s="63"/>
      <c r="B722" s="63"/>
      <c r="C722" s="67"/>
      <c r="D722" s="60"/>
      <c r="E722" s="63"/>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63"/>
      <c r="AE722" s="64"/>
    </row>
    <row r="723" spans="1:31" outlineLevel="1" x14ac:dyDescent="0.2">
      <c r="A723" s="19"/>
      <c r="B723" s="19"/>
      <c r="C723" s="26"/>
      <c r="D723" s="46"/>
      <c r="E723" s="19"/>
      <c r="F723" s="110"/>
      <c r="G723" s="110"/>
      <c r="H723" s="110"/>
      <c r="I723" s="110"/>
      <c r="J723" s="110"/>
      <c r="K723" s="110"/>
      <c r="L723" s="110"/>
      <c r="M723" s="110"/>
      <c r="N723" s="110"/>
      <c r="O723" s="110"/>
      <c r="P723" s="110"/>
      <c r="Q723" s="110"/>
      <c r="R723" s="110"/>
      <c r="S723" s="110"/>
      <c r="T723" s="110"/>
      <c r="U723" s="110"/>
      <c r="V723" s="110"/>
      <c r="W723" s="110"/>
      <c r="X723" s="110"/>
      <c r="Y723" s="110"/>
      <c r="Z723" s="110"/>
      <c r="AA723" s="110"/>
      <c r="AB723" s="110"/>
      <c r="AC723" s="110"/>
      <c r="AD723" s="19"/>
      <c r="AE723" s="22"/>
    </row>
    <row r="724" spans="1:31" s="4" customFormat="1" ht="15.95" customHeight="1" collapsed="1" thickBot="1" x14ac:dyDescent="0.25">
      <c r="A724" s="165" t="str">
        <f ca="1">Language!A549</f>
        <v xml:space="preserve">         ОБЪЕМЫ ПРОИЗВОДСТВА (в единицах)</v>
      </c>
      <c r="B724" s="165"/>
      <c r="C724" s="165"/>
      <c r="D724" s="165"/>
      <c r="E724" s="165"/>
      <c r="F724" s="177" t="str">
        <f t="shared" ref="F724:AC724" ca="1" si="2115">PeriodTitle</f>
        <v>1 кв. 2016</v>
      </c>
      <c r="G724" s="177" t="str">
        <f t="shared" ca="1" si="2115"/>
        <v>2 кв. 2016</v>
      </c>
      <c r="H724" s="177" t="str">
        <f t="shared" ca="1" si="2115"/>
        <v>3 кв. 2016</v>
      </c>
      <c r="I724" s="177" t="str">
        <f t="shared" ca="1" si="2115"/>
        <v>4 кв. 2016</v>
      </c>
      <c r="J724" s="177" t="str">
        <f t="shared" ca="1" si="2115"/>
        <v>1 кв. 2017</v>
      </c>
      <c r="K724" s="177" t="str">
        <f t="shared" ca="1" si="2115"/>
        <v>2 кв. 2017</v>
      </c>
      <c r="L724" s="177" t="str">
        <f t="shared" ca="1" si="2115"/>
        <v>3 кв. 2017</v>
      </c>
      <c r="M724" s="177" t="str">
        <f t="shared" ca="1" si="2115"/>
        <v>4 кв. 2017</v>
      </c>
      <c r="N724" s="177" t="str">
        <f t="shared" ca="1" si="2115"/>
        <v>1 кв. 2018</v>
      </c>
      <c r="O724" s="177" t="str">
        <f t="shared" ca="1" si="2115"/>
        <v>2 кв. 2018</v>
      </c>
      <c r="P724" s="177" t="str">
        <f t="shared" ca="1" si="2115"/>
        <v>3 кв. 2018</v>
      </c>
      <c r="Q724" s="177" t="str">
        <f t="shared" ca="1" si="2115"/>
        <v>4 кв. 2018</v>
      </c>
      <c r="R724" s="177" t="str">
        <f t="shared" ca="1" si="2115"/>
        <v>1 кв. 2019</v>
      </c>
      <c r="S724" s="177" t="str">
        <f t="shared" ca="1" si="2115"/>
        <v>2 кв. 2019</v>
      </c>
      <c r="T724" s="177" t="str">
        <f t="shared" ca="1" si="2115"/>
        <v>3 кв. 2019</v>
      </c>
      <c r="U724" s="177" t="str">
        <f t="shared" ca="1" si="2115"/>
        <v>4 кв. 2019</v>
      </c>
      <c r="V724" s="177" t="str">
        <f t="shared" ca="1" si="2115"/>
        <v>1 кв. 2020</v>
      </c>
      <c r="W724" s="177" t="str">
        <f t="shared" ca="1" si="2115"/>
        <v>2 кв. 2020</v>
      </c>
      <c r="X724" s="177" t="str">
        <f t="shared" ca="1" si="2115"/>
        <v>3 кв. 2020</v>
      </c>
      <c r="Y724" s="177" t="str">
        <f t="shared" ca="1" si="2115"/>
        <v>4 кв. 2020</v>
      </c>
      <c r="Z724" s="177" t="str">
        <f t="shared" ca="1" si="2115"/>
        <v>1 кв. 2021</v>
      </c>
      <c r="AA724" s="177" t="str">
        <f t="shared" ca="1" si="2115"/>
        <v>2 кв. 2021</v>
      </c>
      <c r="AB724" s="177" t="str">
        <f t="shared" ca="1" si="2115"/>
        <v>3 кв. 2021</v>
      </c>
      <c r="AC724" s="177" t="str">
        <f t="shared" ca="1" si="2115"/>
        <v>4 кв. 2021</v>
      </c>
      <c r="AD724" s="165"/>
      <c r="AE724" s="194" t="str">
        <f ca="1">Language!$A$372</f>
        <v>ИТОГО</v>
      </c>
    </row>
    <row r="725" spans="1:31" ht="12" hidden="1" outlineLevel="1" thickTop="1" x14ac:dyDescent="0.2">
      <c r="D725">
        <v>0</v>
      </c>
      <c r="E725">
        <v>4</v>
      </c>
    </row>
    <row r="726" spans="1:31" hidden="1" outlineLevel="1" x14ac:dyDescent="0.2">
      <c r="A726" t="str">
        <f>A664</f>
        <v>Долота</v>
      </c>
      <c r="B726" s="71"/>
      <c r="C726" s="5"/>
      <c r="F726" s="133" t="str">
        <f>IF(F729&lt;0,Language!$A$554,"")</f>
        <v/>
      </c>
      <c r="G726" s="133" t="str">
        <f>IF(G729&lt;0,Language!$A$554,"")</f>
        <v/>
      </c>
      <c r="H726" s="133" t="str">
        <f>IF(H729&lt;0,Language!$A$554,"")</f>
        <v/>
      </c>
      <c r="I726" s="133" t="str">
        <f>IF(I729&lt;0,Language!$A$554,"")</f>
        <v/>
      </c>
      <c r="J726" s="133" t="str">
        <f>IF(J729&lt;0,Language!$A$554,"")</f>
        <v/>
      </c>
      <c r="K726" s="133" t="str">
        <f>IF(K729&lt;0,Language!$A$554,"")</f>
        <v/>
      </c>
      <c r="L726" s="133" t="str">
        <f>IF(L729&lt;0,Language!$A$554,"")</f>
        <v/>
      </c>
      <c r="M726" s="133" t="str">
        <f>IF(M729&lt;0,Language!$A$554,"")</f>
        <v/>
      </c>
      <c r="N726" s="133" t="str">
        <f>IF(N729&lt;0,Language!$A$554,"")</f>
        <v/>
      </c>
      <c r="O726" s="133" t="str">
        <f>IF(O729&lt;0,Language!$A$554,"")</f>
        <v/>
      </c>
      <c r="P726" s="133" t="str">
        <f>IF(P729&lt;0,Language!$A$554,"")</f>
        <v/>
      </c>
      <c r="Q726" s="133" t="str">
        <f>IF(Q729&lt;0,Language!$A$554,"")</f>
        <v/>
      </c>
      <c r="R726" s="133" t="str">
        <f>IF(R729&lt;0,Language!$A$554,"")</f>
        <v/>
      </c>
      <c r="S726" s="133" t="str">
        <f>IF(S729&lt;0,Language!$A$554,"")</f>
        <v/>
      </c>
      <c r="T726" s="133" t="str">
        <f>IF(T729&lt;0,Language!$A$554,"")</f>
        <v/>
      </c>
      <c r="U726" s="133" t="str">
        <f>IF(U729&lt;0,Language!$A$554,"")</f>
        <v/>
      </c>
      <c r="V726" s="133" t="str">
        <f>IF(V729&lt;0,Language!$A$554,"")</f>
        <v/>
      </c>
      <c r="W726" s="133" t="str">
        <f>IF(W729&lt;0,Language!$A$554,"")</f>
        <v/>
      </c>
      <c r="X726" s="133" t="str">
        <f>IF(X729&lt;0,Language!$A$554,"")</f>
        <v/>
      </c>
      <c r="Y726" s="133" t="str">
        <f>IF(Y729&lt;0,Language!$A$554,"")</f>
        <v/>
      </c>
      <c r="Z726" s="133" t="str">
        <f>IF(Z729&lt;0,Language!$A$554,"")</f>
        <v/>
      </c>
      <c r="AA726" s="133" t="str">
        <f>IF(AA729&lt;0,Language!$A$554,"")</f>
        <v/>
      </c>
      <c r="AB726" s="133" t="str">
        <f>IF(AB729&lt;0,Language!$A$554,"")</f>
        <v/>
      </c>
      <c r="AC726" s="133" t="str">
        <f>IF(AC729&lt;0,Language!$A$554,"")</f>
        <v/>
      </c>
      <c r="AE726" s="78"/>
    </row>
    <row r="727" spans="1:31" hidden="1" outlineLevel="1" x14ac:dyDescent="0.2">
      <c r="A727" s="41" t="str">
        <f ca="1">Language!A$550</f>
        <v xml:space="preserve">    план производства</v>
      </c>
      <c r="B727" s="72"/>
      <c r="C727" s="73" t="str">
        <f ca="1">C664</f>
        <v>ед.</v>
      </c>
      <c r="D727" s="74" t="s">
        <v>2441</v>
      </c>
      <c r="E727" s="48"/>
      <c r="F727" s="281">
        <f>F671</f>
        <v>0</v>
      </c>
      <c r="G727" s="328">
        <f t="shared" ref="G727:T727" si="2116">G671</f>
        <v>0</v>
      </c>
      <c r="H727" s="281">
        <f t="shared" si="2116"/>
        <v>0</v>
      </c>
      <c r="I727" s="281">
        <f t="shared" si="2116"/>
        <v>0</v>
      </c>
      <c r="J727" s="281">
        <f t="shared" si="2116"/>
        <v>0</v>
      </c>
      <c r="K727" s="281">
        <f t="shared" si="2116"/>
        <v>84</v>
      </c>
      <c r="L727" s="281">
        <f t="shared" si="2116"/>
        <v>136</v>
      </c>
      <c r="M727" s="281">
        <f t="shared" si="2116"/>
        <v>204</v>
      </c>
      <c r="N727" s="281">
        <f t="shared" si="2116"/>
        <v>270</v>
      </c>
      <c r="O727" s="281">
        <f t="shared" si="2116"/>
        <v>270</v>
      </c>
      <c r="P727" s="281">
        <f t="shared" si="2116"/>
        <v>270</v>
      </c>
      <c r="Q727" s="281">
        <f t="shared" si="2116"/>
        <v>270</v>
      </c>
      <c r="R727" s="281">
        <f t="shared" si="2116"/>
        <v>270</v>
      </c>
      <c r="S727" s="281">
        <f t="shared" si="2116"/>
        <v>270</v>
      </c>
      <c r="T727" s="281">
        <f t="shared" si="2116"/>
        <v>270</v>
      </c>
      <c r="U727" s="281">
        <f t="shared" ref="U727" si="2117">U671</f>
        <v>270</v>
      </c>
      <c r="V727" s="281">
        <f t="shared" ref="V727" si="2118">V671</f>
        <v>270</v>
      </c>
      <c r="W727" s="281">
        <f t="shared" ref="W727" si="2119">W671</f>
        <v>270</v>
      </c>
      <c r="X727" s="281">
        <f t="shared" ref="X727" si="2120">X671</f>
        <v>270</v>
      </c>
      <c r="Y727" s="281">
        <f t="shared" ref="Y727" si="2121">Y671</f>
        <v>270</v>
      </c>
      <c r="Z727" s="281">
        <f t="shared" ref="Z727" si="2122">Z671</f>
        <v>270</v>
      </c>
      <c r="AA727" s="281">
        <f t="shared" ref="AA727" si="2123">AA671</f>
        <v>270</v>
      </c>
      <c r="AB727" s="281">
        <f t="shared" ref="AB727:AC727" si="2124">AB671</f>
        <v>270</v>
      </c>
      <c r="AC727" s="281">
        <f t="shared" si="2124"/>
        <v>270</v>
      </c>
      <c r="AD727" s="43"/>
      <c r="AE727" s="54">
        <f>SUM(F727:AC727)</f>
        <v>4744</v>
      </c>
    </row>
    <row r="728" spans="1:31" hidden="1" outlineLevel="1" x14ac:dyDescent="0.2">
      <c r="A728" s="41" t="str">
        <f ca="1">Language!A$551</f>
        <v xml:space="preserve">    план реализации</v>
      </c>
      <c r="C728" s="5" t="str">
        <f ca="1">C664</f>
        <v>ед.</v>
      </c>
      <c r="D728" s="16" t="s">
        <v>2441</v>
      </c>
      <c r="F728" s="83">
        <f t="shared" ref="F728:T728" si="2125">F671</f>
        <v>0</v>
      </c>
      <c r="G728" s="329">
        <f t="shared" si="2125"/>
        <v>0</v>
      </c>
      <c r="H728" s="83">
        <f t="shared" si="2125"/>
        <v>0</v>
      </c>
      <c r="I728" s="83">
        <f t="shared" si="2125"/>
        <v>0</v>
      </c>
      <c r="J728" s="83">
        <f t="shared" si="2125"/>
        <v>0</v>
      </c>
      <c r="K728" s="83">
        <f t="shared" si="2125"/>
        <v>84</v>
      </c>
      <c r="L728" s="83">
        <f t="shared" si="2125"/>
        <v>136</v>
      </c>
      <c r="M728" s="83">
        <f t="shared" si="2125"/>
        <v>204</v>
      </c>
      <c r="N728" s="83">
        <f t="shared" si="2125"/>
        <v>270</v>
      </c>
      <c r="O728" s="83">
        <f t="shared" si="2125"/>
        <v>270</v>
      </c>
      <c r="P728" s="83">
        <f t="shared" si="2125"/>
        <v>270</v>
      </c>
      <c r="Q728" s="83">
        <f t="shared" si="2125"/>
        <v>270</v>
      </c>
      <c r="R728" s="83">
        <f t="shared" si="2125"/>
        <v>270</v>
      </c>
      <c r="S728" s="83">
        <f t="shared" si="2125"/>
        <v>270</v>
      </c>
      <c r="T728" s="83">
        <f t="shared" si="2125"/>
        <v>270</v>
      </c>
      <c r="U728" s="83">
        <f t="shared" ref="U728" si="2126">U671</f>
        <v>270</v>
      </c>
      <c r="V728" s="83">
        <f t="shared" ref="V728" si="2127">V671</f>
        <v>270</v>
      </c>
      <c r="W728" s="83">
        <f t="shared" ref="W728" si="2128">W671</f>
        <v>270</v>
      </c>
      <c r="X728" s="83">
        <f t="shared" ref="X728" si="2129">X671</f>
        <v>270</v>
      </c>
      <c r="Y728" s="83">
        <f t="shared" ref="Y728" si="2130">Y671</f>
        <v>270</v>
      </c>
      <c r="Z728" s="83">
        <f t="shared" ref="Z728" si="2131">Z671</f>
        <v>270</v>
      </c>
      <c r="AA728" s="83">
        <f t="shared" ref="AA728" si="2132">AA671</f>
        <v>270</v>
      </c>
      <c r="AB728" s="83">
        <f t="shared" ref="AB728:AC728" si="2133">AB671</f>
        <v>270</v>
      </c>
      <c r="AC728" s="83">
        <f t="shared" si="2133"/>
        <v>270</v>
      </c>
      <c r="AD728" s="43"/>
      <c r="AE728" s="54">
        <f>SUM(F728:AC728)</f>
        <v>4744</v>
      </c>
    </row>
    <row r="729" spans="1:31" hidden="1" outlineLevel="1" x14ac:dyDescent="0.2">
      <c r="A729" s="41" t="str">
        <f ca="1">Language!A$552</f>
        <v xml:space="preserve">    склад готовой продукции</v>
      </c>
      <c r="C729" s="5" t="str">
        <f ca="1">C664</f>
        <v>ед.</v>
      </c>
      <c r="D729" s="16" t="s">
        <v>1254</v>
      </c>
      <c r="E729">
        <v>0</v>
      </c>
      <c r="F729" s="83">
        <f t="shared" ref="F729:AC729" si="2134">E729+F727-F728</f>
        <v>0</v>
      </c>
      <c r="G729" s="329">
        <f t="shared" si="2134"/>
        <v>0</v>
      </c>
      <c r="H729" s="83">
        <f t="shared" si="2134"/>
        <v>0</v>
      </c>
      <c r="I729" s="83">
        <f t="shared" si="2134"/>
        <v>0</v>
      </c>
      <c r="J729" s="83">
        <f t="shared" si="2134"/>
        <v>0</v>
      </c>
      <c r="K729" s="83">
        <f t="shared" si="2134"/>
        <v>0</v>
      </c>
      <c r="L729" s="83">
        <f t="shared" si="2134"/>
        <v>0</v>
      </c>
      <c r="M729" s="83">
        <f t="shared" si="2134"/>
        <v>0</v>
      </c>
      <c r="N729" s="83">
        <f t="shared" si="2134"/>
        <v>0</v>
      </c>
      <c r="O729" s="83">
        <f t="shared" si="2134"/>
        <v>0</v>
      </c>
      <c r="P729" s="83">
        <f t="shared" si="2134"/>
        <v>0</v>
      </c>
      <c r="Q729" s="83">
        <f t="shared" si="2134"/>
        <v>0</v>
      </c>
      <c r="R729" s="83">
        <f t="shared" si="2134"/>
        <v>0</v>
      </c>
      <c r="S729" s="83">
        <f t="shared" si="2134"/>
        <v>0</v>
      </c>
      <c r="T729" s="83">
        <f t="shared" si="2134"/>
        <v>0</v>
      </c>
      <c r="U729" s="83">
        <f t="shared" si="2134"/>
        <v>0</v>
      </c>
      <c r="V729" s="83">
        <f t="shared" si="2134"/>
        <v>0</v>
      </c>
      <c r="W729" s="83">
        <f t="shared" si="2134"/>
        <v>0</v>
      </c>
      <c r="X729" s="83">
        <f t="shared" si="2134"/>
        <v>0</v>
      </c>
      <c r="Y729" s="83">
        <f t="shared" si="2134"/>
        <v>0</v>
      </c>
      <c r="Z729" s="83">
        <f t="shared" si="2134"/>
        <v>0</v>
      </c>
      <c r="AA729" s="83">
        <f t="shared" si="2134"/>
        <v>0</v>
      </c>
      <c r="AB729" s="83">
        <f t="shared" si="2134"/>
        <v>0</v>
      </c>
      <c r="AC729" s="83">
        <f t="shared" si="2134"/>
        <v>0</v>
      </c>
      <c r="AD729" s="43"/>
      <c r="AE729" s="54"/>
    </row>
    <row r="730" spans="1:31" ht="12" hidden="1" outlineLevel="1" thickTop="1" x14ac:dyDescent="0.2">
      <c r="A730" t="str">
        <f>A665</f>
        <v>ВЗД</v>
      </c>
      <c r="B730" s="71"/>
      <c r="C730" s="5"/>
      <c r="F730" s="133" t="str">
        <f>IF(F733&lt;0,Language!$A$554,"")</f>
        <v/>
      </c>
      <c r="G730" s="133" t="str">
        <f>IF(G733&lt;0,Language!$A$554,"")</f>
        <v/>
      </c>
      <c r="H730" s="133" t="str">
        <f>IF(H733&lt;0,Language!$A$554,"")</f>
        <v/>
      </c>
      <c r="I730" s="133" t="str">
        <f>IF(I733&lt;0,Language!$A$554,"")</f>
        <v/>
      </c>
      <c r="J730" s="133" t="str">
        <f>IF(J733&lt;0,Language!$A$554,"")</f>
        <v/>
      </c>
      <c r="K730" s="133" t="str">
        <f>IF(K733&lt;0,Language!$A$554,"")</f>
        <v/>
      </c>
      <c r="L730" s="133" t="str">
        <f>IF(L733&lt;0,Language!$A$554,"")</f>
        <v/>
      </c>
      <c r="M730" s="133" t="str">
        <f>IF(M733&lt;0,Language!$A$554,"")</f>
        <v/>
      </c>
      <c r="N730" s="133" t="str">
        <f>IF(N733&lt;0,Language!$A$554,"")</f>
        <v/>
      </c>
      <c r="O730" s="133" t="str">
        <f>IF(O733&lt;0,Language!$A$554,"")</f>
        <v/>
      </c>
      <c r="P730" s="133" t="str">
        <f>IF(P733&lt;0,Language!$A$554,"")</f>
        <v/>
      </c>
      <c r="Q730" s="133" t="str">
        <f>IF(Q733&lt;0,Language!$A$554,"")</f>
        <v/>
      </c>
      <c r="R730" s="133" t="str">
        <f>IF(R733&lt;0,Language!$A$554,"")</f>
        <v/>
      </c>
      <c r="S730" s="133" t="str">
        <f>IF(S733&lt;0,Language!$A$554,"")</f>
        <v/>
      </c>
      <c r="T730" s="133" t="str">
        <f>IF(T733&lt;0,Language!$A$554,"")</f>
        <v/>
      </c>
      <c r="U730" s="133" t="str">
        <f>IF(U733&lt;0,Language!$A$554,"")</f>
        <v/>
      </c>
      <c r="V730" s="133" t="str">
        <f>IF(V733&lt;0,Language!$A$554,"")</f>
        <v/>
      </c>
      <c r="W730" s="133" t="str">
        <f>IF(W733&lt;0,Language!$A$554,"")</f>
        <v/>
      </c>
      <c r="X730" s="133" t="str">
        <f>IF(X733&lt;0,Language!$A$554,"")</f>
        <v/>
      </c>
      <c r="Y730" s="133" t="str">
        <f>IF(Y733&lt;0,Language!$A$554,"")</f>
        <v/>
      </c>
      <c r="Z730" s="133" t="str">
        <f>IF(Z733&lt;0,Language!$A$554,"")</f>
        <v/>
      </c>
      <c r="AA730" s="133" t="str">
        <f>IF(AA733&lt;0,Language!$A$554,"")</f>
        <v/>
      </c>
      <c r="AB730" s="133" t="str">
        <f>IF(AB733&lt;0,Language!$A$554,"")</f>
        <v/>
      </c>
      <c r="AC730" s="133" t="str">
        <f>IF(AC733&lt;0,Language!$A$554,"")</f>
        <v/>
      </c>
      <c r="AE730" s="78"/>
    </row>
    <row r="731" spans="1:31" ht="12" hidden="1" outlineLevel="1" thickTop="1" x14ac:dyDescent="0.2">
      <c r="A731" s="41" t="str">
        <f ca="1">Language!A$550</f>
        <v xml:space="preserve">    план производства</v>
      </c>
      <c r="B731" s="72"/>
      <c r="C731" s="73" t="str">
        <f ca="1">C665</f>
        <v>ед.</v>
      </c>
      <c r="D731" s="74" t="s">
        <v>2441</v>
      </c>
      <c r="E731" s="48"/>
      <c r="F731" s="281">
        <f t="shared" ref="F731:AC731" si="2135">F672</f>
        <v>0</v>
      </c>
      <c r="G731" s="328">
        <f t="shared" si="2135"/>
        <v>0</v>
      </c>
      <c r="H731" s="281">
        <f t="shared" si="2135"/>
        <v>0</v>
      </c>
      <c r="I731" s="281">
        <f t="shared" si="2135"/>
        <v>0</v>
      </c>
      <c r="J731" s="281">
        <f t="shared" si="2135"/>
        <v>0</v>
      </c>
      <c r="K731" s="281">
        <f t="shared" si="2135"/>
        <v>0</v>
      </c>
      <c r="L731" s="281">
        <f t="shared" si="2135"/>
        <v>73</v>
      </c>
      <c r="M731" s="281">
        <f t="shared" si="2135"/>
        <v>122</v>
      </c>
      <c r="N731" s="281">
        <f t="shared" si="2135"/>
        <v>182</v>
      </c>
      <c r="O731" s="281">
        <f t="shared" si="2135"/>
        <v>240</v>
      </c>
      <c r="P731" s="281">
        <f t="shared" si="2135"/>
        <v>240</v>
      </c>
      <c r="Q731" s="281">
        <f t="shared" si="2135"/>
        <v>240</v>
      </c>
      <c r="R731" s="281">
        <f t="shared" si="2135"/>
        <v>240</v>
      </c>
      <c r="S731" s="281">
        <f t="shared" si="2135"/>
        <v>240</v>
      </c>
      <c r="T731" s="281">
        <f t="shared" si="2135"/>
        <v>240</v>
      </c>
      <c r="U731" s="281">
        <f t="shared" si="2135"/>
        <v>240</v>
      </c>
      <c r="V731" s="281">
        <f t="shared" si="2135"/>
        <v>240</v>
      </c>
      <c r="W731" s="281">
        <f t="shared" si="2135"/>
        <v>240</v>
      </c>
      <c r="X731" s="281">
        <f t="shared" si="2135"/>
        <v>240</v>
      </c>
      <c r="Y731" s="281">
        <f t="shared" si="2135"/>
        <v>240</v>
      </c>
      <c r="Z731" s="281">
        <f t="shared" si="2135"/>
        <v>240</v>
      </c>
      <c r="AA731" s="281">
        <f t="shared" si="2135"/>
        <v>240</v>
      </c>
      <c r="AB731" s="281">
        <f t="shared" si="2135"/>
        <v>240</v>
      </c>
      <c r="AC731" s="281">
        <f t="shared" si="2135"/>
        <v>240</v>
      </c>
      <c r="AD731" s="43"/>
      <c r="AE731" s="54">
        <f>SUM(F731:AC731)</f>
        <v>3977</v>
      </c>
    </row>
    <row r="732" spans="1:31" ht="12" hidden="1" outlineLevel="1" thickTop="1" x14ac:dyDescent="0.2">
      <c r="A732" s="41" t="str">
        <f ca="1">Language!A$551</f>
        <v xml:space="preserve">    план реализации</v>
      </c>
      <c r="C732" s="5" t="str">
        <f ca="1">C665</f>
        <v>ед.</v>
      </c>
      <c r="D732" s="16" t="s">
        <v>2441</v>
      </c>
      <c r="F732" s="83">
        <f t="shared" ref="F732:AC732" si="2136">F672</f>
        <v>0</v>
      </c>
      <c r="G732" s="329">
        <f t="shared" si="2136"/>
        <v>0</v>
      </c>
      <c r="H732" s="83">
        <f t="shared" si="2136"/>
        <v>0</v>
      </c>
      <c r="I732" s="83">
        <f t="shared" si="2136"/>
        <v>0</v>
      </c>
      <c r="J732" s="83">
        <f t="shared" si="2136"/>
        <v>0</v>
      </c>
      <c r="K732" s="83">
        <f t="shared" si="2136"/>
        <v>0</v>
      </c>
      <c r="L732" s="83">
        <f t="shared" si="2136"/>
        <v>73</v>
      </c>
      <c r="M732" s="83">
        <f t="shared" si="2136"/>
        <v>122</v>
      </c>
      <c r="N732" s="83">
        <f t="shared" si="2136"/>
        <v>182</v>
      </c>
      <c r="O732" s="83">
        <f t="shared" si="2136"/>
        <v>240</v>
      </c>
      <c r="P732" s="83">
        <f t="shared" si="2136"/>
        <v>240</v>
      </c>
      <c r="Q732" s="83">
        <f t="shared" si="2136"/>
        <v>240</v>
      </c>
      <c r="R732" s="83">
        <f t="shared" si="2136"/>
        <v>240</v>
      </c>
      <c r="S732" s="83">
        <f t="shared" si="2136"/>
        <v>240</v>
      </c>
      <c r="T732" s="83">
        <f t="shared" si="2136"/>
        <v>240</v>
      </c>
      <c r="U732" s="83">
        <f t="shared" si="2136"/>
        <v>240</v>
      </c>
      <c r="V732" s="83">
        <f t="shared" si="2136"/>
        <v>240</v>
      </c>
      <c r="W732" s="83">
        <f t="shared" si="2136"/>
        <v>240</v>
      </c>
      <c r="X732" s="83">
        <f t="shared" si="2136"/>
        <v>240</v>
      </c>
      <c r="Y732" s="83">
        <f t="shared" si="2136"/>
        <v>240</v>
      </c>
      <c r="Z732" s="83">
        <f t="shared" si="2136"/>
        <v>240</v>
      </c>
      <c r="AA732" s="83">
        <f t="shared" si="2136"/>
        <v>240</v>
      </c>
      <c r="AB732" s="83">
        <f t="shared" si="2136"/>
        <v>240</v>
      </c>
      <c r="AC732" s="83">
        <f t="shared" si="2136"/>
        <v>240</v>
      </c>
      <c r="AD732" s="43"/>
      <c r="AE732" s="54">
        <f>SUM(F732:AC732)</f>
        <v>3977</v>
      </c>
    </row>
    <row r="733" spans="1:31" ht="12" hidden="1" outlineLevel="1" thickTop="1" x14ac:dyDescent="0.2">
      <c r="A733" s="41" t="str">
        <f ca="1">Language!A$552</f>
        <v xml:space="preserve">    склад готовой продукции</v>
      </c>
      <c r="C733" s="5" t="str">
        <f ca="1">C665</f>
        <v>ед.</v>
      </c>
      <c r="D733" s="16" t="s">
        <v>1254</v>
      </c>
      <c r="E733">
        <v>0</v>
      </c>
      <c r="F733" s="83">
        <f t="shared" ref="F733:AC733" si="2137">E733+F731-F732</f>
        <v>0</v>
      </c>
      <c r="G733" s="329">
        <f t="shared" si="2137"/>
        <v>0</v>
      </c>
      <c r="H733" s="83">
        <f t="shared" si="2137"/>
        <v>0</v>
      </c>
      <c r="I733" s="83">
        <f t="shared" si="2137"/>
        <v>0</v>
      </c>
      <c r="J733" s="83">
        <f t="shared" si="2137"/>
        <v>0</v>
      </c>
      <c r="K733" s="83">
        <f t="shared" si="2137"/>
        <v>0</v>
      </c>
      <c r="L733" s="83">
        <f t="shared" si="2137"/>
        <v>0</v>
      </c>
      <c r="M733" s="83">
        <f t="shared" si="2137"/>
        <v>0</v>
      </c>
      <c r="N733" s="83">
        <f t="shared" si="2137"/>
        <v>0</v>
      </c>
      <c r="O733" s="83">
        <f t="shared" si="2137"/>
        <v>0</v>
      </c>
      <c r="P733" s="83">
        <f t="shared" si="2137"/>
        <v>0</v>
      </c>
      <c r="Q733" s="83">
        <f t="shared" si="2137"/>
        <v>0</v>
      </c>
      <c r="R733" s="83">
        <f t="shared" si="2137"/>
        <v>0</v>
      </c>
      <c r="S733" s="83">
        <f t="shared" si="2137"/>
        <v>0</v>
      </c>
      <c r="T733" s="83">
        <f t="shared" si="2137"/>
        <v>0</v>
      </c>
      <c r="U733" s="83">
        <f t="shared" si="2137"/>
        <v>0</v>
      </c>
      <c r="V733" s="83">
        <f t="shared" si="2137"/>
        <v>0</v>
      </c>
      <c r="W733" s="83">
        <f t="shared" si="2137"/>
        <v>0</v>
      </c>
      <c r="X733" s="83">
        <f t="shared" si="2137"/>
        <v>0</v>
      </c>
      <c r="Y733" s="83">
        <f t="shared" si="2137"/>
        <v>0</v>
      </c>
      <c r="Z733" s="83">
        <f t="shared" si="2137"/>
        <v>0</v>
      </c>
      <c r="AA733" s="83">
        <f t="shared" si="2137"/>
        <v>0</v>
      </c>
      <c r="AB733" s="83">
        <f t="shared" si="2137"/>
        <v>0</v>
      </c>
      <c r="AC733" s="83">
        <f t="shared" si="2137"/>
        <v>0</v>
      </c>
      <c r="AD733" s="43"/>
      <c r="AE733" s="54"/>
    </row>
    <row r="734" spans="1:31" hidden="1" outlineLevel="1" x14ac:dyDescent="0.2">
      <c r="A734" s="41"/>
      <c r="C734" s="5"/>
      <c r="D734" s="16"/>
      <c r="F734" s="83"/>
      <c r="G734" s="83"/>
      <c r="H734" s="83"/>
      <c r="I734" s="83"/>
      <c r="J734" s="83"/>
      <c r="K734" s="83"/>
      <c r="L734" s="83"/>
      <c r="M734" s="83"/>
      <c r="N734" s="83"/>
      <c r="O734" s="83"/>
      <c r="P734" s="83"/>
      <c r="Q734" s="83"/>
      <c r="R734" s="83"/>
      <c r="S734" s="83"/>
      <c r="T734" s="83"/>
      <c r="U734" s="83"/>
      <c r="V734" s="83"/>
      <c r="W734" s="83"/>
      <c r="X734" s="83"/>
      <c r="Y734" s="83"/>
      <c r="Z734" s="83"/>
      <c r="AA734" s="83"/>
      <c r="AB734" s="83"/>
      <c r="AC734" s="83"/>
      <c r="AD734" s="43"/>
      <c r="AE734" s="54"/>
    </row>
    <row r="735" spans="1:31" hidden="1" outlineLevel="1" x14ac:dyDescent="0.2">
      <c r="C735" s="5"/>
      <c r="D735" s="16"/>
      <c r="F735" s="53"/>
      <c r="G735" s="53"/>
      <c r="H735" s="53"/>
      <c r="I735" s="53"/>
      <c r="J735" s="53"/>
      <c r="K735" s="53"/>
      <c r="L735" s="53"/>
      <c r="M735" s="53"/>
      <c r="N735" s="53"/>
      <c r="O735" s="53"/>
      <c r="P735" s="53"/>
      <c r="Q735" s="53"/>
      <c r="R735" s="53"/>
      <c r="S735" s="53"/>
      <c r="T735" s="53"/>
      <c r="U735" s="53"/>
      <c r="V735" s="53"/>
      <c r="W735" s="53"/>
      <c r="X735" s="53"/>
      <c r="Y735" s="53"/>
      <c r="Z735" s="53"/>
      <c r="AA735" s="53"/>
      <c r="AB735" s="53"/>
      <c r="AC735" s="53"/>
    </row>
    <row r="736" spans="1:31" hidden="1" outlineLevel="1" x14ac:dyDescent="0.2">
      <c r="A736" s="63"/>
      <c r="B736" s="63"/>
      <c r="C736" s="67"/>
      <c r="D736" s="60"/>
      <c r="E736" s="63"/>
      <c r="F736" s="63"/>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63"/>
      <c r="AE736" s="64"/>
    </row>
    <row r="737" spans="1:31" hidden="1" outlineLevel="1" x14ac:dyDescent="0.2">
      <c r="A737" s="19"/>
      <c r="B737" s="19"/>
      <c r="C737" s="26"/>
      <c r="D737" s="46"/>
      <c r="E737" s="19"/>
      <c r="F737" s="110"/>
      <c r="G737" s="110"/>
      <c r="H737" s="110"/>
      <c r="I737" s="110"/>
      <c r="J737" s="110"/>
      <c r="K737" s="110"/>
      <c r="L737" s="110"/>
      <c r="M737" s="110"/>
      <c r="N737" s="110"/>
      <c r="O737" s="110"/>
      <c r="P737" s="110"/>
      <c r="Q737" s="110"/>
      <c r="R737" s="110"/>
      <c r="S737" s="110"/>
      <c r="T737" s="110"/>
      <c r="U737" s="110"/>
      <c r="V737" s="110"/>
      <c r="W737" s="110"/>
      <c r="X737" s="110"/>
      <c r="Y737" s="110"/>
      <c r="Z737" s="110"/>
      <c r="AA737" s="110"/>
      <c r="AB737" s="110"/>
      <c r="AC737" s="110"/>
      <c r="AD737" s="19"/>
      <c r="AE737" s="22"/>
    </row>
    <row r="738" spans="1:31" s="4" customFormat="1" ht="15.95" customHeight="1" thickTop="1" thickBot="1" x14ac:dyDescent="0.25">
      <c r="A738" s="165" t="str">
        <f ca="1">Language!A555</f>
        <v xml:space="preserve">         РАСХОД СЫРЬЯ И МАТЕРИАЛОВ (в единицах)</v>
      </c>
      <c r="B738" s="165"/>
      <c r="C738" s="165"/>
      <c r="D738" s="165">
        <v>1</v>
      </c>
      <c r="E738" s="165"/>
      <c r="F738" s="177" t="str">
        <f t="shared" ref="F738:AC738" ca="1" si="2138">PeriodTitle</f>
        <v>1 кв. 2016</v>
      </c>
      <c r="G738" s="177" t="str">
        <f t="shared" ca="1" si="2138"/>
        <v>2 кв. 2016</v>
      </c>
      <c r="H738" s="177" t="str">
        <f t="shared" ca="1" si="2138"/>
        <v>3 кв. 2016</v>
      </c>
      <c r="I738" s="177" t="str">
        <f t="shared" ca="1" si="2138"/>
        <v>4 кв. 2016</v>
      </c>
      <c r="J738" s="177" t="str">
        <f t="shared" ca="1" si="2138"/>
        <v>1 кв. 2017</v>
      </c>
      <c r="K738" s="177" t="str">
        <f t="shared" ca="1" si="2138"/>
        <v>2 кв. 2017</v>
      </c>
      <c r="L738" s="177" t="str">
        <f t="shared" ca="1" si="2138"/>
        <v>3 кв. 2017</v>
      </c>
      <c r="M738" s="177" t="str">
        <f t="shared" ca="1" si="2138"/>
        <v>4 кв. 2017</v>
      </c>
      <c r="N738" s="177" t="str">
        <f t="shared" ca="1" si="2138"/>
        <v>1 кв. 2018</v>
      </c>
      <c r="O738" s="177" t="str">
        <f t="shared" ca="1" si="2138"/>
        <v>2 кв. 2018</v>
      </c>
      <c r="P738" s="177" t="str">
        <f t="shared" ca="1" si="2138"/>
        <v>3 кв. 2018</v>
      </c>
      <c r="Q738" s="177" t="str">
        <f t="shared" ca="1" si="2138"/>
        <v>4 кв. 2018</v>
      </c>
      <c r="R738" s="177" t="str">
        <f t="shared" ca="1" si="2138"/>
        <v>1 кв. 2019</v>
      </c>
      <c r="S738" s="177" t="str">
        <f t="shared" ca="1" si="2138"/>
        <v>2 кв. 2019</v>
      </c>
      <c r="T738" s="177" t="str">
        <f t="shared" ca="1" si="2138"/>
        <v>3 кв. 2019</v>
      </c>
      <c r="U738" s="177" t="str">
        <f t="shared" ca="1" si="2138"/>
        <v>4 кв. 2019</v>
      </c>
      <c r="V738" s="177" t="str">
        <f t="shared" ca="1" si="2138"/>
        <v>1 кв. 2020</v>
      </c>
      <c r="W738" s="177" t="str">
        <f t="shared" ca="1" si="2138"/>
        <v>2 кв. 2020</v>
      </c>
      <c r="X738" s="177" t="str">
        <f t="shared" ca="1" si="2138"/>
        <v>3 кв. 2020</v>
      </c>
      <c r="Y738" s="177" t="str">
        <f t="shared" ca="1" si="2138"/>
        <v>4 кв. 2020</v>
      </c>
      <c r="Z738" s="177" t="str">
        <f t="shared" ca="1" si="2138"/>
        <v>1 кв. 2021</v>
      </c>
      <c r="AA738" s="177" t="str">
        <f t="shared" ca="1" si="2138"/>
        <v>2 кв. 2021</v>
      </c>
      <c r="AB738" s="177" t="str">
        <f t="shared" ca="1" si="2138"/>
        <v>3 кв. 2021</v>
      </c>
      <c r="AC738" s="177" t="str">
        <f t="shared" ca="1" si="2138"/>
        <v>4 кв. 2021</v>
      </c>
      <c r="AD738" s="165"/>
      <c r="AE738" s="194" t="str">
        <f ca="1">Language!$A$372</f>
        <v>ИТОГО</v>
      </c>
    </row>
    <row r="739" spans="1:31" ht="12" outlineLevel="1" thickTop="1" x14ac:dyDescent="0.2">
      <c r="D739">
        <v>1</v>
      </c>
      <c r="E739">
        <v>1</v>
      </c>
    </row>
    <row r="740" spans="1:31" outlineLevel="1" x14ac:dyDescent="0.2">
      <c r="A740" s="48" t="str">
        <f>A664</f>
        <v>Долота</v>
      </c>
      <c r="B740" s="11" t="str">
        <f ca="1">Language!A$557</f>
        <v>Плановый расход на единицу продукции</v>
      </c>
      <c r="D740">
        <v>1</v>
      </c>
      <c r="E740">
        <v>1</v>
      </c>
    </row>
    <row r="741" spans="1:31" outlineLevel="1" x14ac:dyDescent="0.2">
      <c r="A741" s="273" t="s">
        <v>2839</v>
      </c>
      <c r="B741" s="286">
        <v>1</v>
      </c>
      <c r="C741" s="254" t="str">
        <f ca="1">Language!A$530</f>
        <v>ед.</v>
      </c>
      <c r="F741" s="330">
        <v>1</v>
      </c>
      <c r="G741" s="330">
        <v>1</v>
      </c>
      <c r="H741" s="330">
        <v>1</v>
      </c>
      <c r="I741" s="330">
        <v>1</v>
      </c>
      <c r="J741" s="330">
        <v>1</v>
      </c>
      <c r="K741" s="330">
        <v>1</v>
      </c>
      <c r="L741" s="330">
        <v>1</v>
      </c>
      <c r="M741" s="330">
        <v>1</v>
      </c>
      <c r="N741" s="330">
        <v>1</v>
      </c>
      <c r="O741" s="330">
        <v>1</v>
      </c>
      <c r="P741" s="330">
        <v>1</v>
      </c>
      <c r="Q741" s="330">
        <v>1</v>
      </c>
      <c r="R741" s="330">
        <v>1</v>
      </c>
      <c r="S741" s="330">
        <v>1</v>
      </c>
      <c r="T741" s="330">
        <v>1</v>
      </c>
      <c r="U741" s="330">
        <v>1</v>
      </c>
      <c r="V741" s="330">
        <v>1</v>
      </c>
      <c r="W741" s="330">
        <v>1</v>
      </c>
      <c r="X741" s="330">
        <v>1</v>
      </c>
      <c r="Y741" s="330">
        <v>1</v>
      </c>
      <c r="Z741" s="330">
        <v>1</v>
      </c>
      <c r="AA741" s="330">
        <v>1</v>
      </c>
      <c r="AB741" s="330">
        <v>1</v>
      </c>
      <c r="AC741" s="330">
        <v>1</v>
      </c>
      <c r="AD741" s="43"/>
      <c r="AE741" s="54">
        <f>SUM(F741:AC741)</f>
        <v>24</v>
      </c>
    </row>
    <row r="742" spans="1:31" outlineLevel="1" x14ac:dyDescent="0.2"/>
    <row r="743" spans="1:31" outlineLevel="1" x14ac:dyDescent="0.2">
      <c r="A743" s="48" t="str">
        <f>A665</f>
        <v>ВЗД</v>
      </c>
      <c r="B743" s="11" t="str">
        <f ca="1">Language!A$557</f>
        <v>Плановый расход на единицу продукции</v>
      </c>
      <c r="D743">
        <v>1</v>
      </c>
      <c r="E743">
        <v>1</v>
      </c>
    </row>
    <row r="744" spans="1:31" outlineLevel="1" x14ac:dyDescent="0.2">
      <c r="A744" s="273" t="s">
        <v>2839</v>
      </c>
      <c r="B744" s="286">
        <v>1</v>
      </c>
      <c r="C744" s="254" t="str">
        <f ca="1">Language!A$530</f>
        <v>ед.</v>
      </c>
      <c r="F744" s="330">
        <v>1</v>
      </c>
      <c r="G744" s="330">
        <v>1</v>
      </c>
      <c r="H744" s="330">
        <v>1</v>
      </c>
      <c r="I744" s="330">
        <v>1</v>
      </c>
      <c r="J744" s="330">
        <v>1</v>
      </c>
      <c r="K744" s="330">
        <v>1</v>
      </c>
      <c r="L744" s="330">
        <v>1</v>
      </c>
      <c r="M744" s="330">
        <v>1</v>
      </c>
      <c r="N744" s="330">
        <v>1</v>
      </c>
      <c r="O744" s="330">
        <v>1</v>
      </c>
      <c r="P744" s="330">
        <v>1</v>
      </c>
      <c r="Q744" s="330">
        <v>1</v>
      </c>
      <c r="R744" s="330">
        <v>1</v>
      </c>
      <c r="S744" s="330">
        <v>1</v>
      </c>
      <c r="T744" s="330">
        <v>1</v>
      </c>
      <c r="U744" s="330">
        <v>1</v>
      </c>
      <c r="V744" s="330">
        <v>1</v>
      </c>
      <c r="W744" s="330">
        <v>1</v>
      </c>
      <c r="X744" s="330">
        <v>1</v>
      </c>
      <c r="Y744" s="330">
        <v>1</v>
      </c>
      <c r="Z744" s="330">
        <v>1</v>
      </c>
      <c r="AA744" s="330">
        <v>1</v>
      </c>
      <c r="AB744" s="330">
        <v>1</v>
      </c>
      <c r="AC744" s="330">
        <v>1</v>
      </c>
      <c r="AD744" s="43"/>
      <c r="AE744" s="54">
        <f>SUM(F744:AC744)</f>
        <v>24</v>
      </c>
    </row>
    <row r="745" spans="1:31" outlineLevel="1" x14ac:dyDescent="0.2"/>
    <row r="746" spans="1:31" outlineLevel="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4"/>
    </row>
    <row r="747" spans="1:31" outlineLevel="1" x14ac:dyDescent="0.2"/>
    <row r="748" spans="1:31" s="4" customFormat="1" ht="15.95" customHeight="1" thickBot="1" x14ac:dyDescent="0.25">
      <c r="A748" s="165" t="str">
        <f ca="1">Language!A558</f>
        <v xml:space="preserve">         ЦЕНА СЫРЬЯ И МАТЕРИАЛОВ (за единицу, с НДС)</v>
      </c>
      <c r="B748" s="165"/>
      <c r="C748" s="165"/>
      <c r="D748" s="165"/>
      <c r="E748" s="165"/>
      <c r="F748" s="177" t="str">
        <f t="shared" ref="F748:AC748" ca="1" si="2139">PeriodTitle</f>
        <v>1 кв. 2016</v>
      </c>
      <c r="G748" s="177" t="str">
        <f t="shared" ca="1" si="2139"/>
        <v>2 кв. 2016</v>
      </c>
      <c r="H748" s="177" t="str">
        <f t="shared" ca="1" si="2139"/>
        <v>3 кв. 2016</v>
      </c>
      <c r="I748" s="177" t="str">
        <f t="shared" ca="1" si="2139"/>
        <v>4 кв. 2016</v>
      </c>
      <c r="J748" s="177" t="str">
        <f t="shared" ca="1" si="2139"/>
        <v>1 кв. 2017</v>
      </c>
      <c r="K748" s="177" t="str">
        <f t="shared" ca="1" si="2139"/>
        <v>2 кв. 2017</v>
      </c>
      <c r="L748" s="177" t="str">
        <f t="shared" ca="1" si="2139"/>
        <v>3 кв. 2017</v>
      </c>
      <c r="M748" s="177" t="str">
        <f t="shared" ca="1" si="2139"/>
        <v>4 кв. 2017</v>
      </c>
      <c r="N748" s="177" t="str">
        <f t="shared" ca="1" si="2139"/>
        <v>1 кв. 2018</v>
      </c>
      <c r="O748" s="177" t="str">
        <f t="shared" ca="1" si="2139"/>
        <v>2 кв. 2018</v>
      </c>
      <c r="P748" s="177" t="str">
        <f t="shared" ca="1" si="2139"/>
        <v>3 кв. 2018</v>
      </c>
      <c r="Q748" s="177" t="str">
        <f t="shared" ca="1" si="2139"/>
        <v>4 кв. 2018</v>
      </c>
      <c r="R748" s="177" t="str">
        <f t="shared" ca="1" si="2139"/>
        <v>1 кв. 2019</v>
      </c>
      <c r="S748" s="177" t="str">
        <f t="shared" ca="1" si="2139"/>
        <v>2 кв. 2019</v>
      </c>
      <c r="T748" s="177" t="str">
        <f t="shared" ca="1" si="2139"/>
        <v>3 кв. 2019</v>
      </c>
      <c r="U748" s="177" t="str">
        <f t="shared" ca="1" si="2139"/>
        <v>4 кв. 2019</v>
      </c>
      <c r="V748" s="177" t="str">
        <f t="shared" ca="1" si="2139"/>
        <v>1 кв. 2020</v>
      </c>
      <c r="W748" s="177" t="str">
        <f t="shared" ca="1" si="2139"/>
        <v>2 кв. 2020</v>
      </c>
      <c r="X748" s="177" t="str">
        <f t="shared" ca="1" si="2139"/>
        <v>3 кв. 2020</v>
      </c>
      <c r="Y748" s="177" t="str">
        <f t="shared" ca="1" si="2139"/>
        <v>4 кв. 2020</v>
      </c>
      <c r="Z748" s="177" t="str">
        <f t="shared" ca="1" si="2139"/>
        <v>1 кв. 2021</v>
      </c>
      <c r="AA748" s="177" t="str">
        <f t="shared" ca="1" si="2139"/>
        <v>2 кв. 2021</v>
      </c>
      <c r="AB748" s="177" t="str">
        <f t="shared" ca="1" si="2139"/>
        <v>3 кв. 2021</v>
      </c>
      <c r="AC748" s="177" t="str">
        <f t="shared" ca="1" si="2139"/>
        <v>4 кв. 2021</v>
      </c>
      <c r="AD748" s="165"/>
      <c r="AE748" s="194"/>
    </row>
    <row r="749" spans="1:31" ht="12" outlineLevel="1" thickTop="1" x14ac:dyDescent="0.2">
      <c r="D749">
        <v>1</v>
      </c>
      <c r="E749">
        <v>1</v>
      </c>
    </row>
    <row r="750" spans="1:31" outlineLevel="1" x14ac:dyDescent="0.2">
      <c r="A750" s="48" t="str">
        <f>A664</f>
        <v>Долота</v>
      </c>
      <c r="B750" s="36" t="str">
        <f ca="1">Language!A$73</f>
        <v>Валюта</v>
      </c>
      <c r="E750">
        <v>6</v>
      </c>
    </row>
    <row r="751" spans="1:31" outlineLevel="1" collapsed="1" x14ac:dyDescent="0.2">
      <c r="A751" s="11" t="str">
        <f>A741</f>
        <v>Сырье</v>
      </c>
      <c r="B751" s="254">
        <v>1</v>
      </c>
      <c r="C751" s="79" t="str">
        <f ca="1">CHOOSE(B751,CUR_Main,CUR_Foreign)</f>
        <v>тыс. EUR</v>
      </c>
      <c r="D751" s="46" t="s">
        <v>2429</v>
      </c>
      <c r="F751" s="285">
        <f>Расходники!B108/1000</f>
        <v>0</v>
      </c>
      <c r="G751" s="285">
        <f>Расходники!C108/1000</f>
        <v>0</v>
      </c>
      <c r="H751" s="285">
        <f>Расходники!D108/1000</f>
        <v>0</v>
      </c>
      <c r="I751" s="285">
        <f>Расходники!E108/1000</f>
        <v>0</v>
      </c>
      <c r="J751" s="285">
        <f>Расходники!F108/1000</f>
        <v>0</v>
      </c>
      <c r="K751" s="285">
        <f>Расходники!G108/1000</f>
        <v>581.99128181252672</v>
      </c>
      <c r="L751" s="285">
        <f>Расходники!H108/1000</f>
        <v>943.10777186565565</v>
      </c>
      <c r="M751" s="285">
        <f>Расходники!I108/1000</f>
        <v>1406.2013581718122</v>
      </c>
      <c r="N751" s="285">
        <f>Расходники!J108/1000</f>
        <v>1866.7705874004062</v>
      </c>
      <c r="O751" s="285">
        <f>Расходники!K108/1000</f>
        <v>1866.7705874004062</v>
      </c>
      <c r="P751" s="285">
        <f>Расходники!L108/1000</f>
        <v>1866.7705874004062</v>
      </c>
      <c r="Q751" s="285">
        <f>Расходники!M108/1000</f>
        <v>1866.7705874004062</v>
      </c>
      <c r="R751" s="285">
        <f>Расходники!N108/1000</f>
        <v>1866.7705874004062</v>
      </c>
      <c r="S751" s="285">
        <f>Расходники!O108/1000</f>
        <v>1866.7705874004062</v>
      </c>
      <c r="T751" s="285">
        <f>Расходники!P108/1000</f>
        <v>1866.7705874004062</v>
      </c>
      <c r="U751" s="285">
        <f>Расходники!Q108/1000</f>
        <v>1866.7705874004062</v>
      </c>
      <c r="V751" s="285">
        <f>Расходники!R108/1000</f>
        <v>1866.7705874004062</v>
      </c>
      <c r="W751" s="285">
        <f>Расходники!S108/1000</f>
        <v>1866.7705874004062</v>
      </c>
      <c r="X751" s="285">
        <f>Расходники!T108/1000</f>
        <v>1866.7705874004062</v>
      </c>
      <c r="Y751" s="285">
        <f>Расходники!U108/1000</f>
        <v>1866.7705874004062</v>
      </c>
      <c r="Z751" s="285">
        <f>Расходники!V108/1000</f>
        <v>1866.7705874004062</v>
      </c>
      <c r="AA751" s="285">
        <f>Расходники!W108/1000</f>
        <v>1866.7705874004062</v>
      </c>
      <c r="AB751" s="285">
        <f>Расходники!X108/1000</f>
        <v>1866.7705874004062</v>
      </c>
      <c r="AC751" s="285">
        <f>Расходники!Y108/1000</f>
        <v>1866.7705874004062</v>
      </c>
    </row>
    <row r="752" spans="1:31" hidden="1" outlineLevel="2" x14ac:dyDescent="0.2">
      <c r="A752" t="str">
        <f ca="1">Language!A$104</f>
        <v>Предполагаемый темп годового роста цен</v>
      </c>
      <c r="C752" s="5" t="s">
        <v>2430</v>
      </c>
      <c r="D752" s="16" t="s">
        <v>2429</v>
      </c>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row>
    <row r="753" spans="1:31" hidden="1" outlineLevel="2" x14ac:dyDescent="0.2">
      <c r="A753" t="str">
        <f ca="1">Language!A$106</f>
        <v>То же, в пересчете на период, равный шагу проекта</v>
      </c>
      <c r="C753" s="5" t="s">
        <v>2430</v>
      </c>
      <c r="D753" s="16" t="s">
        <v>2429</v>
      </c>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row>
    <row r="754" spans="1:31" hidden="1" outlineLevel="2" x14ac:dyDescent="0.2">
      <c r="A754" t="str">
        <f ca="1">Language!A$559</f>
        <v xml:space="preserve">    цена без НДС</v>
      </c>
      <c r="C754" s="5" t="str">
        <f ca="1">CHOOSE(B751,CUR_Main,CUR_Foreign)</f>
        <v>тыс. EUR</v>
      </c>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row>
    <row r="755" spans="1:31" hidden="1" outlineLevel="2" x14ac:dyDescent="0.2">
      <c r="A755" t="str">
        <f ca="1">Language!A$560</f>
        <v xml:space="preserve">    в том числе импортная пошлина</v>
      </c>
      <c r="B755" s="287">
        <v>0</v>
      </c>
      <c r="C755" s="5" t="str">
        <f ca="1">CHOOSE(B751,CUR_Main,CUR_Foreign)</f>
        <v>тыс. EUR</v>
      </c>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row>
    <row r="756" spans="1:31" hidden="1" outlineLevel="2" x14ac:dyDescent="0.2">
      <c r="A756" t="str">
        <f ca="1">Language!A$561</f>
        <v xml:space="preserve">    НДС</v>
      </c>
      <c r="B756" s="283">
        <f>VAT</f>
        <v>0.23</v>
      </c>
      <c r="C756" s="5" t="str">
        <f ca="1">CHOOSE(B751,CUR_Main,CUR_Foreign)</f>
        <v>тыс. EUR</v>
      </c>
      <c r="F756" s="285"/>
      <c r="G756" s="285"/>
      <c r="H756" s="285"/>
      <c r="I756" s="285"/>
      <c r="J756" s="285"/>
      <c r="K756" s="285"/>
      <c r="L756" s="285"/>
      <c r="M756" s="285"/>
      <c r="N756" s="285"/>
      <c r="O756" s="285"/>
      <c r="P756" s="285"/>
      <c r="Q756" s="285"/>
      <c r="R756" s="285"/>
      <c r="S756" s="285"/>
      <c r="T756" s="285"/>
      <c r="U756" s="285"/>
      <c r="V756" s="285"/>
      <c r="W756" s="285"/>
      <c r="X756" s="285"/>
      <c r="Y756" s="285"/>
      <c r="Z756" s="285"/>
      <c r="AA756" s="285"/>
      <c r="AB756" s="285"/>
      <c r="AC756" s="285"/>
    </row>
    <row r="757" spans="1:31" outlineLevel="1" x14ac:dyDescent="0.2"/>
    <row r="758" spans="1:31" outlineLevel="1" x14ac:dyDescent="0.2">
      <c r="A758" s="48" t="str">
        <f>A665</f>
        <v>ВЗД</v>
      </c>
      <c r="B758" s="36" t="str">
        <f ca="1">Language!A$73</f>
        <v>Валюта</v>
      </c>
      <c r="E758">
        <v>6</v>
      </c>
    </row>
    <row r="759" spans="1:31" outlineLevel="1" collapsed="1" x14ac:dyDescent="0.2">
      <c r="A759" s="11" t="str">
        <f>A744</f>
        <v>Сырье</v>
      </c>
      <c r="B759" s="254">
        <v>1</v>
      </c>
      <c r="C759" s="79" t="str">
        <f ca="1">CHOOSE(B759,CUR_Main,CUR_Foreign)</f>
        <v>тыс. EUR</v>
      </c>
      <c r="D759" s="46" t="s">
        <v>2429</v>
      </c>
      <c r="F759" s="285">
        <f>Расходники!B132/1000</f>
        <v>0</v>
      </c>
      <c r="G759" s="285">
        <f>Расходники!C132/1000</f>
        <v>0</v>
      </c>
      <c r="H759" s="285">
        <f>Расходники!D132/1000</f>
        <v>0</v>
      </c>
      <c r="I759" s="285">
        <f>Расходники!E132/1000</f>
        <v>0</v>
      </c>
      <c r="J759" s="285">
        <f>Расходники!F132/1000</f>
        <v>0</v>
      </c>
      <c r="K759" s="285">
        <f>Расходники!G132/1000</f>
        <v>0</v>
      </c>
      <c r="L759" s="285">
        <f>Расходники!H132/1000</f>
        <v>1328.8066488405095</v>
      </c>
      <c r="M759" s="285">
        <f>Расходники!I132/1000</f>
        <v>2243.1956824081649</v>
      </c>
      <c r="N759" s="285">
        <f>Расходники!J132/1000</f>
        <v>3343.5533345239824</v>
      </c>
      <c r="O759" s="285">
        <f>Расходники!K132/1000</f>
        <v>4423.1233770090666</v>
      </c>
      <c r="P759" s="285">
        <f>Расходники!L132/1000</f>
        <v>4423.1233770090666</v>
      </c>
      <c r="Q759" s="285">
        <f>Расходники!M132/1000</f>
        <v>4423.1233770090666</v>
      </c>
      <c r="R759" s="285">
        <f>Расходники!N132/1000</f>
        <v>4423.1233770090666</v>
      </c>
      <c r="S759" s="285">
        <f>Расходники!O132/1000</f>
        <v>4423.1233770090666</v>
      </c>
      <c r="T759" s="285">
        <f>Расходники!P132/1000</f>
        <v>4423.1233770090666</v>
      </c>
      <c r="U759" s="285">
        <f>Расходники!Q132/1000</f>
        <v>4423.1233770090666</v>
      </c>
      <c r="V759" s="285">
        <f>Расходники!R132/1000</f>
        <v>4423.1233770090666</v>
      </c>
      <c r="W759" s="285">
        <f>Расходники!S132/1000</f>
        <v>4423.1233770090666</v>
      </c>
      <c r="X759" s="285">
        <f>Расходники!T132/1000</f>
        <v>4423.1233770090666</v>
      </c>
      <c r="Y759" s="285">
        <f>Расходники!U132/1000</f>
        <v>4423.1233770090666</v>
      </c>
      <c r="Z759" s="285">
        <f>Расходники!V132/1000</f>
        <v>4423.1233770090666</v>
      </c>
      <c r="AA759" s="285">
        <f>Расходники!W132/1000</f>
        <v>4423.1233770090666</v>
      </c>
      <c r="AB759" s="285">
        <f>Расходники!X132/1000</f>
        <v>4423.1233770090666</v>
      </c>
      <c r="AC759" s="285">
        <f>Расходники!Y132/1000</f>
        <v>4423.1233770090666</v>
      </c>
    </row>
    <row r="760" spans="1:31" hidden="1" outlineLevel="2" x14ac:dyDescent="0.2">
      <c r="A760" t="str">
        <f ca="1">Language!A$104</f>
        <v>Предполагаемый темп годового роста цен</v>
      </c>
      <c r="C760" s="5" t="s">
        <v>2430</v>
      </c>
      <c r="D760" s="16" t="s">
        <v>2429</v>
      </c>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row>
    <row r="761" spans="1:31" hidden="1" outlineLevel="2" x14ac:dyDescent="0.2">
      <c r="A761" t="str">
        <f ca="1">Language!A$106</f>
        <v>То же, в пересчете на период, равный шагу проекта</v>
      </c>
      <c r="C761" s="5" t="s">
        <v>2430</v>
      </c>
      <c r="D761" s="16" t="s">
        <v>2429</v>
      </c>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row>
    <row r="762" spans="1:31" hidden="1" outlineLevel="2" x14ac:dyDescent="0.2">
      <c r="A762" t="str">
        <f ca="1">Language!A$559</f>
        <v xml:space="preserve">    цена без НДС</v>
      </c>
      <c r="C762" s="5" t="str">
        <f ca="1">CHOOSE(B759,CUR_Main,CUR_Foreign)</f>
        <v>тыс. EUR</v>
      </c>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row>
    <row r="763" spans="1:31" hidden="1" outlineLevel="2" x14ac:dyDescent="0.2">
      <c r="A763" t="str">
        <f ca="1">Language!A$560</f>
        <v xml:space="preserve">    в том числе импортная пошлина</v>
      </c>
      <c r="B763" s="287">
        <v>0</v>
      </c>
      <c r="C763" s="5" t="str">
        <f ca="1">CHOOSE(B759,CUR_Main,CUR_Foreign)</f>
        <v>тыс. EUR</v>
      </c>
      <c r="F763" s="285"/>
      <c r="G763" s="285"/>
      <c r="H763" s="285"/>
      <c r="I763" s="285"/>
      <c r="J763" s="285"/>
      <c r="K763" s="285"/>
      <c r="L763" s="285"/>
      <c r="M763" s="285"/>
      <c r="N763" s="285"/>
      <c r="O763" s="285"/>
      <c r="P763" s="285"/>
      <c r="Q763" s="285"/>
      <c r="R763" s="285"/>
      <c r="S763" s="285"/>
      <c r="T763" s="285"/>
      <c r="U763" s="285"/>
      <c r="V763" s="285"/>
      <c r="W763" s="285"/>
      <c r="X763" s="285"/>
      <c r="Y763" s="285"/>
      <c r="Z763" s="285"/>
      <c r="AA763" s="285"/>
      <c r="AB763" s="285"/>
      <c r="AC763" s="285"/>
    </row>
    <row r="764" spans="1:31" hidden="1" outlineLevel="2" x14ac:dyDescent="0.2">
      <c r="A764" t="str">
        <f ca="1">Language!A$561</f>
        <v xml:space="preserve">    НДС</v>
      </c>
      <c r="B764" s="283">
        <f>VAT</f>
        <v>0.23</v>
      </c>
      <c r="C764" s="5" t="str">
        <f ca="1">CHOOSE(B759,CUR_Main,CUR_Foreign)</f>
        <v>тыс. EUR</v>
      </c>
      <c r="F764" s="285"/>
      <c r="G764" s="285"/>
      <c r="H764" s="285"/>
      <c r="I764" s="285"/>
      <c r="J764" s="285"/>
      <c r="K764" s="285"/>
      <c r="L764" s="285"/>
      <c r="M764" s="285"/>
      <c r="N764" s="285"/>
      <c r="O764" s="285"/>
      <c r="P764" s="285"/>
      <c r="Q764" s="285"/>
      <c r="R764" s="285"/>
      <c r="S764" s="285"/>
      <c r="T764" s="285"/>
      <c r="U764" s="285"/>
      <c r="V764" s="285"/>
      <c r="W764" s="285"/>
      <c r="X764" s="285"/>
      <c r="Y764" s="285"/>
      <c r="Z764" s="285"/>
      <c r="AA764" s="285"/>
      <c r="AB764" s="285"/>
      <c r="AC764" s="285"/>
    </row>
    <row r="765" spans="1:31" outlineLevel="1" x14ac:dyDescent="0.2"/>
    <row r="766" spans="1:31" outlineLevel="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4"/>
    </row>
    <row r="767" spans="1:31" outlineLevel="1" x14ac:dyDescent="0.2"/>
    <row r="768" spans="1:31" s="4" customFormat="1" ht="15.95" customHeight="1" thickBot="1" x14ac:dyDescent="0.25">
      <c r="A768" s="165" t="str">
        <f ca="1">Language!A562</f>
        <v xml:space="preserve">         ЗАТРАТЫ НА СЫРЬЕ И МАТЕРИАЛЫ</v>
      </c>
      <c r="B768" s="165"/>
      <c r="C768" s="165"/>
      <c r="D768" s="165"/>
      <c r="E768" s="165"/>
      <c r="F768" s="177" t="str">
        <f t="shared" ref="F768:AC768" ca="1" si="2140">PeriodTitle</f>
        <v>1 кв. 2016</v>
      </c>
      <c r="G768" s="177" t="str">
        <f t="shared" ca="1" si="2140"/>
        <v>2 кв. 2016</v>
      </c>
      <c r="H768" s="177" t="str">
        <f t="shared" ca="1" si="2140"/>
        <v>3 кв. 2016</v>
      </c>
      <c r="I768" s="177" t="str">
        <f t="shared" ca="1" si="2140"/>
        <v>4 кв. 2016</v>
      </c>
      <c r="J768" s="177" t="str">
        <f t="shared" ca="1" si="2140"/>
        <v>1 кв. 2017</v>
      </c>
      <c r="K768" s="177" t="str">
        <f t="shared" ca="1" si="2140"/>
        <v>2 кв. 2017</v>
      </c>
      <c r="L768" s="177" t="str">
        <f t="shared" ca="1" si="2140"/>
        <v>3 кв. 2017</v>
      </c>
      <c r="M768" s="177" t="str">
        <f t="shared" ca="1" si="2140"/>
        <v>4 кв. 2017</v>
      </c>
      <c r="N768" s="177" t="str">
        <f t="shared" ca="1" si="2140"/>
        <v>1 кв. 2018</v>
      </c>
      <c r="O768" s="177" t="str">
        <f t="shared" ca="1" si="2140"/>
        <v>2 кв. 2018</v>
      </c>
      <c r="P768" s="177" t="str">
        <f t="shared" ca="1" si="2140"/>
        <v>3 кв. 2018</v>
      </c>
      <c r="Q768" s="177" t="str">
        <f t="shared" ca="1" si="2140"/>
        <v>4 кв. 2018</v>
      </c>
      <c r="R768" s="177" t="str">
        <f t="shared" ca="1" si="2140"/>
        <v>1 кв. 2019</v>
      </c>
      <c r="S768" s="177" t="str">
        <f t="shared" ca="1" si="2140"/>
        <v>2 кв. 2019</v>
      </c>
      <c r="T768" s="177" t="str">
        <f t="shared" ca="1" si="2140"/>
        <v>3 кв. 2019</v>
      </c>
      <c r="U768" s="177" t="str">
        <f t="shared" ca="1" si="2140"/>
        <v>4 кв. 2019</v>
      </c>
      <c r="V768" s="177" t="str">
        <f t="shared" ca="1" si="2140"/>
        <v>1 кв. 2020</v>
      </c>
      <c r="W768" s="177" t="str">
        <f t="shared" ca="1" si="2140"/>
        <v>2 кв. 2020</v>
      </c>
      <c r="X768" s="177" t="str">
        <f t="shared" ca="1" si="2140"/>
        <v>3 кв. 2020</v>
      </c>
      <c r="Y768" s="177" t="str">
        <f t="shared" ca="1" si="2140"/>
        <v>4 кв. 2020</v>
      </c>
      <c r="Z768" s="177" t="str">
        <f t="shared" ca="1" si="2140"/>
        <v>1 кв. 2021</v>
      </c>
      <c r="AA768" s="177" t="str">
        <f t="shared" ca="1" si="2140"/>
        <v>2 кв. 2021</v>
      </c>
      <c r="AB768" s="177" t="str">
        <f t="shared" ca="1" si="2140"/>
        <v>3 кв. 2021</v>
      </c>
      <c r="AC768" s="177" t="str">
        <f t="shared" ca="1" si="2140"/>
        <v>4 кв. 2021</v>
      </c>
      <c r="AD768" s="165"/>
      <c r="AE768" s="194" t="str">
        <f ca="1">Language!$A$372</f>
        <v>ИТОГО</v>
      </c>
    </row>
    <row r="769" spans="1:31" ht="12" outlineLevel="1" thickTop="1" x14ac:dyDescent="0.2">
      <c r="D769">
        <v>1</v>
      </c>
      <c r="E769">
        <v>1</v>
      </c>
    </row>
    <row r="770" spans="1:31" outlineLevel="1" x14ac:dyDescent="0.2">
      <c r="A770" s="48" t="str">
        <f>A664</f>
        <v>Долота</v>
      </c>
      <c r="C770" s="5" t="str">
        <f ca="1">CUR_Main</f>
        <v>тыс. EUR</v>
      </c>
      <c r="E770">
        <v>15</v>
      </c>
      <c r="F770" s="43">
        <f t="shared" ref="F770:X770" si="2141">SUMIF($D770:$D786,"*1_00*",F770:F786)+SUMIF($D770:$D786,"*2_00*",F770:F786)*F$88</f>
        <v>0</v>
      </c>
      <c r="G770" s="43">
        <f t="shared" si="2141"/>
        <v>0</v>
      </c>
      <c r="H770" s="43">
        <f t="shared" si="2141"/>
        <v>0</v>
      </c>
      <c r="I770" s="43">
        <f t="shared" si="2141"/>
        <v>0</v>
      </c>
      <c r="J770" s="43">
        <f t="shared" si="2141"/>
        <v>0</v>
      </c>
      <c r="K770" s="43">
        <f t="shared" si="2141"/>
        <v>581.99128181252672</v>
      </c>
      <c r="L770" s="43">
        <f t="shared" si="2141"/>
        <v>943.10777186565565</v>
      </c>
      <c r="M770" s="43">
        <f t="shared" si="2141"/>
        <v>1406.2013581718122</v>
      </c>
      <c r="N770" s="43">
        <f t="shared" si="2141"/>
        <v>1866.7705874004062</v>
      </c>
      <c r="O770" s="43">
        <f t="shared" si="2141"/>
        <v>1866.7705874004062</v>
      </c>
      <c r="P770" s="43">
        <f t="shared" si="2141"/>
        <v>1866.7705874004062</v>
      </c>
      <c r="Q770" s="43">
        <f t="shared" si="2141"/>
        <v>1866.7705874004062</v>
      </c>
      <c r="R770" s="43">
        <f t="shared" si="2141"/>
        <v>1866.7705874004062</v>
      </c>
      <c r="S770" s="43">
        <f t="shared" si="2141"/>
        <v>1866.7705874004062</v>
      </c>
      <c r="T770" s="43">
        <f t="shared" si="2141"/>
        <v>1866.7705874004062</v>
      </c>
      <c r="U770" s="43">
        <f t="shared" si="2141"/>
        <v>1866.7705874004062</v>
      </c>
      <c r="V770" s="43">
        <f t="shared" si="2141"/>
        <v>1866.7705874004062</v>
      </c>
      <c r="W770" s="43">
        <f t="shared" si="2141"/>
        <v>1866.7705874004062</v>
      </c>
      <c r="X770" s="43">
        <f t="shared" si="2141"/>
        <v>1866.7705874004062</v>
      </c>
      <c r="Y770" s="43">
        <f t="shared" ref="Y770" si="2142">SUMIF($D770:$D786,"*1_00*",Y770:Y786)+SUMIF($D770:$D786,"*2_00*",Y770:Y786)*Y$88</f>
        <v>1866.7705874004062</v>
      </c>
      <c r="Z770" s="43">
        <f t="shared" ref="Z770" si="2143">SUMIF($D770:$D786,"*1_00*",Z770:Z786)+SUMIF($D770:$D786,"*2_00*",Z770:Z786)*Z$88</f>
        <v>1866.7705874004062</v>
      </c>
      <c r="AA770" s="43">
        <f t="shared" ref="AA770" si="2144">SUMIF($D770:$D786,"*1_00*",AA770:AA786)+SUMIF($D770:$D786,"*2_00*",AA770:AA786)*AA$88</f>
        <v>1866.7705874004062</v>
      </c>
      <c r="AB770" s="43">
        <f t="shared" ref="AB770:AC770" si="2145">SUMIF($D770:$D786,"*1_00*",AB770:AB786)+SUMIF($D770:$D786,"*2_00*",AB770:AB786)*AB$88</f>
        <v>1866.7705874004062</v>
      </c>
      <c r="AC770" s="43">
        <f t="shared" si="2145"/>
        <v>1866.7705874004062</v>
      </c>
      <c r="AE770" s="54">
        <f>SUM(F770:AC770)</f>
        <v>32799.629810256491</v>
      </c>
    </row>
    <row r="771" spans="1:31" outlineLevel="1" collapsed="1" x14ac:dyDescent="0.2">
      <c r="A771" s="11" t="str">
        <f>A741</f>
        <v>Сырье</v>
      </c>
      <c r="C771" s="5" t="str">
        <f ca="1">CHOOSE(B751,CUR_Main,CUR_Foreign)</f>
        <v>тыс. EUR</v>
      </c>
      <c r="D771" s="16" t="str">
        <f>TEXT(B751,"0")&amp;"_00"</f>
        <v>1_00</v>
      </c>
      <c r="F771" s="53">
        <f t="shared" ref="F771:X771" si="2146">F741*F751</f>
        <v>0</v>
      </c>
      <c r="G771" s="53">
        <f t="shared" si="2146"/>
        <v>0</v>
      </c>
      <c r="H771" s="53">
        <f t="shared" si="2146"/>
        <v>0</v>
      </c>
      <c r="I771" s="53">
        <f t="shared" si="2146"/>
        <v>0</v>
      </c>
      <c r="J771" s="53">
        <f t="shared" si="2146"/>
        <v>0</v>
      </c>
      <c r="K771" s="53">
        <f t="shared" si="2146"/>
        <v>581.99128181252672</v>
      </c>
      <c r="L771" s="53">
        <f t="shared" si="2146"/>
        <v>943.10777186565565</v>
      </c>
      <c r="M771" s="53">
        <f t="shared" si="2146"/>
        <v>1406.2013581718122</v>
      </c>
      <c r="N771" s="53">
        <f t="shared" si="2146"/>
        <v>1866.7705874004062</v>
      </c>
      <c r="O771" s="53">
        <f t="shared" si="2146"/>
        <v>1866.7705874004062</v>
      </c>
      <c r="P771" s="53">
        <f t="shared" si="2146"/>
        <v>1866.7705874004062</v>
      </c>
      <c r="Q771" s="53">
        <f t="shared" si="2146"/>
        <v>1866.7705874004062</v>
      </c>
      <c r="R771" s="53">
        <f t="shared" si="2146"/>
        <v>1866.7705874004062</v>
      </c>
      <c r="S771" s="53">
        <f t="shared" si="2146"/>
        <v>1866.7705874004062</v>
      </c>
      <c r="T771" s="53">
        <f t="shared" si="2146"/>
        <v>1866.7705874004062</v>
      </c>
      <c r="U771" s="53">
        <f t="shared" si="2146"/>
        <v>1866.7705874004062</v>
      </c>
      <c r="V771" s="53">
        <f t="shared" si="2146"/>
        <v>1866.7705874004062</v>
      </c>
      <c r="W771" s="53">
        <f t="shared" si="2146"/>
        <v>1866.7705874004062</v>
      </c>
      <c r="X771" s="53">
        <f t="shared" si="2146"/>
        <v>1866.7705874004062</v>
      </c>
      <c r="Y771" s="53">
        <f t="shared" ref="Y771" si="2147">Y741*Y751</f>
        <v>1866.7705874004062</v>
      </c>
      <c r="Z771" s="53">
        <f t="shared" ref="Z771" si="2148">Z741*Z751</f>
        <v>1866.7705874004062</v>
      </c>
      <c r="AA771" s="53">
        <f t="shared" ref="AA771" si="2149">AA741*AA751</f>
        <v>1866.7705874004062</v>
      </c>
      <c r="AB771" s="53">
        <f t="shared" ref="AB771:AC771" si="2150">AB741*AB751</f>
        <v>1866.7705874004062</v>
      </c>
      <c r="AC771" s="53">
        <f t="shared" si="2150"/>
        <v>1866.7705874004062</v>
      </c>
      <c r="AE771" s="54">
        <f>SUM(F771:AC771)</f>
        <v>32799.629810256491</v>
      </c>
    </row>
    <row r="772" spans="1:31" hidden="1" outlineLevel="2" x14ac:dyDescent="0.2">
      <c r="A772" t="str">
        <f ca="1">Language!A$563</f>
        <v xml:space="preserve">    среднее время хранения</v>
      </c>
      <c r="B772" s="254">
        <f>NWC_T_Mat</f>
        <v>0</v>
      </c>
      <c r="C772" s="5" t="str">
        <f ca="1">Language!A$38</f>
        <v>дн.</v>
      </c>
      <c r="D772" s="16"/>
      <c r="F772" s="53"/>
      <c r="G772" s="53"/>
      <c r="H772" s="53"/>
      <c r="I772" s="53"/>
      <c r="J772" s="53"/>
      <c r="K772" s="53"/>
      <c r="L772" s="53"/>
      <c r="M772" s="53"/>
      <c r="N772" s="53"/>
      <c r="O772" s="53"/>
      <c r="P772" s="53"/>
      <c r="Q772" s="53"/>
      <c r="R772" s="53"/>
      <c r="S772" s="53"/>
      <c r="T772" s="53"/>
      <c r="U772" s="53"/>
      <c r="V772" s="53"/>
      <c r="W772" s="53"/>
      <c r="X772" s="53"/>
      <c r="Y772" s="53"/>
      <c r="Z772" s="53"/>
      <c r="AA772" s="53"/>
      <c r="AB772" s="53"/>
      <c r="AC772" s="53"/>
      <c r="AE772" s="57"/>
    </row>
    <row r="773" spans="1:31" hidden="1" outlineLevel="2" x14ac:dyDescent="0.2">
      <c r="A773" t="str">
        <f ca="1">Language!A$564</f>
        <v xml:space="preserve">    затраты на сырье и материалы без НДС</v>
      </c>
      <c r="C773" s="5" t="str">
        <f ca="1">CHOOSE(B751,CUR_Main,CUR_Foreign)</f>
        <v>тыс. EUR</v>
      </c>
      <c r="D773" t="str">
        <f>TEXT(B751,"0")&amp;"_01"</f>
        <v>1_01</v>
      </c>
      <c r="F773" s="53">
        <f t="shared" ref="F773:X773" si="2151">F771/(1+$B756)</f>
        <v>0</v>
      </c>
      <c r="G773" s="53">
        <f t="shared" si="2151"/>
        <v>0</v>
      </c>
      <c r="H773" s="53">
        <f t="shared" si="2151"/>
        <v>0</v>
      </c>
      <c r="I773" s="53">
        <f t="shared" si="2151"/>
        <v>0</v>
      </c>
      <c r="J773" s="53">
        <f t="shared" si="2151"/>
        <v>0</v>
      </c>
      <c r="K773" s="53">
        <f t="shared" si="2151"/>
        <v>473.16364375002172</v>
      </c>
      <c r="L773" s="53">
        <f t="shared" si="2151"/>
        <v>766.75428606963874</v>
      </c>
      <c r="M773" s="53">
        <f t="shared" si="2151"/>
        <v>1143.2531367250506</v>
      </c>
      <c r="N773" s="53">
        <f t="shared" si="2151"/>
        <v>1517.6996645531758</v>
      </c>
      <c r="O773" s="53">
        <f t="shared" si="2151"/>
        <v>1517.6996645531758</v>
      </c>
      <c r="P773" s="53">
        <f t="shared" si="2151"/>
        <v>1517.6996645531758</v>
      </c>
      <c r="Q773" s="53">
        <f t="shared" si="2151"/>
        <v>1517.6996645531758</v>
      </c>
      <c r="R773" s="53">
        <f t="shared" si="2151"/>
        <v>1517.6996645531758</v>
      </c>
      <c r="S773" s="53">
        <f t="shared" si="2151"/>
        <v>1517.6996645531758</v>
      </c>
      <c r="T773" s="53">
        <f t="shared" si="2151"/>
        <v>1517.6996645531758</v>
      </c>
      <c r="U773" s="53">
        <f t="shared" si="2151"/>
        <v>1517.6996645531758</v>
      </c>
      <c r="V773" s="53">
        <f t="shared" si="2151"/>
        <v>1517.6996645531758</v>
      </c>
      <c r="W773" s="53">
        <f t="shared" si="2151"/>
        <v>1517.6996645531758</v>
      </c>
      <c r="X773" s="53">
        <f t="shared" si="2151"/>
        <v>1517.6996645531758</v>
      </c>
      <c r="Y773" s="53">
        <f t="shared" ref="Y773" si="2152">Y771/(1+$B756)</f>
        <v>1517.6996645531758</v>
      </c>
      <c r="Z773" s="53">
        <f t="shared" ref="Z773" si="2153">Z771/(1+$B756)</f>
        <v>1517.6996645531758</v>
      </c>
      <c r="AA773" s="53">
        <f t="shared" ref="AA773" si="2154">AA771/(1+$B756)</f>
        <v>1517.6996645531758</v>
      </c>
      <c r="AB773" s="53">
        <f t="shared" ref="AB773:AC773" si="2155">AB771/(1+$B756)</f>
        <v>1517.6996645531758</v>
      </c>
      <c r="AC773" s="53">
        <f t="shared" si="2155"/>
        <v>1517.6996645531758</v>
      </c>
      <c r="AE773" s="54">
        <f>SUM(F773:AC773)</f>
        <v>26666.36569939553</v>
      </c>
    </row>
    <row r="774" spans="1:31" hidden="1" outlineLevel="2" x14ac:dyDescent="0.2">
      <c r="A774" t="str">
        <f ca="1">Language!A$565</f>
        <v xml:space="preserve">    в том числе импортная пошлина</v>
      </c>
      <c r="C774" s="5" t="str">
        <f ca="1">CHOOSE(B751,CUR_Main,CUR_Foreign)</f>
        <v>тыс. EUR</v>
      </c>
      <c r="D774" t="str">
        <f>TEXT(B751,"0")&amp;"_02"</f>
        <v>1_02</v>
      </c>
      <c r="F774" s="53">
        <f t="shared" ref="F774:X774" si="2156">F773/(1+$B755)*$B755</f>
        <v>0</v>
      </c>
      <c r="G774" s="53">
        <f t="shared" si="2156"/>
        <v>0</v>
      </c>
      <c r="H774" s="53">
        <f t="shared" si="2156"/>
        <v>0</v>
      </c>
      <c r="I774" s="53">
        <f t="shared" si="2156"/>
        <v>0</v>
      </c>
      <c r="J774" s="53">
        <f t="shared" si="2156"/>
        <v>0</v>
      </c>
      <c r="K774" s="53">
        <f t="shared" si="2156"/>
        <v>0</v>
      </c>
      <c r="L774" s="53">
        <f t="shared" si="2156"/>
        <v>0</v>
      </c>
      <c r="M774" s="53">
        <f t="shared" si="2156"/>
        <v>0</v>
      </c>
      <c r="N774" s="53">
        <f t="shared" si="2156"/>
        <v>0</v>
      </c>
      <c r="O774" s="53">
        <f t="shared" si="2156"/>
        <v>0</v>
      </c>
      <c r="P774" s="53">
        <f t="shared" si="2156"/>
        <v>0</v>
      </c>
      <c r="Q774" s="53">
        <f t="shared" si="2156"/>
        <v>0</v>
      </c>
      <c r="R774" s="53">
        <f t="shared" si="2156"/>
        <v>0</v>
      </c>
      <c r="S774" s="53">
        <f t="shared" si="2156"/>
        <v>0</v>
      </c>
      <c r="T774" s="53">
        <f t="shared" si="2156"/>
        <v>0</v>
      </c>
      <c r="U774" s="53">
        <f t="shared" si="2156"/>
        <v>0</v>
      </c>
      <c r="V774" s="53">
        <f t="shared" si="2156"/>
        <v>0</v>
      </c>
      <c r="W774" s="53">
        <f t="shared" si="2156"/>
        <v>0</v>
      </c>
      <c r="X774" s="53">
        <f t="shared" si="2156"/>
        <v>0</v>
      </c>
      <c r="Y774" s="53">
        <f t="shared" ref="Y774" si="2157">Y773/(1+$B755)*$B755</f>
        <v>0</v>
      </c>
      <c r="Z774" s="53">
        <f t="shared" ref="Z774" si="2158">Z773/(1+$B755)*$B755</f>
        <v>0</v>
      </c>
      <c r="AA774" s="53">
        <f t="shared" ref="AA774" si="2159">AA773/(1+$B755)*$B755</f>
        <v>0</v>
      </c>
      <c r="AB774" s="53">
        <f t="shared" ref="AB774:AC774" si="2160">AB773/(1+$B755)*$B755</f>
        <v>0</v>
      </c>
      <c r="AC774" s="53">
        <f t="shared" si="2160"/>
        <v>0</v>
      </c>
      <c r="AE774" s="54">
        <f>SUM(F774:AC774)</f>
        <v>0</v>
      </c>
    </row>
    <row r="775" spans="1:31" hidden="1" outlineLevel="2" x14ac:dyDescent="0.2">
      <c r="A775" t="str">
        <f ca="1">Language!A$566</f>
        <v xml:space="preserve">    закуплено сырья и материалов на сумму (без НДС)</v>
      </c>
      <c r="C775" s="5" t="str">
        <f ca="1">CHOOSE(B751,CUR_Main,CUR_Foreign)</f>
        <v>тыс. EUR</v>
      </c>
      <c r="D775" t="str">
        <f>TEXT(B751,"0")&amp;"_03"</f>
        <v>1_03</v>
      </c>
      <c r="F775" s="269">
        <f t="shared" ref="F775:T775" si="2161">F773</f>
        <v>0</v>
      </c>
      <c r="G775" s="269">
        <f t="shared" si="2161"/>
        <v>0</v>
      </c>
      <c r="H775" s="269">
        <f t="shared" si="2161"/>
        <v>0</v>
      </c>
      <c r="I775" s="269">
        <f t="shared" si="2161"/>
        <v>0</v>
      </c>
      <c r="J775" s="269">
        <f t="shared" si="2161"/>
        <v>0</v>
      </c>
      <c r="K775" s="269">
        <f t="shared" si="2161"/>
        <v>473.16364375002172</v>
      </c>
      <c r="L775" s="269">
        <f t="shared" si="2161"/>
        <v>766.75428606963874</v>
      </c>
      <c r="M775" s="269">
        <f t="shared" si="2161"/>
        <v>1143.2531367250506</v>
      </c>
      <c r="N775" s="269">
        <f t="shared" si="2161"/>
        <v>1517.6996645531758</v>
      </c>
      <c r="O775" s="269">
        <f t="shared" si="2161"/>
        <v>1517.6996645531758</v>
      </c>
      <c r="P775" s="269">
        <f t="shared" si="2161"/>
        <v>1517.6996645531758</v>
      </c>
      <c r="Q775" s="269">
        <f t="shared" si="2161"/>
        <v>1517.6996645531758</v>
      </c>
      <c r="R775" s="269">
        <f t="shared" si="2161"/>
        <v>1517.6996645531758</v>
      </c>
      <c r="S775" s="269">
        <f t="shared" si="2161"/>
        <v>1517.6996645531758</v>
      </c>
      <c r="T775" s="269">
        <f t="shared" si="2161"/>
        <v>1517.6996645531758</v>
      </c>
      <c r="U775" s="269">
        <f t="shared" ref="U775" si="2162">U773</f>
        <v>1517.6996645531758</v>
      </c>
      <c r="V775" s="269">
        <f t="shared" ref="V775" si="2163">V773</f>
        <v>1517.6996645531758</v>
      </c>
      <c r="W775" s="269">
        <f t="shared" ref="W775" si="2164">W773</f>
        <v>1517.6996645531758</v>
      </c>
      <c r="X775" s="269">
        <f t="shared" ref="X775" si="2165">X773</f>
        <v>1517.6996645531758</v>
      </c>
      <c r="Y775" s="269">
        <f t="shared" ref="Y775" si="2166">Y773</f>
        <v>1517.6996645531758</v>
      </c>
      <c r="Z775" s="269">
        <f t="shared" ref="Z775" si="2167">Z773</f>
        <v>1517.6996645531758</v>
      </c>
      <c r="AA775" s="269">
        <f t="shared" ref="AA775" si="2168">AA773</f>
        <v>1517.6996645531758</v>
      </c>
      <c r="AB775" s="269">
        <f t="shared" ref="AB775:AC775" si="2169">AB773</f>
        <v>1517.6996645531758</v>
      </c>
      <c r="AC775" s="269">
        <f t="shared" si="2169"/>
        <v>1517.6996645531758</v>
      </c>
      <c r="AE775" s="54">
        <f>SUM(F775:AC775)</f>
        <v>26666.36569939553</v>
      </c>
    </row>
    <row r="776" spans="1:31" hidden="1" outlineLevel="2" x14ac:dyDescent="0.2">
      <c r="A776" t="str">
        <f ca="1">Language!A$570</f>
        <v xml:space="preserve">    оплачено сырья и материалов (без НДС)</v>
      </c>
      <c r="C776" s="5" t="str">
        <f ca="1">CHOOSE(B751,CUR_Main,CUR_Foreign)</f>
        <v>тыс. EUR</v>
      </c>
      <c r="D776" t="str">
        <f>TEXT(B751,"0")&amp;"_06"</f>
        <v>1_06</v>
      </c>
      <c r="F776" s="269">
        <f t="shared" ref="F776:T776" si="2170">F775</f>
        <v>0</v>
      </c>
      <c r="G776" s="269">
        <f t="shared" si="2170"/>
        <v>0</v>
      </c>
      <c r="H776" s="269">
        <f t="shared" si="2170"/>
        <v>0</v>
      </c>
      <c r="I776" s="269">
        <f t="shared" si="2170"/>
        <v>0</v>
      </c>
      <c r="J776" s="269">
        <f t="shared" si="2170"/>
        <v>0</v>
      </c>
      <c r="K776" s="269">
        <f t="shared" si="2170"/>
        <v>473.16364375002172</v>
      </c>
      <c r="L776" s="269">
        <f t="shared" si="2170"/>
        <v>766.75428606963874</v>
      </c>
      <c r="M776" s="269">
        <f t="shared" si="2170"/>
        <v>1143.2531367250506</v>
      </c>
      <c r="N776" s="269">
        <f t="shared" si="2170"/>
        <v>1517.6996645531758</v>
      </c>
      <c r="O776" s="269">
        <f t="shared" si="2170"/>
        <v>1517.6996645531758</v>
      </c>
      <c r="P776" s="269">
        <f t="shared" si="2170"/>
        <v>1517.6996645531758</v>
      </c>
      <c r="Q776" s="269">
        <f t="shared" si="2170"/>
        <v>1517.6996645531758</v>
      </c>
      <c r="R776" s="269">
        <f t="shared" si="2170"/>
        <v>1517.6996645531758</v>
      </c>
      <c r="S776" s="269">
        <f t="shared" si="2170"/>
        <v>1517.6996645531758</v>
      </c>
      <c r="T776" s="269">
        <f t="shared" si="2170"/>
        <v>1517.6996645531758</v>
      </c>
      <c r="U776" s="269">
        <f t="shared" ref="U776" si="2171">U775</f>
        <v>1517.6996645531758</v>
      </c>
      <c r="V776" s="269">
        <f t="shared" ref="V776" si="2172">V775</f>
        <v>1517.6996645531758</v>
      </c>
      <c r="W776" s="269">
        <f t="shared" ref="W776" si="2173">W775</f>
        <v>1517.6996645531758</v>
      </c>
      <c r="X776" s="269">
        <f t="shared" ref="X776" si="2174">X775</f>
        <v>1517.6996645531758</v>
      </c>
      <c r="Y776" s="269">
        <f t="shared" ref="Y776" si="2175">Y775</f>
        <v>1517.6996645531758</v>
      </c>
      <c r="Z776" s="269">
        <f t="shared" ref="Z776" si="2176">Z775</f>
        <v>1517.6996645531758</v>
      </c>
      <c r="AA776" s="269">
        <f t="shared" ref="AA776" si="2177">AA775</f>
        <v>1517.6996645531758</v>
      </c>
      <c r="AB776" s="269">
        <f t="shared" ref="AB776:AC776" si="2178">AB775</f>
        <v>1517.6996645531758</v>
      </c>
      <c r="AC776" s="269">
        <f t="shared" si="2178"/>
        <v>1517.6996645531758</v>
      </c>
      <c r="AE776" s="54">
        <f>SUM(F776:AC776)</f>
        <v>26666.36569939553</v>
      </c>
    </row>
    <row r="777" spans="1:31" hidden="1" outlineLevel="2" x14ac:dyDescent="0.2">
      <c r="A777" t="str">
        <f ca="1">Language!A$567</f>
        <v xml:space="preserve">    зачет НДС</v>
      </c>
      <c r="C777" s="5" t="str">
        <f ca="1">CHOOSE(B751,CUR_Main,CUR_Foreign)</f>
        <v>тыс. EUR</v>
      </c>
      <c r="D777" t="str">
        <f>TEXT(B751,"0")&amp;"_04"</f>
        <v>1_04</v>
      </c>
      <c r="F777" s="53">
        <f t="shared" ref="F777:X777" si="2179">F775*$B756</f>
        <v>0</v>
      </c>
      <c r="G777" s="53">
        <f t="shared" si="2179"/>
        <v>0</v>
      </c>
      <c r="H777" s="53">
        <f t="shared" si="2179"/>
        <v>0</v>
      </c>
      <c r="I777" s="53">
        <f t="shared" si="2179"/>
        <v>0</v>
      </c>
      <c r="J777" s="53">
        <f t="shared" si="2179"/>
        <v>0</v>
      </c>
      <c r="K777" s="53">
        <f t="shared" si="2179"/>
        <v>108.827638062505</v>
      </c>
      <c r="L777" s="53">
        <f t="shared" si="2179"/>
        <v>176.35348579601691</v>
      </c>
      <c r="M777" s="53">
        <f t="shared" si="2179"/>
        <v>262.94822144676164</v>
      </c>
      <c r="N777" s="53">
        <f t="shared" si="2179"/>
        <v>349.07092284723046</v>
      </c>
      <c r="O777" s="53">
        <f t="shared" si="2179"/>
        <v>349.07092284723046</v>
      </c>
      <c r="P777" s="53">
        <f t="shared" si="2179"/>
        <v>349.07092284723046</v>
      </c>
      <c r="Q777" s="53">
        <f t="shared" si="2179"/>
        <v>349.07092284723046</v>
      </c>
      <c r="R777" s="53">
        <f t="shared" si="2179"/>
        <v>349.07092284723046</v>
      </c>
      <c r="S777" s="53">
        <f t="shared" si="2179"/>
        <v>349.07092284723046</v>
      </c>
      <c r="T777" s="53">
        <f t="shared" si="2179"/>
        <v>349.07092284723046</v>
      </c>
      <c r="U777" s="53">
        <f t="shared" si="2179"/>
        <v>349.07092284723046</v>
      </c>
      <c r="V777" s="53">
        <f t="shared" si="2179"/>
        <v>349.07092284723046</v>
      </c>
      <c r="W777" s="53">
        <f t="shared" si="2179"/>
        <v>349.07092284723046</v>
      </c>
      <c r="X777" s="53">
        <f t="shared" si="2179"/>
        <v>349.07092284723046</v>
      </c>
      <c r="Y777" s="53">
        <f t="shared" ref="Y777" si="2180">Y775*$B756</f>
        <v>349.07092284723046</v>
      </c>
      <c r="Z777" s="53">
        <f t="shared" ref="Z777" si="2181">Z775*$B756</f>
        <v>349.07092284723046</v>
      </c>
      <c r="AA777" s="53">
        <f t="shared" ref="AA777" si="2182">AA775*$B756</f>
        <v>349.07092284723046</v>
      </c>
      <c r="AB777" s="53">
        <f t="shared" ref="AB777:AC777" si="2183">AB775*$B756</f>
        <v>349.07092284723046</v>
      </c>
      <c r="AC777" s="53">
        <f t="shared" si="2183"/>
        <v>349.07092284723046</v>
      </c>
      <c r="AE777" s="54">
        <f>SUM(F777:AC777)</f>
        <v>6133.2641108609723</v>
      </c>
    </row>
    <row r="778" spans="1:31" hidden="1" outlineLevel="2" x14ac:dyDescent="0.2">
      <c r="A778" t="str">
        <f ca="1">Language!A$568</f>
        <v xml:space="preserve">    запасы на основе периодов оборота</v>
      </c>
      <c r="C778" s="5" t="str">
        <f ca="1">CHOOSE(B751,CUR_Main,CUR_Foreign)</f>
        <v>тыс. EUR</v>
      </c>
      <c r="D778" t="str">
        <f>TEXT(B751,"0")&amp;"_05"&amp;";int_end"</f>
        <v>1_05;int_end</v>
      </c>
      <c r="F778" s="84">
        <f t="shared" ref="F778:T778" si="2184">F773*$B772/PRJ_Step</f>
        <v>0</v>
      </c>
      <c r="G778" s="84">
        <f t="shared" si="2184"/>
        <v>0</v>
      </c>
      <c r="H778" s="84">
        <f t="shared" si="2184"/>
        <v>0</v>
      </c>
      <c r="I778" s="84">
        <f t="shared" si="2184"/>
        <v>0</v>
      </c>
      <c r="J778" s="84">
        <f t="shared" si="2184"/>
        <v>0</v>
      </c>
      <c r="K778" s="84">
        <f t="shared" si="2184"/>
        <v>0</v>
      </c>
      <c r="L778" s="84">
        <f t="shared" si="2184"/>
        <v>0</v>
      </c>
      <c r="M778" s="84">
        <f t="shared" si="2184"/>
        <v>0</v>
      </c>
      <c r="N778" s="84">
        <f t="shared" si="2184"/>
        <v>0</v>
      </c>
      <c r="O778" s="84">
        <f t="shared" si="2184"/>
        <v>0</v>
      </c>
      <c r="P778" s="84">
        <f t="shared" si="2184"/>
        <v>0</v>
      </c>
      <c r="Q778" s="84">
        <f t="shared" si="2184"/>
        <v>0</v>
      </c>
      <c r="R778" s="84">
        <f t="shared" si="2184"/>
        <v>0</v>
      </c>
      <c r="S778" s="84">
        <f t="shared" si="2184"/>
        <v>0</v>
      </c>
      <c r="T778" s="84">
        <f t="shared" si="2184"/>
        <v>0</v>
      </c>
      <c r="U778" s="84">
        <f t="shared" ref="U778" si="2185">U773*$B772/PRJ_Step</f>
        <v>0</v>
      </c>
      <c r="V778" s="84">
        <f t="shared" ref="V778" si="2186">V773*$B772/PRJ_Step</f>
        <v>0</v>
      </c>
      <c r="W778" s="84">
        <f t="shared" ref="W778" si="2187">W773*$B772/PRJ_Step</f>
        <v>0</v>
      </c>
      <c r="X778" s="84">
        <f t="shared" ref="X778" si="2188">X773*$B772/PRJ_Step</f>
        <v>0</v>
      </c>
      <c r="Y778" s="84">
        <f t="shared" ref="Y778" si="2189">Y773*$B772/PRJ_Step</f>
        <v>0</v>
      </c>
      <c r="Z778" s="84">
        <f t="shared" ref="Z778" si="2190">Z773*$B772/PRJ_Step</f>
        <v>0</v>
      </c>
      <c r="AA778" s="84">
        <f t="shared" ref="AA778" si="2191">AA773*$B772/PRJ_Step</f>
        <v>0</v>
      </c>
      <c r="AB778" s="84">
        <f t="shared" ref="AB778:AC778" si="2192">AB773*$B772/PRJ_Step</f>
        <v>0</v>
      </c>
      <c r="AC778" s="84">
        <f t="shared" si="2192"/>
        <v>0</v>
      </c>
    </row>
    <row r="779" spans="1:31" hidden="1" outlineLevel="2" x14ac:dyDescent="0.2">
      <c r="A779" t="str">
        <f ca="1">Language!A$569</f>
        <v xml:space="preserve">    запасы на основе графика оплаты</v>
      </c>
      <c r="C779" s="5" t="str">
        <f ca="1">CHOOSE(B751,CUR_Main,CUR_Foreign)</f>
        <v>тыс. EUR</v>
      </c>
      <c r="D779" t="str">
        <f>TEXT(B751,"0")&amp;"_13"&amp;";int_end"</f>
        <v>1_13;int_end</v>
      </c>
      <c r="F779" s="84">
        <f t="shared" ref="F779:AC779" si="2193">E779+F775-F773</f>
        <v>0</v>
      </c>
      <c r="G779" s="84">
        <f t="shared" si="2193"/>
        <v>0</v>
      </c>
      <c r="H779" s="84">
        <f t="shared" si="2193"/>
        <v>0</v>
      </c>
      <c r="I779" s="84">
        <f t="shared" si="2193"/>
        <v>0</v>
      </c>
      <c r="J779" s="84">
        <f t="shared" si="2193"/>
        <v>0</v>
      </c>
      <c r="K779" s="84">
        <f t="shared" si="2193"/>
        <v>0</v>
      </c>
      <c r="L779" s="84">
        <f t="shared" si="2193"/>
        <v>0</v>
      </c>
      <c r="M779" s="84">
        <f t="shared" si="2193"/>
        <v>0</v>
      </c>
      <c r="N779" s="84">
        <f t="shared" si="2193"/>
        <v>0</v>
      </c>
      <c r="O779" s="84">
        <f t="shared" si="2193"/>
        <v>0</v>
      </c>
      <c r="P779" s="84">
        <f t="shared" si="2193"/>
        <v>0</v>
      </c>
      <c r="Q779" s="84">
        <f t="shared" si="2193"/>
        <v>0</v>
      </c>
      <c r="R779" s="84">
        <f t="shared" si="2193"/>
        <v>0</v>
      </c>
      <c r="S779" s="84">
        <f t="shared" si="2193"/>
        <v>0</v>
      </c>
      <c r="T779" s="84">
        <f t="shared" si="2193"/>
        <v>0</v>
      </c>
      <c r="U779" s="84">
        <f t="shared" si="2193"/>
        <v>0</v>
      </c>
      <c r="V779" s="84">
        <f t="shared" si="2193"/>
        <v>0</v>
      </c>
      <c r="W779" s="84">
        <f t="shared" si="2193"/>
        <v>0</v>
      </c>
      <c r="X779" s="84">
        <f t="shared" si="2193"/>
        <v>0</v>
      </c>
      <c r="Y779" s="84">
        <f t="shared" si="2193"/>
        <v>0</v>
      </c>
      <c r="Z779" s="84">
        <f t="shared" si="2193"/>
        <v>0</v>
      </c>
      <c r="AA779" s="84">
        <f t="shared" si="2193"/>
        <v>0</v>
      </c>
      <c r="AB779" s="84">
        <f t="shared" si="2193"/>
        <v>0</v>
      </c>
      <c r="AC779" s="84">
        <f t="shared" si="2193"/>
        <v>0</v>
      </c>
    </row>
    <row r="780" spans="1:31" hidden="1" outlineLevel="2" x14ac:dyDescent="0.2">
      <c r="A780" t="str">
        <f ca="1">Language!A$571</f>
        <v xml:space="preserve">    выплаченный НДС</v>
      </c>
      <c r="C780" s="5" t="str">
        <f ca="1">CHOOSE(B751,CUR_Main,CUR_Foreign)</f>
        <v>тыс. EUR</v>
      </c>
      <c r="D780" t="str">
        <f>TEXT(B751,"0")&amp;"_07"</f>
        <v>1_07</v>
      </c>
      <c r="F780" s="53">
        <f t="shared" ref="F780:X780" si="2194">F776*$B756</f>
        <v>0</v>
      </c>
      <c r="G780" s="53">
        <f t="shared" si="2194"/>
        <v>0</v>
      </c>
      <c r="H780" s="53">
        <f t="shared" si="2194"/>
        <v>0</v>
      </c>
      <c r="I780" s="53">
        <f t="shared" si="2194"/>
        <v>0</v>
      </c>
      <c r="J780" s="53">
        <f t="shared" si="2194"/>
        <v>0</v>
      </c>
      <c r="K780" s="53">
        <f t="shared" si="2194"/>
        <v>108.827638062505</v>
      </c>
      <c r="L780" s="53">
        <f t="shared" si="2194"/>
        <v>176.35348579601691</v>
      </c>
      <c r="M780" s="53">
        <f t="shared" si="2194"/>
        <v>262.94822144676164</v>
      </c>
      <c r="N780" s="53">
        <f t="shared" si="2194"/>
        <v>349.07092284723046</v>
      </c>
      <c r="O780" s="53">
        <f t="shared" si="2194"/>
        <v>349.07092284723046</v>
      </c>
      <c r="P780" s="53">
        <f t="shared" si="2194"/>
        <v>349.07092284723046</v>
      </c>
      <c r="Q780" s="53">
        <f t="shared" si="2194"/>
        <v>349.07092284723046</v>
      </c>
      <c r="R780" s="53">
        <f t="shared" si="2194"/>
        <v>349.07092284723046</v>
      </c>
      <c r="S780" s="53">
        <f t="shared" si="2194"/>
        <v>349.07092284723046</v>
      </c>
      <c r="T780" s="53">
        <f t="shared" si="2194"/>
        <v>349.07092284723046</v>
      </c>
      <c r="U780" s="53">
        <f t="shared" si="2194"/>
        <v>349.07092284723046</v>
      </c>
      <c r="V780" s="53">
        <f t="shared" si="2194"/>
        <v>349.07092284723046</v>
      </c>
      <c r="W780" s="53">
        <f t="shared" si="2194"/>
        <v>349.07092284723046</v>
      </c>
      <c r="X780" s="53">
        <f t="shared" si="2194"/>
        <v>349.07092284723046</v>
      </c>
      <c r="Y780" s="53">
        <f t="shared" ref="Y780" si="2195">Y776*$B756</f>
        <v>349.07092284723046</v>
      </c>
      <c r="Z780" s="53">
        <f t="shared" ref="Z780" si="2196">Z776*$B756</f>
        <v>349.07092284723046</v>
      </c>
      <c r="AA780" s="53">
        <f t="shared" ref="AA780" si="2197">AA776*$B756</f>
        <v>349.07092284723046</v>
      </c>
      <c r="AB780" s="53">
        <f t="shared" ref="AB780:AC780" si="2198">AB776*$B756</f>
        <v>349.07092284723046</v>
      </c>
      <c r="AC780" s="53">
        <f t="shared" si="2198"/>
        <v>349.07092284723046</v>
      </c>
      <c r="AE780" s="54">
        <f>SUM(F780:AC780)</f>
        <v>6133.2641108609723</v>
      </c>
    </row>
    <row r="781" spans="1:31" hidden="1" outlineLevel="2" x14ac:dyDescent="0.2">
      <c r="A781" t="str">
        <f ca="1">Language!A$572</f>
        <v xml:space="preserve">    кредиторская задолженность</v>
      </c>
      <c r="C781" s="5" t="str">
        <f ca="1">CHOOSE(B751,CUR_Main,CUR_Foreign)</f>
        <v>тыс. EUR</v>
      </c>
      <c r="D781" t="str">
        <f>TEXT(B751,"0")&amp;"_08"&amp;";int_end"</f>
        <v>1_08;int_end</v>
      </c>
      <c r="F781" s="53">
        <f>IF(SUM($F775:F775)&gt;=0,MAX(SUM($F775:F775)+SUM($F777:F777)-SUM($F776:F776)-SUM($F780:F780),0),MIN(SUM($F775:F775)+SUM($F777:F777)-SUM($F776:F776)-SUM($F780:F780),0))</f>
        <v>0</v>
      </c>
      <c r="G781" s="53">
        <f>IF(SUM($F775:G775)&gt;=0,MAX(SUM($F775:G775)+SUM($F777:G777)-SUM($F776:G776)-SUM($F780:G780),0),MIN(SUM($F775:G775)+SUM($F777:G777)-SUM($F776:G776)-SUM($F780:G780),0))</f>
        <v>0</v>
      </c>
      <c r="H781" s="53">
        <f>IF(SUM($F775:H775)&gt;=0,MAX(SUM($F775:H775)+SUM($F777:H777)-SUM($F776:H776)-SUM($F780:H780),0),MIN(SUM($F775:H775)+SUM($F777:H777)-SUM($F776:H776)-SUM($F780:H780),0))</f>
        <v>0</v>
      </c>
      <c r="I781" s="53">
        <f>IF(SUM($F775:I775)&gt;=0,MAX(SUM($F775:I775)+SUM($F777:I777)-SUM($F776:I776)-SUM($F780:I780),0),MIN(SUM($F775:I775)+SUM($F777:I777)-SUM($F776:I776)-SUM($F780:I780),0))</f>
        <v>0</v>
      </c>
      <c r="J781" s="53">
        <f>IF(SUM($F775:J775)&gt;=0,MAX(SUM($F775:J775)+SUM($F777:J777)-SUM($F776:J776)-SUM($F780:J780),0),MIN(SUM($F775:J775)+SUM($F777:J777)-SUM($F776:J776)-SUM($F780:J780),0))</f>
        <v>0</v>
      </c>
      <c r="K781" s="53">
        <f>IF(SUM($F775:K775)&gt;=0,MAX(SUM($F775:K775)+SUM($F777:K777)-SUM($F776:K776)-SUM($F780:K780),0),MIN(SUM($F775:K775)+SUM($F777:K777)-SUM($F776:K776)-SUM($F780:K780),0))</f>
        <v>0</v>
      </c>
      <c r="L781" s="53">
        <f>IF(SUM($F775:L775)&gt;=0,MAX(SUM($F775:L775)+SUM($F777:L777)-SUM($F776:L776)-SUM($F780:L780),0),MIN(SUM($F775:L775)+SUM($F777:L777)-SUM($F776:L776)-SUM($F780:L780),0))</f>
        <v>0</v>
      </c>
      <c r="M781" s="53">
        <f>IF(SUM($F775:M775)&gt;=0,MAX(SUM($F775:M775)+SUM($F777:M777)-SUM($F776:M776)-SUM($F780:M780),0),MIN(SUM($F775:M775)+SUM($F777:M777)-SUM($F776:M776)-SUM($F780:M780),0))</f>
        <v>0</v>
      </c>
      <c r="N781" s="53">
        <f>IF(SUM($F775:N775)&gt;=0,MAX(SUM($F775:N775)+SUM($F777:N777)-SUM($F776:N776)-SUM($F780:N780),0),MIN(SUM($F775:N775)+SUM($F777:N777)-SUM($F776:N776)-SUM($F780:N780),0))</f>
        <v>1.1368683772161603E-13</v>
      </c>
      <c r="O781" s="53">
        <f>IF(SUM($F775:O775)&gt;=0,MAX(SUM($F775:O775)+SUM($F777:O777)-SUM($F776:O776)-SUM($F780:O780),0),MIN(SUM($F775:O775)+SUM($F777:O777)-SUM($F776:O776)-SUM($F780:O780),0))</f>
        <v>0</v>
      </c>
      <c r="P781" s="53">
        <f>IF(SUM($F775:P775)&gt;=0,MAX(SUM($F775:P775)+SUM($F777:P777)-SUM($F776:P776)-SUM($F780:P780),0),MIN(SUM($F775:P775)+SUM($F777:P777)-SUM($F776:P776)-SUM($F780:P780),0))</f>
        <v>0</v>
      </c>
      <c r="Q781" s="53">
        <f>IF(SUM($F775:Q775)&gt;=0,MAX(SUM($F775:Q775)+SUM($F777:Q777)-SUM($F776:Q776)-SUM($F780:Q780),0),MIN(SUM($F775:Q775)+SUM($F777:Q777)-SUM($F776:Q776)-SUM($F780:Q780),0))</f>
        <v>0</v>
      </c>
      <c r="R781" s="53">
        <f>IF(SUM($F775:R775)&gt;=0,MAX(SUM($F775:R775)+SUM($F777:R777)-SUM($F776:R776)-SUM($F780:R780),0),MIN(SUM($F775:R775)+SUM($F777:R777)-SUM($F776:R776)-SUM($F780:R780),0))</f>
        <v>0</v>
      </c>
      <c r="S781" s="53">
        <f>IF(SUM($F775:S775)&gt;=0,MAX(SUM($F775:S775)+SUM($F777:S777)-SUM($F776:S776)-SUM($F780:S780),0),MIN(SUM($F775:S775)+SUM($F777:S777)-SUM($F776:S776)-SUM($F780:S780),0))</f>
        <v>9.0949470177292824E-13</v>
      </c>
      <c r="T781" s="53">
        <f>IF(SUM($F775:T775)&gt;=0,MAX(SUM($F775:T775)+SUM($F777:T777)-SUM($F776:T776)-SUM($F780:T780),0),MIN(SUM($F775:T775)+SUM($F777:T777)-SUM($F776:T776)-SUM($F780:T780),0))</f>
        <v>0</v>
      </c>
      <c r="U781" s="53">
        <f>IF(SUM($F775:U775)&gt;=0,MAX(SUM($F775:U775)+SUM($F777:U777)-SUM($F776:U776)-SUM($F780:U780),0),MIN(SUM($F775:U775)+SUM($F777:U777)-SUM($F776:U776)-SUM($F780:U780),0))</f>
        <v>0</v>
      </c>
      <c r="V781" s="53">
        <f>IF(SUM($F775:V775)&gt;=0,MAX(SUM($F775:V775)+SUM($F777:V777)-SUM($F776:V776)-SUM($F780:V780),0),MIN(SUM($F775:V775)+SUM($F777:V777)-SUM($F776:V776)-SUM($F780:V780),0))</f>
        <v>0</v>
      </c>
      <c r="W781" s="53">
        <f>IF(SUM($F775:W775)&gt;=0,MAX(SUM($F775:W775)+SUM($F777:W777)-SUM($F776:W776)-SUM($F780:W780),0),MIN(SUM($F775:W775)+SUM($F777:W777)-SUM($F776:W776)-SUM($F780:W780),0))</f>
        <v>9.0949470177292824E-13</v>
      </c>
      <c r="X781" s="53">
        <f>IF(SUM($F775:X775)&gt;=0,MAX(SUM($F775:X775)+SUM($F777:X777)-SUM($F776:X776)-SUM($F780:X780),0),MIN(SUM($F775:X775)+SUM($F777:X777)-SUM($F776:X776)-SUM($F780:X780),0))</f>
        <v>0</v>
      </c>
      <c r="Y781" s="53">
        <f>IF(SUM($F775:Y775)&gt;=0,MAX(SUM($F775:Y775)+SUM($F777:Y777)-SUM($F776:Y776)-SUM($F780:Y780),0),MIN(SUM($F775:Y775)+SUM($F777:Y777)-SUM($F776:Y776)-SUM($F780:Y780),0))</f>
        <v>0</v>
      </c>
      <c r="Z781" s="53">
        <f>IF(SUM($F775:Z775)&gt;=0,MAX(SUM($F775:Z775)+SUM($F777:Z777)-SUM($F776:Z776)-SUM($F780:Z780),0),MIN(SUM($F775:Z775)+SUM($F777:Z777)-SUM($F776:Z776)-SUM($F780:Z780),0))</f>
        <v>1.8189894035458565E-12</v>
      </c>
      <c r="AA781" s="53">
        <f>IF(SUM($F775:AA775)&gt;=0,MAX(SUM($F775:AA775)+SUM($F777:AA777)-SUM($F776:AA776)-SUM($F780:AA780),0),MIN(SUM($F775:AA775)+SUM($F777:AA777)-SUM($F776:AA776)-SUM($F780:AA780),0))</f>
        <v>9.0949470177292824E-13</v>
      </c>
      <c r="AB781" s="53">
        <f>IF(SUM($F775:AB775)&gt;=0,MAX(SUM($F775:AB775)+SUM($F777:AB777)-SUM($F776:AB776)-SUM($F780:AB780),0),MIN(SUM($F775:AB775)+SUM($F777:AB777)-SUM($F776:AB776)-SUM($F780:AB780),0))</f>
        <v>0</v>
      </c>
      <c r="AC781" s="53">
        <f>IF(SUM($F775:AC775)&gt;=0,MAX(SUM($F775:AC775)+SUM($F777:AC777)-SUM($F776:AC776)-SUM($F780:AC780),0),MIN(SUM($F775:AC775)+SUM($F777:AC777)-SUM($F776:AC776)-SUM($F780:AC780),0))</f>
        <v>2.7284841053187847E-12</v>
      </c>
    </row>
    <row r="782" spans="1:31" hidden="1" outlineLevel="2" x14ac:dyDescent="0.2">
      <c r="A782" t="str">
        <f ca="1">Language!A$573</f>
        <v xml:space="preserve">    выплаченные авансы</v>
      </c>
      <c r="C782" s="5" t="str">
        <f ca="1">CHOOSE(B751,CUR_Main,CUR_Foreign)</f>
        <v>тыс. EUR</v>
      </c>
      <c r="D782" t="str">
        <f>TEXT(B751,"0")&amp;"_09"&amp;";int_end"</f>
        <v>1_09;int_end</v>
      </c>
      <c r="F782" s="53">
        <f>IF(SUM($F775:F775)&gt;=0,MAX(SUM($F776:F776)+SUM($F780:F780)-SUM($F775:F775)-SUM($F777:F777),0),MIN(SUM($F776:F776)+SUM($F780:F780)-SUM($F775:F775)-SUM($F777:F777),0))</f>
        <v>0</v>
      </c>
      <c r="G782" s="53">
        <f>IF(SUM($F775:G775)&gt;=0,MAX(SUM($F776:G776)+SUM($F780:G780)-SUM($F775:G775)-SUM($F777:G777),0),MIN(SUM($F776:G776)+SUM($F780:G780)-SUM($F775:G775)-SUM($F777:G777),0))</f>
        <v>0</v>
      </c>
      <c r="H782" s="53">
        <f>IF(SUM($F775:H775)&gt;=0,MAX(SUM($F776:H776)+SUM($F780:H780)-SUM($F775:H775)-SUM($F777:H777),0),MIN(SUM($F776:H776)+SUM($F780:H780)-SUM($F775:H775)-SUM($F777:H777),0))</f>
        <v>0</v>
      </c>
      <c r="I782" s="53">
        <f>IF(SUM($F775:I775)&gt;=0,MAX(SUM($F776:I776)+SUM($F780:I780)-SUM($F775:I775)-SUM($F777:I777),0),MIN(SUM($F776:I776)+SUM($F780:I780)-SUM($F775:I775)-SUM($F777:I777),0))</f>
        <v>0</v>
      </c>
      <c r="J782" s="53">
        <f>IF(SUM($F775:J775)&gt;=0,MAX(SUM($F776:J776)+SUM($F780:J780)-SUM($F775:J775)-SUM($F777:J777),0),MIN(SUM($F776:J776)+SUM($F780:J780)-SUM($F775:J775)-SUM($F777:J777),0))</f>
        <v>0</v>
      </c>
      <c r="K782" s="53">
        <f>IF(SUM($F775:K775)&gt;=0,MAX(SUM($F776:K776)+SUM($F780:K780)-SUM($F775:K775)-SUM($F777:K777),0),MIN(SUM($F776:K776)+SUM($F780:K780)-SUM($F775:K775)-SUM($F777:K777),0))</f>
        <v>0</v>
      </c>
      <c r="L782" s="53">
        <f>IF(SUM($F775:L775)&gt;=0,MAX(SUM($F776:L776)+SUM($F780:L780)-SUM($F775:L775)-SUM($F777:L777),0),MIN(SUM($F776:L776)+SUM($F780:L780)-SUM($F775:L775)-SUM($F777:L777),0))</f>
        <v>0</v>
      </c>
      <c r="M782" s="53">
        <f>IF(SUM($F775:M775)&gt;=0,MAX(SUM($F776:M776)+SUM($F780:M780)-SUM($F775:M775)-SUM($F777:M777),0),MIN(SUM($F776:M776)+SUM($F780:M780)-SUM($F775:M775)-SUM($F777:M777),0))</f>
        <v>0</v>
      </c>
      <c r="N782" s="53">
        <f>IF(SUM($F775:N775)&gt;=0,MAX(SUM($F776:N776)+SUM($F780:N780)-SUM($F775:N775)-SUM($F777:N777),0),MIN(SUM($F776:N776)+SUM($F780:N780)-SUM($F775:N775)-SUM($F777:N777),0))</f>
        <v>1.1368683772161603E-13</v>
      </c>
      <c r="O782" s="53">
        <f>IF(SUM($F775:O775)&gt;=0,MAX(SUM($F776:O776)+SUM($F780:O780)-SUM($F775:O775)-SUM($F777:O777),0),MIN(SUM($F776:O776)+SUM($F780:O780)-SUM($F775:O775)-SUM($F777:O777),0))</f>
        <v>0</v>
      </c>
      <c r="P782" s="53">
        <f>IF(SUM($F775:P775)&gt;=0,MAX(SUM($F776:P776)+SUM($F780:P780)-SUM($F775:P775)-SUM($F777:P777),0),MIN(SUM($F776:P776)+SUM($F780:P780)-SUM($F775:P775)-SUM($F777:P777),0))</f>
        <v>0</v>
      </c>
      <c r="Q782" s="53">
        <f>IF(SUM($F775:Q775)&gt;=0,MAX(SUM($F776:Q776)+SUM($F780:Q780)-SUM($F775:Q775)-SUM($F777:Q777),0),MIN(SUM($F776:Q776)+SUM($F780:Q780)-SUM($F775:Q775)-SUM($F777:Q777),0))</f>
        <v>0</v>
      </c>
      <c r="R782" s="53">
        <f>IF(SUM($F775:R775)&gt;=0,MAX(SUM($F776:R776)+SUM($F780:R780)-SUM($F775:R775)-SUM($F777:R777),0),MIN(SUM($F776:R776)+SUM($F780:R780)-SUM($F775:R775)-SUM($F777:R777),0))</f>
        <v>0</v>
      </c>
      <c r="S782" s="53">
        <f>IF(SUM($F775:S775)&gt;=0,MAX(SUM($F776:S776)+SUM($F780:S780)-SUM($F775:S775)-SUM($F777:S777),0),MIN(SUM($F776:S776)+SUM($F780:S780)-SUM($F775:S775)-SUM($F777:S777),0))</f>
        <v>9.0949470177292824E-13</v>
      </c>
      <c r="T782" s="53">
        <f>IF(SUM($F775:T775)&gt;=0,MAX(SUM($F776:T776)+SUM($F780:T780)-SUM($F775:T775)-SUM($F777:T777),0),MIN(SUM($F776:T776)+SUM($F780:T780)-SUM($F775:T775)-SUM($F777:T777),0))</f>
        <v>0</v>
      </c>
      <c r="U782" s="53">
        <f>IF(SUM($F775:U775)&gt;=0,MAX(SUM($F776:U776)+SUM($F780:U780)-SUM($F775:U775)-SUM($F777:U777),0),MIN(SUM($F776:U776)+SUM($F780:U780)-SUM($F775:U775)-SUM($F777:U777),0))</f>
        <v>0</v>
      </c>
      <c r="V782" s="53">
        <f>IF(SUM($F775:V775)&gt;=0,MAX(SUM($F776:V776)+SUM($F780:V780)-SUM($F775:V775)-SUM($F777:V777),0),MIN(SUM($F776:V776)+SUM($F780:V780)-SUM($F775:V775)-SUM($F777:V777),0))</f>
        <v>0</v>
      </c>
      <c r="W782" s="53">
        <f>IF(SUM($F775:W775)&gt;=0,MAX(SUM($F776:W776)+SUM($F780:W780)-SUM($F775:W775)-SUM($F777:W777),0),MIN(SUM($F776:W776)+SUM($F780:W780)-SUM($F775:W775)-SUM($F777:W777),0))</f>
        <v>9.0949470177292824E-13</v>
      </c>
      <c r="X782" s="53">
        <f>IF(SUM($F775:X775)&gt;=0,MAX(SUM($F776:X776)+SUM($F780:X780)-SUM($F775:X775)-SUM($F777:X777),0),MIN(SUM($F776:X776)+SUM($F780:X780)-SUM($F775:X775)-SUM($F777:X777),0))</f>
        <v>0</v>
      </c>
      <c r="Y782" s="53">
        <f>IF(SUM($F775:Y775)&gt;=0,MAX(SUM($F776:Y776)+SUM($F780:Y780)-SUM($F775:Y775)-SUM($F777:Y777),0),MIN(SUM($F776:Y776)+SUM($F780:Y780)-SUM($F775:Y775)-SUM($F777:Y777),0))</f>
        <v>0</v>
      </c>
      <c r="Z782" s="53">
        <f>IF(SUM($F775:Z775)&gt;=0,MAX(SUM($F776:Z776)+SUM($F780:Z780)-SUM($F775:Z775)-SUM($F777:Z777),0),MIN(SUM($F776:Z776)+SUM($F780:Z780)-SUM($F775:Z775)-SUM($F777:Z777),0))</f>
        <v>1.8189894035458565E-12</v>
      </c>
      <c r="AA782" s="53">
        <f>IF(SUM($F775:AA775)&gt;=0,MAX(SUM($F776:AA776)+SUM($F780:AA780)-SUM($F775:AA775)-SUM($F777:AA777),0),MIN(SUM($F776:AA776)+SUM($F780:AA780)-SUM($F775:AA775)-SUM($F777:AA777),0))</f>
        <v>9.0949470177292824E-13</v>
      </c>
      <c r="AB782" s="53">
        <f>IF(SUM($F775:AB775)&gt;=0,MAX(SUM($F776:AB776)+SUM($F780:AB780)-SUM($F775:AB775)-SUM($F777:AB777),0),MIN(SUM($F776:AB776)+SUM($F780:AB780)-SUM($F775:AB775)-SUM($F777:AB777),0))</f>
        <v>0</v>
      </c>
      <c r="AC782" s="53">
        <f>IF(SUM($F775:AC775)&gt;=0,MAX(SUM($F776:AC776)+SUM($F780:AC780)-SUM($F775:AC775)-SUM($F777:AC777),0),MIN(SUM($F776:AC776)+SUM($F780:AC780)-SUM($F775:AC775)-SUM($F777:AC777),0))</f>
        <v>2.7284841053187847E-12</v>
      </c>
    </row>
    <row r="783" spans="1:31" hidden="1" outlineLevel="2" x14ac:dyDescent="0.2">
      <c r="A783" t="str">
        <f ca="1">Language!A$574</f>
        <v xml:space="preserve">    списано затрат на реализованную продукцию</v>
      </c>
      <c r="C783" s="5" t="str">
        <f ca="1">CHOOSE(B751,CUR_Main,CUR_Foreign)</f>
        <v>тыс. EUR</v>
      </c>
      <c r="D783" t="str">
        <f>TEXT(B751,"0")&amp;"_10"</f>
        <v>1_10</v>
      </c>
      <c r="F783" s="53">
        <f t="shared" ref="F783:AC783" si="2199">IF((E729+F727)&gt;0,F728*(E784+F773)/(E729+F727),0)</f>
        <v>0</v>
      </c>
      <c r="G783" s="53">
        <f t="shared" si="2199"/>
        <v>0</v>
      </c>
      <c r="H783" s="53">
        <f t="shared" si="2199"/>
        <v>0</v>
      </c>
      <c r="I783" s="53">
        <f t="shared" si="2199"/>
        <v>0</v>
      </c>
      <c r="J783" s="53">
        <f t="shared" si="2199"/>
        <v>0</v>
      </c>
      <c r="K783" s="53">
        <f t="shared" si="2199"/>
        <v>473.16364375002166</v>
      </c>
      <c r="L783" s="53">
        <f t="shared" si="2199"/>
        <v>766.75428606963874</v>
      </c>
      <c r="M783" s="53">
        <f t="shared" si="2199"/>
        <v>1143.2531367250506</v>
      </c>
      <c r="N783" s="53">
        <f t="shared" si="2199"/>
        <v>1517.6996645531758</v>
      </c>
      <c r="O783" s="53">
        <f t="shared" si="2199"/>
        <v>1517.6996645531758</v>
      </c>
      <c r="P783" s="53">
        <f t="shared" si="2199"/>
        <v>1517.6996645531758</v>
      </c>
      <c r="Q783" s="53">
        <f t="shared" si="2199"/>
        <v>1517.6996645531758</v>
      </c>
      <c r="R783" s="53">
        <f t="shared" si="2199"/>
        <v>1517.6996645531758</v>
      </c>
      <c r="S783" s="53">
        <f t="shared" si="2199"/>
        <v>1517.6996645531758</v>
      </c>
      <c r="T783" s="53">
        <f t="shared" si="2199"/>
        <v>1517.6996645531758</v>
      </c>
      <c r="U783" s="53">
        <f t="shared" si="2199"/>
        <v>1517.6996645531758</v>
      </c>
      <c r="V783" s="53">
        <f t="shared" si="2199"/>
        <v>1517.6996645531758</v>
      </c>
      <c r="W783" s="53">
        <f t="shared" si="2199"/>
        <v>1517.6996645531758</v>
      </c>
      <c r="X783" s="53">
        <f t="shared" si="2199"/>
        <v>1517.6996645531758</v>
      </c>
      <c r="Y783" s="53">
        <f t="shared" si="2199"/>
        <v>1517.6996645531758</v>
      </c>
      <c r="Z783" s="53">
        <f t="shared" si="2199"/>
        <v>1517.6996645531758</v>
      </c>
      <c r="AA783" s="53">
        <f t="shared" si="2199"/>
        <v>1517.6996645531758</v>
      </c>
      <c r="AB783" s="53">
        <f t="shared" si="2199"/>
        <v>1517.6996645531758</v>
      </c>
      <c r="AC783" s="53">
        <f t="shared" si="2199"/>
        <v>1517.6996645531758</v>
      </c>
      <c r="AE783" s="54">
        <f>SUM(F783:AC783)</f>
        <v>26666.36569939553</v>
      </c>
    </row>
    <row r="784" spans="1:31" hidden="1" outlineLevel="2" x14ac:dyDescent="0.2">
      <c r="A784" s="48" t="str">
        <f ca="1">Language!A$575</f>
        <v xml:space="preserve">    остаток затрат на складе готовой продукции</v>
      </c>
      <c r="C784" s="5" t="str">
        <f ca="1">CHOOSE(B751,CUR_Main,CUR_Foreign)</f>
        <v>тыс. EUR</v>
      </c>
      <c r="D784" t="str">
        <f>TEXT(B751,"0")&amp;"_11"&amp;";int_end"</f>
        <v>1_11;int_end</v>
      </c>
      <c r="F784" s="84">
        <f>SUM($F775:F775)-SUM($F783:F783)-F779</f>
        <v>0</v>
      </c>
      <c r="G784" s="84">
        <f>SUM($F775:G775)-SUM($F783:G783)-G779</f>
        <v>0</v>
      </c>
      <c r="H784" s="84">
        <f>SUM($F775:H775)-SUM($F783:H783)-H779</f>
        <v>0</v>
      </c>
      <c r="I784" s="84">
        <f>SUM($F775:I775)-SUM($F783:I783)-I779</f>
        <v>0</v>
      </c>
      <c r="J784" s="84">
        <f>SUM($F775:J775)-SUM($F783:J783)-J779</f>
        <v>0</v>
      </c>
      <c r="K784" s="84">
        <f>SUM($F775:K775)-SUM($F783:K783)-K779</f>
        <v>5.6843418860808015E-14</v>
      </c>
      <c r="L784" s="84">
        <f>SUM($F775:L775)-SUM($F783:L783)-L779</f>
        <v>0</v>
      </c>
      <c r="M784" s="84">
        <f>SUM($F775:M775)-SUM($F783:M783)-M779</f>
        <v>0</v>
      </c>
      <c r="N784" s="84">
        <f>SUM($F775:N775)-SUM($F783:N783)-N779</f>
        <v>0</v>
      </c>
      <c r="O784" s="84">
        <f>SUM($F775:O775)-SUM($F783:O783)-O779</f>
        <v>0</v>
      </c>
      <c r="P784" s="84">
        <f>SUM($F775:P775)-SUM($F783:P783)-P779</f>
        <v>0</v>
      </c>
      <c r="Q784" s="84">
        <f>SUM($F775:Q775)-SUM($F783:Q783)-Q779</f>
        <v>0</v>
      </c>
      <c r="R784" s="84">
        <f>SUM($F775:R775)-SUM($F783:R783)-R779</f>
        <v>0</v>
      </c>
      <c r="S784" s="84">
        <f>SUM($F775:S775)-SUM($F783:S783)-S779</f>
        <v>0</v>
      </c>
      <c r="T784" s="84">
        <f>SUM($F775:T775)-SUM($F783:T783)-T779</f>
        <v>0</v>
      </c>
      <c r="U784" s="84">
        <f>SUM($F775:U775)-SUM($F783:U783)-U779</f>
        <v>0</v>
      </c>
      <c r="V784" s="84">
        <f>SUM($F775:V775)-SUM($F783:V783)-V779</f>
        <v>0</v>
      </c>
      <c r="W784" s="84">
        <f>SUM($F775:W775)-SUM($F783:W783)-W779</f>
        <v>0</v>
      </c>
      <c r="X784" s="84">
        <f>SUM($F775:X775)-SUM($F783:X783)-X779</f>
        <v>0</v>
      </c>
      <c r="Y784" s="84">
        <f>SUM($F775:Y775)-SUM($F783:Y783)-Y779</f>
        <v>0</v>
      </c>
      <c r="Z784" s="84">
        <f>SUM($F775:Z775)-SUM($F783:Z783)-Z779</f>
        <v>0</v>
      </c>
      <c r="AA784" s="84">
        <f>SUM($F775:AA775)-SUM($F783:AA783)-AA779</f>
        <v>0</v>
      </c>
      <c r="AB784" s="84">
        <f>SUM($F775:AB775)-SUM($F783:AB783)-AB779</f>
        <v>0</v>
      </c>
      <c r="AC784" s="84">
        <f>SUM($F775:AC775)-SUM($F783:AC783)-AC779</f>
        <v>0</v>
      </c>
    </row>
    <row r="785" spans="1:31" hidden="1" outlineLevel="2" x14ac:dyDescent="0.2">
      <c r="A785" s="48" t="str">
        <f ca="1">Language!A$576</f>
        <v xml:space="preserve">    остаток затрат в незавершенном производстве</v>
      </c>
      <c r="B785" s="254">
        <f>NWC_T_Cycle</f>
        <v>0</v>
      </c>
      <c r="C785" s="5" t="str">
        <f ca="1">Language!A$38</f>
        <v>дн.</v>
      </c>
      <c r="D785" t="str">
        <f>TEXT(B751,"0")&amp;"_12"&amp;";int_end"</f>
        <v>1_12;int_end</v>
      </c>
      <c r="F785" s="84">
        <f t="shared" ref="F785:T785" si="2200">F773*$B785/PRJ_Step</f>
        <v>0</v>
      </c>
      <c r="G785" s="84">
        <f t="shared" si="2200"/>
        <v>0</v>
      </c>
      <c r="H785" s="84">
        <f t="shared" si="2200"/>
        <v>0</v>
      </c>
      <c r="I785" s="84">
        <f t="shared" si="2200"/>
        <v>0</v>
      </c>
      <c r="J785" s="84">
        <f t="shared" si="2200"/>
        <v>0</v>
      </c>
      <c r="K785" s="84">
        <f t="shared" si="2200"/>
        <v>0</v>
      </c>
      <c r="L785" s="84">
        <f t="shared" si="2200"/>
        <v>0</v>
      </c>
      <c r="M785" s="84">
        <f t="shared" si="2200"/>
        <v>0</v>
      </c>
      <c r="N785" s="84">
        <f t="shared" si="2200"/>
        <v>0</v>
      </c>
      <c r="O785" s="84">
        <f t="shared" si="2200"/>
        <v>0</v>
      </c>
      <c r="P785" s="84">
        <f t="shared" si="2200"/>
        <v>0</v>
      </c>
      <c r="Q785" s="84">
        <f t="shared" si="2200"/>
        <v>0</v>
      </c>
      <c r="R785" s="84">
        <f t="shared" si="2200"/>
        <v>0</v>
      </c>
      <c r="S785" s="84">
        <f t="shared" si="2200"/>
        <v>0</v>
      </c>
      <c r="T785" s="84">
        <f t="shared" si="2200"/>
        <v>0</v>
      </c>
      <c r="U785" s="84">
        <f t="shared" ref="U785" si="2201">U773*$B785/PRJ_Step</f>
        <v>0</v>
      </c>
      <c r="V785" s="84">
        <f t="shared" ref="V785" si="2202">V773*$B785/PRJ_Step</f>
        <v>0</v>
      </c>
      <c r="W785" s="84">
        <f t="shared" ref="W785" si="2203">W773*$B785/PRJ_Step</f>
        <v>0</v>
      </c>
      <c r="X785" s="84">
        <f t="shared" ref="X785" si="2204">X773*$B785/PRJ_Step</f>
        <v>0</v>
      </c>
      <c r="Y785" s="84">
        <f t="shared" ref="Y785" si="2205">Y773*$B785/PRJ_Step</f>
        <v>0</v>
      </c>
      <c r="Z785" s="84">
        <f t="shared" ref="Z785" si="2206">Z773*$B785/PRJ_Step</f>
        <v>0</v>
      </c>
      <c r="AA785" s="84">
        <f t="shared" ref="AA785" si="2207">AA773*$B785/PRJ_Step</f>
        <v>0</v>
      </c>
      <c r="AB785" s="84">
        <f t="shared" ref="AB785:AC785" si="2208">AB773*$B785/PRJ_Step</f>
        <v>0</v>
      </c>
      <c r="AC785" s="84">
        <f t="shared" si="2208"/>
        <v>0</v>
      </c>
    </row>
    <row r="786" spans="1:31" outlineLevel="1" x14ac:dyDescent="0.2"/>
    <row r="787" spans="1:31" outlineLevel="1" x14ac:dyDescent="0.2">
      <c r="A787" s="48" t="str">
        <f>A665</f>
        <v>ВЗД</v>
      </c>
      <c r="C787" s="5" t="str">
        <f ca="1">CUR_Main</f>
        <v>тыс. EUR</v>
      </c>
      <c r="E787">
        <v>15</v>
      </c>
      <c r="F787" s="43">
        <f t="shared" ref="F787:AC787" si="2209">SUMIF($D787:$D803,"*1_00*",F787:F803)+SUMIF($D787:$D803,"*2_00*",F787:F803)*F$88</f>
        <v>0</v>
      </c>
      <c r="G787" s="43">
        <f t="shared" si="2209"/>
        <v>0</v>
      </c>
      <c r="H787" s="43">
        <f t="shared" si="2209"/>
        <v>0</v>
      </c>
      <c r="I787" s="43">
        <f t="shared" si="2209"/>
        <v>0</v>
      </c>
      <c r="J787" s="43">
        <f t="shared" si="2209"/>
        <v>0</v>
      </c>
      <c r="K787" s="43">
        <f t="shared" si="2209"/>
        <v>0</v>
      </c>
      <c r="L787" s="43">
        <f t="shared" si="2209"/>
        <v>1328.8066488405095</v>
      </c>
      <c r="M787" s="43">
        <f t="shared" si="2209"/>
        <v>2243.1956824081649</v>
      </c>
      <c r="N787" s="43">
        <f t="shared" si="2209"/>
        <v>3343.5533345239824</v>
      </c>
      <c r="O787" s="43">
        <f t="shared" si="2209"/>
        <v>4423.1233770090666</v>
      </c>
      <c r="P787" s="43">
        <f t="shared" si="2209"/>
        <v>4423.1233770090666</v>
      </c>
      <c r="Q787" s="43">
        <f t="shared" si="2209"/>
        <v>4423.1233770090666</v>
      </c>
      <c r="R787" s="43">
        <f t="shared" si="2209"/>
        <v>4423.1233770090666</v>
      </c>
      <c r="S787" s="43">
        <f t="shared" si="2209"/>
        <v>4423.1233770090666</v>
      </c>
      <c r="T787" s="43">
        <f t="shared" si="2209"/>
        <v>4423.1233770090666</v>
      </c>
      <c r="U787" s="43">
        <f t="shared" si="2209"/>
        <v>4423.1233770090666</v>
      </c>
      <c r="V787" s="43">
        <f t="shared" si="2209"/>
        <v>4423.1233770090666</v>
      </c>
      <c r="W787" s="43">
        <f t="shared" si="2209"/>
        <v>4423.1233770090666</v>
      </c>
      <c r="X787" s="43">
        <f t="shared" si="2209"/>
        <v>4423.1233770090666</v>
      </c>
      <c r="Y787" s="43">
        <f t="shared" si="2209"/>
        <v>4423.1233770090666</v>
      </c>
      <c r="Z787" s="43">
        <f t="shared" si="2209"/>
        <v>4423.1233770090666</v>
      </c>
      <c r="AA787" s="43">
        <f t="shared" si="2209"/>
        <v>4423.1233770090666</v>
      </c>
      <c r="AB787" s="43">
        <f t="shared" si="2209"/>
        <v>4423.1233770090666</v>
      </c>
      <c r="AC787" s="43">
        <f t="shared" si="2209"/>
        <v>4423.1233770090666</v>
      </c>
      <c r="AE787" s="54">
        <f>SUM(F787:AC787)</f>
        <v>73262.406320908674</v>
      </c>
    </row>
    <row r="788" spans="1:31" outlineLevel="1" collapsed="1" x14ac:dyDescent="0.2">
      <c r="A788" s="11" t="str">
        <f>A744</f>
        <v>Сырье</v>
      </c>
      <c r="C788" s="5" t="str">
        <f ca="1">CHOOSE(B759,CUR_Main,CUR_Foreign)</f>
        <v>тыс. EUR</v>
      </c>
      <c r="D788" s="16" t="str">
        <f>TEXT(B759,"0")&amp;"_00"</f>
        <v>1_00</v>
      </c>
      <c r="F788" s="53">
        <f t="shared" ref="F788:AC788" si="2210">F744*F759</f>
        <v>0</v>
      </c>
      <c r="G788" s="53">
        <f t="shared" si="2210"/>
        <v>0</v>
      </c>
      <c r="H788" s="53">
        <f t="shared" si="2210"/>
        <v>0</v>
      </c>
      <c r="I788" s="53">
        <f t="shared" si="2210"/>
        <v>0</v>
      </c>
      <c r="J788" s="53">
        <f t="shared" si="2210"/>
        <v>0</v>
      </c>
      <c r="K788" s="53">
        <f t="shared" si="2210"/>
        <v>0</v>
      </c>
      <c r="L788" s="53">
        <f t="shared" si="2210"/>
        <v>1328.8066488405095</v>
      </c>
      <c r="M788" s="53">
        <f t="shared" si="2210"/>
        <v>2243.1956824081649</v>
      </c>
      <c r="N788" s="53">
        <f t="shared" si="2210"/>
        <v>3343.5533345239824</v>
      </c>
      <c r="O788" s="53">
        <f t="shared" si="2210"/>
        <v>4423.1233770090666</v>
      </c>
      <c r="P788" s="53">
        <f t="shared" si="2210"/>
        <v>4423.1233770090666</v>
      </c>
      <c r="Q788" s="53">
        <f t="shared" si="2210"/>
        <v>4423.1233770090666</v>
      </c>
      <c r="R788" s="53">
        <f t="shared" si="2210"/>
        <v>4423.1233770090666</v>
      </c>
      <c r="S788" s="53">
        <f t="shared" si="2210"/>
        <v>4423.1233770090666</v>
      </c>
      <c r="T788" s="53">
        <f t="shared" si="2210"/>
        <v>4423.1233770090666</v>
      </c>
      <c r="U788" s="53">
        <f t="shared" si="2210"/>
        <v>4423.1233770090666</v>
      </c>
      <c r="V788" s="53">
        <f t="shared" si="2210"/>
        <v>4423.1233770090666</v>
      </c>
      <c r="W788" s="53">
        <f t="shared" si="2210"/>
        <v>4423.1233770090666</v>
      </c>
      <c r="X788" s="53">
        <f t="shared" si="2210"/>
        <v>4423.1233770090666</v>
      </c>
      <c r="Y788" s="53">
        <f t="shared" si="2210"/>
        <v>4423.1233770090666</v>
      </c>
      <c r="Z788" s="53">
        <f t="shared" si="2210"/>
        <v>4423.1233770090666</v>
      </c>
      <c r="AA788" s="53">
        <f t="shared" si="2210"/>
        <v>4423.1233770090666</v>
      </c>
      <c r="AB788" s="53">
        <f t="shared" si="2210"/>
        <v>4423.1233770090666</v>
      </c>
      <c r="AC788" s="53">
        <f t="shared" si="2210"/>
        <v>4423.1233770090666</v>
      </c>
      <c r="AE788" s="54">
        <f>SUM(F788:AC788)</f>
        <v>73262.406320908674</v>
      </c>
    </row>
    <row r="789" spans="1:31" hidden="1" outlineLevel="2" x14ac:dyDescent="0.2">
      <c r="A789" t="str">
        <f ca="1">Language!A$563</f>
        <v xml:space="preserve">    среднее время хранения</v>
      </c>
      <c r="B789" s="254">
        <f>NWC_T_Mat</f>
        <v>0</v>
      </c>
      <c r="C789" s="5" t="str">
        <f ca="1">Language!A$38</f>
        <v>дн.</v>
      </c>
      <c r="D789" s="16"/>
      <c r="F789" s="53"/>
      <c r="G789" s="53"/>
      <c r="H789" s="53"/>
      <c r="I789" s="53"/>
      <c r="J789" s="53"/>
      <c r="K789" s="53"/>
      <c r="L789" s="53"/>
      <c r="M789" s="53"/>
      <c r="N789" s="53"/>
      <c r="O789" s="53"/>
      <c r="P789" s="53"/>
      <c r="Q789" s="53"/>
      <c r="R789" s="53"/>
      <c r="S789" s="53"/>
      <c r="T789" s="53"/>
      <c r="U789" s="53"/>
      <c r="V789" s="53"/>
      <c r="W789" s="53"/>
      <c r="X789" s="53"/>
      <c r="Y789" s="53"/>
      <c r="Z789" s="53"/>
      <c r="AA789" s="53"/>
      <c r="AB789" s="53"/>
      <c r="AC789" s="53"/>
      <c r="AE789" s="57"/>
    </row>
    <row r="790" spans="1:31" hidden="1" outlineLevel="2" x14ac:dyDescent="0.2">
      <c r="A790" t="str">
        <f ca="1">Language!A$564</f>
        <v xml:space="preserve">    затраты на сырье и материалы без НДС</v>
      </c>
      <c r="C790" s="5" t="str">
        <f ca="1">CHOOSE(B759,CUR_Main,CUR_Foreign)</f>
        <v>тыс. EUR</v>
      </c>
      <c r="D790" t="str">
        <f>TEXT(B759,"0")&amp;"_01"</f>
        <v>1_01</v>
      </c>
      <c r="F790" s="53">
        <f t="shared" ref="F790:AC790" si="2211">F788/(1+$B764)</f>
        <v>0</v>
      </c>
      <c r="G790" s="53">
        <f t="shared" si="2211"/>
        <v>0</v>
      </c>
      <c r="H790" s="53">
        <f t="shared" si="2211"/>
        <v>0</v>
      </c>
      <c r="I790" s="53">
        <f t="shared" si="2211"/>
        <v>0</v>
      </c>
      <c r="J790" s="53">
        <f t="shared" si="2211"/>
        <v>0</v>
      </c>
      <c r="K790" s="53">
        <f t="shared" si="2211"/>
        <v>0</v>
      </c>
      <c r="L790" s="53">
        <f t="shared" si="2211"/>
        <v>1080.3306088134225</v>
      </c>
      <c r="M790" s="53">
        <f t="shared" si="2211"/>
        <v>1823.7363271611098</v>
      </c>
      <c r="N790" s="53">
        <f t="shared" si="2211"/>
        <v>2718.3360443284409</v>
      </c>
      <c r="O790" s="53">
        <f t="shared" si="2211"/>
        <v>3596.03526586103</v>
      </c>
      <c r="P790" s="53">
        <f t="shared" si="2211"/>
        <v>3596.03526586103</v>
      </c>
      <c r="Q790" s="53">
        <f t="shared" si="2211"/>
        <v>3596.03526586103</v>
      </c>
      <c r="R790" s="53">
        <f t="shared" si="2211"/>
        <v>3596.03526586103</v>
      </c>
      <c r="S790" s="53">
        <f t="shared" si="2211"/>
        <v>3596.03526586103</v>
      </c>
      <c r="T790" s="53">
        <f t="shared" si="2211"/>
        <v>3596.03526586103</v>
      </c>
      <c r="U790" s="53">
        <f t="shared" si="2211"/>
        <v>3596.03526586103</v>
      </c>
      <c r="V790" s="53">
        <f t="shared" si="2211"/>
        <v>3596.03526586103</v>
      </c>
      <c r="W790" s="53">
        <f t="shared" si="2211"/>
        <v>3596.03526586103</v>
      </c>
      <c r="X790" s="53">
        <f t="shared" si="2211"/>
        <v>3596.03526586103</v>
      </c>
      <c r="Y790" s="53">
        <f t="shared" si="2211"/>
        <v>3596.03526586103</v>
      </c>
      <c r="Z790" s="53">
        <f t="shared" si="2211"/>
        <v>3596.03526586103</v>
      </c>
      <c r="AA790" s="53">
        <f t="shared" si="2211"/>
        <v>3596.03526586103</v>
      </c>
      <c r="AB790" s="53">
        <f t="shared" si="2211"/>
        <v>3596.03526586103</v>
      </c>
      <c r="AC790" s="53">
        <f t="shared" si="2211"/>
        <v>3596.03526586103</v>
      </c>
      <c r="AE790" s="54">
        <f>SUM(F790:AC790)</f>
        <v>59562.9319682184</v>
      </c>
    </row>
    <row r="791" spans="1:31" hidden="1" outlineLevel="2" x14ac:dyDescent="0.2">
      <c r="A791" t="str">
        <f ca="1">Language!A$565</f>
        <v xml:space="preserve">    в том числе импортная пошлина</v>
      </c>
      <c r="C791" s="5" t="str">
        <f ca="1">CHOOSE(B759,CUR_Main,CUR_Foreign)</f>
        <v>тыс. EUR</v>
      </c>
      <c r="D791" t="str">
        <f>TEXT(B759,"0")&amp;"_02"</f>
        <v>1_02</v>
      </c>
      <c r="F791" s="53">
        <f t="shared" ref="F791:AC791" si="2212">F790/(1+$B763)*$B763</f>
        <v>0</v>
      </c>
      <c r="G791" s="53">
        <f t="shared" si="2212"/>
        <v>0</v>
      </c>
      <c r="H791" s="53">
        <f t="shared" si="2212"/>
        <v>0</v>
      </c>
      <c r="I791" s="53">
        <f t="shared" si="2212"/>
        <v>0</v>
      </c>
      <c r="J791" s="53">
        <f t="shared" si="2212"/>
        <v>0</v>
      </c>
      <c r="K791" s="53">
        <f t="shared" si="2212"/>
        <v>0</v>
      </c>
      <c r="L791" s="53">
        <f t="shared" si="2212"/>
        <v>0</v>
      </c>
      <c r="M791" s="53">
        <f t="shared" si="2212"/>
        <v>0</v>
      </c>
      <c r="N791" s="53">
        <f t="shared" si="2212"/>
        <v>0</v>
      </c>
      <c r="O791" s="53">
        <f t="shared" si="2212"/>
        <v>0</v>
      </c>
      <c r="P791" s="53">
        <f t="shared" si="2212"/>
        <v>0</v>
      </c>
      <c r="Q791" s="53">
        <f t="shared" si="2212"/>
        <v>0</v>
      </c>
      <c r="R791" s="53">
        <f t="shared" si="2212"/>
        <v>0</v>
      </c>
      <c r="S791" s="53">
        <f t="shared" si="2212"/>
        <v>0</v>
      </c>
      <c r="T791" s="53">
        <f t="shared" si="2212"/>
        <v>0</v>
      </c>
      <c r="U791" s="53">
        <f t="shared" si="2212"/>
        <v>0</v>
      </c>
      <c r="V791" s="53">
        <f t="shared" si="2212"/>
        <v>0</v>
      </c>
      <c r="W791" s="53">
        <f t="shared" si="2212"/>
        <v>0</v>
      </c>
      <c r="X791" s="53">
        <f t="shared" si="2212"/>
        <v>0</v>
      </c>
      <c r="Y791" s="53">
        <f t="shared" si="2212"/>
        <v>0</v>
      </c>
      <c r="Z791" s="53">
        <f t="shared" si="2212"/>
        <v>0</v>
      </c>
      <c r="AA791" s="53">
        <f t="shared" si="2212"/>
        <v>0</v>
      </c>
      <c r="AB791" s="53">
        <f t="shared" si="2212"/>
        <v>0</v>
      </c>
      <c r="AC791" s="53">
        <f t="shared" si="2212"/>
        <v>0</v>
      </c>
      <c r="AE791" s="54">
        <f>SUM(F791:AC791)</f>
        <v>0</v>
      </c>
    </row>
    <row r="792" spans="1:31" hidden="1" outlineLevel="2" x14ac:dyDescent="0.2">
      <c r="A792" t="str">
        <f ca="1">Language!A$566</f>
        <v xml:space="preserve">    закуплено сырья и материалов на сумму (без НДС)</v>
      </c>
      <c r="C792" s="5" t="str">
        <f ca="1">CHOOSE(B759,CUR_Main,CUR_Foreign)</f>
        <v>тыс. EUR</v>
      </c>
      <c r="D792" t="str">
        <f>TEXT(B759,"0")&amp;"_03"</f>
        <v>1_03</v>
      </c>
      <c r="F792" s="269">
        <f t="shared" ref="F792:AC792" si="2213">F790</f>
        <v>0</v>
      </c>
      <c r="G792" s="269">
        <f t="shared" si="2213"/>
        <v>0</v>
      </c>
      <c r="H792" s="269">
        <f t="shared" si="2213"/>
        <v>0</v>
      </c>
      <c r="I792" s="269">
        <f t="shared" si="2213"/>
        <v>0</v>
      </c>
      <c r="J792" s="269">
        <f t="shared" si="2213"/>
        <v>0</v>
      </c>
      <c r="K792" s="269">
        <f t="shared" si="2213"/>
        <v>0</v>
      </c>
      <c r="L792" s="269">
        <f t="shared" si="2213"/>
        <v>1080.3306088134225</v>
      </c>
      <c r="M792" s="269">
        <f t="shared" si="2213"/>
        <v>1823.7363271611098</v>
      </c>
      <c r="N792" s="269">
        <f t="shared" si="2213"/>
        <v>2718.3360443284409</v>
      </c>
      <c r="O792" s="269">
        <f t="shared" si="2213"/>
        <v>3596.03526586103</v>
      </c>
      <c r="P792" s="269">
        <f t="shared" si="2213"/>
        <v>3596.03526586103</v>
      </c>
      <c r="Q792" s="269">
        <f t="shared" si="2213"/>
        <v>3596.03526586103</v>
      </c>
      <c r="R792" s="269">
        <f t="shared" si="2213"/>
        <v>3596.03526586103</v>
      </c>
      <c r="S792" s="269">
        <f t="shared" si="2213"/>
        <v>3596.03526586103</v>
      </c>
      <c r="T792" s="269">
        <f t="shared" si="2213"/>
        <v>3596.03526586103</v>
      </c>
      <c r="U792" s="269">
        <f t="shared" si="2213"/>
        <v>3596.03526586103</v>
      </c>
      <c r="V792" s="269">
        <f t="shared" si="2213"/>
        <v>3596.03526586103</v>
      </c>
      <c r="W792" s="269">
        <f t="shared" si="2213"/>
        <v>3596.03526586103</v>
      </c>
      <c r="X792" s="269">
        <f t="shared" si="2213"/>
        <v>3596.03526586103</v>
      </c>
      <c r="Y792" s="269">
        <f t="shared" si="2213"/>
        <v>3596.03526586103</v>
      </c>
      <c r="Z792" s="269">
        <f t="shared" si="2213"/>
        <v>3596.03526586103</v>
      </c>
      <c r="AA792" s="269">
        <f t="shared" si="2213"/>
        <v>3596.03526586103</v>
      </c>
      <c r="AB792" s="269">
        <f t="shared" si="2213"/>
        <v>3596.03526586103</v>
      </c>
      <c r="AC792" s="269">
        <f t="shared" si="2213"/>
        <v>3596.03526586103</v>
      </c>
      <c r="AE792" s="54">
        <f>SUM(F792:AC792)</f>
        <v>59562.9319682184</v>
      </c>
    </row>
    <row r="793" spans="1:31" hidden="1" outlineLevel="2" x14ac:dyDescent="0.2">
      <c r="A793" t="str">
        <f ca="1">Language!A$570</f>
        <v xml:space="preserve">    оплачено сырья и материалов (без НДС)</v>
      </c>
      <c r="C793" s="5" t="str">
        <f ca="1">CHOOSE(B759,CUR_Main,CUR_Foreign)</f>
        <v>тыс. EUR</v>
      </c>
      <c r="D793" t="str">
        <f>TEXT(B759,"0")&amp;"_06"</f>
        <v>1_06</v>
      </c>
      <c r="F793" s="269">
        <f t="shared" ref="F793:AC793" si="2214">F792</f>
        <v>0</v>
      </c>
      <c r="G793" s="269">
        <f t="shared" si="2214"/>
        <v>0</v>
      </c>
      <c r="H793" s="269">
        <f t="shared" si="2214"/>
        <v>0</v>
      </c>
      <c r="I793" s="269">
        <f t="shared" si="2214"/>
        <v>0</v>
      </c>
      <c r="J793" s="269">
        <f t="shared" si="2214"/>
        <v>0</v>
      </c>
      <c r="K793" s="269">
        <f t="shared" si="2214"/>
        <v>0</v>
      </c>
      <c r="L793" s="269">
        <f t="shared" si="2214"/>
        <v>1080.3306088134225</v>
      </c>
      <c r="M793" s="269">
        <f t="shared" si="2214"/>
        <v>1823.7363271611098</v>
      </c>
      <c r="N793" s="269">
        <f t="shared" si="2214"/>
        <v>2718.3360443284409</v>
      </c>
      <c r="O793" s="269">
        <f t="shared" si="2214"/>
        <v>3596.03526586103</v>
      </c>
      <c r="P793" s="269">
        <f t="shared" si="2214"/>
        <v>3596.03526586103</v>
      </c>
      <c r="Q793" s="269">
        <f t="shared" si="2214"/>
        <v>3596.03526586103</v>
      </c>
      <c r="R793" s="269">
        <f t="shared" si="2214"/>
        <v>3596.03526586103</v>
      </c>
      <c r="S793" s="269">
        <f t="shared" si="2214"/>
        <v>3596.03526586103</v>
      </c>
      <c r="T793" s="269">
        <f t="shared" si="2214"/>
        <v>3596.03526586103</v>
      </c>
      <c r="U793" s="269">
        <f t="shared" si="2214"/>
        <v>3596.03526586103</v>
      </c>
      <c r="V793" s="269">
        <f t="shared" si="2214"/>
        <v>3596.03526586103</v>
      </c>
      <c r="W793" s="269">
        <f t="shared" si="2214"/>
        <v>3596.03526586103</v>
      </c>
      <c r="X793" s="269">
        <f t="shared" si="2214"/>
        <v>3596.03526586103</v>
      </c>
      <c r="Y793" s="269">
        <f t="shared" si="2214"/>
        <v>3596.03526586103</v>
      </c>
      <c r="Z793" s="269">
        <f t="shared" si="2214"/>
        <v>3596.03526586103</v>
      </c>
      <c r="AA793" s="269">
        <f t="shared" si="2214"/>
        <v>3596.03526586103</v>
      </c>
      <c r="AB793" s="269">
        <f t="shared" si="2214"/>
        <v>3596.03526586103</v>
      </c>
      <c r="AC793" s="269">
        <f t="shared" si="2214"/>
        <v>3596.03526586103</v>
      </c>
      <c r="AE793" s="54">
        <f>SUM(F793:AC793)</f>
        <v>59562.9319682184</v>
      </c>
    </row>
    <row r="794" spans="1:31" hidden="1" outlineLevel="2" x14ac:dyDescent="0.2">
      <c r="A794" t="str">
        <f ca="1">Language!A$567</f>
        <v xml:space="preserve">    зачет НДС</v>
      </c>
      <c r="C794" s="5" t="str">
        <f ca="1">CHOOSE(B759,CUR_Main,CUR_Foreign)</f>
        <v>тыс. EUR</v>
      </c>
      <c r="D794" t="str">
        <f>TEXT(B759,"0")&amp;"_04"</f>
        <v>1_04</v>
      </c>
      <c r="F794" s="53">
        <f t="shared" ref="F794:AC794" si="2215">F792*$B764</f>
        <v>0</v>
      </c>
      <c r="G794" s="53">
        <f t="shared" si="2215"/>
        <v>0</v>
      </c>
      <c r="H794" s="53">
        <f t="shared" si="2215"/>
        <v>0</v>
      </c>
      <c r="I794" s="53">
        <f t="shared" si="2215"/>
        <v>0</v>
      </c>
      <c r="J794" s="53">
        <f t="shared" si="2215"/>
        <v>0</v>
      </c>
      <c r="K794" s="53">
        <f t="shared" si="2215"/>
        <v>0</v>
      </c>
      <c r="L794" s="53">
        <f t="shared" si="2215"/>
        <v>248.47604002708718</v>
      </c>
      <c r="M794" s="53">
        <f t="shared" si="2215"/>
        <v>419.45935524705527</v>
      </c>
      <c r="N794" s="53">
        <f t="shared" si="2215"/>
        <v>625.21729019554141</v>
      </c>
      <c r="O794" s="53">
        <f t="shared" si="2215"/>
        <v>827.08811114803689</v>
      </c>
      <c r="P794" s="53">
        <f t="shared" si="2215"/>
        <v>827.08811114803689</v>
      </c>
      <c r="Q794" s="53">
        <f t="shared" si="2215"/>
        <v>827.08811114803689</v>
      </c>
      <c r="R794" s="53">
        <f t="shared" si="2215"/>
        <v>827.08811114803689</v>
      </c>
      <c r="S794" s="53">
        <f t="shared" si="2215"/>
        <v>827.08811114803689</v>
      </c>
      <c r="T794" s="53">
        <f t="shared" si="2215"/>
        <v>827.08811114803689</v>
      </c>
      <c r="U794" s="53">
        <f t="shared" si="2215"/>
        <v>827.08811114803689</v>
      </c>
      <c r="V794" s="53">
        <f t="shared" si="2215"/>
        <v>827.08811114803689</v>
      </c>
      <c r="W794" s="53">
        <f t="shared" si="2215"/>
        <v>827.08811114803689</v>
      </c>
      <c r="X794" s="53">
        <f t="shared" si="2215"/>
        <v>827.08811114803689</v>
      </c>
      <c r="Y794" s="53">
        <f t="shared" si="2215"/>
        <v>827.08811114803689</v>
      </c>
      <c r="Z794" s="53">
        <f t="shared" si="2215"/>
        <v>827.08811114803689</v>
      </c>
      <c r="AA794" s="53">
        <f t="shared" si="2215"/>
        <v>827.08811114803689</v>
      </c>
      <c r="AB794" s="53">
        <f t="shared" si="2215"/>
        <v>827.08811114803689</v>
      </c>
      <c r="AC794" s="53">
        <f t="shared" si="2215"/>
        <v>827.08811114803689</v>
      </c>
      <c r="AE794" s="54">
        <f>SUM(F794:AC794)</f>
        <v>13699.47435269024</v>
      </c>
    </row>
    <row r="795" spans="1:31" hidden="1" outlineLevel="2" x14ac:dyDescent="0.2">
      <c r="A795" t="str">
        <f ca="1">Language!A$568</f>
        <v xml:space="preserve">    запасы на основе периодов оборота</v>
      </c>
      <c r="C795" s="5" t="str">
        <f ca="1">CHOOSE(B759,CUR_Main,CUR_Foreign)</f>
        <v>тыс. EUR</v>
      </c>
      <c r="D795" t="str">
        <f>TEXT(B759,"0")&amp;"_05"&amp;";int_end"</f>
        <v>1_05;int_end</v>
      </c>
      <c r="F795" s="84">
        <f t="shared" ref="F795:AC795" si="2216">F790*$B789/PRJ_Step</f>
        <v>0</v>
      </c>
      <c r="G795" s="84">
        <f t="shared" si="2216"/>
        <v>0</v>
      </c>
      <c r="H795" s="84">
        <f t="shared" si="2216"/>
        <v>0</v>
      </c>
      <c r="I795" s="84">
        <f t="shared" si="2216"/>
        <v>0</v>
      </c>
      <c r="J795" s="84">
        <f t="shared" si="2216"/>
        <v>0</v>
      </c>
      <c r="K795" s="84">
        <f t="shared" si="2216"/>
        <v>0</v>
      </c>
      <c r="L795" s="84">
        <f t="shared" si="2216"/>
        <v>0</v>
      </c>
      <c r="M795" s="84">
        <f t="shared" si="2216"/>
        <v>0</v>
      </c>
      <c r="N795" s="84">
        <f t="shared" si="2216"/>
        <v>0</v>
      </c>
      <c r="O795" s="84">
        <f t="shared" si="2216"/>
        <v>0</v>
      </c>
      <c r="P795" s="84">
        <f t="shared" si="2216"/>
        <v>0</v>
      </c>
      <c r="Q795" s="84">
        <f t="shared" si="2216"/>
        <v>0</v>
      </c>
      <c r="R795" s="84">
        <f t="shared" si="2216"/>
        <v>0</v>
      </c>
      <c r="S795" s="84">
        <f t="shared" si="2216"/>
        <v>0</v>
      </c>
      <c r="T795" s="84">
        <f t="shared" si="2216"/>
        <v>0</v>
      </c>
      <c r="U795" s="84">
        <f t="shared" si="2216"/>
        <v>0</v>
      </c>
      <c r="V795" s="84">
        <f t="shared" si="2216"/>
        <v>0</v>
      </c>
      <c r="W795" s="84">
        <f t="shared" si="2216"/>
        <v>0</v>
      </c>
      <c r="X795" s="84">
        <f t="shared" si="2216"/>
        <v>0</v>
      </c>
      <c r="Y795" s="84">
        <f t="shared" si="2216"/>
        <v>0</v>
      </c>
      <c r="Z795" s="84">
        <f t="shared" si="2216"/>
        <v>0</v>
      </c>
      <c r="AA795" s="84">
        <f t="shared" si="2216"/>
        <v>0</v>
      </c>
      <c r="AB795" s="84">
        <f t="shared" si="2216"/>
        <v>0</v>
      </c>
      <c r="AC795" s="84">
        <f t="shared" si="2216"/>
        <v>0</v>
      </c>
    </row>
    <row r="796" spans="1:31" hidden="1" outlineLevel="2" x14ac:dyDescent="0.2">
      <c r="A796" t="str">
        <f ca="1">Language!A$569</f>
        <v xml:space="preserve">    запасы на основе графика оплаты</v>
      </c>
      <c r="C796" s="5" t="str">
        <f ca="1">CHOOSE(B759,CUR_Main,CUR_Foreign)</f>
        <v>тыс. EUR</v>
      </c>
      <c r="D796" t="str">
        <f>TEXT(B759,"0")&amp;"_13"&amp;";int_end"</f>
        <v>1_13;int_end</v>
      </c>
      <c r="F796" s="84">
        <f t="shared" ref="F796:AC796" si="2217">E796+F792-F790</f>
        <v>0</v>
      </c>
      <c r="G796" s="84">
        <f t="shared" si="2217"/>
        <v>0</v>
      </c>
      <c r="H796" s="84">
        <f t="shared" si="2217"/>
        <v>0</v>
      </c>
      <c r="I796" s="84">
        <f t="shared" si="2217"/>
        <v>0</v>
      </c>
      <c r="J796" s="84">
        <f t="shared" si="2217"/>
        <v>0</v>
      </c>
      <c r="K796" s="84">
        <f t="shared" si="2217"/>
        <v>0</v>
      </c>
      <c r="L796" s="84">
        <f t="shared" si="2217"/>
        <v>0</v>
      </c>
      <c r="M796" s="84">
        <f t="shared" si="2217"/>
        <v>0</v>
      </c>
      <c r="N796" s="84">
        <f t="shared" si="2217"/>
        <v>0</v>
      </c>
      <c r="O796" s="84">
        <f t="shared" si="2217"/>
        <v>0</v>
      </c>
      <c r="P796" s="84">
        <f t="shared" si="2217"/>
        <v>0</v>
      </c>
      <c r="Q796" s="84">
        <f t="shared" si="2217"/>
        <v>0</v>
      </c>
      <c r="R796" s="84">
        <f t="shared" si="2217"/>
        <v>0</v>
      </c>
      <c r="S796" s="84">
        <f t="shared" si="2217"/>
        <v>0</v>
      </c>
      <c r="T796" s="84">
        <f t="shared" si="2217"/>
        <v>0</v>
      </c>
      <c r="U796" s="84">
        <f t="shared" si="2217"/>
        <v>0</v>
      </c>
      <c r="V796" s="84">
        <f t="shared" si="2217"/>
        <v>0</v>
      </c>
      <c r="W796" s="84">
        <f t="shared" si="2217"/>
        <v>0</v>
      </c>
      <c r="X796" s="84">
        <f t="shared" si="2217"/>
        <v>0</v>
      </c>
      <c r="Y796" s="84">
        <f t="shared" si="2217"/>
        <v>0</v>
      </c>
      <c r="Z796" s="84">
        <f t="shared" si="2217"/>
        <v>0</v>
      </c>
      <c r="AA796" s="84">
        <f t="shared" si="2217"/>
        <v>0</v>
      </c>
      <c r="AB796" s="84">
        <f t="shared" si="2217"/>
        <v>0</v>
      </c>
      <c r="AC796" s="84">
        <f t="shared" si="2217"/>
        <v>0</v>
      </c>
    </row>
    <row r="797" spans="1:31" hidden="1" outlineLevel="2" x14ac:dyDescent="0.2">
      <c r="A797" t="str">
        <f ca="1">Language!A$571</f>
        <v xml:space="preserve">    выплаченный НДС</v>
      </c>
      <c r="C797" s="5" t="str">
        <f ca="1">CHOOSE(B759,CUR_Main,CUR_Foreign)</f>
        <v>тыс. EUR</v>
      </c>
      <c r="D797" t="str">
        <f>TEXT(B759,"0")&amp;"_07"</f>
        <v>1_07</v>
      </c>
      <c r="F797" s="53">
        <f t="shared" ref="F797:AC797" si="2218">F793*$B764</f>
        <v>0</v>
      </c>
      <c r="G797" s="53">
        <f t="shared" si="2218"/>
        <v>0</v>
      </c>
      <c r="H797" s="53">
        <f t="shared" si="2218"/>
        <v>0</v>
      </c>
      <c r="I797" s="53">
        <f t="shared" si="2218"/>
        <v>0</v>
      </c>
      <c r="J797" s="53">
        <f t="shared" si="2218"/>
        <v>0</v>
      </c>
      <c r="K797" s="53">
        <f t="shared" si="2218"/>
        <v>0</v>
      </c>
      <c r="L797" s="53">
        <f t="shared" si="2218"/>
        <v>248.47604002708718</v>
      </c>
      <c r="M797" s="53">
        <f t="shared" si="2218"/>
        <v>419.45935524705527</v>
      </c>
      <c r="N797" s="53">
        <f t="shared" si="2218"/>
        <v>625.21729019554141</v>
      </c>
      <c r="O797" s="53">
        <f t="shared" si="2218"/>
        <v>827.08811114803689</v>
      </c>
      <c r="P797" s="53">
        <f t="shared" si="2218"/>
        <v>827.08811114803689</v>
      </c>
      <c r="Q797" s="53">
        <f t="shared" si="2218"/>
        <v>827.08811114803689</v>
      </c>
      <c r="R797" s="53">
        <f t="shared" si="2218"/>
        <v>827.08811114803689</v>
      </c>
      <c r="S797" s="53">
        <f t="shared" si="2218"/>
        <v>827.08811114803689</v>
      </c>
      <c r="T797" s="53">
        <f t="shared" si="2218"/>
        <v>827.08811114803689</v>
      </c>
      <c r="U797" s="53">
        <f t="shared" si="2218"/>
        <v>827.08811114803689</v>
      </c>
      <c r="V797" s="53">
        <f t="shared" si="2218"/>
        <v>827.08811114803689</v>
      </c>
      <c r="W797" s="53">
        <f t="shared" si="2218"/>
        <v>827.08811114803689</v>
      </c>
      <c r="X797" s="53">
        <f t="shared" si="2218"/>
        <v>827.08811114803689</v>
      </c>
      <c r="Y797" s="53">
        <f t="shared" si="2218"/>
        <v>827.08811114803689</v>
      </c>
      <c r="Z797" s="53">
        <f t="shared" si="2218"/>
        <v>827.08811114803689</v>
      </c>
      <c r="AA797" s="53">
        <f t="shared" si="2218"/>
        <v>827.08811114803689</v>
      </c>
      <c r="AB797" s="53">
        <f t="shared" si="2218"/>
        <v>827.08811114803689</v>
      </c>
      <c r="AC797" s="53">
        <f t="shared" si="2218"/>
        <v>827.08811114803689</v>
      </c>
      <c r="AE797" s="54">
        <f>SUM(F797:AC797)</f>
        <v>13699.47435269024</v>
      </c>
    </row>
    <row r="798" spans="1:31" hidden="1" outlineLevel="2" x14ac:dyDescent="0.2">
      <c r="A798" t="str">
        <f ca="1">Language!A$572</f>
        <v xml:space="preserve">    кредиторская задолженность</v>
      </c>
      <c r="C798" s="5" t="str">
        <f ca="1">CHOOSE(B759,CUR_Main,CUR_Foreign)</f>
        <v>тыс. EUR</v>
      </c>
      <c r="D798" t="str">
        <f>TEXT(B759,"0")&amp;"_08"&amp;";int_end"</f>
        <v>1_08;int_end</v>
      </c>
      <c r="F798" s="53">
        <f>IF(SUM($F792:F792)&gt;=0,MAX(SUM($F792:F792)+SUM($F794:F794)-SUM($F793:F793)-SUM($F797:F797),0),MIN(SUM($F792:F792)+SUM($F794:F794)-SUM($F793:F793)-SUM($F797:F797),0))</f>
        <v>0</v>
      </c>
      <c r="G798" s="53">
        <f>IF(SUM($F792:G792)&gt;=0,MAX(SUM($F792:G792)+SUM($F794:G794)-SUM($F793:G793)-SUM($F797:G797),0),MIN(SUM($F792:G792)+SUM($F794:G794)-SUM($F793:G793)-SUM($F797:G797),0))</f>
        <v>0</v>
      </c>
      <c r="H798" s="53">
        <f>IF(SUM($F792:H792)&gt;=0,MAX(SUM($F792:H792)+SUM($F794:H794)-SUM($F793:H793)-SUM($F797:H797),0),MIN(SUM($F792:H792)+SUM($F794:H794)-SUM($F793:H793)-SUM($F797:H797),0))</f>
        <v>0</v>
      </c>
      <c r="I798" s="53">
        <f>IF(SUM($F792:I792)&gt;=0,MAX(SUM($F792:I792)+SUM($F794:I794)-SUM($F793:I793)-SUM($F797:I797),0),MIN(SUM($F792:I792)+SUM($F794:I794)-SUM($F793:I793)-SUM($F797:I797),0))</f>
        <v>0</v>
      </c>
      <c r="J798" s="53">
        <f>IF(SUM($F792:J792)&gt;=0,MAX(SUM($F792:J792)+SUM($F794:J794)-SUM($F793:J793)-SUM($F797:J797),0),MIN(SUM($F792:J792)+SUM($F794:J794)-SUM($F793:J793)-SUM($F797:J797),0))</f>
        <v>0</v>
      </c>
      <c r="K798" s="53">
        <f>IF(SUM($F792:K792)&gt;=0,MAX(SUM($F792:K792)+SUM($F794:K794)-SUM($F793:K793)-SUM($F797:K797),0),MIN(SUM($F792:K792)+SUM($F794:K794)-SUM($F793:K793)-SUM($F797:K797),0))</f>
        <v>0</v>
      </c>
      <c r="L798" s="53">
        <f>IF(SUM($F792:L792)&gt;=0,MAX(SUM($F792:L792)+SUM($F794:L794)-SUM($F793:L793)-SUM($F797:L797),0),MIN(SUM($F792:L792)+SUM($F794:L794)-SUM($F793:L793)-SUM($F797:L797),0))</f>
        <v>8.5265128291212022E-14</v>
      </c>
      <c r="M798" s="53">
        <f>IF(SUM($F792:M792)&gt;=0,MAX(SUM($F792:M792)+SUM($F794:M794)-SUM($F793:M793)-SUM($F797:M797),0),MIN(SUM($F792:M792)+SUM($F794:M794)-SUM($F793:M793)-SUM($F797:M797),0))</f>
        <v>1.1368683772161603E-13</v>
      </c>
      <c r="N798" s="53">
        <f>IF(SUM($F792:N792)&gt;=0,MAX(SUM($F792:N792)+SUM($F794:N794)-SUM($F793:N793)-SUM($F797:N797),0),MIN(SUM($F792:N792)+SUM($F794:N794)-SUM($F793:N793)-SUM($F797:N797),0))</f>
        <v>0</v>
      </c>
      <c r="O798" s="53">
        <f>IF(SUM($F792:O792)&gt;=0,MAX(SUM($F792:O792)+SUM($F794:O794)-SUM($F793:O793)-SUM($F797:O797),0),MIN(SUM($F792:O792)+SUM($F794:O794)-SUM($F793:O793)-SUM($F797:O797),0))</f>
        <v>9.0949470177292824E-13</v>
      </c>
      <c r="P798" s="53">
        <f>IF(SUM($F792:P792)&gt;=0,MAX(SUM($F792:P792)+SUM($F794:P794)-SUM($F793:P793)-SUM($F797:P797),0),MIN(SUM($F792:P792)+SUM($F794:P794)-SUM($F793:P793)-SUM($F797:P797),0))</f>
        <v>0</v>
      </c>
      <c r="Q798" s="53">
        <f>IF(SUM($F792:Q792)&gt;=0,MAX(SUM($F792:Q792)+SUM($F794:Q794)-SUM($F793:Q793)-SUM($F797:Q797),0),MIN(SUM($F792:Q792)+SUM($F794:Q794)-SUM($F793:Q793)-SUM($F797:Q797),0))</f>
        <v>9.0949470177292824E-13</v>
      </c>
      <c r="R798" s="53">
        <f>IF(SUM($F792:R792)&gt;=0,MAX(SUM($F792:R792)+SUM($F794:R794)-SUM($F793:R793)-SUM($F797:R797),0),MIN(SUM($F792:R792)+SUM($F794:R794)-SUM($F793:R793)-SUM($F797:R797),0))</f>
        <v>0</v>
      </c>
      <c r="S798" s="53">
        <f>IF(SUM($F792:S792)&gt;=0,MAX(SUM($F792:S792)+SUM($F794:S794)-SUM($F793:S793)-SUM($F797:S797),0),MIN(SUM($F792:S792)+SUM($F794:S794)-SUM($F793:S793)-SUM($F797:S797),0))</f>
        <v>0</v>
      </c>
      <c r="T798" s="53">
        <f>IF(SUM($F792:T792)&gt;=0,MAX(SUM($F792:T792)+SUM($F794:T794)-SUM($F793:T793)-SUM($F797:T797),0),MIN(SUM($F792:T792)+SUM($F794:T794)-SUM($F793:T793)-SUM($F797:T797),0))</f>
        <v>0</v>
      </c>
      <c r="U798" s="53">
        <f>IF(SUM($F792:U792)&gt;=0,MAX(SUM($F792:U792)+SUM($F794:U794)-SUM($F793:U793)-SUM($F797:U797),0),MIN(SUM($F792:U792)+SUM($F794:U794)-SUM($F793:U793)-SUM($F797:U797),0))</f>
        <v>0</v>
      </c>
      <c r="V798" s="53">
        <f>IF(SUM($F792:V792)&gt;=0,MAX(SUM($F792:V792)+SUM($F794:V794)-SUM($F793:V793)-SUM($F797:V797),0),MIN(SUM($F792:V792)+SUM($F794:V794)-SUM($F793:V793)-SUM($F797:V797),0))</f>
        <v>1.8189894035458565E-12</v>
      </c>
      <c r="W798" s="53">
        <f>IF(SUM($F792:W792)&gt;=0,MAX(SUM($F792:W792)+SUM($F794:W794)-SUM($F793:W793)-SUM($F797:W797),0),MIN(SUM($F792:W792)+SUM($F794:W794)-SUM($F793:W793)-SUM($F797:W797),0))</f>
        <v>0</v>
      </c>
      <c r="X798" s="53">
        <f>IF(SUM($F792:X792)&gt;=0,MAX(SUM($F792:X792)+SUM($F794:X794)-SUM($F793:X793)-SUM($F797:X797),0),MIN(SUM($F792:X792)+SUM($F794:X794)-SUM($F793:X793)-SUM($F797:X797),0))</f>
        <v>1.8189894035458565E-12</v>
      </c>
      <c r="Y798" s="53">
        <f>IF(SUM($F792:Y792)&gt;=0,MAX(SUM($F792:Y792)+SUM($F794:Y794)-SUM($F793:Y793)-SUM($F797:Y797),0),MIN(SUM($F792:Y792)+SUM($F794:Y794)-SUM($F793:Y793)-SUM($F797:Y797),0))</f>
        <v>0</v>
      </c>
      <c r="Z798" s="53">
        <f>IF(SUM($F792:Z792)&gt;=0,MAX(SUM($F792:Z792)+SUM($F794:Z794)-SUM($F793:Z793)-SUM($F797:Z797),0),MIN(SUM($F792:Z792)+SUM($F794:Z794)-SUM($F793:Z793)-SUM($F797:Z797),0))</f>
        <v>1.8189894035458565E-12</v>
      </c>
      <c r="AA798" s="53">
        <f>IF(SUM($F792:AA792)&gt;=0,MAX(SUM($F792:AA792)+SUM($F794:AA794)-SUM($F793:AA793)-SUM($F797:AA797),0),MIN(SUM($F792:AA792)+SUM($F794:AA794)-SUM($F793:AA793)-SUM($F797:AA797),0))</f>
        <v>0</v>
      </c>
      <c r="AB798" s="53">
        <f>IF(SUM($F792:AB792)&gt;=0,MAX(SUM($F792:AB792)+SUM($F794:AB794)-SUM($F793:AB793)-SUM($F797:AB797),0),MIN(SUM($F792:AB792)+SUM($F794:AB794)-SUM($F793:AB793)-SUM($F797:AB797),0))</f>
        <v>0</v>
      </c>
      <c r="AC798" s="53">
        <f>IF(SUM($F792:AC792)&gt;=0,MAX(SUM($F792:AC792)+SUM($F794:AC794)-SUM($F793:AC793)-SUM($F797:AC797),0),MIN(SUM($F792:AC792)+SUM($F794:AC794)-SUM($F793:AC793)-SUM($F797:AC797),0))</f>
        <v>5.4569682106375694E-12</v>
      </c>
    </row>
    <row r="799" spans="1:31" hidden="1" outlineLevel="2" x14ac:dyDescent="0.2">
      <c r="A799" t="str">
        <f ca="1">Language!A$573</f>
        <v xml:space="preserve">    выплаченные авансы</v>
      </c>
      <c r="C799" s="5" t="str">
        <f ca="1">CHOOSE(B759,CUR_Main,CUR_Foreign)</f>
        <v>тыс. EUR</v>
      </c>
      <c r="D799" t="str">
        <f>TEXT(B759,"0")&amp;"_09"&amp;";int_end"</f>
        <v>1_09;int_end</v>
      </c>
      <c r="F799" s="53">
        <f>IF(SUM($F792:F792)&gt;=0,MAX(SUM($F793:F793)+SUM($F797:F797)-SUM($F792:F792)-SUM($F794:F794),0),MIN(SUM($F793:F793)+SUM($F797:F797)-SUM($F792:F792)-SUM($F794:F794),0))</f>
        <v>0</v>
      </c>
      <c r="G799" s="53">
        <f>IF(SUM($F792:G792)&gt;=0,MAX(SUM($F793:G793)+SUM($F797:G797)-SUM($F792:G792)-SUM($F794:G794),0),MIN(SUM($F793:G793)+SUM($F797:G797)-SUM($F792:G792)-SUM($F794:G794),0))</f>
        <v>0</v>
      </c>
      <c r="H799" s="53">
        <f>IF(SUM($F792:H792)&gt;=0,MAX(SUM($F793:H793)+SUM($F797:H797)-SUM($F792:H792)-SUM($F794:H794),0),MIN(SUM($F793:H793)+SUM($F797:H797)-SUM($F792:H792)-SUM($F794:H794),0))</f>
        <v>0</v>
      </c>
      <c r="I799" s="53">
        <f>IF(SUM($F792:I792)&gt;=0,MAX(SUM($F793:I793)+SUM($F797:I797)-SUM($F792:I792)-SUM($F794:I794),0),MIN(SUM($F793:I793)+SUM($F797:I797)-SUM($F792:I792)-SUM($F794:I794),0))</f>
        <v>0</v>
      </c>
      <c r="J799" s="53">
        <f>IF(SUM($F792:J792)&gt;=0,MAX(SUM($F793:J793)+SUM($F797:J797)-SUM($F792:J792)-SUM($F794:J794),0),MIN(SUM($F793:J793)+SUM($F797:J797)-SUM($F792:J792)-SUM($F794:J794),0))</f>
        <v>0</v>
      </c>
      <c r="K799" s="53">
        <f>IF(SUM($F792:K792)&gt;=0,MAX(SUM($F793:K793)+SUM($F797:K797)-SUM($F792:K792)-SUM($F794:K794),0),MIN(SUM($F793:K793)+SUM($F797:K797)-SUM($F792:K792)-SUM($F794:K794),0))</f>
        <v>0</v>
      </c>
      <c r="L799" s="53">
        <f>IF(SUM($F792:L792)&gt;=0,MAX(SUM($F793:L793)+SUM($F797:L797)-SUM($F792:L792)-SUM($F794:L794),0),MIN(SUM($F793:L793)+SUM($F797:L797)-SUM($F792:L792)-SUM($F794:L794),0))</f>
        <v>8.5265128291212022E-14</v>
      </c>
      <c r="M799" s="53">
        <f>IF(SUM($F792:M792)&gt;=0,MAX(SUM($F793:M793)+SUM($F797:M797)-SUM($F792:M792)-SUM($F794:M794),0),MIN(SUM($F793:M793)+SUM($F797:M797)-SUM($F792:M792)-SUM($F794:M794),0))</f>
        <v>1.1368683772161603E-13</v>
      </c>
      <c r="N799" s="53">
        <f>IF(SUM($F792:N792)&gt;=0,MAX(SUM($F793:N793)+SUM($F797:N797)-SUM($F792:N792)-SUM($F794:N794),0),MIN(SUM($F793:N793)+SUM($F797:N797)-SUM($F792:N792)-SUM($F794:N794),0))</f>
        <v>0</v>
      </c>
      <c r="O799" s="53">
        <f>IF(SUM($F792:O792)&gt;=0,MAX(SUM($F793:O793)+SUM($F797:O797)-SUM($F792:O792)-SUM($F794:O794),0),MIN(SUM($F793:O793)+SUM($F797:O797)-SUM($F792:O792)-SUM($F794:O794),0))</f>
        <v>9.0949470177292824E-13</v>
      </c>
      <c r="P799" s="53">
        <f>IF(SUM($F792:P792)&gt;=0,MAX(SUM($F793:P793)+SUM($F797:P797)-SUM($F792:P792)-SUM($F794:P794),0),MIN(SUM($F793:P793)+SUM($F797:P797)-SUM($F792:P792)-SUM($F794:P794),0))</f>
        <v>0</v>
      </c>
      <c r="Q799" s="53">
        <f>IF(SUM($F792:Q792)&gt;=0,MAX(SUM($F793:Q793)+SUM($F797:Q797)-SUM($F792:Q792)-SUM($F794:Q794),0),MIN(SUM($F793:Q793)+SUM($F797:Q797)-SUM($F792:Q792)-SUM($F794:Q794),0))</f>
        <v>9.0949470177292824E-13</v>
      </c>
      <c r="R799" s="53">
        <f>IF(SUM($F792:R792)&gt;=0,MAX(SUM($F793:R793)+SUM($F797:R797)-SUM($F792:R792)-SUM($F794:R794),0),MIN(SUM($F793:R793)+SUM($F797:R797)-SUM($F792:R792)-SUM($F794:R794),0))</f>
        <v>0</v>
      </c>
      <c r="S799" s="53">
        <f>IF(SUM($F792:S792)&gt;=0,MAX(SUM($F793:S793)+SUM($F797:S797)-SUM($F792:S792)-SUM($F794:S794),0),MIN(SUM($F793:S793)+SUM($F797:S797)-SUM($F792:S792)-SUM($F794:S794),0))</f>
        <v>0</v>
      </c>
      <c r="T799" s="53">
        <f>IF(SUM($F792:T792)&gt;=0,MAX(SUM($F793:T793)+SUM($F797:T797)-SUM($F792:T792)-SUM($F794:T794),0),MIN(SUM($F793:T793)+SUM($F797:T797)-SUM($F792:T792)-SUM($F794:T794),0))</f>
        <v>0</v>
      </c>
      <c r="U799" s="53">
        <f>IF(SUM($F792:U792)&gt;=0,MAX(SUM($F793:U793)+SUM($F797:U797)-SUM($F792:U792)-SUM($F794:U794),0),MIN(SUM($F793:U793)+SUM($F797:U797)-SUM($F792:U792)-SUM($F794:U794),0))</f>
        <v>0</v>
      </c>
      <c r="V799" s="53">
        <f>IF(SUM($F792:V792)&gt;=0,MAX(SUM($F793:V793)+SUM($F797:V797)-SUM($F792:V792)-SUM($F794:V794),0),MIN(SUM($F793:V793)+SUM($F797:V797)-SUM($F792:V792)-SUM($F794:V794),0))</f>
        <v>1.8189894035458565E-12</v>
      </c>
      <c r="W799" s="53">
        <f>IF(SUM($F792:W792)&gt;=0,MAX(SUM($F793:W793)+SUM($F797:W797)-SUM($F792:W792)-SUM($F794:W794),0),MIN(SUM($F793:W793)+SUM($F797:W797)-SUM($F792:W792)-SUM($F794:W794),0))</f>
        <v>0</v>
      </c>
      <c r="X799" s="53">
        <f>IF(SUM($F792:X792)&gt;=0,MAX(SUM($F793:X793)+SUM($F797:X797)-SUM($F792:X792)-SUM($F794:X794),0),MIN(SUM($F793:X793)+SUM($F797:X797)-SUM($F792:X792)-SUM($F794:X794),0))</f>
        <v>1.8189894035458565E-12</v>
      </c>
      <c r="Y799" s="53">
        <f>IF(SUM($F792:Y792)&gt;=0,MAX(SUM($F793:Y793)+SUM($F797:Y797)-SUM($F792:Y792)-SUM($F794:Y794),0),MIN(SUM($F793:Y793)+SUM($F797:Y797)-SUM($F792:Y792)-SUM($F794:Y794),0))</f>
        <v>0</v>
      </c>
      <c r="Z799" s="53">
        <f>IF(SUM($F792:Z792)&gt;=0,MAX(SUM($F793:Z793)+SUM($F797:Z797)-SUM($F792:Z792)-SUM($F794:Z794),0),MIN(SUM($F793:Z793)+SUM($F797:Z797)-SUM($F792:Z792)-SUM($F794:Z794),0))</f>
        <v>1.8189894035458565E-12</v>
      </c>
      <c r="AA799" s="53">
        <f>IF(SUM($F792:AA792)&gt;=0,MAX(SUM($F793:AA793)+SUM($F797:AA797)-SUM($F792:AA792)-SUM($F794:AA794),0),MIN(SUM($F793:AA793)+SUM($F797:AA797)-SUM($F792:AA792)-SUM($F794:AA794),0))</f>
        <v>0</v>
      </c>
      <c r="AB799" s="53">
        <f>IF(SUM($F792:AB792)&gt;=0,MAX(SUM($F793:AB793)+SUM($F797:AB797)-SUM($F792:AB792)-SUM($F794:AB794),0),MIN(SUM($F793:AB793)+SUM($F797:AB797)-SUM($F792:AB792)-SUM($F794:AB794),0))</f>
        <v>0</v>
      </c>
      <c r="AC799" s="53">
        <f>IF(SUM($F792:AC792)&gt;=0,MAX(SUM($F793:AC793)+SUM($F797:AC797)-SUM($F792:AC792)-SUM($F794:AC794),0),MIN(SUM($F793:AC793)+SUM($F797:AC797)-SUM($F792:AC792)-SUM($F794:AC794),0))</f>
        <v>5.4569682106375694E-12</v>
      </c>
    </row>
    <row r="800" spans="1:31" hidden="1" outlineLevel="2" x14ac:dyDescent="0.2">
      <c r="A800" t="str">
        <f ca="1">Language!A$574</f>
        <v xml:space="preserve">    списано затрат на реализованную продукцию</v>
      </c>
      <c r="C800" s="5" t="str">
        <f ca="1">CHOOSE(B759,CUR_Main,CUR_Foreign)</f>
        <v>тыс. EUR</v>
      </c>
      <c r="D800" t="str">
        <f>TEXT(B759,"0")&amp;"_10"</f>
        <v>1_10</v>
      </c>
      <c r="F800" s="53">
        <f t="shared" ref="F800:AC800" si="2219">IF((E733+F731)&gt;0,F732*(E801+F790)/(E733+F731),0)</f>
        <v>0</v>
      </c>
      <c r="G800" s="53">
        <f t="shared" si="2219"/>
        <v>0</v>
      </c>
      <c r="H800" s="53">
        <f t="shared" si="2219"/>
        <v>0</v>
      </c>
      <c r="I800" s="53">
        <f t="shared" si="2219"/>
        <v>0</v>
      </c>
      <c r="J800" s="53">
        <f t="shared" si="2219"/>
        <v>0</v>
      </c>
      <c r="K800" s="53">
        <f t="shared" si="2219"/>
        <v>0</v>
      </c>
      <c r="L800" s="53">
        <f t="shared" si="2219"/>
        <v>1080.3306088134225</v>
      </c>
      <c r="M800" s="53">
        <f t="shared" si="2219"/>
        <v>1823.7363271611098</v>
      </c>
      <c r="N800" s="53">
        <f t="shared" si="2219"/>
        <v>2718.3360443284409</v>
      </c>
      <c r="O800" s="53">
        <f t="shared" si="2219"/>
        <v>3596.03526586103</v>
      </c>
      <c r="P800" s="53">
        <f t="shared" si="2219"/>
        <v>3596.03526586103</v>
      </c>
      <c r="Q800" s="53">
        <f t="shared" si="2219"/>
        <v>3596.03526586103</v>
      </c>
      <c r="R800" s="53">
        <f t="shared" si="2219"/>
        <v>3596.03526586103</v>
      </c>
      <c r="S800" s="53">
        <f t="shared" si="2219"/>
        <v>3596.03526586103</v>
      </c>
      <c r="T800" s="53">
        <f t="shared" si="2219"/>
        <v>3596.03526586103</v>
      </c>
      <c r="U800" s="53">
        <f t="shared" si="2219"/>
        <v>3596.03526586103</v>
      </c>
      <c r="V800" s="53">
        <f t="shared" si="2219"/>
        <v>3596.03526586103</v>
      </c>
      <c r="W800" s="53">
        <f t="shared" si="2219"/>
        <v>3596.03526586103</v>
      </c>
      <c r="X800" s="53">
        <f t="shared" si="2219"/>
        <v>3596.03526586103</v>
      </c>
      <c r="Y800" s="53">
        <f t="shared" si="2219"/>
        <v>3596.03526586103</v>
      </c>
      <c r="Z800" s="53">
        <f t="shared" si="2219"/>
        <v>3596.03526586103</v>
      </c>
      <c r="AA800" s="53">
        <f t="shared" si="2219"/>
        <v>3596.03526586103</v>
      </c>
      <c r="AB800" s="53">
        <f t="shared" si="2219"/>
        <v>3596.03526586103</v>
      </c>
      <c r="AC800" s="53">
        <f t="shared" si="2219"/>
        <v>3596.03526586103</v>
      </c>
      <c r="AE800" s="54">
        <f>SUM(F800:AC800)</f>
        <v>59562.9319682184</v>
      </c>
    </row>
    <row r="801" spans="1:31" hidden="1" outlineLevel="2" x14ac:dyDescent="0.2">
      <c r="A801" s="48" t="str">
        <f ca="1">Language!A$575</f>
        <v xml:space="preserve">    остаток затрат на складе готовой продукции</v>
      </c>
      <c r="C801" s="5" t="str">
        <f ca="1">CHOOSE(B759,CUR_Main,CUR_Foreign)</f>
        <v>тыс. EUR</v>
      </c>
      <c r="D801" t="str">
        <f>TEXT(B759,"0")&amp;"_11"&amp;";int_end"</f>
        <v>1_11;int_end</v>
      </c>
      <c r="F801" s="84">
        <f>SUM($F792:F792)-SUM($F800:F800)-F796</f>
        <v>0</v>
      </c>
      <c r="G801" s="84">
        <f>SUM($F792:G792)-SUM($F800:G800)-G796</f>
        <v>0</v>
      </c>
      <c r="H801" s="84">
        <f>SUM($F792:H792)-SUM($F800:H800)-H796</f>
        <v>0</v>
      </c>
      <c r="I801" s="84">
        <f>SUM($F792:I792)-SUM($F800:I800)-I796</f>
        <v>0</v>
      </c>
      <c r="J801" s="84">
        <f>SUM($F792:J792)-SUM($F800:J800)-J796</f>
        <v>0</v>
      </c>
      <c r="K801" s="84">
        <f>SUM($F792:K792)-SUM($F800:K800)-K796</f>
        <v>0</v>
      </c>
      <c r="L801" s="84">
        <f>SUM($F792:L792)-SUM($F800:L800)-L796</f>
        <v>0</v>
      </c>
      <c r="M801" s="84">
        <f>SUM($F792:M792)-SUM($F800:M800)-M796</f>
        <v>0</v>
      </c>
      <c r="N801" s="84">
        <f>SUM($F792:N792)-SUM($F800:N800)-N796</f>
        <v>0</v>
      </c>
      <c r="O801" s="84">
        <f>SUM($F792:O792)-SUM($F800:O800)-O796</f>
        <v>0</v>
      </c>
      <c r="P801" s="84">
        <f>SUM($F792:P792)-SUM($F800:P800)-P796</f>
        <v>0</v>
      </c>
      <c r="Q801" s="84">
        <f>SUM($F792:Q792)-SUM($F800:Q800)-Q796</f>
        <v>0</v>
      </c>
      <c r="R801" s="84">
        <f>SUM($F792:R792)-SUM($F800:R800)-R796</f>
        <v>0</v>
      </c>
      <c r="S801" s="84">
        <f>SUM($F792:S792)-SUM($F800:S800)-S796</f>
        <v>0</v>
      </c>
      <c r="T801" s="84">
        <f>SUM($F792:T792)-SUM($F800:T800)-T796</f>
        <v>0</v>
      </c>
      <c r="U801" s="84">
        <f>SUM($F792:U792)-SUM($F800:U800)-U796</f>
        <v>0</v>
      </c>
      <c r="V801" s="84">
        <f>SUM($F792:V792)-SUM($F800:V800)-V796</f>
        <v>0</v>
      </c>
      <c r="W801" s="84">
        <f>SUM($F792:W792)-SUM($F800:W800)-W796</f>
        <v>0</v>
      </c>
      <c r="X801" s="84">
        <f>SUM($F792:X792)-SUM($F800:X800)-X796</f>
        <v>0</v>
      </c>
      <c r="Y801" s="84">
        <f>SUM($F792:Y792)-SUM($F800:Y800)-Y796</f>
        <v>0</v>
      </c>
      <c r="Z801" s="84">
        <f>SUM($F792:Z792)-SUM($F800:Z800)-Z796</f>
        <v>0</v>
      </c>
      <c r="AA801" s="84">
        <f>SUM($F792:AA792)-SUM($F800:AA800)-AA796</f>
        <v>0</v>
      </c>
      <c r="AB801" s="84">
        <f>SUM($F792:AB792)-SUM($F800:AB800)-AB796</f>
        <v>0</v>
      </c>
      <c r="AC801" s="84">
        <f>SUM($F792:AC792)-SUM($F800:AC800)-AC796</f>
        <v>0</v>
      </c>
    </row>
    <row r="802" spans="1:31" hidden="1" outlineLevel="2" x14ac:dyDescent="0.2">
      <c r="A802" s="48" t="str">
        <f ca="1">Language!A$576</f>
        <v xml:space="preserve">    остаток затрат в незавершенном производстве</v>
      </c>
      <c r="B802" s="254">
        <f>NWC_T_Cycle</f>
        <v>0</v>
      </c>
      <c r="C802" s="5" t="str">
        <f ca="1">Language!A$38</f>
        <v>дн.</v>
      </c>
      <c r="D802" t="str">
        <f>TEXT(B759,"0")&amp;"_12"&amp;";int_end"</f>
        <v>1_12;int_end</v>
      </c>
      <c r="F802" s="84">
        <f t="shared" ref="F802:AC802" si="2220">F790*$B802/PRJ_Step</f>
        <v>0</v>
      </c>
      <c r="G802" s="84">
        <f t="shared" si="2220"/>
        <v>0</v>
      </c>
      <c r="H802" s="84">
        <f t="shared" si="2220"/>
        <v>0</v>
      </c>
      <c r="I802" s="84">
        <f t="shared" si="2220"/>
        <v>0</v>
      </c>
      <c r="J802" s="84">
        <f t="shared" si="2220"/>
        <v>0</v>
      </c>
      <c r="K802" s="84">
        <f t="shared" si="2220"/>
        <v>0</v>
      </c>
      <c r="L802" s="84">
        <f t="shared" si="2220"/>
        <v>0</v>
      </c>
      <c r="M802" s="84">
        <f t="shared" si="2220"/>
        <v>0</v>
      </c>
      <c r="N802" s="84">
        <f t="shared" si="2220"/>
        <v>0</v>
      </c>
      <c r="O802" s="84">
        <f t="shared" si="2220"/>
        <v>0</v>
      </c>
      <c r="P802" s="84">
        <f t="shared" si="2220"/>
        <v>0</v>
      </c>
      <c r="Q802" s="84">
        <f t="shared" si="2220"/>
        <v>0</v>
      </c>
      <c r="R802" s="84">
        <f t="shared" si="2220"/>
        <v>0</v>
      </c>
      <c r="S802" s="84">
        <f t="shared" si="2220"/>
        <v>0</v>
      </c>
      <c r="T802" s="84">
        <f t="shared" si="2220"/>
        <v>0</v>
      </c>
      <c r="U802" s="84">
        <f t="shared" si="2220"/>
        <v>0</v>
      </c>
      <c r="V802" s="84">
        <f t="shared" si="2220"/>
        <v>0</v>
      </c>
      <c r="W802" s="84">
        <f t="shared" si="2220"/>
        <v>0</v>
      </c>
      <c r="X802" s="84">
        <f t="shared" si="2220"/>
        <v>0</v>
      </c>
      <c r="Y802" s="84">
        <f t="shared" si="2220"/>
        <v>0</v>
      </c>
      <c r="Z802" s="84">
        <f t="shared" si="2220"/>
        <v>0</v>
      </c>
      <c r="AA802" s="84">
        <f t="shared" si="2220"/>
        <v>0</v>
      </c>
      <c r="AB802" s="84">
        <f t="shared" si="2220"/>
        <v>0</v>
      </c>
      <c r="AC802" s="84">
        <f t="shared" si="2220"/>
        <v>0</v>
      </c>
    </row>
    <row r="803" spans="1:31" outlineLevel="1" x14ac:dyDescent="0.2"/>
    <row r="804" spans="1:31" outlineLevel="1" collapsed="1" x14ac:dyDescent="0.2">
      <c r="A804" s="35" t="str">
        <f ca="1">Language!A548</f>
        <v xml:space="preserve"> = Итого</v>
      </c>
      <c r="C804" s="5" t="str">
        <f t="shared" ref="C804:C817" ca="1" si="2221">CUR_Main</f>
        <v>тыс. EUR</v>
      </c>
      <c r="F804" s="56">
        <f ca="1">SUMIF($D769:OFFSET($D804,-1,0),"*1_00*",F769:OFFSET(F804,-1,0))+SUMIF($D769:OFFSET($D804,-1,0),"*2_00*",F769:OFFSET(F804,-1,0))*F$88</f>
        <v>0</v>
      </c>
      <c r="G804" s="56">
        <f ca="1">SUMIF($D769:OFFSET($D804,-1,0),"*1_00*",G769:OFFSET(G804,-1,0))+SUMIF($D769:OFFSET($D804,-1,0),"*2_00*",G769:OFFSET(G804,-1,0))*G$88</f>
        <v>0</v>
      </c>
      <c r="H804" s="56">
        <f ca="1">SUMIF($D769:OFFSET($D804,-1,0),"*1_00*",H769:OFFSET(H804,-1,0))+SUMIF($D769:OFFSET($D804,-1,0),"*2_00*",H769:OFFSET(H804,-1,0))*H$88</f>
        <v>0</v>
      </c>
      <c r="I804" s="56">
        <f ca="1">SUMIF($D769:OFFSET($D804,-1,0),"*1_00*",I769:OFFSET(I804,-1,0))+SUMIF($D769:OFFSET($D804,-1,0),"*2_00*",I769:OFFSET(I804,-1,0))*I$88</f>
        <v>0</v>
      </c>
      <c r="J804" s="56">
        <f ca="1">SUMIF($D769:OFFSET($D804,-1,0),"*1_00*",J769:OFFSET(J804,-1,0))+SUMIF($D769:OFFSET($D804,-1,0),"*2_00*",J769:OFFSET(J804,-1,0))*J$88</f>
        <v>0</v>
      </c>
      <c r="K804" s="56">
        <f ca="1">SUMIF($D769:OFFSET($D804,-1,0),"*1_00*",K769:OFFSET(K804,-1,0))+SUMIF($D769:OFFSET($D804,-1,0),"*2_00*",K769:OFFSET(K804,-1,0))*K$88</f>
        <v>581.99128181252672</v>
      </c>
      <c r="L804" s="56">
        <f ca="1">SUMIF($D769:OFFSET($D804,-1,0),"*1_00*",L769:OFFSET(L804,-1,0))+SUMIF($D769:OFFSET($D804,-1,0),"*2_00*",L769:OFFSET(L804,-1,0))*L$88</f>
        <v>2271.9144207061654</v>
      </c>
      <c r="M804" s="56">
        <f ca="1">SUMIF($D769:OFFSET($D804,-1,0),"*1_00*",M769:OFFSET(M804,-1,0))+SUMIF($D769:OFFSET($D804,-1,0),"*2_00*",M769:OFFSET(M804,-1,0))*M$88</f>
        <v>3649.3970405799773</v>
      </c>
      <c r="N804" s="56">
        <f ca="1">SUMIF($D769:OFFSET($D804,-1,0),"*1_00*",N769:OFFSET(N804,-1,0))+SUMIF($D769:OFFSET($D804,-1,0),"*2_00*",N769:OFFSET(N804,-1,0))*N$88</f>
        <v>5210.3239219243887</v>
      </c>
      <c r="O804" s="56">
        <f ca="1">SUMIF($D769:OFFSET($D804,-1,0),"*1_00*",O769:OFFSET(O804,-1,0))+SUMIF($D769:OFFSET($D804,-1,0),"*2_00*",O769:OFFSET(O804,-1,0))*O$88</f>
        <v>6289.8939644094726</v>
      </c>
      <c r="P804" s="56">
        <f ca="1">SUMIF($D769:OFFSET($D804,-1,0),"*1_00*",P769:OFFSET(P804,-1,0))+SUMIF($D769:OFFSET($D804,-1,0),"*2_00*",P769:OFFSET(P804,-1,0))*P$88</f>
        <v>6289.8939644094726</v>
      </c>
      <c r="Q804" s="56">
        <f ca="1">SUMIF($D769:OFFSET($D804,-1,0),"*1_00*",Q769:OFFSET(Q804,-1,0))+SUMIF($D769:OFFSET($D804,-1,0),"*2_00*",Q769:OFFSET(Q804,-1,0))*Q$88</f>
        <v>6289.8939644094726</v>
      </c>
      <c r="R804" s="56">
        <f ca="1">SUMIF($D769:OFFSET($D804,-1,0),"*1_00*",R769:OFFSET(R804,-1,0))+SUMIF($D769:OFFSET($D804,-1,0),"*2_00*",R769:OFFSET(R804,-1,0))*R$88</f>
        <v>6289.8939644094726</v>
      </c>
      <c r="S804" s="56">
        <f ca="1">SUMIF($D769:OFFSET($D804,-1,0),"*1_00*",S769:OFFSET(S804,-1,0))+SUMIF($D769:OFFSET($D804,-1,0),"*2_00*",S769:OFFSET(S804,-1,0))*S$88</f>
        <v>6289.8939644094726</v>
      </c>
      <c r="T804" s="56">
        <f ca="1">SUMIF($D769:OFFSET($D804,-1,0),"*1_00*",T769:OFFSET(T804,-1,0))+SUMIF($D769:OFFSET($D804,-1,0),"*2_00*",T769:OFFSET(T804,-1,0))*T$88</f>
        <v>6289.8939644094726</v>
      </c>
      <c r="U804" s="56">
        <f ca="1">SUMIF($D769:OFFSET($D804,-1,0),"*1_00*",U769:OFFSET(U804,-1,0))+SUMIF($D769:OFFSET($D804,-1,0),"*2_00*",U769:OFFSET(U804,-1,0))*U$88</f>
        <v>6289.8939644094726</v>
      </c>
      <c r="V804" s="56">
        <f ca="1">SUMIF($D769:OFFSET($D804,-1,0),"*1_00*",V769:OFFSET(V804,-1,0))+SUMIF($D769:OFFSET($D804,-1,0),"*2_00*",V769:OFFSET(V804,-1,0))*V$88</f>
        <v>6289.8939644094726</v>
      </c>
      <c r="W804" s="56">
        <f ca="1">SUMIF($D769:OFFSET($D804,-1,0),"*1_00*",W769:OFFSET(W804,-1,0))+SUMIF($D769:OFFSET($D804,-1,0),"*2_00*",W769:OFFSET(W804,-1,0))*W$88</f>
        <v>6289.8939644094726</v>
      </c>
      <c r="X804" s="56">
        <f ca="1">SUMIF($D769:OFFSET($D804,-1,0),"*1_00*",X769:OFFSET(X804,-1,0))+SUMIF($D769:OFFSET($D804,-1,0),"*2_00*",X769:OFFSET(X804,-1,0))*X$88</f>
        <v>6289.8939644094726</v>
      </c>
      <c r="Y804" s="56">
        <f ca="1">SUMIF($D769:OFFSET($D804,-1,0),"*1_00*",Y769:OFFSET(Y804,-1,0))+SUMIF($D769:OFFSET($D804,-1,0),"*2_00*",Y769:OFFSET(Y804,-1,0))*Y$88</f>
        <v>6289.8939644094726</v>
      </c>
      <c r="Z804" s="56">
        <f ca="1">SUMIF($D769:OFFSET($D804,-1,0),"*1_00*",Z769:OFFSET(Z804,-1,0))+SUMIF($D769:OFFSET($D804,-1,0),"*2_00*",Z769:OFFSET(Z804,-1,0))*Z$88</f>
        <v>6289.8939644094726</v>
      </c>
      <c r="AA804" s="56">
        <f ca="1">SUMIF($D769:OFFSET($D804,-1,0),"*1_00*",AA769:OFFSET(AA804,-1,0))+SUMIF($D769:OFFSET($D804,-1,0),"*2_00*",AA769:OFFSET(AA804,-1,0))*AA$88</f>
        <v>6289.8939644094726</v>
      </c>
      <c r="AB804" s="56">
        <f ca="1">SUMIF($D769:OFFSET($D804,-1,0),"*1_00*",AB769:OFFSET(AB804,-1,0))+SUMIF($D769:OFFSET($D804,-1,0),"*2_00*",AB769:OFFSET(AB804,-1,0))*AB$88</f>
        <v>6289.8939644094726</v>
      </c>
      <c r="AC804" s="56">
        <f ca="1">SUMIF($D769:OFFSET($D804,-1,0),"*1_00*",AC769:OFFSET(AC804,-1,0))+SUMIF($D769:OFFSET($D804,-1,0),"*2_00*",AC769:OFFSET(AC804,-1,0))*AC$88</f>
        <v>6289.8939644094726</v>
      </c>
      <c r="AE804" s="57">
        <f ca="1">SUM(F804:AC804)</f>
        <v>106062.03613116518</v>
      </c>
    </row>
    <row r="805" spans="1:31" hidden="1" outlineLevel="2" x14ac:dyDescent="0.2">
      <c r="A805" t="str">
        <f ca="1">Language!A564</f>
        <v xml:space="preserve">    затраты на сырье и материалы без НДС</v>
      </c>
      <c r="C805" s="5" t="str">
        <f t="shared" ca="1" si="2221"/>
        <v>тыс. EUR</v>
      </c>
      <c r="F805" s="53">
        <f ca="1">SUMIF($D769:OFFSET($D804,-1,0),"*1_01*",F769:OFFSET(F804,-1,0))+SUMIF($D769:OFFSET($D804,-1,0),"*2_01*",F769:OFFSET(F804,-1,0))*F$88</f>
        <v>0</v>
      </c>
      <c r="G805" s="53">
        <f ca="1">SUMIF($D769:OFFSET($D804,-1,0),"*1_01*",G769:OFFSET(G804,-1,0))+SUMIF($D769:OFFSET($D804,-1,0),"*2_01*",G769:OFFSET(G804,-1,0))*G$88</f>
        <v>0</v>
      </c>
      <c r="H805" s="53">
        <f ca="1">SUMIF($D769:OFFSET($D804,-1,0),"*1_01*",H769:OFFSET(H804,-1,0))+SUMIF($D769:OFFSET($D804,-1,0),"*2_01*",H769:OFFSET(H804,-1,0))*H$88</f>
        <v>0</v>
      </c>
      <c r="I805" s="53">
        <f ca="1">SUMIF($D769:OFFSET($D804,-1,0),"*1_01*",I769:OFFSET(I804,-1,0))+SUMIF($D769:OFFSET($D804,-1,0),"*2_01*",I769:OFFSET(I804,-1,0))*I$88</f>
        <v>0</v>
      </c>
      <c r="J805" s="53">
        <f ca="1">SUMIF($D769:OFFSET($D804,-1,0),"*1_01*",J769:OFFSET(J804,-1,0))+SUMIF($D769:OFFSET($D804,-1,0),"*2_01*",J769:OFFSET(J804,-1,0))*J$88</f>
        <v>0</v>
      </c>
      <c r="K805" s="53">
        <f ca="1">SUMIF($D769:OFFSET($D804,-1,0),"*1_01*",K769:OFFSET(K804,-1,0))+SUMIF($D769:OFFSET($D804,-1,0),"*2_01*",K769:OFFSET(K804,-1,0))*K$88</f>
        <v>473.16364375002172</v>
      </c>
      <c r="L805" s="53">
        <f ca="1">SUMIF($D769:OFFSET($D804,-1,0),"*1_01*",L769:OFFSET(L804,-1,0))+SUMIF($D769:OFFSET($D804,-1,0),"*2_01*",L769:OFFSET(L804,-1,0))*L$88</f>
        <v>1847.0848948830612</v>
      </c>
      <c r="M805" s="53">
        <f ca="1">SUMIF($D769:OFFSET($D804,-1,0),"*1_01*",M769:OFFSET(M804,-1,0))+SUMIF($D769:OFFSET($D804,-1,0),"*2_01*",M769:OFFSET(M804,-1,0))*M$88</f>
        <v>2966.9894638861606</v>
      </c>
      <c r="N805" s="53">
        <f ca="1">SUMIF($D769:OFFSET($D804,-1,0),"*1_01*",N769:OFFSET(N804,-1,0))+SUMIF($D769:OFFSET($D804,-1,0),"*2_01*",N769:OFFSET(N804,-1,0))*N$88</f>
        <v>4236.0357088816163</v>
      </c>
      <c r="O805" s="53">
        <f ca="1">SUMIF($D769:OFFSET($D804,-1,0),"*1_01*",O769:OFFSET(O804,-1,0))+SUMIF($D769:OFFSET($D804,-1,0),"*2_01*",O769:OFFSET(O804,-1,0))*O$88</f>
        <v>5113.7349304142062</v>
      </c>
      <c r="P805" s="53">
        <f ca="1">SUMIF($D769:OFFSET($D804,-1,0),"*1_01*",P769:OFFSET(P804,-1,0))+SUMIF($D769:OFFSET($D804,-1,0),"*2_01*",P769:OFFSET(P804,-1,0))*P$88</f>
        <v>5113.7349304142062</v>
      </c>
      <c r="Q805" s="53">
        <f ca="1">SUMIF($D769:OFFSET($D804,-1,0),"*1_01*",Q769:OFFSET(Q804,-1,0))+SUMIF($D769:OFFSET($D804,-1,0),"*2_01*",Q769:OFFSET(Q804,-1,0))*Q$88</f>
        <v>5113.7349304142062</v>
      </c>
      <c r="R805" s="53">
        <f ca="1">SUMIF($D769:OFFSET($D804,-1,0),"*1_01*",R769:OFFSET(R804,-1,0))+SUMIF($D769:OFFSET($D804,-1,0),"*2_01*",R769:OFFSET(R804,-1,0))*R$88</f>
        <v>5113.7349304142062</v>
      </c>
      <c r="S805" s="53">
        <f ca="1">SUMIF($D769:OFFSET($D804,-1,0),"*1_01*",S769:OFFSET(S804,-1,0))+SUMIF($D769:OFFSET($D804,-1,0),"*2_01*",S769:OFFSET(S804,-1,0))*S$88</f>
        <v>5113.7349304142062</v>
      </c>
      <c r="T805" s="53">
        <f ca="1">SUMIF($D769:OFFSET($D804,-1,0),"*1_01*",T769:OFFSET(T804,-1,0))+SUMIF($D769:OFFSET($D804,-1,0),"*2_01*",T769:OFFSET(T804,-1,0))*T$88</f>
        <v>5113.7349304142062</v>
      </c>
      <c r="U805" s="53">
        <f ca="1">SUMIF($D769:OFFSET($D804,-1,0),"*1_01*",U769:OFFSET(U804,-1,0))+SUMIF($D769:OFFSET($D804,-1,0),"*2_01*",U769:OFFSET(U804,-1,0))*U$88</f>
        <v>5113.7349304142062</v>
      </c>
      <c r="V805" s="53">
        <f ca="1">SUMIF($D769:OFFSET($D804,-1,0),"*1_01*",V769:OFFSET(V804,-1,0))+SUMIF($D769:OFFSET($D804,-1,0),"*2_01*",V769:OFFSET(V804,-1,0))*V$88</f>
        <v>5113.7349304142062</v>
      </c>
      <c r="W805" s="53">
        <f ca="1">SUMIF($D769:OFFSET($D804,-1,0),"*1_01*",W769:OFFSET(W804,-1,0))+SUMIF($D769:OFFSET($D804,-1,0),"*2_01*",W769:OFFSET(W804,-1,0))*W$88</f>
        <v>5113.7349304142062</v>
      </c>
      <c r="X805" s="53">
        <f ca="1">SUMIF($D769:OFFSET($D804,-1,0),"*1_01*",X769:OFFSET(X804,-1,0))+SUMIF($D769:OFFSET($D804,-1,0),"*2_01*",X769:OFFSET(X804,-1,0))*X$88</f>
        <v>5113.7349304142062</v>
      </c>
      <c r="Y805" s="53">
        <f ca="1">SUMIF($D769:OFFSET($D804,-1,0),"*1_01*",Y769:OFFSET(Y804,-1,0))+SUMIF($D769:OFFSET($D804,-1,0),"*2_01*",Y769:OFFSET(Y804,-1,0))*Y$88</f>
        <v>5113.7349304142062</v>
      </c>
      <c r="Z805" s="53">
        <f ca="1">SUMIF($D769:OFFSET($D804,-1,0),"*1_01*",Z769:OFFSET(Z804,-1,0))+SUMIF($D769:OFFSET($D804,-1,0),"*2_01*",Z769:OFFSET(Z804,-1,0))*Z$88</f>
        <v>5113.7349304142062</v>
      </c>
      <c r="AA805" s="53">
        <f ca="1">SUMIF($D769:OFFSET($D804,-1,0),"*1_01*",AA769:OFFSET(AA804,-1,0))+SUMIF($D769:OFFSET($D804,-1,0),"*2_01*",AA769:OFFSET(AA804,-1,0))*AA$88</f>
        <v>5113.7349304142062</v>
      </c>
      <c r="AB805" s="53">
        <f ca="1">SUMIF($D769:OFFSET($D804,-1,0),"*1_01*",AB769:OFFSET(AB804,-1,0))+SUMIF($D769:OFFSET($D804,-1,0),"*2_01*",AB769:OFFSET(AB804,-1,0))*AB$88</f>
        <v>5113.7349304142062</v>
      </c>
      <c r="AC805" s="53">
        <f ca="1">SUMIF($D769:OFFSET($D804,-1,0),"*1_01*",AC769:OFFSET(AC804,-1,0))+SUMIF($D769:OFFSET($D804,-1,0),"*2_01*",AC769:OFFSET(AC804,-1,0))*AC$88</f>
        <v>5113.7349304142062</v>
      </c>
      <c r="AE805" s="54">
        <f ca="1">SUM(F805:AC805)</f>
        <v>86229.297667613966</v>
      </c>
    </row>
    <row r="806" spans="1:31" hidden="1" outlineLevel="2" x14ac:dyDescent="0.2">
      <c r="A806" t="str">
        <f ca="1">Language!A565</f>
        <v xml:space="preserve">    в том числе импортная пошлина</v>
      </c>
      <c r="C806" s="5" t="str">
        <f t="shared" ca="1" si="2221"/>
        <v>тыс. EUR</v>
      </c>
      <c r="F806" s="53">
        <f ca="1">SUMIF($D769:OFFSET($D804,-1,0),"*1_02*",F769:OFFSET(F804,-1,0))+SUMIF($D769:OFFSET($D804,-1,0),"*2_02*",F769:OFFSET(F804,-1,0))*F$88</f>
        <v>0</v>
      </c>
      <c r="G806" s="53">
        <f ca="1">SUMIF($D769:OFFSET($D804,-1,0),"*1_02*",G769:OFFSET(G804,-1,0))+SUMIF($D769:OFFSET($D804,-1,0),"*2_02*",G769:OFFSET(G804,-1,0))*G$88</f>
        <v>0</v>
      </c>
      <c r="H806" s="53">
        <f ca="1">SUMIF($D769:OFFSET($D804,-1,0),"*1_02*",H769:OFFSET(H804,-1,0))+SUMIF($D769:OFFSET($D804,-1,0),"*2_02*",H769:OFFSET(H804,-1,0))*H$88</f>
        <v>0</v>
      </c>
      <c r="I806" s="53">
        <f ca="1">SUMIF($D769:OFFSET($D804,-1,0),"*1_02*",I769:OFFSET(I804,-1,0))+SUMIF($D769:OFFSET($D804,-1,0),"*2_02*",I769:OFFSET(I804,-1,0))*I$88</f>
        <v>0</v>
      </c>
      <c r="J806" s="53">
        <f ca="1">SUMIF($D769:OFFSET($D804,-1,0),"*1_02*",J769:OFFSET(J804,-1,0))+SUMIF($D769:OFFSET($D804,-1,0),"*2_02*",J769:OFFSET(J804,-1,0))*J$88</f>
        <v>0</v>
      </c>
      <c r="K806" s="53">
        <f ca="1">SUMIF($D769:OFFSET($D804,-1,0),"*1_02*",K769:OFFSET(K804,-1,0))+SUMIF($D769:OFFSET($D804,-1,0),"*2_02*",K769:OFFSET(K804,-1,0))*K$88</f>
        <v>0</v>
      </c>
      <c r="L806" s="53">
        <f ca="1">SUMIF($D769:OFFSET($D804,-1,0),"*1_02*",L769:OFFSET(L804,-1,0))+SUMIF($D769:OFFSET($D804,-1,0),"*2_02*",L769:OFFSET(L804,-1,0))*L$88</f>
        <v>0</v>
      </c>
      <c r="M806" s="53">
        <f ca="1">SUMIF($D769:OFFSET($D804,-1,0),"*1_02*",M769:OFFSET(M804,-1,0))+SUMIF($D769:OFFSET($D804,-1,0),"*2_02*",M769:OFFSET(M804,-1,0))*M$88</f>
        <v>0</v>
      </c>
      <c r="N806" s="53">
        <f ca="1">SUMIF($D769:OFFSET($D804,-1,0),"*1_02*",N769:OFFSET(N804,-1,0))+SUMIF($D769:OFFSET($D804,-1,0),"*2_02*",N769:OFFSET(N804,-1,0))*N$88</f>
        <v>0</v>
      </c>
      <c r="O806" s="53">
        <f ca="1">SUMIF($D769:OFFSET($D804,-1,0),"*1_02*",O769:OFFSET(O804,-1,0))+SUMIF($D769:OFFSET($D804,-1,0),"*2_02*",O769:OFFSET(O804,-1,0))*O$88</f>
        <v>0</v>
      </c>
      <c r="P806" s="53">
        <f ca="1">SUMIF($D769:OFFSET($D804,-1,0),"*1_02*",P769:OFFSET(P804,-1,0))+SUMIF($D769:OFFSET($D804,-1,0),"*2_02*",P769:OFFSET(P804,-1,0))*P$88</f>
        <v>0</v>
      </c>
      <c r="Q806" s="53">
        <f ca="1">SUMIF($D769:OFFSET($D804,-1,0),"*1_02*",Q769:OFFSET(Q804,-1,0))+SUMIF($D769:OFFSET($D804,-1,0),"*2_02*",Q769:OFFSET(Q804,-1,0))*Q$88</f>
        <v>0</v>
      </c>
      <c r="R806" s="53">
        <f ca="1">SUMIF($D769:OFFSET($D804,-1,0),"*1_02*",R769:OFFSET(R804,-1,0))+SUMIF($D769:OFFSET($D804,-1,0),"*2_02*",R769:OFFSET(R804,-1,0))*R$88</f>
        <v>0</v>
      </c>
      <c r="S806" s="53">
        <f ca="1">SUMIF($D769:OFFSET($D804,-1,0),"*1_02*",S769:OFFSET(S804,-1,0))+SUMIF($D769:OFFSET($D804,-1,0),"*2_02*",S769:OFFSET(S804,-1,0))*S$88</f>
        <v>0</v>
      </c>
      <c r="T806" s="53">
        <f ca="1">SUMIF($D769:OFFSET($D804,-1,0),"*1_02*",T769:OFFSET(T804,-1,0))+SUMIF($D769:OFFSET($D804,-1,0),"*2_02*",T769:OFFSET(T804,-1,0))*T$88</f>
        <v>0</v>
      </c>
      <c r="U806" s="53">
        <f ca="1">SUMIF($D769:OFFSET($D804,-1,0),"*1_02*",U769:OFFSET(U804,-1,0))+SUMIF($D769:OFFSET($D804,-1,0),"*2_02*",U769:OFFSET(U804,-1,0))*U$88</f>
        <v>0</v>
      </c>
      <c r="V806" s="53">
        <f ca="1">SUMIF($D769:OFFSET($D804,-1,0),"*1_02*",V769:OFFSET(V804,-1,0))+SUMIF($D769:OFFSET($D804,-1,0),"*2_02*",V769:OFFSET(V804,-1,0))*V$88</f>
        <v>0</v>
      </c>
      <c r="W806" s="53">
        <f ca="1">SUMIF($D769:OFFSET($D804,-1,0),"*1_02*",W769:OFFSET(W804,-1,0))+SUMIF($D769:OFFSET($D804,-1,0),"*2_02*",W769:OFFSET(W804,-1,0))*W$88</f>
        <v>0</v>
      </c>
      <c r="X806" s="53">
        <f ca="1">SUMIF($D769:OFFSET($D804,-1,0),"*1_02*",X769:OFFSET(X804,-1,0))+SUMIF($D769:OFFSET($D804,-1,0),"*2_02*",X769:OFFSET(X804,-1,0))*X$88</f>
        <v>0</v>
      </c>
      <c r="Y806" s="53">
        <f ca="1">SUMIF($D769:OFFSET($D804,-1,0),"*1_02*",Y769:OFFSET(Y804,-1,0))+SUMIF($D769:OFFSET($D804,-1,0),"*2_02*",Y769:OFFSET(Y804,-1,0))*Y$88</f>
        <v>0</v>
      </c>
      <c r="Z806" s="53">
        <f ca="1">SUMIF($D769:OFFSET($D804,-1,0),"*1_02*",Z769:OFFSET(Z804,-1,0))+SUMIF($D769:OFFSET($D804,-1,0),"*2_02*",Z769:OFFSET(Z804,-1,0))*Z$88</f>
        <v>0</v>
      </c>
      <c r="AA806" s="53">
        <f ca="1">SUMIF($D769:OFFSET($D804,-1,0),"*1_02*",AA769:OFFSET(AA804,-1,0))+SUMIF($D769:OFFSET($D804,-1,0),"*2_02*",AA769:OFFSET(AA804,-1,0))*AA$88</f>
        <v>0</v>
      </c>
      <c r="AB806" s="53">
        <f ca="1">SUMIF($D769:OFFSET($D804,-1,0),"*1_02*",AB769:OFFSET(AB804,-1,0))+SUMIF($D769:OFFSET($D804,-1,0),"*2_02*",AB769:OFFSET(AB804,-1,0))*AB$88</f>
        <v>0</v>
      </c>
      <c r="AC806" s="53">
        <f ca="1">SUMIF($D769:OFFSET($D804,-1,0),"*1_02*",AC769:OFFSET(AC804,-1,0))+SUMIF($D769:OFFSET($D804,-1,0),"*2_02*",AC769:OFFSET(AC804,-1,0))*AC$88</f>
        <v>0</v>
      </c>
      <c r="AE806" s="54">
        <f ca="1">SUM(F806:AC806)</f>
        <v>0</v>
      </c>
    </row>
    <row r="807" spans="1:31" hidden="1" outlineLevel="2" x14ac:dyDescent="0.2">
      <c r="A807" t="str">
        <f ca="1">Language!A566</f>
        <v xml:space="preserve">    закуплено сырья и материалов на сумму (без НДС)</v>
      </c>
      <c r="C807" s="5" t="str">
        <f t="shared" ca="1" si="2221"/>
        <v>тыс. EUR</v>
      </c>
      <c r="F807" s="53">
        <f ca="1">SUMIF($D769:OFFSET($D804,-1,0),"*1_03*",F769:OFFSET(F804,-1,0))+SUMIF($D769:OFFSET($D804,-1,0),"*2_03*",F769:OFFSET(F804,-1,0))*F$88</f>
        <v>0</v>
      </c>
      <c r="G807" s="53">
        <f ca="1">SUMIF($D769:OFFSET($D804,-1,0),"*1_03*",G769:OFFSET(G804,-1,0))+SUMIF($D769:OFFSET($D804,-1,0),"*2_03*",G769:OFFSET(G804,-1,0))*G$88</f>
        <v>0</v>
      </c>
      <c r="H807" s="53">
        <f ca="1">SUMIF($D769:OFFSET($D804,-1,0),"*1_03*",H769:OFFSET(H804,-1,0))+SUMIF($D769:OFFSET($D804,-1,0),"*2_03*",H769:OFFSET(H804,-1,0))*H$88</f>
        <v>0</v>
      </c>
      <c r="I807" s="53">
        <f ca="1">SUMIF($D769:OFFSET($D804,-1,0),"*1_03*",I769:OFFSET(I804,-1,0))+SUMIF($D769:OFFSET($D804,-1,0),"*2_03*",I769:OFFSET(I804,-1,0))*I$88</f>
        <v>0</v>
      </c>
      <c r="J807" s="53">
        <f ca="1">SUMIF($D769:OFFSET($D804,-1,0),"*1_03*",J769:OFFSET(J804,-1,0))+SUMIF($D769:OFFSET($D804,-1,0),"*2_03*",J769:OFFSET(J804,-1,0))*J$88</f>
        <v>0</v>
      </c>
      <c r="K807" s="53">
        <f ca="1">SUMIF($D769:OFFSET($D804,-1,0),"*1_03*",K769:OFFSET(K804,-1,0))+SUMIF($D769:OFFSET($D804,-1,0),"*2_03*",K769:OFFSET(K804,-1,0))*K$88</f>
        <v>473.16364375002172</v>
      </c>
      <c r="L807" s="53">
        <f ca="1">SUMIF($D769:OFFSET($D804,-1,0),"*1_03*",L769:OFFSET(L804,-1,0))+SUMIF($D769:OFFSET($D804,-1,0),"*2_03*",L769:OFFSET(L804,-1,0))*L$88</f>
        <v>1847.0848948830612</v>
      </c>
      <c r="M807" s="53">
        <f ca="1">SUMIF($D769:OFFSET($D804,-1,0),"*1_03*",M769:OFFSET(M804,-1,0))+SUMIF($D769:OFFSET($D804,-1,0),"*2_03*",M769:OFFSET(M804,-1,0))*M$88</f>
        <v>2966.9894638861606</v>
      </c>
      <c r="N807" s="53">
        <f ca="1">SUMIF($D769:OFFSET($D804,-1,0),"*1_03*",N769:OFFSET(N804,-1,0))+SUMIF($D769:OFFSET($D804,-1,0),"*2_03*",N769:OFFSET(N804,-1,0))*N$88</f>
        <v>4236.0357088816163</v>
      </c>
      <c r="O807" s="53">
        <f ca="1">SUMIF($D769:OFFSET($D804,-1,0),"*1_03*",O769:OFFSET(O804,-1,0))+SUMIF($D769:OFFSET($D804,-1,0),"*2_03*",O769:OFFSET(O804,-1,0))*O$88</f>
        <v>5113.7349304142062</v>
      </c>
      <c r="P807" s="53">
        <f ca="1">SUMIF($D769:OFFSET($D804,-1,0),"*1_03*",P769:OFFSET(P804,-1,0))+SUMIF($D769:OFFSET($D804,-1,0),"*2_03*",P769:OFFSET(P804,-1,0))*P$88</f>
        <v>5113.7349304142062</v>
      </c>
      <c r="Q807" s="53">
        <f ca="1">SUMIF($D769:OFFSET($D804,-1,0),"*1_03*",Q769:OFFSET(Q804,-1,0))+SUMIF($D769:OFFSET($D804,-1,0),"*2_03*",Q769:OFFSET(Q804,-1,0))*Q$88</f>
        <v>5113.7349304142062</v>
      </c>
      <c r="R807" s="53">
        <f ca="1">SUMIF($D769:OFFSET($D804,-1,0),"*1_03*",R769:OFFSET(R804,-1,0))+SUMIF($D769:OFFSET($D804,-1,0),"*2_03*",R769:OFFSET(R804,-1,0))*R$88</f>
        <v>5113.7349304142062</v>
      </c>
      <c r="S807" s="53">
        <f ca="1">SUMIF($D769:OFFSET($D804,-1,0),"*1_03*",S769:OFFSET(S804,-1,0))+SUMIF($D769:OFFSET($D804,-1,0),"*2_03*",S769:OFFSET(S804,-1,0))*S$88</f>
        <v>5113.7349304142062</v>
      </c>
      <c r="T807" s="53">
        <f ca="1">SUMIF($D769:OFFSET($D804,-1,0),"*1_03*",T769:OFFSET(T804,-1,0))+SUMIF($D769:OFFSET($D804,-1,0),"*2_03*",T769:OFFSET(T804,-1,0))*T$88</f>
        <v>5113.7349304142062</v>
      </c>
      <c r="U807" s="53">
        <f ca="1">SUMIF($D769:OFFSET($D804,-1,0),"*1_03*",U769:OFFSET(U804,-1,0))+SUMIF($D769:OFFSET($D804,-1,0),"*2_03*",U769:OFFSET(U804,-1,0))*U$88</f>
        <v>5113.7349304142062</v>
      </c>
      <c r="V807" s="53">
        <f ca="1">SUMIF($D769:OFFSET($D804,-1,0),"*1_03*",V769:OFFSET(V804,-1,0))+SUMIF($D769:OFFSET($D804,-1,0),"*2_03*",V769:OFFSET(V804,-1,0))*V$88</f>
        <v>5113.7349304142062</v>
      </c>
      <c r="W807" s="53">
        <f ca="1">SUMIF($D769:OFFSET($D804,-1,0),"*1_03*",W769:OFFSET(W804,-1,0))+SUMIF($D769:OFFSET($D804,-1,0),"*2_03*",W769:OFFSET(W804,-1,0))*W$88</f>
        <v>5113.7349304142062</v>
      </c>
      <c r="X807" s="53">
        <f ca="1">SUMIF($D769:OFFSET($D804,-1,0),"*1_03*",X769:OFFSET(X804,-1,0))+SUMIF($D769:OFFSET($D804,-1,0),"*2_03*",X769:OFFSET(X804,-1,0))*X$88</f>
        <v>5113.7349304142062</v>
      </c>
      <c r="Y807" s="53">
        <f ca="1">SUMIF($D769:OFFSET($D804,-1,0),"*1_03*",Y769:OFFSET(Y804,-1,0))+SUMIF($D769:OFFSET($D804,-1,0),"*2_03*",Y769:OFFSET(Y804,-1,0))*Y$88</f>
        <v>5113.7349304142062</v>
      </c>
      <c r="Z807" s="53">
        <f ca="1">SUMIF($D769:OFFSET($D804,-1,0),"*1_03*",Z769:OFFSET(Z804,-1,0))+SUMIF($D769:OFFSET($D804,-1,0),"*2_03*",Z769:OFFSET(Z804,-1,0))*Z$88</f>
        <v>5113.7349304142062</v>
      </c>
      <c r="AA807" s="53">
        <f ca="1">SUMIF($D769:OFFSET($D804,-1,0),"*1_03*",AA769:OFFSET(AA804,-1,0))+SUMIF($D769:OFFSET($D804,-1,0),"*2_03*",AA769:OFFSET(AA804,-1,0))*AA$88</f>
        <v>5113.7349304142062</v>
      </c>
      <c r="AB807" s="53">
        <f ca="1">SUMIF($D769:OFFSET($D804,-1,0),"*1_03*",AB769:OFFSET(AB804,-1,0))+SUMIF($D769:OFFSET($D804,-1,0),"*2_03*",AB769:OFFSET(AB804,-1,0))*AB$88</f>
        <v>5113.7349304142062</v>
      </c>
      <c r="AC807" s="53">
        <f ca="1">SUMIF($D769:OFFSET($D804,-1,0),"*1_03*",AC769:OFFSET(AC804,-1,0))+SUMIF($D769:OFFSET($D804,-1,0),"*2_03*",AC769:OFFSET(AC804,-1,0))*AC$88</f>
        <v>5113.7349304142062</v>
      </c>
      <c r="AE807" s="54">
        <f ca="1">SUM(F807:AC807)</f>
        <v>86229.297667613966</v>
      </c>
    </row>
    <row r="808" spans="1:31" hidden="1" outlineLevel="2" x14ac:dyDescent="0.2">
      <c r="A808" t="str">
        <f ca="1">Language!A567</f>
        <v xml:space="preserve">    зачет НДС</v>
      </c>
      <c r="C808" s="5" t="str">
        <f t="shared" ca="1" si="2221"/>
        <v>тыс. EUR</v>
      </c>
      <c r="F808" s="53">
        <f ca="1">SUMIF($D769:OFFSET($D804,-1,0),"*1_04*",F769:OFFSET(F804,-1,0))+SUMIF($D769:OFFSET($D804,-1,0),"*2_04*",F769:OFFSET(F804,-1,0))*F$88</f>
        <v>0</v>
      </c>
      <c r="G808" s="53">
        <f ca="1">SUMIF($D769:OFFSET($D804,-1,0),"*1_04*",G769:OFFSET(G804,-1,0))+SUMIF($D769:OFFSET($D804,-1,0),"*2_04*",G769:OFFSET(G804,-1,0))*G$88</f>
        <v>0</v>
      </c>
      <c r="H808" s="53">
        <f ca="1">SUMIF($D769:OFFSET($D804,-1,0),"*1_04*",H769:OFFSET(H804,-1,0))+SUMIF($D769:OFFSET($D804,-1,0),"*2_04*",H769:OFFSET(H804,-1,0))*H$88</f>
        <v>0</v>
      </c>
      <c r="I808" s="53">
        <f ca="1">SUMIF($D769:OFFSET($D804,-1,0),"*1_04*",I769:OFFSET(I804,-1,0))+SUMIF($D769:OFFSET($D804,-1,0),"*2_04*",I769:OFFSET(I804,-1,0))*I$88</f>
        <v>0</v>
      </c>
      <c r="J808" s="53">
        <f ca="1">SUMIF($D769:OFFSET($D804,-1,0),"*1_04*",J769:OFFSET(J804,-1,0))+SUMIF($D769:OFFSET($D804,-1,0),"*2_04*",J769:OFFSET(J804,-1,0))*J$88</f>
        <v>0</v>
      </c>
      <c r="K808" s="53">
        <f ca="1">SUMIF($D769:OFFSET($D804,-1,0),"*1_04*",K769:OFFSET(K804,-1,0))+SUMIF($D769:OFFSET($D804,-1,0),"*2_04*",K769:OFFSET(K804,-1,0))*K$88</f>
        <v>108.827638062505</v>
      </c>
      <c r="L808" s="53">
        <f ca="1">SUMIF($D769:OFFSET($D804,-1,0),"*1_04*",L769:OFFSET(L804,-1,0))+SUMIF($D769:OFFSET($D804,-1,0),"*2_04*",L769:OFFSET(L804,-1,0))*L$88</f>
        <v>424.82952582310406</v>
      </c>
      <c r="M808" s="53">
        <f ca="1">SUMIF($D769:OFFSET($D804,-1,0),"*1_04*",M769:OFFSET(M804,-1,0))+SUMIF($D769:OFFSET($D804,-1,0),"*2_04*",M769:OFFSET(M804,-1,0))*M$88</f>
        <v>682.40757669381696</v>
      </c>
      <c r="N808" s="53">
        <f ca="1">SUMIF($D769:OFFSET($D804,-1,0),"*1_04*",N769:OFFSET(N804,-1,0))+SUMIF($D769:OFFSET($D804,-1,0),"*2_04*",N769:OFFSET(N804,-1,0))*N$88</f>
        <v>974.28821304277187</v>
      </c>
      <c r="O808" s="53">
        <f ca="1">SUMIF($D769:OFFSET($D804,-1,0),"*1_04*",O769:OFFSET(O804,-1,0))+SUMIF($D769:OFFSET($D804,-1,0),"*2_04*",O769:OFFSET(O804,-1,0))*O$88</f>
        <v>1176.1590339952672</v>
      </c>
      <c r="P808" s="53">
        <f ca="1">SUMIF($D769:OFFSET($D804,-1,0),"*1_04*",P769:OFFSET(P804,-1,0))+SUMIF($D769:OFFSET($D804,-1,0),"*2_04*",P769:OFFSET(P804,-1,0))*P$88</f>
        <v>1176.1590339952672</v>
      </c>
      <c r="Q808" s="53">
        <f ca="1">SUMIF($D769:OFFSET($D804,-1,0),"*1_04*",Q769:OFFSET(Q804,-1,0))+SUMIF($D769:OFFSET($D804,-1,0),"*2_04*",Q769:OFFSET(Q804,-1,0))*Q$88</f>
        <v>1176.1590339952672</v>
      </c>
      <c r="R808" s="53">
        <f ca="1">SUMIF($D769:OFFSET($D804,-1,0),"*1_04*",R769:OFFSET(R804,-1,0))+SUMIF($D769:OFFSET($D804,-1,0),"*2_04*",R769:OFFSET(R804,-1,0))*R$88</f>
        <v>1176.1590339952672</v>
      </c>
      <c r="S808" s="53">
        <f ca="1">SUMIF($D769:OFFSET($D804,-1,0),"*1_04*",S769:OFFSET(S804,-1,0))+SUMIF($D769:OFFSET($D804,-1,0),"*2_04*",S769:OFFSET(S804,-1,0))*S$88</f>
        <v>1176.1590339952672</v>
      </c>
      <c r="T808" s="53">
        <f ca="1">SUMIF($D769:OFFSET($D804,-1,0),"*1_04*",T769:OFFSET(T804,-1,0))+SUMIF($D769:OFFSET($D804,-1,0),"*2_04*",T769:OFFSET(T804,-1,0))*T$88</f>
        <v>1176.1590339952672</v>
      </c>
      <c r="U808" s="53">
        <f ca="1">SUMIF($D769:OFFSET($D804,-1,0),"*1_04*",U769:OFFSET(U804,-1,0))+SUMIF($D769:OFFSET($D804,-1,0),"*2_04*",U769:OFFSET(U804,-1,0))*U$88</f>
        <v>1176.1590339952672</v>
      </c>
      <c r="V808" s="53">
        <f ca="1">SUMIF($D769:OFFSET($D804,-1,0),"*1_04*",V769:OFFSET(V804,-1,0))+SUMIF($D769:OFFSET($D804,-1,0),"*2_04*",V769:OFFSET(V804,-1,0))*V$88</f>
        <v>1176.1590339952672</v>
      </c>
      <c r="W808" s="53">
        <f ca="1">SUMIF($D769:OFFSET($D804,-1,0),"*1_04*",W769:OFFSET(W804,-1,0))+SUMIF($D769:OFFSET($D804,-1,0),"*2_04*",W769:OFFSET(W804,-1,0))*W$88</f>
        <v>1176.1590339952672</v>
      </c>
      <c r="X808" s="53">
        <f ca="1">SUMIF($D769:OFFSET($D804,-1,0),"*1_04*",X769:OFFSET(X804,-1,0))+SUMIF($D769:OFFSET($D804,-1,0),"*2_04*",X769:OFFSET(X804,-1,0))*X$88</f>
        <v>1176.1590339952672</v>
      </c>
      <c r="Y808" s="53">
        <f ca="1">SUMIF($D769:OFFSET($D804,-1,0),"*1_04*",Y769:OFFSET(Y804,-1,0))+SUMIF($D769:OFFSET($D804,-1,0),"*2_04*",Y769:OFFSET(Y804,-1,0))*Y$88</f>
        <v>1176.1590339952672</v>
      </c>
      <c r="Z808" s="53">
        <f ca="1">SUMIF($D769:OFFSET($D804,-1,0),"*1_04*",Z769:OFFSET(Z804,-1,0))+SUMIF($D769:OFFSET($D804,-1,0),"*2_04*",Z769:OFFSET(Z804,-1,0))*Z$88</f>
        <v>1176.1590339952672</v>
      </c>
      <c r="AA808" s="53">
        <f ca="1">SUMIF($D769:OFFSET($D804,-1,0),"*1_04*",AA769:OFFSET(AA804,-1,0))+SUMIF($D769:OFFSET($D804,-1,0),"*2_04*",AA769:OFFSET(AA804,-1,0))*AA$88</f>
        <v>1176.1590339952672</v>
      </c>
      <c r="AB808" s="53">
        <f ca="1">SUMIF($D769:OFFSET($D804,-1,0),"*1_04*",AB769:OFFSET(AB804,-1,0))+SUMIF($D769:OFFSET($D804,-1,0),"*2_04*",AB769:OFFSET(AB804,-1,0))*AB$88</f>
        <v>1176.1590339952672</v>
      </c>
      <c r="AC808" s="53">
        <f ca="1">SUMIF($D769:OFFSET($D804,-1,0),"*1_04*",AC769:OFFSET(AC804,-1,0))+SUMIF($D769:OFFSET($D804,-1,0),"*2_04*",AC769:OFFSET(AC804,-1,0))*AC$88</f>
        <v>1176.1590339952672</v>
      </c>
      <c r="AE808" s="54">
        <f ca="1">SUM(F808:AC808)</f>
        <v>19832.738463551206</v>
      </c>
    </row>
    <row r="809" spans="1:31" hidden="1" outlineLevel="2" x14ac:dyDescent="0.2">
      <c r="A809" t="str">
        <f ca="1">Language!A568</f>
        <v xml:space="preserve">    запасы на основе периодов оборота</v>
      </c>
      <c r="C809" s="5" t="str">
        <f t="shared" ca="1" si="2221"/>
        <v>тыс. EUR</v>
      </c>
      <c r="D809" s="16" t="s">
        <v>2594</v>
      </c>
      <c r="F809" s="53">
        <f ca="1">SUMIF($D769:OFFSET($D804,-1,0),"*1_05*",F769:OFFSET(F804,-1,0))+SUMIF($D769:OFFSET($D804,-1,0),"*2_05*",F769:OFFSET(F804,-1,0))*F$88</f>
        <v>0</v>
      </c>
      <c r="G809" s="53">
        <f ca="1">SUMIF($D769:OFFSET($D804,-1,0),"*1_05*",G769:OFFSET(G804,-1,0))+SUMIF($D769:OFFSET($D804,-1,0),"*2_05*",G769:OFFSET(G804,-1,0))*G$88</f>
        <v>0</v>
      </c>
      <c r="H809" s="53">
        <f ca="1">SUMIF($D769:OFFSET($D804,-1,0),"*1_05*",H769:OFFSET(H804,-1,0))+SUMIF($D769:OFFSET($D804,-1,0),"*2_05*",H769:OFFSET(H804,-1,0))*H$88</f>
        <v>0</v>
      </c>
      <c r="I809" s="53">
        <f ca="1">SUMIF($D769:OFFSET($D804,-1,0),"*1_05*",I769:OFFSET(I804,-1,0))+SUMIF($D769:OFFSET($D804,-1,0),"*2_05*",I769:OFFSET(I804,-1,0))*I$88</f>
        <v>0</v>
      </c>
      <c r="J809" s="53">
        <f ca="1">SUMIF($D769:OFFSET($D804,-1,0),"*1_05*",J769:OFFSET(J804,-1,0))+SUMIF($D769:OFFSET($D804,-1,0),"*2_05*",J769:OFFSET(J804,-1,0))*J$88</f>
        <v>0</v>
      </c>
      <c r="K809" s="53">
        <f ca="1">SUMIF($D769:OFFSET($D804,-1,0),"*1_05*",K769:OFFSET(K804,-1,0))+SUMIF($D769:OFFSET($D804,-1,0),"*2_05*",K769:OFFSET(K804,-1,0))*K$88</f>
        <v>0</v>
      </c>
      <c r="L809" s="53">
        <f ca="1">SUMIF($D769:OFFSET($D804,-1,0),"*1_05*",L769:OFFSET(L804,-1,0))+SUMIF($D769:OFFSET($D804,-1,0),"*2_05*",L769:OFFSET(L804,-1,0))*L$88</f>
        <v>0</v>
      </c>
      <c r="M809" s="53">
        <f ca="1">SUMIF($D769:OFFSET($D804,-1,0),"*1_05*",M769:OFFSET(M804,-1,0))+SUMIF($D769:OFFSET($D804,-1,0),"*2_05*",M769:OFFSET(M804,-1,0))*M$88</f>
        <v>0</v>
      </c>
      <c r="N809" s="53">
        <f ca="1">SUMIF($D769:OFFSET($D804,-1,0),"*1_05*",N769:OFFSET(N804,-1,0))+SUMIF($D769:OFFSET($D804,-1,0),"*2_05*",N769:OFFSET(N804,-1,0))*N$88</f>
        <v>0</v>
      </c>
      <c r="O809" s="53">
        <f ca="1">SUMIF($D769:OFFSET($D804,-1,0),"*1_05*",O769:OFFSET(O804,-1,0))+SUMIF($D769:OFFSET($D804,-1,0),"*2_05*",O769:OFFSET(O804,-1,0))*O$88</f>
        <v>0</v>
      </c>
      <c r="P809" s="53">
        <f ca="1">SUMIF($D769:OFFSET($D804,-1,0),"*1_05*",P769:OFFSET(P804,-1,0))+SUMIF($D769:OFFSET($D804,-1,0),"*2_05*",P769:OFFSET(P804,-1,0))*P$88</f>
        <v>0</v>
      </c>
      <c r="Q809" s="53">
        <f ca="1">SUMIF($D769:OFFSET($D804,-1,0),"*1_05*",Q769:OFFSET(Q804,-1,0))+SUMIF($D769:OFFSET($D804,-1,0),"*2_05*",Q769:OFFSET(Q804,-1,0))*Q$88</f>
        <v>0</v>
      </c>
      <c r="R809" s="53">
        <f ca="1">SUMIF($D769:OFFSET($D804,-1,0),"*1_05*",R769:OFFSET(R804,-1,0))+SUMIF($D769:OFFSET($D804,-1,0),"*2_05*",R769:OFFSET(R804,-1,0))*R$88</f>
        <v>0</v>
      </c>
      <c r="S809" s="53">
        <f ca="1">SUMIF($D769:OFFSET($D804,-1,0),"*1_05*",S769:OFFSET(S804,-1,0))+SUMIF($D769:OFFSET($D804,-1,0),"*2_05*",S769:OFFSET(S804,-1,0))*S$88</f>
        <v>0</v>
      </c>
      <c r="T809" s="53">
        <f ca="1">SUMIF($D769:OFFSET($D804,-1,0),"*1_05*",T769:OFFSET(T804,-1,0))+SUMIF($D769:OFFSET($D804,-1,0),"*2_05*",T769:OFFSET(T804,-1,0))*T$88</f>
        <v>0</v>
      </c>
      <c r="U809" s="53">
        <f ca="1">SUMIF($D769:OFFSET($D804,-1,0),"*1_05*",U769:OFFSET(U804,-1,0))+SUMIF($D769:OFFSET($D804,-1,0),"*2_05*",U769:OFFSET(U804,-1,0))*U$88</f>
        <v>0</v>
      </c>
      <c r="V809" s="53">
        <f ca="1">SUMIF($D769:OFFSET($D804,-1,0),"*1_05*",V769:OFFSET(V804,-1,0))+SUMIF($D769:OFFSET($D804,-1,0),"*2_05*",V769:OFFSET(V804,-1,0))*V$88</f>
        <v>0</v>
      </c>
      <c r="W809" s="53">
        <f ca="1">SUMIF($D769:OFFSET($D804,-1,0),"*1_05*",W769:OFFSET(W804,-1,0))+SUMIF($D769:OFFSET($D804,-1,0),"*2_05*",W769:OFFSET(W804,-1,0))*W$88</f>
        <v>0</v>
      </c>
      <c r="X809" s="53">
        <f ca="1">SUMIF($D769:OFFSET($D804,-1,0),"*1_05*",X769:OFFSET(X804,-1,0))+SUMIF($D769:OFFSET($D804,-1,0),"*2_05*",X769:OFFSET(X804,-1,0))*X$88</f>
        <v>0</v>
      </c>
      <c r="Y809" s="53">
        <f ca="1">SUMIF($D769:OFFSET($D804,-1,0),"*1_05*",Y769:OFFSET(Y804,-1,0))+SUMIF($D769:OFFSET($D804,-1,0),"*2_05*",Y769:OFFSET(Y804,-1,0))*Y$88</f>
        <v>0</v>
      </c>
      <c r="Z809" s="53">
        <f ca="1">SUMIF($D769:OFFSET($D804,-1,0),"*1_05*",Z769:OFFSET(Z804,-1,0))+SUMIF($D769:OFFSET($D804,-1,0),"*2_05*",Z769:OFFSET(Z804,-1,0))*Z$88</f>
        <v>0</v>
      </c>
      <c r="AA809" s="53">
        <f ca="1">SUMIF($D769:OFFSET($D804,-1,0),"*1_05*",AA769:OFFSET(AA804,-1,0))+SUMIF($D769:OFFSET($D804,-1,0),"*2_05*",AA769:OFFSET(AA804,-1,0))*AA$88</f>
        <v>0</v>
      </c>
      <c r="AB809" s="53">
        <f ca="1">SUMIF($D769:OFFSET($D804,-1,0),"*1_05*",AB769:OFFSET(AB804,-1,0))+SUMIF($D769:OFFSET($D804,-1,0),"*2_05*",AB769:OFFSET(AB804,-1,0))*AB$88</f>
        <v>0</v>
      </c>
      <c r="AC809" s="53">
        <f ca="1">SUMIF($D769:OFFSET($D804,-1,0),"*1_05*",AC769:OFFSET(AC804,-1,0))+SUMIF($D769:OFFSET($D804,-1,0),"*2_05*",AC769:OFFSET(AC804,-1,0))*AC$88</f>
        <v>0</v>
      </c>
    </row>
    <row r="810" spans="1:31" hidden="1" outlineLevel="2" x14ac:dyDescent="0.2">
      <c r="A810" t="str">
        <f ca="1">Language!A569</f>
        <v xml:space="preserve">    запасы на основе графика оплаты</v>
      </c>
      <c r="C810" s="5" t="str">
        <f t="shared" ca="1" si="2221"/>
        <v>тыс. EUR</v>
      </c>
      <c r="D810" s="16" t="s">
        <v>2594</v>
      </c>
      <c r="F810" s="53">
        <f ca="1">SUMIF($D769:OFFSET($D804,-1,0),"*1_13*",F769:OFFSET(F804,-1,0))+SUMIF($D769:OFFSET($D804,-1,0),"*2_13*",F769:OFFSET(F804,-1,0))*F$88</f>
        <v>0</v>
      </c>
      <c r="G810" s="53">
        <f ca="1">SUMIF($D769:OFFSET($D804,-1,0),"*1_13*",G769:OFFSET(G804,-1,0))+SUMIF($D769:OFFSET($D804,-1,0),"*2_13*",G769:OFFSET(G804,-1,0))*G$88</f>
        <v>0</v>
      </c>
      <c r="H810" s="53">
        <f ca="1">SUMIF($D769:OFFSET($D804,-1,0),"*1_13*",H769:OFFSET(H804,-1,0))+SUMIF($D769:OFFSET($D804,-1,0),"*2_13*",H769:OFFSET(H804,-1,0))*H$88</f>
        <v>0</v>
      </c>
      <c r="I810" s="53">
        <f ca="1">SUMIF($D769:OFFSET($D804,-1,0),"*1_13*",I769:OFFSET(I804,-1,0))+SUMIF($D769:OFFSET($D804,-1,0),"*2_13*",I769:OFFSET(I804,-1,0))*I$88</f>
        <v>0</v>
      </c>
      <c r="J810" s="53">
        <f ca="1">SUMIF($D769:OFFSET($D804,-1,0),"*1_13*",J769:OFFSET(J804,-1,0))+SUMIF($D769:OFFSET($D804,-1,0),"*2_13*",J769:OFFSET(J804,-1,0))*J$88</f>
        <v>0</v>
      </c>
      <c r="K810" s="53">
        <f ca="1">SUMIF($D769:OFFSET($D804,-1,0),"*1_13*",K769:OFFSET(K804,-1,0))+SUMIF($D769:OFFSET($D804,-1,0),"*2_13*",K769:OFFSET(K804,-1,0))*K$88</f>
        <v>0</v>
      </c>
      <c r="L810" s="53">
        <f ca="1">SUMIF($D769:OFFSET($D804,-1,0),"*1_13*",L769:OFFSET(L804,-1,0))+SUMIF($D769:OFFSET($D804,-1,0),"*2_13*",L769:OFFSET(L804,-1,0))*L$88</f>
        <v>0</v>
      </c>
      <c r="M810" s="53">
        <f ca="1">SUMIF($D769:OFFSET($D804,-1,0),"*1_13*",M769:OFFSET(M804,-1,0))+SUMIF($D769:OFFSET($D804,-1,0),"*2_13*",M769:OFFSET(M804,-1,0))*M$88</f>
        <v>0</v>
      </c>
      <c r="N810" s="53">
        <f ca="1">SUMIF($D769:OFFSET($D804,-1,0),"*1_13*",N769:OFFSET(N804,-1,0))+SUMIF($D769:OFFSET($D804,-1,0),"*2_13*",N769:OFFSET(N804,-1,0))*N$88</f>
        <v>0</v>
      </c>
      <c r="O810" s="53">
        <f ca="1">SUMIF($D769:OFFSET($D804,-1,0),"*1_13*",O769:OFFSET(O804,-1,0))+SUMIF($D769:OFFSET($D804,-1,0),"*2_13*",O769:OFFSET(O804,-1,0))*O$88</f>
        <v>0</v>
      </c>
      <c r="P810" s="53">
        <f ca="1">SUMIF($D769:OFFSET($D804,-1,0),"*1_13*",P769:OFFSET(P804,-1,0))+SUMIF($D769:OFFSET($D804,-1,0),"*2_13*",P769:OFFSET(P804,-1,0))*P$88</f>
        <v>0</v>
      </c>
      <c r="Q810" s="53">
        <f ca="1">SUMIF($D769:OFFSET($D804,-1,0),"*1_13*",Q769:OFFSET(Q804,-1,0))+SUMIF($D769:OFFSET($D804,-1,0),"*2_13*",Q769:OFFSET(Q804,-1,0))*Q$88</f>
        <v>0</v>
      </c>
      <c r="R810" s="53">
        <f ca="1">SUMIF($D769:OFFSET($D804,-1,0),"*1_13*",R769:OFFSET(R804,-1,0))+SUMIF($D769:OFFSET($D804,-1,0),"*2_13*",R769:OFFSET(R804,-1,0))*R$88</f>
        <v>0</v>
      </c>
      <c r="S810" s="53">
        <f ca="1">SUMIF($D769:OFFSET($D804,-1,0),"*1_13*",S769:OFFSET(S804,-1,0))+SUMIF($D769:OFFSET($D804,-1,0),"*2_13*",S769:OFFSET(S804,-1,0))*S$88</f>
        <v>0</v>
      </c>
      <c r="T810" s="53">
        <f ca="1">SUMIF($D769:OFFSET($D804,-1,0),"*1_13*",T769:OFFSET(T804,-1,0))+SUMIF($D769:OFFSET($D804,-1,0),"*2_13*",T769:OFFSET(T804,-1,0))*T$88</f>
        <v>0</v>
      </c>
      <c r="U810" s="53">
        <f ca="1">SUMIF($D769:OFFSET($D804,-1,0),"*1_13*",U769:OFFSET(U804,-1,0))+SUMIF($D769:OFFSET($D804,-1,0),"*2_13*",U769:OFFSET(U804,-1,0))*U$88</f>
        <v>0</v>
      </c>
      <c r="V810" s="53">
        <f ca="1">SUMIF($D769:OFFSET($D804,-1,0),"*1_13*",V769:OFFSET(V804,-1,0))+SUMIF($D769:OFFSET($D804,-1,0),"*2_13*",V769:OFFSET(V804,-1,0))*V$88</f>
        <v>0</v>
      </c>
      <c r="W810" s="53">
        <f ca="1">SUMIF($D769:OFFSET($D804,-1,0),"*1_13*",W769:OFFSET(W804,-1,0))+SUMIF($D769:OFFSET($D804,-1,0),"*2_13*",W769:OFFSET(W804,-1,0))*W$88</f>
        <v>0</v>
      </c>
      <c r="X810" s="53">
        <f ca="1">SUMIF($D769:OFFSET($D804,-1,0),"*1_13*",X769:OFFSET(X804,-1,0))+SUMIF($D769:OFFSET($D804,-1,0),"*2_13*",X769:OFFSET(X804,-1,0))*X$88</f>
        <v>0</v>
      </c>
      <c r="Y810" s="53">
        <f ca="1">SUMIF($D769:OFFSET($D804,-1,0),"*1_13*",Y769:OFFSET(Y804,-1,0))+SUMIF($D769:OFFSET($D804,-1,0),"*2_13*",Y769:OFFSET(Y804,-1,0))*Y$88</f>
        <v>0</v>
      </c>
      <c r="Z810" s="53">
        <f ca="1">SUMIF($D769:OFFSET($D804,-1,0),"*1_13*",Z769:OFFSET(Z804,-1,0))+SUMIF($D769:OFFSET($D804,-1,0),"*2_13*",Z769:OFFSET(Z804,-1,0))*Z$88</f>
        <v>0</v>
      </c>
      <c r="AA810" s="53">
        <f ca="1">SUMIF($D769:OFFSET($D804,-1,0),"*1_13*",AA769:OFFSET(AA804,-1,0))+SUMIF($D769:OFFSET($D804,-1,0),"*2_13*",AA769:OFFSET(AA804,-1,0))*AA$88</f>
        <v>0</v>
      </c>
      <c r="AB810" s="53">
        <f ca="1">SUMIF($D769:OFFSET($D804,-1,0),"*1_13*",AB769:OFFSET(AB804,-1,0))+SUMIF($D769:OFFSET($D804,-1,0),"*2_13*",AB769:OFFSET(AB804,-1,0))*AB$88</f>
        <v>0</v>
      </c>
      <c r="AC810" s="53">
        <f ca="1">SUMIF($D769:OFFSET($D804,-1,0),"*1_13*",AC769:OFFSET(AC804,-1,0))+SUMIF($D769:OFFSET($D804,-1,0),"*2_13*",AC769:OFFSET(AC804,-1,0))*AC$88</f>
        <v>0</v>
      </c>
    </row>
    <row r="811" spans="1:31" hidden="1" outlineLevel="2" x14ac:dyDescent="0.2">
      <c r="A811" t="str">
        <f ca="1">Language!A570</f>
        <v xml:space="preserve">    оплачено сырья и материалов (без НДС)</v>
      </c>
      <c r="C811" s="5" t="str">
        <f t="shared" ca="1" si="2221"/>
        <v>тыс. EUR</v>
      </c>
      <c r="D811" s="16"/>
      <c r="F811" s="53">
        <f ca="1">SUMIF($D769:OFFSET($D804,-1,0),"*1_06*",F769:OFFSET(F804,-1,0))+SUMIF($D769:OFFSET($D804,-1,0),"*2_06*",F769:OFFSET(F804,-1,0))*F$88</f>
        <v>0</v>
      </c>
      <c r="G811" s="53">
        <f ca="1">SUMIF($D769:OFFSET($D804,-1,0),"*1_06*",G769:OFFSET(G804,-1,0))+SUMIF($D769:OFFSET($D804,-1,0),"*2_06*",G769:OFFSET(G804,-1,0))*G$88</f>
        <v>0</v>
      </c>
      <c r="H811" s="53">
        <f ca="1">SUMIF($D769:OFFSET($D804,-1,0),"*1_06*",H769:OFFSET(H804,-1,0))+SUMIF($D769:OFFSET($D804,-1,0),"*2_06*",H769:OFFSET(H804,-1,0))*H$88</f>
        <v>0</v>
      </c>
      <c r="I811" s="53">
        <f ca="1">SUMIF($D769:OFFSET($D804,-1,0),"*1_06*",I769:OFFSET(I804,-1,0))+SUMIF($D769:OFFSET($D804,-1,0),"*2_06*",I769:OFFSET(I804,-1,0))*I$88</f>
        <v>0</v>
      </c>
      <c r="J811" s="53">
        <f ca="1">SUMIF($D769:OFFSET($D804,-1,0),"*1_06*",J769:OFFSET(J804,-1,0))+SUMIF($D769:OFFSET($D804,-1,0),"*2_06*",J769:OFFSET(J804,-1,0))*J$88</f>
        <v>0</v>
      </c>
      <c r="K811" s="53">
        <f ca="1">SUMIF($D769:OFFSET($D804,-1,0),"*1_06*",K769:OFFSET(K804,-1,0))+SUMIF($D769:OFFSET($D804,-1,0),"*2_06*",K769:OFFSET(K804,-1,0))*K$88</f>
        <v>473.16364375002172</v>
      </c>
      <c r="L811" s="53">
        <f ca="1">SUMIF($D769:OFFSET($D804,-1,0),"*1_06*",L769:OFFSET(L804,-1,0))+SUMIF($D769:OFFSET($D804,-1,0),"*2_06*",L769:OFFSET(L804,-1,0))*L$88</f>
        <v>1847.0848948830612</v>
      </c>
      <c r="M811" s="53">
        <f ca="1">SUMIF($D769:OFFSET($D804,-1,0),"*1_06*",M769:OFFSET(M804,-1,0))+SUMIF($D769:OFFSET($D804,-1,0),"*2_06*",M769:OFFSET(M804,-1,0))*M$88</f>
        <v>2966.9894638861606</v>
      </c>
      <c r="N811" s="53">
        <f ca="1">SUMIF($D769:OFFSET($D804,-1,0),"*1_06*",N769:OFFSET(N804,-1,0))+SUMIF($D769:OFFSET($D804,-1,0),"*2_06*",N769:OFFSET(N804,-1,0))*N$88</f>
        <v>4236.0357088816163</v>
      </c>
      <c r="O811" s="53">
        <f ca="1">SUMIF($D769:OFFSET($D804,-1,0),"*1_06*",O769:OFFSET(O804,-1,0))+SUMIF($D769:OFFSET($D804,-1,0),"*2_06*",O769:OFFSET(O804,-1,0))*O$88</f>
        <v>5113.7349304142062</v>
      </c>
      <c r="P811" s="53">
        <f ca="1">SUMIF($D769:OFFSET($D804,-1,0),"*1_06*",P769:OFFSET(P804,-1,0))+SUMIF($D769:OFFSET($D804,-1,0),"*2_06*",P769:OFFSET(P804,-1,0))*P$88</f>
        <v>5113.7349304142062</v>
      </c>
      <c r="Q811" s="53">
        <f ca="1">SUMIF($D769:OFFSET($D804,-1,0),"*1_06*",Q769:OFFSET(Q804,-1,0))+SUMIF($D769:OFFSET($D804,-1,0),"*2_06*",Q769:OFFSET(Q804,-1,0))*Q$88</f>
        <v>5113.7349304142062</v>
      </c>
      <c r="R811" s="53">
        <f ca="1">SUMIF($D769:OFFSET($D804,-1,0),"*1_06*",R769:OFFSET(R804,-1,0))+SUMIF($D769:OFFSET($D804,-1,0),"*2_06*",R769:OFFSET(R804,-1,0))*R$88</f>
        <v>5113.7349304142062</v>
      </c>
      <c r="S811" s="53">
        <f ca="1">SUMIF($D769:OFFSET($D804,-1,0),"*1_06*",S769:OFFSET(S804,-1,0))+SUMIF($D769:OFFSET($D804,-1,0),"*2_06*",S769:OFFSET(S804,-1,0))*S$88</f>
        <v>5113.7349304142062</v>
      </c>
      <c r="T811" s="53">
        <f ca="1">SUMIF($D769:OFFSET($D804,-1,0),"*1_06*",T769:OFFSET(T804,-1,0))+SUMIF($D769:OFFSET($D804,-1,0),"*2_06*",T769:OFFSET(T804,-1,0))*T$88</f>
        <v>5113.7349304142062</v>
      </c>
      <c r="U811" s="53">
        <f ca="1">SUMIF($D769:OFFSET($D804,-1,0),"*1_06*",U769:OFFSET(U804,-1,0))+SUMIF($D769:OFFSET($D804,-1,0),"*2_06*",U769:OFFSET(U804,-1,0))*U$88</f>
        <v>5113.7349304142062</v>
      </c>
      <c r="V811" s="53">
        <f ca="1">SUMIF($D769:OFFSET($D804,-1,0),"*1_06*",V769:OFFSET(V804,-1,0))+SUMIF($D769:OFFSET($D804,-1,0),"*2_06*",V769:OFFSET(V804,-1,0))*V$88</f>
        <v>5113.7349304142062</v>
      </c>
      <c r="W811" s="53">
        <f ca="1">SUMIF($D769:OFFSET($D804,-1,0),"*1_06*",W769:OFFSET(W804,-1,0))+SUMIF($D769:OFFSET($D804,-1,0),"*2_06*",W769:OFFSET(W804,-1,0))*W$88</f>
        <v>5113.7349304142062</v>
      </c>
      <c r="X811" s="53">
        <f ca="1">SUMIF($D769:OFFSET($D804,-1,0),"*1_06*",X769:OFFSET(X804,-1,0))+SUMIF($D769:OFFSET($D804,-1,0),"*2_06*",X769:OFFSET(X804,-1,0))*X$88</f>
        <v>5113.7349304142062</v>
      </c>
      <c r="Y811" s="53">
        <f ca="1">SUMIF($D769:OFFSET($D804,-1,0),"*1_06*",Y769:OFFSET(Y804,-1,0))+SUMIF($D769:OFFSET($D804,-1,0),"*2_06*",Y769:OFFSET(Y804,-1,0))*Y$88</f>
        <v>5113.7349304142062</v>
      </c>
      <c r="Z811" s="53">
        <f ca="1">SUMIF($D769:OFFSET($D804,-1,0),"*1_06*",Z769:OFFSET(Z804,-1,0))+SUMIF($D769:OFFSET($D804,-1,0),"*2_06*",Z769:OFFSET(Z804,-1,0))*Z$88</f>
        <v>5113.7349304142062</v>
      </c>
      <c r="AA811" s="53">
        <f ca="1">SUMIF($D769:OFFSET($D804,-1,0),"*1_06*",AA769:OFFSET(AA804,-1,0))+SUMIF($D769:OFFSET($D804,-1,0),"*2_06*",AA769:OFFSET(AA804,-1,0))*AA$88</f>
        <v>5113.7349304142062</v>
      </c>
      <c r="AB811" s="53">
        <f ca="1">SUMIF($D769:OFFSET($D804,-1,0),"*1_06*",AB769:OFFSET(AB804,-1,0))+SUMIF($D769:OFFSET($D804,-1,0),"*2_06*",AB769:OFFSET(AB804,-1,0))*AB$88</f>
        <v>5113.7349304142062</v>
      </c>
      <c r="AC811" s="53">
        <f ca="1">SUMIF($D769:OFFSET($D804,-1,0),"*1_06*",AC769:OFFSET(AC804,-1,0))+SUMIF($D769:OFFSET($D804,-1,0),"*2_06*",AC769:OFFSET(AC804,-1,0))*AC$88</f>
        <v>5113.7349304142062</v>
      </c>
      <c r="AE811" s="54">
        <f ca="1">SUM(F811:AC811)</f>
        <v>86229.297667613966</v>
      </c>
    </row>
    <row r="812" spans="1:31" hidden="1" outlineLevel="2" x14ac:dyDescent="0.2">
      <c r="A812" t="str">
        <f ca="1">Language!A571</f>
        <v xml:space="preserve">    выплаченный НДС</v>
      </c>
      <c r="C812" s="5" t="str">
        <f t="shared" ca="1" si="2221"/>
        <v>тыс. EUR</v>
      </c>
      <c r="D812" s="16"/>
      <c r="F812" s="53">
        <f ca="1">SUMIF($D769:OFFSET($D804,-1,0),"*1_07*",F769:OFFSET(F804,-1,0))+SUMIF($D769:OFFSET($D804,-1,0),"*2_07*",F769:OFFSET(F804,-1,0))*F$88</f>
        <v>0</v>
      </c>
      <c r="G812" s="53">
        <f ca="1">SUMIF($D769:OFFSET($D804,-1,0),"*1_07*",G769:OFFSET(G804,-1,0))+SUMIF($D769:OFFSET($D804,-1,0),"*2_07*",G769:OFFSET(G804,-1,0))*G$88</f>
        <v>0</v>
      </c>
      <c r="H812" s="53">
        <f ca="1">SUMIF($D769:OFFSET($D804,-1,0),"*1_07*",H769:OFFSET(H804,-1,0))+SUMIF($D769:OFFSET($D804,-1,0),"*2_07*",H769:OFFSET(H804,-1,0))*H$88</f>
        <v>0</v>
      </c>
      <c r="I812" s="53">
        <f ca="1">SUMIF($D769:OFFSET($D804,-1,0),"*1_07*",I769:OFFSET(I804,-1,0))+SUMIF($D769:OFFSET($D804,-1,0),"*2_07*",I769:OFFSET(I804,-1,0))*I$88</f>
        <v>0</v>
      </c>
      <c r="J812" s="53">
        <f ca="1">SUMIF($D769:OFFSET($D804,-1,0),"*1_07*",J769:OFFSET(J804,-1,0))+SUMIF($D769:OFFSET($D804,-1,0),"*2_07*",J769:OFFSET(J804,-1,0))*J$88</f>
        <v>0</v>
      </c>
      <c r="K812" s="53">
        <f ca="1">SUMIF($D769:OFFSET($D804,-1,0),"*1_07*",K769:OFFSET(K804,-1,0))+SUMIF($D769:OFFSET($D804,-1,0),"*2_07*",K769:OFFSET(K804,-1,0))*K$88</f>
        <v>108.827638062505</v>
      </c>
      <c r="L812" s="53">
        <f ca="1">SUMIF($D769:OFFSET($D804,-1,0),"*1_07*",L769:OFFSET(L804,-1,0))+SUMIF($D769:OFFSET($D804,-1,0),"*2_07*",L769:OFFSET(L804,-1,0))*L$88</f>
        <v>424.82952582310406</v>
      </c>
      <c r="M812" s="53">
        <f ca="1">SUMIF($D769:OFFSET($D804,-1,0),"*1_07*",M769:OFFSET(M804,-1,0))+SUMIF($D769:OFFSET($D804,-1,0),"*2_07*",M769:OFFSET(M804,-1,0))*M$88</f>
        <v>682.40757669381696</v>
      </c>
      <c r="N812" s="53">
        <f ca="1">SUMIF($D769:OFFSET($D804,-1,0),"*1_07*",N769:OFFSET(N804,-1,0))+SUMIF($D769:OFFSET($D804,-1,0),"*2_07*",N769:OFFSET(N804,-1,0))*N$88</f>
        <v>974.28821304277187</v>
      </c>
      <c r="O812" s="53">
        <f ca="1">SUMIF($D769:OFFSET($D804,-1,0),"*1_07*",O769:OFFSET(O804,-1,0))+SUMIF($D769:OFFSET($D804,-1,0),"*2_07*",O769:OFFSET(O804,-1,0))*O$88</f>
        <v>1176.1590339952672</v>
      </c>
      <c r="P812" s="53">
        <f ca="1">SUMIF($D769:OFFSET($D804,-1,0),"*1_07*",P769:OFFSET(P804,-1,0))+SUMIF($D769:OFFSET($D804,-1,0),"*2_07*",P769:OFFSET(P804,-1,0))*P$88</f>
        <v>1176.1590339952672</v>
      </c>
      <c r="Q812" s="53">
        <f ca="1">SUMIF($D769:OFFSET($D804,-1,0),"*1_07*",Q769:OFFSET(Q804,-1,0))+SUMIF($D769:OFFSET($D804,-1,0),"*2_07*",Q769:OFFSET(Q804,-1,0))*Q$88</f>
        <v>1176.1590339952672</v>
      </c>
      <c r="R812" s="53">
        <f ca="1">SUMIF($D769:OFFSET($D804,-1,0),"*1_07*",R769:OFFSET(R804,-1,0))+SUMIF($D769:OFFSET($D804,-1,0),"*2_07*",R769:OFFSET(R804,-1,0))*R$88</f>
        <v>1176.1590339952672</v>
      </c>
      <c r="S812" s="53">
        <f ca="1">SUMIF($D769:OFFSET($D804,-1,0),"*1_07*",S769:OFFSET(S804,-1,0))+SUMIF($D769:OFFSET($D804,-1,0),"*2_07*",S769:OFFSET(S804,-1,0))*S$88</f>
        <v>1176.1590339952672</v>
      </c>
      <c r="T812" s="53">
        <f ca="1">SUMIF($D769:OFFSET($D804,-1,0),"*1_07*",T769:OFFSET(T804,-1,0))+SUMIF($D769:OFFSET($D804,-1,0),"*2_07*",T769:OFFSET(T804,-1,0))*T$88</f>
        <v>1176.1590339952672</v>
      </c>
      <c r="U812" s="53">
        <f ca="1">SUMIF($D769:OFFSET($D804,-1,0),"*1_07*",U769:OFFSET(U804,-1,0))+SUMIF($D769:OFFSET($D804,-1,0),"*2_07*",U769:OFFSET(U804,-1,0))*U$88</f>
        <v>1176.1590339952672</v>
      </c>
      <c r="V812" s="53">
        <f ca="1">SUMIF($D769:OFFSET($D804,-1,0),"*1_07*",V769:OFFSET(V804,-1,0))+SUMIF($D769:OFFSET($D804,-1,0),"*2_07*",V769:OFFSET(V804,-1,0))*V$88</f>
        <v>1176.1590339952672</v>
      </c>
      <c r="W812" s="53">
        <f ca="1">SUMIF($D769:OFFSET($D804,-1,0),"*1_07*",W769:OFFSET(W804,-1,0))+SUMIF($D769:OFFSET($D804,-1,0),"*2_07*",W769:OFFSET(W804,-1,0))*W$88</f>
        <v>1176.1590339952672</v>
      </c>
      <c r="X812" s="53">
        <f ca="1">SUMIF($D769:OFFSET($D804,-1,0),"*1_07*",X769:OFFSET(X804,-1,0))+SUMIF($D769:OFFSET($D804,-1,0),"*2_07*",X769:OFFSET(X804,-1,0))*X$88</f>
        <v>1176.1590339952672</v>
      </c>
      <c r="Y812" s="53">
        <f ca="1">SUMIF($D769:OFFSET($D804,-1,0),"*1_07*",Y769:OFFSET(Y804,-1,0))+SUMIF($D769:OFFSET($D804,-1,0),"*2_07*",Y769:OFFSET(Y804,-1,0))*Y$88</f>
        <v>1176.1590339952672</v>
      </c>
      <c r="Z812" s="53">
        <f ca="1">SUMIF($D769:OFFSET($D804,-1,0),"*1_07*",Z769:OFFSET(Z804,-1,0))+SUMIF($D769:OFFSET($D804,-1,0),"*2_07*",Z769:OFFSET(Z804,-1,0))*Z$88</f>
        <v>1176.1590339952672</v>
      </c>
      <c r="AA812" s="53">
        <f ca="1">SUMIF($D769:OFFSET($D804,-1,0),"*1_07*",AA769:OFFSET(AA804,-1,0))+SUMIF($D769:OFFSET($D804,-1,0),"*2_07*",AA769:OFFSET(AA804,-1,0))*AA$88</f>
        <v>1176.1590339952672</v>
      </c>
      <c r="AB812" s="53">
        <f ca="1">SUMIF($D769:OFFSET($D804,-1,0),"*1_07*",AB769:OFFSET(AB804,-1,0))+SUMIF($D769:OFFSET($D804,-1,0),"*2_07*",AB769:OFFSET(AB804,-1,0))*AB$88</f>
        <v>1176.1590339952672</v>
      </c>
      <c r="AC812" s="53">
        <f ca="1">SUMIF($D769:OFFSET($D804,-1,0),"*1_07*",AC769:OFFSET(AC804,-1,0))+SUMIF($D769:OFFSET($D804,-1,0),"*2_07*",AC769:OFFSET(AC804,-1,0))*AC$88</f>
        <v>1176.1590339952672</v>
      </c>
      <c r="AE812" s="54">
        <f ca="1">SUM(F812:AC812)</f>
        <v>19832.738463551206</v>
      </c>
    </row>
    <row r="813" spans="1:31" hidden="1" outlineLevel="2" x14ac:dyDescent="0.2">
      <c r="A813" t="str">
        <f ca="1">Language!A572</f>
        <v xml:space="preserve">    кредиторская задолженность</v>
      </c>
      <c r="C813" s="5" t="str">
        <f t="shared" ca="1" si="2221"/>
        <v>тыс. EUR</v>
      </c>
      <c r="D813" s="16" t="s">
        <v>2594</v>
      </c>
      <c r="F813" s="53">
        <f ca="1">MAX(SUM($F807:F807)+SUM($F808:F808)-SUM($F811:F811)-SUM($F812:F812),0)</f>
        <v>0</v>
      </c>
      <c r="G813" s="53">
        <f ca="1">MAX(SUM($F807:G807)+SUM($F808:G808)-SUM($F811:G811)-SUM($F812:G812),0)</f>
        <v>0</v>
      </c>
      <c r="H813" s="53">
        <f ca="1">MAX(SUM($F807:H807)+SUM($F808:H808)-SUM($F811:H811)-SUM($F812:H812),0)</f>
        <v>0</v>
      </c>
      <c r="I813" s="53">
        <f ca="1">MAX(SUM($F807:I807)+SUM($F808:I808)-SUM($F811:I811)-SUM($F812:I812),0)</f>
        <v>0</v>
      </c>
      <c r="J813" s="53">
        <f ca="1">MAX(SUM($F807:J807)+SUM($F808:J808)-SUM($F811:J811)-SUM($F812:J812),0)</f>
        <v>0</v>
      </c>
      <c r="K813" s="53">
        <f ca="1">MAX(SUM($F807:K807)+SUM($F808:K808)-SUM($F811:K811)-SUM($F812:K812),0)</f>
        <v>0</v>
      </c>
      <c r="L813" s="53">
        <f ca="1">MAX(SUM($F807:L807)+SUM($F808:L808)-SUM($F811:L811)-SUM($F812:L812),0)</f>
        <v>0</v>
      </c>
      <c r="M813" s="53">
        <f ca="1">MAX(SUM($F807:M807)+SUM($F808:M808)-SUM($F811:M811)-SUM($F812:M812),0)</f>
        <v>0</v>
      </c>
      <c r="N813" s="53">
        <f ca="1">MAX(SUM($F807:N807)+SUM($F808:N808)-SUM($F811:N811)-SUM($F812:N812),0)</f>
        <v>0</v>
      </c>
      <c r="O813" s="53">
        <f ca="1">MAX(SUM($F807:O807)+SUM($F808:O808)-SUM($F811:O811)-SUM($F812:O812),0)</f>
        <v>1.3642420526593924E-12</v>
      </c>
      <c r="P813" s="53">
        <f ca="1">MAX(SUM($F807:P807)+SUM($F808:P808)-SUM($F811:P811)-SUM($F812:P812),0)</f>
        <v>0</v>
      </c>
      <c r="Q813" s="53">
        <f ca="1">MAX(SUM($F807:Q807)+SUM($F808:Q808)-SUM($F811:Q811)-SUM($F812:Q812),0)</f>
        <v>0</v>
      </c>
      <c r="R813" s="53">
        <f ca="1">MAX(SUM($F807:R807)+SUM($F808:R808)-SUM($F811:R811)-SUM($F812:R812),0)</f>
        <v>0</v>
      </c>
      <c r="S813" s="53">
        <f ca="1">MAX(SUM($F807:S807)+SUM($F808:S808)-SUM($F811:S811)-SUM($F812:S812),0)</f>
        <v>0</v>
      </c>
      <c r="T813" s="53">
        <f ca="1">MAX(SUM($F807:T807)+SUM($F808:T808)-SUM($F811:T811)-SUM($F812:T812),0)</f>
        <v>0</v>
      </c>
      <c r="U813" s="53">
        <f ca="1">MAX(SUM($F807:U807)+SUM($F808:U808)-SUM($F811:U811)-SUM($F812:U812),0)</f>
        <v>0</v>
      </c>
      <c r="V813" s="53">
        <f ca="1">MAX(SUM($F807:V807)+SUM($F808:V808)-SUM($F811:V811)-SUM($F812:V812),0)</f>
        <v>0</v>
      </c>
      <c r="W813" s="53">
        <f ca="1">MAX(SUM($F807:W807)+SUM($F808:W808)-SUM($F811:W811)-SUM($F812:W812),0)</f>
        <v>0</v>
      </c>
      <c r="X813" s="53">
        <f ca="1">MAX(SUM($F807:X807)+SUM($F808:X808)-SUM($F811:X811)-SUM($F812:X812),0)</f>
        <v>0</v>
      </c>
      <c r="Y813" s="53">
        <f ca="1">MAX(SUM($F807:Y807)+SUM($F808:Y808)-SUM($F811:Y811)-SUM($F812:Y812),0)</f>
        <v>0</v>
      </c>
      <c r="Z813" s="53">
        <f ca="1">MAX(SUM($F807:Z807)+SUM($F808:Z808)-SUM($F811:Z811)-SUM($F812:Z812),0)</f>
        <v>0</v>
      </c>
      <c r="AA813" s="53">
        <f ca="1">MAX(SUM($F807:AA807)+SUM($F808:AA808)-SUM($F811:AA811)-SUM($F812:AA812),0)</f>
        <v>0</v>
      </c>
      <c r="AB813" s="53">
        <f ca="1">MAX(SUM($F807:AB807)+SUM($F808:AB808)-SUM($F811:AB811)-SUM($F812:AB812),0)</f>
        <v>0</v>
      </c>
      <c r="AC813" s="53">
        <f ca="1">MAX(SUM($F807:AC807)+SUM($F808:AC808)-SUM($F811:AC811)-SUM($F812:AC812),0)</f>
        <v>0</v>
      </c>
    </row>
    <row r="814" spans="1:31" hidden="1" outlineLevel="2" x14ac:dyDescent="0.2">
      <c r="A814" t="str">
        <f ca="1">Language!A573</f>
        <v xml:space="preserve">    выплаченные авансы</v>
      </c>
      <c r="C814" s="5" t="str">
        <f t="shared" ca="1" si="2221"/>
        <v>тыс. EUR</v>
      </c>
      <c r="D814" s="16" t="s">
        <v>2594</v>
      </c>
      <c r="F814" s="53">
        <f ca="1">MAX(SUM($F811:F811)+SUM($F812:F812)-SUM($F807:F807)-SUM($F808:F808),0)</f>
        <v>0</v>
      </c>
      <c r="G814" s="53">
        <f ca="1">MAX(SUM($F811:G811)+SUM($F812:G812)-SUM($F807:G807)-SUM($F808:G808),0)</f>
        <v>0</v>
      </c>
      <c r="H814" s="53">
        <f ca="1">MAX(SUM($F811:H811)+SUM($F812:H812)-SUM($F807:H807)-SUM($F808:H808),0)</f>
        <v>0</v>
      </c>
      <c r="I814" s="53">
        <f ca="1">MAX(SUM($F811:I811)+SUM($F812:I812)-SUM($F807:I807)-SUM($F808:I808),0)</f>
        <v>0</v>
      </c>
      <c r="J814" s="53">
        <f ca="1">MAX(SUM($F811:J811)+SUM($F812:J812)-SUM($F807:J807)-SUM($F808:J808),0)</f>
        <v>0</v>
      </c>
      <c r="K814" s="53">
        <f ca="1">MAX(SUM($F811:K811)+SUM($F812:K812)-SUM($F807:K807)-SUM($F808:K808),0)</f>
        <v>0</v>
      </c>
      <c r="L814" s="53">
        <f ca="1">MAX(SUM($F811:L811)+SUM($F812:L812)-SUM($F807:L807)-SUM($F808:L808),0)</f>
        <v>0</v>
      </c>
      <c r="M814" s="53">
        <f ca="1">MAX(SUM($F811:M811)+SUM($F812:M812)-SUM($F807:M807)-SUM($F808:M808),0)</f>
        <v>0</v>
      </c>
      <c r="N814" s="53">
        <f ca="1">MAX(SUM($F811:N811)+SUM($F812:N812)-SUM($F807:N807)-SUM($F808:N808),0)</f>
        <v>0</v>
      </c>
      <c r="O814" s="53">
        <f ca="1">MAX(SUM($F811:O811)+SUM($F812:O812)-SUM($F807:O807)-SUM($F808:O808),0)</f>
        <v>1.3642420526593924E-12</v>
      </c>
      <c r="P814" s="53">
        <f ca="1">MAX(SUM($F811:P811)+SUM($F812:P812)-SUM($F807:P807)-SUM($F808:P808),0)</f>
        <v>0</v>
      </c>
      <c r="Q814" s="53">
        <f ca="1">MAX(SUM($F811:Q811)+SUM($F812:Q812)-SUM($F807:Q807)-SUM($F808:Q808),0)</f>
        <v>0</v>
      </c>
      <c r="R814" s="53">
        <f ca="1">MAX(SUM($F811:R811)+SUM($F812:R812)-SUM($F807:R807)-SUM($F808:R808),0)</f>
        <v>0</v>
      </c>
      <c r="S814" s="53">
        <f ca="1">MAX(SUM($F811:S811)+SUM($F812:S812)-SUM($F807:S807)-SUM($F808:S808),0)</f>
        <v>0</v>
      </c>
      <c r="T814" s="53">
        <f ca="1">MAX(SUM($F811:T811)+SUM($F812:T812)-SUM($F807:T807)-SUM($F808:T808),0)</f>
        <v>0</v>
      </c>
      <c r="U814" s="53">
        <f ca="1">MAX(SUM($F811:U811)+SUM($F812:U812)-SUM($F807:U807)-SUM($F808:U808),0)</f>
        <v>0</v>
      </c>
      <c r="V814" s="53">
        <f ca="1">MAX(SUM($F811:V811)+SUM($F812:V812)-SUM($F807:V807)-SUM($F808:V808),0)</f>
        <v>0</v>
      </c>
      <c r="W814" s="53">
        <f ca="1">MAX(SUM($F811:W811)+SUM($F812:W812)-SUM($F807:W807)-SUM($F808:W808),0)</f>
        <v>0</v>
      </c>
      <c r="X814" s="53">
        <f ca="1">MAX(SUM($F811:X811)+SUM($F812:X812)-SUM($F807:X807)-SUM($F808:X808),0)</f>
        <v>0</v>
      </c>
      <c r="Y814" s="53">
        <f ca="1">MAX(SUM($F811:Y811)+SUM($F812:Y812)-SUM($F807:Y807)-SUM($F808:Y808),0)</f>
        <v>0</v>
      </c>
      <c r="Z814" s="53">
        <f ca="1">MAX(SUM($F811:Z811)+SUM($F812:Z812)-SUM($F807:Z807)-SUM($F808:Z808),0)</f>
        <v>0</v>
      </c>
      <c r="AA814" s="53">
        <f ca="1">MAX(SUM($F811:AA811)+SUM($F812:AA812)-SUM($F807:AA807)-SUM($F808:AA808),0)</f>
        <v>0</v>
      </c>
      <c r="AB814" s="53">
        <f ca="1">MAX(SUM($F811:AB811)+SUM($F812:AB812)-SUM($F807:AB807)-SUM($F808:AB808),0)</f>
        <v>0</v>
      </c>
      <c r="AC814" s="53">
        <f ca="1">MAX(SUM($F811:AC811)+SUM($F812:AC812)-SUM($F807:AC807)-SUM($F808:AC808),0)</f>
        <v>0</v>
      </c>
    </row>
    <row r="815" spans="1:31" hidden="1" outlineLevel="2" x14ac:dyDescent="0.2">
      <c r="A815" t="str">
        <f ca="1">Language!A$574</f>
        <v xml:space="preserve">    списано затрат на реализованную продукцию</v>
      </c>
      <c r="C815" s="5" t="str">
        <f t="shared" ca="1" si="2221"/>
        <v>тыс. EUR</v>
      </c>
      <c r="D815" s="16"/>
      <c r="F815" s="53">
        <f ca="1">SUMIF($D769:OFFSET($D804,-1,0),"*1_10*",F769:OFFSET(F804,-1,0))+SUMIF($D769:OFFSET($D804,-1,0),"*2_10*",F769:OFFSET(F804,-1,0))*F$88</f>
        <v>0</v>
      </c>
      <c r="G815" s="53">
        <f ca="1">SUMIF($D769:OFFSET($D804,-1,0),"*1_10*",G769:OFFSET(G804,-1,0))+SUMIF($D769:OFFSET($D804,-1,0),"*2_10*",G769:OFFSET(G804,-1,0))*G$88</f>
        <v>0</v>
      </c>
      <c r="H815" s="53">
        <f ca="1">SUMIF($D769:OFFSET($D804,-1,0),"*1_10*",H769:OFFSET(H804,-1,0))+SUMIF($D769:OFFSET($D804,-1,0),"*2_10*",H769:OFFSET(H804,-1,0))*H$88</f>
        <v>0</v>
      </c>
      <c r="I815" s="53">
        <f ca="1">SUMIF($D769:OFFSET($D804,-1,0),"*1_10*",I769:OFFSET(I804,-1,0))+SUMIF($D769:OFFSET($D804,-1,0),"*2_10*",I769:OFFSET(I804,-1,0))*I$88</f>
        <v>0</v>
      </c>
      <c r="J815" s="53">
        <f ca="1">SUMIF($D769:OFFSET($D804,-1,0),"*1_10*",J769:OFFSET(J804,-1,0))+SUMIF($D769:OFFSET($D804,-1,0),"*2_10*",J769:OFFSET(J804,-1,0))*J$88</f>
        <v>0</v>
      </c>
      <c r="K815" s="53">
        <f ca="1">SUMIF($D769:OFFSET($D804,-1,0),"*1_10*",K769:OFFSET(K804,-1,0))+SUMIF($D769:OFFSET($D804,-1,0),"*2_10*",K769:OFFSET(K804,-1,0))*K$88</f>
        <v>473.16364375002166</v>
      </c>
      <c r="L815" s="53">
        <f ca="1">SUMIF($D769:OFFSET($D804,-1,0),"*1_10*",L769:OFFSET(L804,-1,0))+SUMIF($D769:OFFSET($D804,-1,0),"*2_10*",L769:OFFSET(L804,-1,0))*L$88</f>
        <v>1847.0848948830612</v>
      </c>
      <c r="M815" s="53">
        <f ca="1">SUMIF($D769:OFFSET($D804,-1,0),"*1_10*",M769:OFFSET(M804,-1,0))+SUMIF($D769:OFFSET($D804,-1,0),"*2_10*",M769:OFFSET(M804,-1,0))*M$88</f>
        <v>2966.9894638861606</v>
      </c>
      <c r="N815" s="53">
        <f ca="1">SUMIF($D769:OFFSET($D804,-1,0),"*1_10*",N769:OFFSET(N804,-1,0))+SUMIF($D769:OFFSET($D804,-1,0),"*2_10*",N769:OFFSET(N804,-1,0))*N$88</f>
        <v>4236.0357088816163</v>
      </c>
      <c r="O815" s="53">
        <f ca="1">SUMIF($D769:OFFSET($D804,-1,0),"*1_10*",O769:OFFSET(O804,-1,0))+SUMIF($D769:OFFSET($D804,-1,0),"*2_10*",O769:OFFSET(O804,-1,0))*O$88</f>
        <v>5113.7349304142062</v>
      </c>
      <c r="P815" s="53">
        <f ca="1">SUMIF($D769:OFFSET($D804,-1,0),"*1_10*",P769:OFFSET(P804,-1,0))+SUMIF($D769:OFFSET($D804,-1,0),"*2_10*",P769:OFFSET(P804,-1,0))*P$88</f>
        <v>5113.7349304142062</v>
      </c>
      <c r="Q815" s="53">
        <f ca="1">SUMIF($D769:OFFSET($D804,-1,0),"*1_10*",Q769:OFFSET(Q804,-1,0))+SUMIF($D769:OFFSET($D804,-1,0),"*2_10*",Q769:OFFSET(Q804,-1,0))*Q$88</f>
        <v>5113.7349304142062</v>
      </c>
      <c r="R815" s="53">
        <f ca="1">SUMIF($D769:OFFSET($D804,-1,0),"*1_10*",R769:OFFSET(R804,-1,0))+SUMIF($D769:OFFSET($D804,-1,0),"*2_10*",R769:OFFSET(R804,-1,0))*R$88</f>
        <v>5113.7349304142062</v>
      </c>
      <c r="S815" s="53">
        <f ca="1">SUMIF($D769:OFFSET($D804,-1,0),"*1_10*",S769:OFFSET(S804,-1,0))+SUMIF($D769:OFFSET($D804,-1,0),"*2_10*",S769:OFFSET(S804,-1,0))*S$88</f>
        <v>5113.7349304142062</v>
      </c>
      <c r="T815" s="53">
        <f ca="1">SUMIF($D769:OFFSET($D804,-1,0),"*1_10*",T769:OFFSET(T804,-1,0))+SUMIF($D769:OFFSET($D804,-1,0),"*2_10*",T769:OFFSET(T804,-1,0))*T$88</f>
        <v>5113.7349304142062</v>
      </c>
      <c r="U815" s="53">
        <f ca="1">SUMIF($D769:OFFSET($D804,-1,0),"*1_10*",U769:OFFSET(U804,-1,0))+SUMIF($D769:OFFSET($D804,-1,0),"*2_10*",U769:OFFSET(U804,-1,0))*U$88</f>
        <v>5113.7349304142062</v>
      </c>
      <c r="V815" s="53">
        <f ca="1">SUMIF($D769:OFFSET($D804,-1,0),"*1_10*",V769:OFFSET(V804,-1,0))+SUMIF($D769:OFFSET($D804,-1,0),"*2_10*",V769:OFFSET(V804,-1,0))*V$88</f>
        <v>5113.7349304142062</v>
      </c>
      <c r="W815" s="53">
        <f ca="1">SUMIF($D769:OFFSET($D804,-1,0),"*1_10*",W769:OFFSET(W804,-1,0))+SUMIF($D769:OFFSET($D804,-1,0),"*2_10*",W769:OFFSET(W804,-1,0))*W$88</f>
        <v>5113.7349304142062</v>
      </c>
      <c r="X815" s="53">
        <f ca="1">SUMIF($D769:OFFSET($D804,-1,0),"*1_10*",X769:OFFSET(X804,-1,0))+SUMIF($D769:OFFSET($D804,-1,0),"*2_10*",X769:OFFSET(X804,-1,0))*X$88</f>
        <v>5113.7349304142062</v>
      </c>
      <c r="Y815" s="53">
        <f ca="1">SUMIF($D769:OFFSET($D804,-1,0),"*1_10*",Y769:OFFSET(Y804,-1,0))+SUMIF($D769:OFFSET($D804,-1,0),"*2_10*",Y769:OFFSET(Y804,-1,0))*Y$88</f>
        <v>5113.7349304142062</v>
      </c>
      <c r="Z815" s="53">
        <f ca="1">SUMIF($D769:OFFSET($D804,-1,0),"*1_10*",Z769:OFFSET(Z804,-1,0))+SUMIF($D769:OFFSET($D804,-1,0),"*2_10*",Z769:OFFSET(Z804,-1,0))*Z$88</f>
        <v>5113.7349304142062</v>
      </c>
      <c r="AA815" s="53">
        <f ca="1">SUMIF($D769:OFFSET($D804,-1,0),"*1_10*",AA769:OFFSET(AA804,-1,0))+SUMIF($D769:OFFSET($D804,-1,0),"*2_10*",AA769:OFFSET(AA804,-1,0))*AA$88</f>
        <v>5113.7349304142062</v>
      </c>
      <c r="AB815" s="53">
        <f ca="1">SUMIF($D769:OFFSET($D804,-1,0),"*1_10*",AB769:OFFSET(AB804,-1,0))+SUMIF($D769:OFFSET($D804,-1,0),"*2_10*",AB769:OFFSET(AB804,-1,0))*AB$88</f>
        <v>5113.7349304142062</v>
      </c>
      <c r="AC815" s="53">
        <f ca="1">SUMIF($D769:OFFSET($D804,-1,0),"*1_10*",AC769:OFFSET(AC804,-1,0))+SUMIF($D769:OFFSET($D804,-1,0),"*2_10*",AC769:OFFSET(AC804,-1,0))*AC$88</f>
        <v>5113.7349304142062</v>
      </c>
      <c r="AE815" s="54">
        <f ca="1">SUM(F815:AC815)</f>
        <v>86229.297667613966</v>
      </c>
    </row>
    <row r="816" spans="1:31" hidden="1" outlineLevel="2" x14ac:dyDescent="0.2">
      <c r="A816" s="48" t="str">
        <f ca="1">Language!A$575</f>
        <v xml:space="preserve">    остаток затрат на складе готовой продукции</v>
      </c>
      <c r="C816" s="5" t="str">
        <f t="shared" ca="1" si="2221"/>
        <v>тыс. EUR</v>
      </c>
      <c r="D816" s="16" t="s">
        <v>2594</v>
      </c>
      <c r="F816" s="84">
        <f ca="1">SUM($F807:F807)-SUM($F815:F815)-F810</f>
        <v>0</v>
      </c>
      <c r="G816" s="84">
        <f ca="1">SUM($F807:G807)-SUM($F815:G815)-G810</f>
        <v>0</v>
      </c>
      <c r="H816" s="84">
        <f ca="1">SUM($F807:H807)-SUM($F815:H815)-H810</f>
        <v>0</v>
      </c>
      <c r="I816" s="84">
        <f ca="1">SUM($F807:I807)-SUM($F815:I815)-I810</f>
        <v>0</v>
      </c>
      <c r="J816" s="84">
        <f ca="1">SUM($F807:J807)-SUM($F815:J815)-J810</f>
        <v>0</v>
      </c>
      <c r="K816" s="84">
        <f ca="1">SUM($F807:K807)-SUM($F815:K815)-K810</f>
        <v>5.6843418860808015E-14</v>
      </c>
      <c r="L816" s="84">
        <f ca="1">SUM($F807:L807)-SUM($F815:L815)-L810</f>
        <v>0</v>
      </c>
      <c r="M816" s="84">
        <f ca="1">SUM($F807:M807)-SUM($F815:M815)-M810</f>
        <v>0</v>
      </c>
      <c r="N816" s="84">
        <f ca="1">SUM($F807:N807)-SUM($F815:N815)-N810</f>
        <v>0</v>
      </c>
      <c r="O816" s="84">
        <f ca="1">SUM($F807:O807)-SUM($F815:O815)-O810</f>
        <v>0</v>
      </c>
      <c r="P816" s="84">
        <f ca="1">SUM($F807:P807)-SUM($F815:P815)-P810</f>
        <v>0</v>
      </c>
      <c r="Q816" s="84">
        <f ca="1">SUM($F807:Q807)-SUM($F815:Q815)-Q810</f>
        <v>0</v>
      </c>
      <c r="R816" s="84">
        <f ca="1">SUM($F807:R807)-SUM($F815:R815)-R810</f>
        <v>0</v>
      </c>
      <c r="S816" s="84">
        <f ca="1">SUM($F807:S807)-SUM($F815:S815)-S810</f>
        <v>0</v>
      </c>
      <c r="T816" s="84">
        <f ca="1">SUM($F807:T807)-SUM($F815:T815)-T810</f>
        <v>0</v>
      </c>
      <c r="U816" s="84">
        <f ca="1">SUM($F807:U807)-SUM($F815:U815)-U810</f>
        <v>0</v>
      </c>
      <c r="V816" s="84">
        <f ca="1">SUM($F807:V807)-SUM($F815:V815)-V810</f>
        <v>0</v>
      </c>
      <c r="W816" s="84">
        <f ca="1">SUM($F807:W807)-SUM($F815:W815)-W810</f>
        <v>0</v>
      </c>
      <c r="X816" s="84">
        <f ca="1">SUM($F807:X807)-SUM($F815:X815)-X810</f>
        <v>0</v>
      </c>
      <c r="Y816" s="84">
        <f ca="1">SUM($F807:Y807)-SUM($F815:Y815)-Y810</f>
        <v>0</v>
      </c>
      <c r="Z816" s="84">
        <f ca="1">SUM($F807:Z807)-SUM($F815:Z815)-Z810</f>
        <v>0</v>
      </c>
      <c r="AA816" s="84">
        <f ca="1">SUM($F807:AA807)-SUM($F815:AA815)-AA810</f>
        <v>0</v>
      </c>
      <c r="AB816" s="84">
        <f ca="1">SUM($F807:AB807)-SUM($F815:AB815)-AB810</f>
        <v>0</v>
      </c>
      <c r="AC816" s="84">
        <f ca="1">SUM($F807:AC807)-SUM($F815:AC815)-AC810</f>
        <v>0</v>
      </c>
    </row>
    <row r="817" spans="1:31" hidden="1" outlineLevel="2" x14ac:dyDescent="0.2">
      <c r="A817" s="48" t="str">
        <f ca="1">Language!A$576</f>
        <v xml:space="preserve">    остаток затрат в незавершенном производстве</v>
      </c>
      <c r="C817" s="5" t="str">
        <f t="shared" ca="1" si="2221"/>
        <v>тыс. EUR</v>
      </c>
      <c r="D817" s="16" t="s">
        <v>2594</v>
      </c>
      <c r="F817" s="53">
        <f ca="1">SUMIF($D769:OFFSET($D804,-1,0),"*1_12*",F769:OFFSET(F804,-1,0))+SUMIF($D769:OFFSET($D804,-1,0),"*2_12*",F769:OFFSET(F804,-1,0))*F$88</f>
        <v>0</v>
      </c>
      <c r="G817" s="53">
        <f ca="1">SUMIF($D769:OFFSET($D804,-1,0),"*1_12*",G769:OFFSET(G804,-1,0))+SUMIF($D769:OFFSET($D804,-1,0),"*2_12*",G769:OFFSET(G804,-1,0))*G$88</f>
        <v>0</v>
      </c>
      <c r="H817" s="53">
        <f ca="1">SUMIF($D769:OFFSET($D804,-1,0),"*1_12*",H769:OFFSET(H804,-1,0))+SUMIF($D769:OFFSET($D804,-1,0),"*2_12*",H769:OFFSET(H804,-1,0))*H$88</f>
        <v>0</v>
      </c>
      <c r="I817" s="53">
        <f ca="1">SUMIF($D769:OFFSET($D804,-1,0),"*1_12*",I769:OFFSET(I804,-1,0))+SUMIF($D769:OFFSET($D804,-1,0),"*2_12*",I769:OFFSET(I804,-1,0))*I$88</f>
        <v>0</v>
      </c>
      <c r="J817" s="53">
        <f ca="1">SUMIF($D769:OFFSET($D804,-1,0),"*1_12*",J769:OFFSET(J804,-1,0))+SUMIF($D769:OFFSET($D804,-1,0),"*2_12*",J769:OFFSET(J804,-1,0))*J$88</f>
        <v>0</v>
      </c>
      <c r="K817" s="53">
        <f ca="1">SUMIF($D769:OFFSET($D804,-1,0),"*1_12*",K769:OFFSET(K804,-1,0))+SUMIF($D769:OFFSET($D804,-1,0),"*2_12*",K769:OFFSET(K804,-1,0))*K$88</f>
        <v>0</v>
      </c>
      <c r="L817" s="53">
        <f ca="1">SUMIF($D769:OFFSET($D804,-1,0),"*1_12*",L769:OFFSET(L804,-1,0))+SUMIF($D769:OFFSET($D804,-1,0),"*2_12*",L769:OFFSET(L804,-1,0))*L$88</f>
        <v>0</v>
      </c>
      <c r="M817" s="53">
        <f ca="1">SUMIF($D769:OFFSET($D804,-1,0),"*1_12*",M769:OFFSET(M804,-1,0))+SUMIF($D769:OFFSET($D804,-1,0),"*2_12*",M769:OFFSET(M804,-1,0))*M$88</f>
        <v>0</v>
      </c>
      <c r="N817" s="53">
        <f ca="1">SUMIF($D769:OFFSET($D804,-1,0),"*1_12*",N769:OFFSET(N804,-1,0))+SUMIF($D769:OFFSET($D804,-1,0),"*2_12*",N769:OFFSET(N804,-1,0))*N$88</f>
        <v>0</v>
      </c>
      <c r="O817" s="53">
        <f ca="1">SUMIF($D769:OFFSET($D804,-1,0),"*1_12*",O769:OFFSET(O804,-1,0))+SUMIF($D769:OFFSET($D804,-1,0),"*2_12*",O769:OFFSET(O804,-1,0))*O$88</f>
        <v>0</v>
      </c>
      <c r="P817" s="53">
        <f ca="1">SUMIF($D769:OFFSET($D804,-1,0),"*1_12*",P769:OFFSET(P804,-1,0))+SUMIF($D769:OFFSET($D804,-1,0),"*2_12*",P769:OFFSET(P804,-1,0))*P$88</f>
        <v>0</v>
      </c>
      <c r="Q817" s="53">
        <f ca="1">SUMIF($D769:OFFSET($D804,-1,0),"*1_12*",Q769:OFFSET(Q804,-1,0))+SUMIF($D769:OFFSET($D804,-1,0),"*2_12*",Q769:OFFSET(Q804,-1,0))*Q$88</f>
        <v>0</v>
      </c>
      <c r="R817" s="53">
        <f ca="1">SUMIF($D769:OFFSET($D804,-1,0),"*1_12*",R769:OFFSET(R804,-1,0))+SUMIF($D769:OFFSET($D804,-1,0),"*2_12*",R769:OFFSET(R804,-1,0))*R$88</f>
        <v>0</v>
      </c>
      <c r="S817" s="53">
        <f ca="1">SUMIF($D769:OFFSET($D804,-1,0),"*1_12*",S769:OFFSET(S804,-1,0))+SUMIF($D769:OFFSET($D804,-1,0),"*2_12*",S769:OFFSET(S804,-1,0))*S$88</f>
        <v>0</v>
      </c>
      <c r="T817" s="53">
        <f ca="1">SUMIF($D769:OFFSET($D804,-1,0),"*1_12*",T769:OFFSET(T804,-1,0))+SUMIF($D769:OFFSET($D804,-1,0),"*2_12*",T769:OFFSET(T804,-1,0))*T$88</f>
        <v>0</v>
      </c>
      <c r="U817" s="53">
        <f ca="1">SUMIF($D769:OFFSET($D804,-1,0),"*1_12*",U769:OFFSET(U804,-1,0))+SUMIF($D769:OFFSET($D804,-1,0),"*2_12*",U769:OFFSET(U804,-1,0))*U$88</f>
        <v>0</v>
      </c>
      <c r="V817" s="53">
        <f ca="1">SUMIF($D769:OFFSET($D804,-1,0),"*1_12*",V769:OFFSET(V804,-1,0))+SUMIF($D769:OFFSET($D804,-1,0),"*2_12*",V769:OFFSET(V804,-1,0))*V$88</f>
        <v>0</v>
      </c>
      <c r="W817" s="53">
        <f ca="1">SUMIF($D769:OFFSET($D804,-1,0),"*1_12*",W769:OFFSET(W804,-1,0))+SUMIF($D769:OFFSET($D804,-1,0),"*2_12*",W769:OFFSET(W804,-1,0))*W$88</f>
        <v>0</v>
      </c>
      <c r="X817" s="53">
        <f ca="1">SUMIF($D769:OFFSET($D804,-1,0),"*1_12*",X769:OFFSET(X804,-1,0))+SUMIF($D769:OFFSET($D804,-1,0),"*2_12*",X769:OFFSET(X804,-1,0))*X$88</f>
        <v>0</v>
      </c>
      <c r="Y817" s="53">
        <f ca="1">SUMIF($D769:OFFSET($D804,-1,0),"*1_12*",Y769:OFFSET(Y804,-1,0))+SUMIF($D769:OFFSET($D804,-1,0),"*2_12*",Y769:OFFSET(Y804,-1,0))*Y$88</f>
        <v>0</v>
      </c>
      <c r="Z817" s="53">
        <f ca="1">SUMIF($D769:OFFSET($D804,-1,0),"*1_12*",Z769:OFFSET(Z804,-1,0))+SUMIF($D769:OFFSET($D804,-1,0),"*2_12*",Z769:OFFSET(Z804,-1,0))*Z$88</f>
        <v>0</v>
      </c>
      <c r="AA817" s="53">
        <f ca="1">SUMIF($D769:OFFSET($D804,-1,0),"*1_12*",AA769:OFFSET(AA804,-1,0))+SUMIF($D769:OFFSET($D804,-1,0),"*2_12*",AA769:OFFSET(AA804,-1,0))*AA$88</f>
        <v>0</v>
      </c>
      <c r="AB817" s="53">
        <f ca="1">SUMIF($D769:OFFSET($D804,-1,0),"*1_12*",AB769:OFFSET(AB804,-1,0))+SUMIF($D769:OFFSET($D804,-1,0),"*2_12*",AB769:OFFSET(AB804,-1,0))*AB$88</f>
        <v>0</v>
      </c>
      <c r="AC817" s="53">
        <f ca="1">SUMIF($D769:OFFSET($D804,-1,0),"*1_12*",AC769:OFFSET(AC804,-1,0))+SUMIF($D769:OFFSET($D804,-1,0),"*2_12*",AC769:OFFSET(AC804,-1,0))*AC$88</f>
        <v>0</v>
      </c>
    </row>
    <row r="818" spans="1:31" outlineLevel="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4"/>
    </row>
    <row r="819" spans="1:31" outlineLevel="1" x14ac:dyDescent="0.2"/>
    <row r="820" spans="1:31" s="4" customFormat="1" ht="15.95" customHeight="1" collapsed="1" thickBot="1" x14ac:dyDescent="0.25">
      <c r="A820" s="165" t="str">
        <f ca="1">Language!A577</f>
        <v xml:space="preserve">         ПРОЧИЕ ПЕРЕМЕННЫЕ ЗАТРАТЫ</v>
      </c>
      <c r="B820" s="165"/>
      <c r="C820" s="165"/>
      <c r="D820" s="165">
        <v>1</v>
      </c>
      <c r="E820" s="165"/>
      <c r="F820" s="177" t="str">
        <f t="shared" ref="F820:AC820" ca="1" si="2222">PeriodTitle</f>
        <v>1 кв. 2016</v>
      </c>
      <c r="G820" s="177" t="str">
        <f t="shared" ca="1" si="2222"/>
        <v>2 кв. 2016</v>
      </c>
      <c r="H820" s="177" t="str">
        <f t="shared" ca="1" si="2222"/>
        <v>3 кв. 2016</v>
      </c>
      <c r="I820" s="177" t="str">
        <f t="shared" ca="1" si="2222"/>
        <v>4 кв. 2016</v>
      </c>
      <c r="J820" s="177" t="str">
        <f t="shared" ca="1" si="2222"/>
        <v>1 кв. 2017</v>
      </c>
      <c r="K820" s="177" t="str">
        <f t="shared" ca="1" si="2222"/>
        <v>2 кв. 2017</v>
      </c>
      <c r="L820" s="177" t="str">
        <f t="shared" ca="1" si="2222"/>
        <v>3 кв. 2017</v>
      </c>
      <c r="M820" s="177" t="str">
        <f t="shared" ca="1" si="2222"/>
        <v>4 кв. 2017</v>
      </c>
      <c r="N820" s="177" t="str">
        <f t="shared" ca="1" si="2222"/>
        <v>1 кв. 2018</v>
      </c>
      <c r="O820" s="177" t="str">
        <f t="shared" ca="1" si="2222"/>
        <v>2 кв. 2018</v>
      </c>
      <c r="P820" s="177" t="str">
        <f t="shared" ca="1" si="2222"/>
        <v>3 кв. 2018</v>
      </c>
      <c r="Q820" s="177" t="str">
        <f t="shared" ca="1" si="2222"/>
        <v>4 кв. 2018</v>
      </c>
      <c r="R820" s="177" t="str">
        <f t="shared" ca="1" si="2222"/>
        <v>1 кв. 2019</v>
      </c>
      <c r="S820" s="177" t="str">
        <f t="shared" ca="1" si="2222"/>
        <v>2 кв. 2019</v>
      </c>
      <c r="T820" s="177" t="str">
        <f t="shared" ca="1" si="2222"/>
        <v>3 кв. 2019</v>
      </c>
      <c r="U820" s="177" t="str">
        <f t="shared" ca="1" si="2222"/>
        <v>4 кв. 2019</v>
      </c>
      <c r="V820" s="177" t="str">
        <f t="shared" ca="1" si="2222"/>
        <v>1 кв. 2020</v>
      </c>
      <c r="W820" s="177" t="str">
        <f t="shared" ca="1" si="2222"/>
        <v>2 кв. 2020</v>
      </c>
      <c r="X820" s="177" t="str">
        <f t="shared" ca="1" si="2222"/>
        <v>3 кв. 2020</v>
      </c>
      <c r="Y820" s="177" t="str">
        <f t="shared" ca="1" si="2222"/>
        <v>4 кв. 2020</v>
      </c>
      <c r="Z820" s="177" t="str">
        <f t="shared" ca="1" si="2222"/>
        <v>1 кв. 2021</v>
      </c>
      <c r="AA820" s="177" t="str">
        <f t="shared" ca="1" si="2222"/>
        <v>2 кв. 2021</v>
      </c>
      <c r="AB820" s="177" t="str">
        <f t="shared" ca="1" si="2222"/>
        <v>3 кв. 2021</v>
      </c>
      <c r="AC820" s="177" t="str">
        <f t="shared" ca="1" si="2222"/>
        <v>4 кв. 2021</v>
      </c>
      <c r="AD820" s="165"/>
      <c r="AE820" s="194" t="str">
        <f ca="1">Language!$A$372</f>
        <v>ИТОГО</v>
      </c>
    </row>
    <row r="821" spans="1:31" ht="12" hidden="1" outlineLevel="1" thickTop="1" x14ac:dyDescent="0.2">
      <c r="D821">
        <v>1</v>
      </c>
      <c r="E821">
        <v>1</v>
      </c>
    </row>
    <row r="822" spans="1:31" hidden="1" outlineLevel="1" x14ac:dyDescent="0.2">
      <c r="A822" s="48" t="str">
        <f>A664</f>
        <v>Долота</v>
      </c>
      <c r="B822" s="36" t="str">
        <f ca="1">Language!A$73</f>
        <v>Валюта</v>
      </c>
      <c r="C822" s="85"/>
      <c r="D822">
        <v>1</v>
      </c>
      <c r="E822">
        <v>14</v>
      </c>
      <c r="F822" s="43">
        <f t="shared" ref="F822:T822" si="2223">SUMIF($D822:$D837,"*1_00*",F822:F837)+SUMIF($D822:$D837,"*2_00*",F822:F837)*F$88</f>
        <v>0</v>
      </c>
      <c r="G822" s="43">
        <f t="shared" si="2223"/>
        <v>0</v>
      </c>
      <c r="H822" s="43">
        <f t="shared" si="2223"/>
        <v>0</v>
      </c>
      <c r="I822" s="43">
        <f t="shared" si="2223"/>
        <v>0</v>
      </c>
      <c r="J822" s="43">
        <f t="shared" si="2223"/>
        <v>0</v>
      </c>
      <c r="K822" s="43">
        <f t="shared" si="2223"/>
        <v>0</v>
      </c>
      <c r="L822" s="43">
        <f t="shared" si="2223"/>
        <v>0</v>
      </c>
      <c r="M822" s="43">
        <f t="shared" si="2223"/>
        <v>0</v>
      </c>
      <c r="N822" s="43">
        <f t="shared" si="2223"/>
        <v>0</v>
      </c>
      <c r="O822" s="43">
        <f t="shared" si="2223"/>
        <v>0</v>
      </c>
      <c r="P822" s="43">
        <f t="shared" si="2223"/>
        <v>0</v>
      </c>
      <c r="Q822" s="43">
        <f t="shared" si="2223"/>
        <v>0</v>
      </c>
      <c r="R822" s="43">
        <f t="shared" si="2223"/>
        <v>0</v>
      </c>
      <c r="S822" s="43">
        <f t="shared" si="2223"/>
        <v>0</v>
      </c>
      <c r="T822" s="43">
        <f t="shared" si="2223"/>
        <v>0</v>
      </c>
      <c r="U822" s="43">
        <f t="shared" ref="U822" si="2224">SUMIF($D822:$D837,"*1_00*",U822:U837)+SUMIF($D822:$D837,"*2_00*",U822:U837)*U$88</f>
        <v>0</v>
      </c>
      <c r="V822" s="43">
        <f t="shared" ref="V822" si="2225">SUMIF($D822:$D837,"*1_00*",V822:V837)+SUMIF($D822:$D837,"*2_00*",V822:V837)*V$88</f>
        <v>0</v>
      </c>
      <c r="W822" s="43">
        <f t="shared" ref="W822" si="2226">SUMIF($D822:$D837,"*1_00*",W822:W837)+SUMIF($D822:$D837,"*2_00*",W822:W837)*W$88</f>
        <v>0</v>
      </c>
      <c r="X822" s="43">
        <f t="shared" ref="X822" si="2227">SUMIF($D822:$D837,"*1_00*",X822:X837)+SUMIF($D822:$D837,"*2_00*",X822:X837)*X$88</f>
        <v>0</v>
      </c>
      <c r="Y822" s="43">
        <f t="shared" ref="Y822" si="2228">SUMIF($D822:$D837,"*1_00*",Y822:Y837)+SUMIF($D822:$D837,"*2_00*",Y822:Y837)*Y$88</f>
        <v>0</v>
      </c>
      <c r="Z822" s="43">
        <f t="shared" ref="Z822" si="2229">SUMIF($D822:$D837,"*1_00*",Z822:Z837)+SUMIF($D822:$D837,"*2_00*",Z822:Z837)*Z$88</f>
        <v>0</v>
      </c>
      <c r="AA822" s="43">
        <f t="shared" ref="AA822" si="2230">SUMIF($D822:$D837,"*1_00*",AA822:AA837)+SUMIF($D822:$D837,"*2_00*",AA822:AA837)*AA$88</f>
        <v>0</v>
      </c>
      <c r="AB822" s="43">
        <f t="shared" ref="AB822:AC822" si="2231">SUMIF($D822:$D837,"*1_00*",AB822:AB837)+SUMIF($D822:$D837,"*2_00*",AB822:AB837)*AB$88</f>
        <v>0</v>
      </c>
      <c r="AC822" s="43">
        <f t="shared" si="2231"/>
        <v>0</v>
      </c>
      <c r="AD822" s="43"/>
      <c r="AE822" s="54">
        <f>SUM(F822:AC822)</f>
        <v>0</v>
      </c>
    </row>
    <row r="823" spans="1:31" hidden="1" outlineLevel="1" x14ac:dyDescent="0.2">
      <c r="A823" s="273" t="str">
        <f ca="1">Language!A$578</f>
        <v>Наименование</v>
      </c>
      <c r="B823" s="254">
        <v>1</v>
      </c>
      <c r="C823" s="5" t="str">
        <f ca="1">CHOOSE(B823,CUR_Main,CUR_Foreign)</f>
        <v>тыс. EUR</v>
      </c>
      <c r="D823" s="16"/>
      <c r="F823" s="83">
        <f t="shared" ref="F823:T823" si="2232">F825</f>
        <v>0</v>
      </c>
      <c r="G823" s="83">
        <f t="shared" si="2232"/>
        <v>0</v>
      </c>
      <c r="H823" s="83">
        <f t="shared" si="2232"/>
        <v>0</v>
      </c>
      <c r="I823" s="83">
        <f t="shared" si="2232"/>
        <v>0</v>
      </c>
      <c r="J823" s="83">
        <f t="shared" si="2232"/>
        <v>0</v>
      </c>
      <c r="K823" s="83">
        <f t="shared" si="2232"/>
        <v>0</v>
      </c>
      <c r="L823" s="83">
        <f t="shared" si="2232"/>
        <v>0</v>
      </c>
      <c r="M823" s="83">
        <f t="shared" si="2232"/>
        <v>0</v>
      </c>
      <c r="N823" s="83">
        <f t="shared" si="2232"/>
        <v>0</v>
      </c>
      <c r="O823" s="83">
        <f t="shared" si="2232"/>
        <v>0</v>
      </c>
      <c r="P823" s="83">
        <f t="shared" si="2232"/>
        <v>0</v>
      </c>
      <c r="Q823" s="83">
        <f t="shared" si="2232"/>
        <v>0</v>
      </c>
      <c r="R823" s="83">
        <f t="shared" si="2232"/>
        <v>0</v>
      </c>
      <c r="S823" s="83">
        <f t="shared" si="2232"/>
        <v>0</v>
      </c>
      <c r="T823" s="83">
        <f t="shared" si="2232"/>
        <v>0</v>
      </c>
      <c r="U823" s="83">
        <f t="shared" ref="U823" si="2233">U825</f>
        <v>0</v>
      </c>
      <c r="V823" s="83">
        <f t="shared" ref="V823" si="2234">V825</f>
        <v>0</v>
      </c>
      <c r="W823" s="83">
        <f t="shared" ref="W823" si="2235">W825</f>
        <v>0</v>
      </c>
      <c r="X823" s="83">
        <f t="shared" ref="X823" si="2236">X825</f>
        <v>0</v>
      </c>
      <c r="Y823" s="83">
        <f t="shared" ref="Y823" si="2237">Y825</f>
        <v>0</v>
      </c>
      <c r="Z823" s="83">
        <f t="shared" ref="Z823" si="2238">Z825</f>
        <v>0</v>
      </c>
      <c r="AA823" s="83">
        <f t="shared" ref="AA823" si="2239">AA825</f>
        <v>0</v>
      </c>
      <c r="AB823" s="83">
        <f t="shared" ref="AB823:AC823" si="2240">AB825</f>
        <v>0</v>
      </c>
      <c r="AC823" s="83">
        <f t="shared" si="2240"/>
        <v>0</v>
      </c>
      <c r="AD823" s="43"/>
      <c r="AE823" s="54">
        <f>SUM(F823:AC823)</f>
        <v>0</v>
      </c>
    </row>
    <row r="824" spans="1:31" hidden="1" outlineLevel="1" collapsed="1" x14ac:dyDescent="0.2">
      <c r="A824" t="str">
        <f ca="1">Language!A$580</f>
        <v>Плановый расход на единицу продукции</v>
      </c>
      <c r="B824" s="288">
        <v>0</v>
      </c>
      <c r="C824" s="5" t="str">
        <f ca="1">CHOOSE(B823,CUR_Main,CUR_Foreign)</f>
        <v>тыс. EUR</v>
      </c>
      <c r="D824" s="16"/>
      <c r="F824" s="140">
        <f>B824</f>
        <v>0</v>
      </c>
      <c r="G824" s="140">
        <f t="shared" ref="G824:AC824" si="2241">F824*IF(CalcMethod=2,1+F827,1)</f>
        <v>0</v>
      </c>
      <c r="H824" s="140">
        <f t="shared" si="2241"/>
        <v>0</v>
      </c>
      <c r="I824" s="140">
        <f t="shared" si="2241"/>
        <v>0</v>
      </c>
      <c r="J824" s="140">
        <f t="shared" si="2241"/>
        <v>0</v>
      </c>
      <c r="K824" s="140">
        <f t="shared" si="2241"/>
        <v>0</v>
      </c>
      <c r="L824" s="140">
        <f t="shared" si="2241"/>
        <v>0</v>
      </c>
      <c r="M824" s="140">
        <f t="shared" si="2241"/>
        <v>0</v>
      </c>
      <c r="N824" s="140">
        <f t="shared" si="2241"/>
        <v>0</v>
      </c>
      <c r="O824" s="140">
        <f t="shared" si="2241"/>
        <v>0</v>
      </c>
      <c r="P824" s="140">
        <f t="shared" si="2241"/>
        <v>0</v>
      </c>
      <c r="Q824" s="140">
        <f t="shared" si="2241"/>
        <v>0</v>
      </c>
      <c r="R824" s="140">
        <f t="shared" si="2241"/>
        <v>0</v>
      </c>
      <c r="S824" s="140">
        <f t="shared" si="2241"/>
        <v>0</v>
      </c>
      <c r="T824" s="140">
        <f t="shared" si="2241"/>
        <v>0</v>
      </c>
      <c r="U824" s="140">
        <f t="shared" si="2241"/>
        <v>0</v>
      </c>
      <c r="V824" s="140">
        <f t="shared" si="2241"/>
        <v>0</v>
      </c>
      <c r="W824" s="140">
        <f t="shared" si="2241"/>
        <v>0</v>
      </c>
      <c r="X824" s="140">
        <f t="shared" si="2241"/>
        <v>0</v>
      </c>
      <c r="Y824" s="140">
        <f t="shared" si="2241"/>
        <v>0</v>
      </c>
      <c r="Z824" s="140">
        <f t="shared" si="2241"/>
        <v>0</v>
      </c>
      <c r="AA824" s="140">
        <f t="shared" si="2241"/>
        <v>0</v>
      </c>
      <c r="AB824" s="140">
        <f t="shared" si="2241"/>
        <v>0</v>
      </c>
      <c r="AC824" s="140">
        <f t="shared" si="2241"/>
        <v>0</v>
      </c>
      <c r="AE824" s="54"/>
    </row>
    <row r="825" spans="1:31" s="48" customFormat="1" hidden="1" outlineLevel="2" x14ac:dyDescent="0.2">
      <c r="A825" t="str">
        <f ca="1">Language!A$581</f>
        <v>Расход за период</v>
      </c>
      <c r="B825" s="119"/>
      <c r="C825" s="92" t="str">
        <f ca="1">CHOOSE(B823,CUR_Main,CUR_Foreign)</f>
        <v>тыс. EUR</v>
      </c>
      <c r="D825" s="48" t="str">
        <f>TEXT(B823,"0")&amp;"_00"</f>
        <v>1_00</v>
      </c>
      <c r="F825" s="83">
        <f t="shared" ref="F825:X825" si="2242">F824*F727</f>
        <v>0</v>
      </c>
      <c r="G825" s="83">
        <f t="shared" si="2242"/>
        <v>0</v>
      </c>
      <c r="H825" s="83">
        <f t="shared" si="2242"/>
        <v>0</v>
      </c>
      <c r="I825" s="83">
        <f t="shared" si="2242"/>
        <v>0</v>
      </c>
      <c r="J825" s="83">
        <f t="shared" si="2242"/>
        <v>0</v>
      </c>
      <c r="K825" s="83">
        <f t="shared" si="2242"/>
        <v>0</v>
      </c>
      <c r="L825" s="83">
        <f t="shared" si="2242"/>
        <v>0</v>
      </c>
      <c r="M825" s="83">
        <f t="shared" si="2242"/>
        <v>0</v>
      </c>
      <c r="N825" s="83">
        <f t="shared" si="2242"/>
        <v>0</v>
      </c>
      <c r="O825" s="83">
        <f t="shared" si="2242"/>
        <v>0</v>
      </c>
      <c r="P825" s="83">
        <f t="shared" si="2242"/>
        <v>0</v>
      </c>
      <c r="Q825" s="83">
        <f t="shared" si="2242"/>
        <v>0</v>
      </c>
      <c r="R825" s="83">
        <f t="shared" si="2242"/>
        <v>0</v>
      </c>
      <c r="S825" s="83">
        <f t="shared" si="2242"/>
        <v>0</v>
      </c>
      <c r="T825" s="83">
        <f t="shared" si="2242"/>
        <v>0</v>
      </c>
      <c r="U825" s="83">
        <f t="shared" si="2242"/>
        <v>0</v>
      </c>
      <c r="V825" s="83">
        <f t="shared" si="2242"/>
        <v>0</v>
      </c>
      <c r="W825" s="83">
        <f t="shared" si="2242"/>
        <v>0</v>
      </c>
      <c r="X825" s="83">
        <f t="shared" si="2242"/>
        <v>0</v>
      </c>
      <c r="Y825" s="83">
        <f t="shared" ref="Y825" si="2243">Y824*Y727</f>
        <v>0</v>
      </c>
      <c r="Z825" s="83">
        <f t="shared" ref="Z825" si="2244">Z824*Z727</f>
        <v>0</v>
      </c>
      <c r="AA825" s="83">
        <f t="shared" ref="AA825" si="2245">AA824*AA727</f>
        <v>0</v>
      </c>
      <c r="AB825" s="83">
        <f t="shared" ref="AB825:AC825" si="2246">AB824*AB727</f>
        <v>0</v>
      </c>
      <c r="AC825" s="83">
        <f t="shared" si="2246"/>
        <v>0</v>
      </c>
      <c r="AE825" s="54">
        <f>SUM(F825:AC825)</f>
        <v>0</v>
      </c>
    </row>
    <row r="826" spans="1:31" s="48" customFormat="1" hidden="1" outlineLevel="2" x14ac:dyDescent="0.2">
      <c r="A826" t="str">
        <f ca="1">Language!A$104</f>
        <v>Предполагаемый темп годового роста цен</v>
      </c>
      <c r="B826"/>
      <c r="C826" s="5" t="s">
        <v>2430</v>
      </c>
      <c r="D826" s="16" t="s">
        <v>2429</v>
      </c>
      <c r="F826" s="268">
        <f t="shared" ref="F826:T826" si="2247">CHOOSE($B823,F$80,F$91)</f>
        <v>0</v>
      </c>
      <c r="G826" s="268">
        <f t="shared" si="2247"/>
        <v>0</v>
      </c>
      <c r="H826" s="268">
        <f t="shared" si="2247"/>
        <v>0</v>
      </c>
      <c r="I826" s="268">
        <f t="shared" si="2247"/>
        <v>0</v>
      </c>
      <c r="J826" s="268">
        <f t="shared" si="2247"/>
        <v>0</v>
      </c>
      <c r="K826" s="268">
        <f t="shared" si="2247"/>
        <v>0</v>
      </c>
      <c r="L826" s="268">
        <f t="shared" si="2247"/>
        <v>0</v>
      </c>
      <c r="M826" s="268">
        <f t="shared" si="2247"/>
        <v>0</v>
      </c>
      <c r="N826" s="268">
        <f t="shared" si="2247"/>
        <v>0</v>
      </c>
      <c r="O826" s="268">
        <f t="shared" si="2247"/>
        <v>0</v>
      </c>
      <c r="P826" s="268">
        <f t="shared" si="2247"/>
        <v>0</v>
      </c>
      <c r="Q826" s="268">
        <f t="shared" si="2247"/>
        <v>0</v>
      </c>
      <c r="R826" s="268">
        <f t="shared" si="2247"/>
        <v>0</v>
      </c>
      <c r="S826" s="268">
        <f t="shared" si="2247"/>
        <v>0</v>
      </c>
      <c r="T826" s="268">
        <f t="shared" si="2247"/>
        <v>0</v>
      </c>
      <c r="U826" s="268">
        <f t="shared" ref="U826" si="2248">CHOOSE($B823,U$80,U$91)</f>
        <v>0</v>
      </c>
      <c r="V826" s="268">
        <f t="shared" ref="V826" si="2249">CHOOSE($B823,V$80,V$91)</f>
        <v>0</v>
      </c>
      <c r="W826" s="268">
        <f t="shared" ref="W826" si="2250">CHOOSE($B823,W$80,W$91)</f>
        <v>0</v>
      </c>
      <c r="X826" s="268">
        <f t="shared" ref="X826" si="2251">CHOOSE($B823,X$80,X$91)</f>
        <v>0</v>
      </c>
      <c r="Y826" s="268">
        <f t="shared" ref="Y826" si="2252">CHOOSE($B823,Y$80,Y$91)</f>
        <v>0</v>
      </c>
      <c r="Z826" s="268">
        <f t="shared" ref="Z826" si="2253">CHOOSE($B823,Z$80,Z$91)</f>
        <v>0</v>
      </c>
      <c r="AA826" s="268">
        <f t="shared" ref="AA826" si="2254">CHOOSE($B823,AA$80,AA$91)</f>
        <v>0</v>
      </c>
      <c r="AB826" s="268">
        <f t="shared" ref="AB826:AC826" si="2255">CHOOSE($B823,AB$80,AB$91)</f>
        <v>0</v>
      </c>
      <c r="AC826" s="268">
        <f t="shared" si="2255"/>
        <v>0</v>
      </c>
      <c r="AE826" s="91"/>
    </row>
    <row r="827" spans="1:31" s="48" customFormat="1" hidden="1" outlineLevel="2" x14ac:dyDescent="0.2">
      <c r="A827" t="str">
        <f ca="1">Language!A$106</f>
        <v>То же, в пересчете на период, равный шагу проекта</v>
      </c>
      <c r="B827"/>
      <c r="C827" s="5" t="s">
        <v>2430</v>
      </c>
      <c r="D827" s="16" t="s">
        <v>2429</v>
      </c>
      <c r="F827" s="30">
        <f t="shared" ref="F827:T827" si="2256">POWER(1+F826,PRJ_Step/360)-1</f>
        <v>0</v>
      </c>
      <c r="G827" s="30">
        <f t="shared" si="2256"/>
        <v>0</v>
      </c>
      <c r="H827" s="30">
        <f t="shared" si="2256"/>
        <v>0</v>
      </c>
      <c r="I827" s="30">
        <f t="shared" si="2256"/>
        <v>0</v>
      </c>
      <c r="J827" s="30">
        <f t="shared" si="2256"/>
        <v>0</v>
      </c>
      <c r="K827" s="30">
        <f t="shared" si="2256"/>
        <v>0</v>
      </c>
      <c r="L827" s="30">
        <f t="shared" si="2256"/>
        <v>0</v>
      </c>
      <c r="M827" s="30">
        <f t="shared" si="2256"/>
        <v>0</v>
      </c>
      <c r="N827" s="30">
        <f t="shared" si="2256"/>
        <v>0</v>
      </c>
      <c r="O827" s="30">
        <f t="shared" si="2256"/>
        <v>0</v>
      </c>
      <c r="P827" s="30">
        <f t="shared" si="2256"/>
        <v>0</v>
      </c>
      <c r="Q827" s="30">
        <f t="shared" si="2256"/>
        <v>0</v>
      </c>
      <c r="R827" s="30">
        <f t="shared" si="2256"/>
        <v>0</v>
      </c>
      <c r="S827" s="30">
        <f t="shared" si="2256"/>
        <v>0</v>
      </c>
      <c r="T827" s="30">
        <f t="shared" si="2256"/>
        <v>0</v>
      </c>
      <c r="U827" s="30">
        <f t="shared" ref="U827" si="2257">POWER(1+U826,PRJ_Step/360)-1</f>
        <v>0</v>
      </c>
      <c r="V827" s="30">
        <f t="shared" ref="V827" si="2258">POWER(1+V826,PRJ_Step/360)-1</f>
        <v>0</v>
      </c>
      <c r="W827" s="30">
        <f t="shared" ref="W827" si="2259">POWER(1+W826,PRJ_Step/360)-1</f>
        <v>0</v>
      </c>
      <c r="X827" s="30">
        <f t="shared" ref="X827" si="2260">POWER(1+X826,PRJ_Step/360)-1</f>
        <v>0</v>
      </c>
      <c r="Y827" s="30">
        <f t="shared" ref="Y827" si="2261">POWER(1+Y826,PRJ_Step/360)-1</f>
        <v>0</v>
      </c>
      <c r="Z827" s="30">
        <f t="shared" ref="Z827" si="2262">POWER(1+Z826,PRJ_Step/360)-1</f>
        <v>0</v>
      </c>
      <c r="AA827" s="30">
        <f t="shared" ref="AA827" si="2263">POWER(1+AA826,PRJ_Step/360)-1</f>
        <v>0</v>
      </c>
      <c r="AB827" s="30">
        <f t="shared" ref="AB827:AC827" si="2264">POWER(1+AB826,PRJ_Step/360)-1</f>
        <v>0</v>
      </c>
      <c r="AC827" s="30">
        <f t="shared" si="2264"/>
        <v>0</v>
      </c>
      <c r="AE827" s="91"/>
    </row>
    <row r="828" spans="1:31" s="48" customFormat="1" hidden="1" outlineLevel="2" x14ac:dyDescent="0.2">
      <c r="A828" t="str">
        <f ca="1">Language!A$579</f>
        <v xml:space="preserve">    затраты без НДС</v>
      </c>
      <c r="B828"/>
      <c r="C828" s="5" t="str">
        <f ca="1">CHOOSE(B823,CUR_Main,CUR_Foreign)</f>
        <v>тыс. EUR</v>
      </c>
      <c r="D828" t="str">
        <f>TEXT(B823,"0")&amp;"_01"</f>
        <v>1_01</v>
      </c>
      <c r="F828" s="53">
        <f t="shared" ref="F828:T828" si="2265">F825/(1+$B829)</f>
        <v>0</v>
      </c>
      <c r="G828" s="53">
        <f t="shared" si="2265"/>
        <v>0</v>
      </c>
      <c r="H828" s="53">
        <f t="shared" si="2265"/>
        <v>0</v>
      </c>
      <c r="I828" s="53">
        <f t="shared" si="2265"/>
        <v>0</v>
      </c>
      <c r="J828" s="53">
        <f t="shared" si="2265"/>
        <v>0</v>
      </c>
      <c r="K828" s="53">
        <f t="shared" si="2265"/>
        <v>0</v>
      </c>
      <c r="L828" s="53">
        <f t="shared" si="2265"/>
        <v>0</v>
      </c>
      <c r="M828" s="53">
        <f t="shared" si="2265"/>
        <v>0</v>
      </c>
      <c r="N828" s="53">
        <f t="shared" si="2265"/>
        <v>0</v>
      </c>
      <c r="O828" s="53">
        <f t="shared" si="2265"/>
        <v>0</v>
      </c>
      <c r="P828" s="53">
        <f t="shared" si="2265"/>
        <v>0</v>
      </c>
      <c r="Q828" s="53">
        <f t="shared" si="2265"/>
        <v>0</v>
      </c>
      <c r="R828" s="53">
        <f t="shared" si="2265"/>
        <v>0</v>
      </c>
      <c r="S828" s="53">
        <f t="shared" si="2265"/>
        <v>0</v>
      </c>
      <c r="T828" s="53">
        <f t="shared" si="2265"/>
        <v>0</v>
      </c>
      <c r="U828" s="53">
        <f t="shared" ref="U828" si="2266">U825/(1+$B829)</f>
        <v>0</v>
      </c>
      <c r="V828" s="53">
        <f t="shared" ref="V828" si="2267">V825/(1+$B829)</f>
        <v>0</v>
      </c>
      <c r="W828" s="53">
        <f t="shared" ref="W828" si="2268">W825/(1+$B829)</f>
        <v>0</v>
      </c>
      <c r="X828" s="53">
        <f t="shared" ref="X828" si="2269">X825/(1+$B829)</f>
        <v>0</v>
      </c>
      <c r="Y828" s="53">
        <f t="shared" ref="Y828" si="2270">Y825/(1+$B829)</f>
        <v>0</v>
      </c>
      <c r="Z828" s="53">
        <f t="shared" ref="Z828" si="2271">Z825/(1+$B829)</f>
        <v>0</v>
      </c>
      <c r="AA828" s="53">
        <f t="shared" ref="AA828" si="2272">AA825/(1+$B829)</f>
        <v>0</v>
      </c>
      <c r="AB828" s="53">
        <f t="shared" ref="AB828:AC828" si="2273">AB825/(1+$B829)</f>
        <v>0</v>
      </c>
      <c r="AC828" s="53">
        <f t="shared" si="2273"/>
        <v>0</v>
      </c>
      <c r="AE828" s="54">
        <f>SUM(F828:AC828)</f>
        <v>0</v>
      </c>
    </row>
    <row r="829" spans="1:31" s="48" customFormat="1" hidden="1" outlineLevel="2" x14ac:dyDescent="0.2">
      <c r="A829" t="str">
        <f ca="1">Language!A$561</f>
        <v xml:space="preserve">    НДС</v>
      </c>
      <c r="B829" s="283">
        <f>VAT</f>
        <v>0.23</v>
      </c>
      <c r="C829" s="5" t="str">
        <f ca="1">CHOOSE(B823,CUR_Main,CUR_Foreign)</f>
        <v>тыс. EUR</v>
      </c>
      <c r="D829" t="str">
        <f>TEXT(B823,"0")&amp;"_02"</f>
        <v>1_02</v>
      </c>
      <c r="F829" s="53">
        <f t="shared" ref="F829:T829" si="2274">F825-F828</f>
        <v>0</v>
      </c>
      <c r="G829" s="53">
        <f t="shared" si="2274"/>
        <v>0</v>
      </c>
      <c r="H829" s="53">
        <f t="shared" si="2274"/>
        <v>0</v>
      </c>
      <c r="I829" s="53">
        <f t="shared" si="2274"/>
        <v>0</v>
      </c>
      <c r="J829" s="53">
        <f t="shared" si="2274"/>
        <v>0</v>
      </c>
      <c r="K829" s="53">
        <f t="shared" si="2274"/>
        <v>0</v>
      </c>
      <c r="L829" s="53">
        <f t="shared" si="2274"/>
        <v>0</v>
      </c>
      <c r="M829" s="53">
        <f t="shared" si="2274"/>
        <v>0</v>
      </c>
      <c r="N829" s="53">
        <f t="shared" si="2274"/>
        <v>0</v>
      </c>
      <c r="O829" s="53">
        <f t="shared" si="2274"/>
        <v>0</v>
      </c>
      <c r="P829" s="53">
        <f t="shared" si="2274"/>
        <v>0</v>
      </c>
      <c r="Q829" s="53">
        <f t="shared" si="2274"/>
        <v>0</v>
      </c>
      <c r="R829" s="53">
        <f t="shared" si="2274"/>
        <v>0</v>
      </c>
      <c r="S829" s="53">
        <f t="shared" si="2274"/>
        <v>0</v>
      </c>
      <c r="T829" s="53">
        <f t="shared" si="2274"/>
        <v>0</v>
      </c>
      <c r="U829" s="53">
        <f t="shared" ref="U829" si="2275">U825-U828</f>
        <v>0</v>
      </c>
      <c r="V829" s="53">
        <f t="shared" ref="V829" si="2276">V825-V828</f>
        <v>0</v>
      </c>
      <c r="W829" s="53">
        <f t="shared" ref="W829" si="2277">W825-W828</f>
        <v>0</v>
      </c>
      <c r="X829" s="53">
        <f t="shared" ref="X829" si="2278">X825-X828</f>
        <v>0</v>
      </c>
      <c r="Y829" s="53">
        <f t="shared" ref="Y829" si="2279">Y825-Y828</f>
        <v>0</v>
      </c>
      <c r="Z829" s="53">
        <f t="shared" ref="Z829" si="2280">Z825-Z828</f>
        <v>0</v>
      </c>
      <c r="AA829" s="53">
        <f t="shared" ref="AA829" si="2281">AA825-AA828</f>
        <v>0</v>
      </c>
      <c r="AB829" s="53">
        <f t="shared" ref="AB829:AC829" si="2282">AB825-AB828</f>
        <v>0</v>
      </c>
      <c r="AC829" s="53">
        <f t="shared" si="2282"/>
        <v>0</v>
      </c>
      <c r="AE829" s="54">
        <f>SUM(F829:AC829)</f>
        <v>0</v>
      </c>
    </row>
    <row r="830" spans="1:31" s="48" customFormat="1" hidden="1" outlineLevel="2" x14ac:dyDescent="0.2">
      <c r="A830" t="str">
        <f ca="1">Language!A$582</f>
        <v xml:space="preserve">    оплачено расходов (без НДС)</v>
      </c>
      <c r="B830" s="81"/>
      <c r="C830" s="5" t="str">
        <f ca="1">CHOOSE(B823,CUR_Main,CUR_Foreign)</f>
        <v>тыс. EUR</v>
      </c>
      <c r="D830" t="str">
        <f>TEXT(B823,"0")&amp;"_06"</f>
        <v>1_06</v>
      </c>
      <c r="F830" s="269">
        <f t="shared" ref="F830:T830" si="2283">F828</f>
        <v>0</v>
      </c>
      <c r="G830" s="269">
        <f t="shared" si="2283"/>
        <v>0</v>
      </c>
      <c r="H830" s="269">
        <f t="shared" si="2283"/>
        <v>0</v>
      </c>
      <c r="I830" s="269">
        <f t="shared" si="2283"/>
        <v>0</v>
      </c>
      <c r="J830" s="269">
        <f t="shared" si="2283"/>
        <v>0</v>
      </c>
      <c r="K830" s="269">
        <f t="shared" si="2283"/>
        <v>0</v>
      </c>
      <c r="L830" s="269">
        <f t="shared" si="2283"/>
        <v>0</v>
      </c>
      <c r="M830" s="269">
        <f t="shared" si="2283"/>
        <v>0</v>
      </c>
      <c r="N830" s="269">
        <f t="shared" si="2283"/>
        <v>0</v>
      </c>
      <c r="O830" s="269">
        <f t="shared" si="2283"/>
        <v>0</v>
      </c>
      <c r="P830" s="269">
        <f t="shared" si="2283"/>
        <v>0</v>
      </c>
      <c r="Q830" s="269">
        <f t="shared" si="2283"/>
        <v>0</v>
      </c>
      <c r="R830" s="269">
        <f t="shared" si="2283"/>
        <v>0</v>
      </c>
      <c r="S830" s="269">
        <f t="shared" si="2283"/>
        <v>0</v>
      </c>
      <c r="T830" s="269">
        <f t="shared" si="2283"/>
        <v>0</v>
      </c>
      <c r="U830" s="269">
        <f t="shared" ref="U830" si="2284">U828</f>
        <v>0</v>
      </c>
      <c r="V830" s="269">
        <f t="shared" ref="V830" si="2285">V828</f>
        <v>0</v>
      </c>
      <c r="W830" s="269">
        <f t="shared" ref="W830" si="2286">W828</f>
        <v>0</v>
      </c>
      <c r="X830" s="269">
        <f t="shared" ref="X830" si="2287">X828</f>
        <v>0</v>
      </c>
      <c r="Y830" s="269">
        <f t="shared" ref="Y830" si="2288">Y828</f>
        <v>0</v>
      </c>
      <c r="Z830" s="269">
        <f t="shared" ref="Z830" si="2289">Z828</f>
        <v>0</v>
      </c>
      <c r="AA830" s="269">
        <f t="shared" ref="AA830" si="2290">AA828</f>
        <v>0</v>
      </c>
      <c r="AB830" s="269">
        <f t="shared" ref="AB830:AC830" si="2291">AB828</f>
        <v>0</v>
      </c>
      <c r="AC830" s="269">
        <f t="shared" si="2291"/>
        <v>0</v>
      </c>
      <c r="AE830" s="54">
        <f>SUM(F830:AC830)</f>
        <v>0</v>
      </c>
    </row>
    <row r="831" spans="1:31" s="48" customFormat="1" hidden="1" outlineLevel="2" x14ac:dyDescent="0.2">
      <c r="A831" t="str">
        <f ca="1">Language!A$571</f>
        <v xml:space="preserve">    выплаченный НДС</v>
      </c>
      <c r="B831" s="81"/>
      <c r="C831" s="5" t="str">
        <f ca="1">CHOOSE(B823,CUR_Main,CUR_Foreign)</f>
        <v>тыс. EUR</v>
      </c>
      <c r="D831" t="str">
        <f>TEXT(B823,"0")&amp;"_07"</f>
        <v>1_07</v>
      </c>
      <c r="F831" s="53">
        <f t="shared" ref="F831:T831" si="2292">F830*$B829</f>
        <v>0</v>
      </c>
      <c r="G831" s="53">
        <f t="shared" si="2292"/>
        <v>0</v>
      </c>
      <c r="H831" s="53">
        <f t="shared" si="2292"/>
        <v>0</v>
      </c>
      <c r="I831" s="53">
        <f t="shared" si="2292"/>
        <v>0</v>
      </c>
      <c r="J831" s="53">
        <f t="shared" si="2292"/>
        <v>0</v>
      </c>
      <c r="K831" s="53">
        <f t="shared" si="2292"/>
        <v>0</v>
      </c>
      <c r="L831" s="53">
        <f t="shared" si="2292"/>
        <v>0</v>
      </c>
      <c r="M831" s="53">
        <f t="shared" si="2292"/>
        <v>0</v>
      </c>
      <c r="N831" s="53">
        <f t="shared" si="2292"/>
        <v>0</v>
      </c>
      <c r="O831" s="53">
        <f t="shared" si="2292"/>
        <v>0</v>
      </c>
      <c r="P831" s="53">
        <f t="shared" si="2292"/>
        <v>0</v>
      </c>
      <c r="Q831" s="53">
        <f t="shared" si="2292"/>
        <v>0</v>
      </c>
      <c r="R831" s="53">
        <f t="shared" si="2292"/>
        <v>0</v>
      </c>
      <c r="S831" s="53">
        <f t="shared" si="2292"/>
        <v>0</v>
      </c>
      <c r="T831" s="53">
        <f t="shared" si="2292"/>
        <v>0</v>
      </c>
      <c r="U831" s="53">
        <f t="shared" ref="U831" si="2293">U830*$B829</f>
        <v>0</v>
      </c>
      <c r="V831" s="53">
        <f t="shared" ref="V831" si="2294">V830*$B829</f>
        <v>0</v>
      </c>
      <c r="W831" s="53">
        <f t="shared" ref="W831" si="2295">W830*$B829</f>
        <v>0</v>
      </c>
      <c r="X831" s="53">
        <f t="shared" ref="X831" si="2296">X830*$B829</f>
        <v>0</v>
      </c>
      <c r="Y831" s="53">
        <f t="shared" ref="Y831" si="2297">Y830*$B829</f>
        <v>0</v>
      </c>
      <c r="Z831" s="53">
        <f t="shared" ref="Z831" si="2298">Z830*$B829</f>
        <v>0</v>
      </c>
      <c r="AA831" s="53">
        <f t="shared" ref="AA831" si="2299">AA830*$B829</f>
        <v>0</v>
      </c>
      <c r="AB831" s="53">
        <f t="shared" ref="AB831:AC831" si="2300">AB830*$B829</f>
        <v>0</v>
      </c>
      <c r="AC831" s="53">
        <f t="shared" si="2300"/>
        <v>0</v>
      </c>
      <c r="AE831" s="54">
        <f>SUM(F831:AC831)</f>
        <v>0</v>
      </c>
    </row>
    <row r="832" spans="1:31" hidden="1" outlineLevel="2" x14ac:dyDescent="0.2">
      <c r="A832" t="str">
        <f ca="1">Language!A$572</f>
        <v xml:space="preserve">    кредиторская задолженность</v>
      </c>
      <c r="C832" s="5" t="str">
        <f ca="1">CHOOSE(B823,CUR_Main,CUR_Foreign)</f>
        <v>тыс. EUR</v>
      </c>
      <c r="D832" t="str">
        <f>TEXT(B823,"0")&amp;"_08"&amp;";int_end"</f>
        <v>1_08;int_end</v>
      </c>
      <c r="F832" s="53">
        <f>IF(SUM(E828:F828)&gt;=0,MAX(SUM($F828:F828)+SUM($F829:F829)-SUM($F830:F830)-SUM($F831:F831),0),MIN(SUM($F828:F828)+SUM($F829:F829)-SUM($F830:F830)-SUM($F831:F831),0))</f>
        <v>0</v>
      </c>
      <c r="G832" s="53">
        <f>IF(SUM(F828:G828)&gt;=0,MAX(SUM($F828:G828)+SUM($F829:G829)-SUM($F830:G830)-SUM($F831:G831),0),MIN(SUM($F828:G828)+SUM($F829:G829)-SUM($F830:G830)-SUM($F831:G831),0))</f>
        <v>0</v>
      </c>
      <c r="H832" s="53">
        <f>IF(SUM(G828:H828)&gt;=0,MAX(SUM($F828:H828)+SUM($F829:H829)-SUM($F830:H830)-SUM($F831:H831),0),MIN(SUM($F828:H828)+SUM($F829:H829)-SUM($F830:H830)-SUM($F831:H831),0))</f>
        <v>0</v>
      </c>
      <c r="I832" s="53">
        <f>IF(SUM(H828:I828)&gt;=0,MAX(SUM($F828:I828)+SUM($F829:I829)-SUM($F830:I830)-SUM($F831:I831),0),MIN(SUM($F828:I828)+SUM($F829:I829)-SUM($F830:I830)-SUM($F831:I831),0))</f>
        <v>0</v>
      </c>
      <c r="J832" s="53">
        <f>IF(SUM(I828:J828)&gt;=0,MAX(SUM($F828:J828)+SUM($F829:J829)-SUM($F830:J830)-SUM($F831:J831),0),MIN(SUM($F828:J828)+SUM($F829:J829)-SUM($F830:J830)-SUM($F831:J831),0))</f>
        <v>0</v>
      </c>
      <c r="K832" s="53">
        <f>IF(SUM(J828:K828)&gt;=0,MAX(SUM($F828:K828)+SUM($F829:K829)-SUM($F830:K830)-SUM($F831:K831),0),MIN(SUM($F828:K828)+SUM($F829:K829)-SUM($F830:K830)-SUM($F831:K831),0))</f>
        <v>0</v>
      </c>
      <c r="L832" s="53">
        <f>IF(SUM(K828:L828)&gt;=0,MAX(SUM($F828:L828)+SUM($F829:L829)-SUM($F830:L830)-SUM($F831:L831),0),MIN(SUM($F828:L828)+SUM($F829:L829)-SUM($F830:L830)-SUM($F831:L831),0))</f>
        <v>0</v>
      </c>
      <c r="M832" s="53">
        <f>IF(SUM(L828:M828)&gt;=0,MAX(SUM($F828:M828)+SUM($F829:M829)-SUM($F830:M830)-SUM($F831:M831),0),MIN(SUM($F828:M828)+SUM($F829:M829)-SUM($F830:M830)-SUM($F831:M831),0))</f>
        <v>0</v>
      </c>
      <c r="N832" s="53">
        <f>IF(SUM(M828:N828)&gt;=0,MAX(SUM($F828:N828)+SUM($F829:N829)-SUM($F830:N830)-SUM($F831:N831),0),MIN(SUM($F828:N828)+SUM($F829:N829)-SUM($F830:N830)-SUM($F831:N831),0))</f>
        <v>0</v>
      </c>
      <c r="O832" s="53">
        <f>IF(SUM(N828:O828)&gt;=0,MAX(SUM($F828:O828)+SUM($F829:O829)-SUM($F830:O830)-SUM($F831:O831),0),MIN(SUM($F828:O828)+SUM($F829:O829)-SUM($F830:O830)-SUM($F831:O831),0))</f>
        <v>0</v>
      </c>
      <c r="P832" s="53">
        <f>IF(SUM(O828:P828)&gt;=0,MAX(SUM($F828:P828)+SUM($F829:P829)-SUM($F830:P830)-SUM($F831:P831),0),MIN(SUM($F828:P828)+SUM($F829:P829)-SUM($F830:P830)-SUM($F831:P831),0))</f>
        <v>0</v>
      </c>
      <c r="Q832" s="53">
        <f>IF(SUM(P828:Q828)&gt;=0,MAX(SUM($F828:Q828)+SUM($F829:Q829)-SUM($F830:Q830)-SUM($F831:Q831),0),MIN(SUM($F828:Q828)+SUM($F829:Q829)-SUM($F830:Q830)-SUM($F831:Q831),0))</f>
        <v>0</v>
      </c>
      <c r="R832" s="53">
        <f>IF(SUM(Q828:R828)&gt;=0,MAX(SUM($F828:R828)+SUM($F829:R829)-SUM($F830:R830)-SUM($F831:R831),0),MIN(SUM($F828:R828)+SUM($F829:R829)-SUM($F830:R830)-SUM($F831:R831),0))</f>
        <v>0</v>
      </c>
      <c r="S832" s="53">
        <f>IF(SUM(R828:S828)&gt;=0,MAX(SUM($F828:S828)+SUM($F829:S829)-SUM($F830:S830)-SUM($F831:S831),0),MIN(SUM($F828:S828)+SUM($F829:S829)-SUM($F830:S830)-SUM($F831:S831),0))</f>
        <v>0</v>
      </c>
      <c r="T832" s="53">
        <f>IF(SUM(S828:T828)&gt;=0,MAX(SUM($F828:T828)+SUM($F829:T829)-SUM($F830:T830)-SUM($F831:T831),0),MIN(SUM($F828:T828)+SUM($F829:T829)-SUM($F830:T830)-SUM($F831:T831),0))</f>
        <v>0</v>
      </c>
      <c r="U832" s="53">
        <f>IF(SUM(T828:U828)&gt;=0,MAX(SUM($F828:U828)+SUM($F829:U829)-SUM($F830:U830)-SUM($F831:U831),0),MIN(SUM($F828:U828)+SUM($F829:U829)-SUM($F830:U830)-SUM($F831:U831),0))</f>
        <v>0</v>
      </c>
      <c r="V832" s="53">
        <f>IF(SUM(U828:V828)&gt;=0,MAX(SUM($F828:V828)+SUM($F829:V829)-SUM($F830:V830)-SUM($F831:V831),0),MIN(SUM($F828:V828)+SUM($F829:V829)-SUM($F830:V830)-SUM($F831:V831),0))</f>
        <v>0</v>
      </c>
      <c r="W832" s="53">
        <f>IF(SUM(V828:W828)&gt;=0,MAX(SUM($F828:W828)+SUM($F829:W829)-SUM($F830:W830)-SUM($F831:W831),0),MIN(SUM($F828:W828)+SUM($F829:W829)-SUM($F830:W830)-SUM($F831:W831),0))</f>
        <v>0</v>
      </c>
      <c r="X832" s="53">
        <f>IF(SUM(W828:X828)&gt;=0,MAX(SUM($F828:X828)+SUM($F829:X829)-SUM($F830:X830)-SUM($F831:X831),0),MIN(SUM($F828:X828)+SUM($F829:X829)-SUM($F830:X830)-SUM($F831:X831),0))</f>
        <v>0</v>
      </c>
      <c r="Y832" s="53">
        <f>IF(SUM(X828:Y828)&gt;=0,MAX(SUM($F828:Y828)+SUM($F829:Y829)-SUM($F830:Y830)-SUM($F831:Y831),0),MIN(SUM($F828:Y828)+SUM($F829:Y829)-SUM($F830:Y830)-SUM($F831:Y831),0))</f>
        <v>0</v>
      </c>
      <c r="Z832" s="53">
        <f>IF(SUM(Y828:Z828)&gt;=0,MAX(SUM($F828:Z828)+SUM($F829:Z829)-SUM($F830:Z830)-SUM($F831:Z831),0),MIN(SUM($F828:Z828)+SUM($F829:Z829)-SUM($F830:Z830)-SUM($F831:Z831),0))</f>
        <v>0</v>
      </c>
      <c r="AA832" s="53">
        <f>IF(SUM(Z828:AA828)&gt;=0,MAX(SUM($F828:AA828)+SUM($F829:AA829)-SUM($F830:AA830)-SUM($F831:AA831),0),MIN(SUM($F828:AA828)+SUM($F829:AA829)-SUM($F830:AA830)-SUM($F831:AA831),0))</f>
        <v>0</v>
      </c>
      <c r="AB832" s="53">
        <f>IF(SUM(AA828:AB828)&gt;=0,MAX(SUM($F828:AB828)+SUM($F829:AB829)-SUM($F830:AB830)-SUM($F831:AB831),0),MIN(SUM($F828:AB828)+SUM($F829:AB829)-SUM($F830:AB830)-SUM($F831:AB831),0))</f>
        <v>0</v>
      </c>
      <c r="AC832" s="53">
        <f>IF(SUM(AB828:AC828)&gt;=0,MAX(SUM($F828:AC828)+SUM($F829:AC829)-SUM($F830:AC830)-SUM($F831:AC831),0),MIN(SUM($F828:AC828)+SUM($F829:AC829)-SUM($F830:AC830)-SUM($F831:AC831),0))</f>
        <v>0</v>
      </c>
    </row>
    <row r="833" spans="1:31" hidden="1" outlineLevel="2" x14ac:dyDescent="0.2">
      <c r="A833" t="str">
        <f ca="1">Language!A$573</f>
        <v xml:space="preserve">    выплаченные авансы</v>
      </c>
      <c r="C833" s="5" t="str">
        <f ca="1">CHOOSE(B823,CUR_Main,CUR_Foreign)</f>
        <v>тыс. EUR</v>
      </c>
      <c r="D833" t="str">
        <f>TEXT(B823,"0")&amp;"_09"&amp;";int_end"</f>
        <v>1_09;int_end</v>
      </c>
      <c r="F833" s="53">
        <f>IF(SUM(E828:F828)&gt;=0,MAX(SUM($F830:F830)+SUM($F831:F831)-SUM($F828:F828)-SUM($F829:F829),0),MIN(SUM($F830:F830)+SUM($F831:F831)-SUM($F828:F828)-SUM($F829:F829),0))</f>
        <v>0</v>
      </c>
      <c r="G833" s="53">
        <f>IF(SUM(F828:G828)&gt;=0,MAX(SUM($F830:G830)+SUM($F831:G831)-SUM($F828:G828)-SUM($F829:G829),0),MIN(SUM($F830:G830)+SUM($F831:G831)-SUM($F828:G828)-SUM($F829:G829),0))</f>
        <v>0</v>
      </c>
      <c r="H833" s="53">
        <f>IF(SUM(G828:H828)&gt;=0,MAX(SUM($F830:H830)+SUM($F831:H831)-SUM($F828:H828)-SUM($F829:H829),0),MIN(SUM($F830:H830)+SUM($F831:H831)-SUM($F828:H828)-SUM($F829:H829),0))</f>
        <v>0</v>
      </c>
      <c r="I833" s="53">
        <f>IF(SUM(H828:I828)&gt;=0,MAX(SUM($F830:I830)+SUM($F831:I831)-SUM($F828:I828)-SUM($F829:I829),0),MIN(SUM($F830:I830)+SUM($F831:I831)-SUM($F828:I828)-SUM($F829:I829),0))</f>
        <v>0</v>
      </c>
      <c r="J833" s="53">
        <f>IF(SUM(I828:J828)&gt;=0,MAX(SUM($F830:J830)+SUM($F831:J831)-SUM($F828:J828)-SUM($F829:J829),0),MIN(SUM($F830:J830)+SUM($F831:J831)-SUM($F828:J828)-SUM($F829:J829),0))</f>
        <v>0</v>
      </c>
      <c r="K833" s="53">
        <f>IF(SUM(J828:K828)&gt;=0,MAX(SUM($F830:K830)+SUM($F831:K831)-SUM($F828:K828)-SUM($F829:K829),0),MIN(SUM($F830:K830)+SUM($F831:K831)-SUM($F828:K828)-SUM($F829:K829),0))</f>
        <v>0</v>
      </c>
      <c r="L833" s="53">
        <f>IF(SUM(K828:L828)&gt;=0,MAX(SUM($F830:L830)+SUM($F831:L831)-SUM($F828:L828)-SUM($F829:L829),0),MIN(SUM($F830:L830)+SUM($F831:L831)-SUM($F828:L828)-SUM($F829:L829),0))</f>
        <v>0</v>
      </c>
      <c r="M833" s="53">
        <f>IF(SUM(L828:M828)&gt;=0,MAX(SUM($F830:M830)+SUM($F831:M831)-SUM($F828:M828)-SUM($F829:M829),0),MIN(SUM($F830:M830)+SUM($F831:M831)-SUM($F828:M828)-SUM($F829:M829),0))</f>
        <v>0</v>
      </c>
      <c r="N833" s="53">
        <f>IF(SUM(M828:N828)&gt;=0,MAX(SUM($F830:N830)+SUM($F831:N831)-SUM($F828:N828)-SUM($F829:N829),0),MIN(SUM($F830:N830)+SUM($F831:N831)-SUM($F828:N828)-SUM($F829:N829),0))</f>
        <v>0</v>
      </c>
      <c r="O833" s="53">
        <f>IF(SUM(N828:O828)&gt;=0,MAX(SUM($F830:O830)+SUM($F831:O831)-SUM($F828:O828)-SUM($F829:O829),0),MIN(SUM($F830:O830)+SUM($F831:O831)-SUM($F828:O828)-SUM($F829:O829),0))</f>
        <v>0</v>
      </c>
      <c r="P833" s="53">
        <f>IF(SUM(O828:P828)&gt;=0,MAX(SUM($F830:P830)+SUM($F831:P831)-SUM($F828:P828)-SUM($F829:P829),0),MIN(SUM($F830:P830)+SUM($F831:P831)-SUM($F828:P828)-SUM($F829:P829),0))</f>
        <v>0</v>
      </c>
      <c r="Q833" s="53">
        <f>IF(SUM(P828:Q828)&gt;=0,MAX(SUM($F830:Q830)+SUM($F831:Q831)-SUM($F828:Q828)-SUM($F829:Q829),0),MIN(SUM($F830:Q830)+SUM($F831:Q831)-SUM($F828:Q828)-SUM($F829:Q829),0))</f>
        <v>0</v>
      </c>
      <c r="R833" s="53">
        <f>IF(SUM(Q828:R828)&gt;=0,MAX(SUM($F830:R830)+SUM($F831:R831)-SUM($F828:R828)-SUM($F829:R829),0),MIN(SUM($F830:R830)+SUM($F831:R831)-SUM($F828:R828)-SUM($F829:R829),0))</f>
        <v>0</v>
      </c>
      <c r="S833" s="53">
        <f>IF(SUM(R828:S828)&gt;=0,MAX(SUM($F830:S830)+SUM($F831:S831)-SUM($F828:S828)-SUM($F829:S829),0),MIN(SUM($F830:S830)+SUM($F831:S831)-SUM($F828:S828)-SUM($F829:S829),0))</f>
        <v>0</v>
      </c>
      <c r="T833" s="53">
        <f>IF(SUM(S828:T828)&gt;=0,MAX(SUM($F830:T830)+SUM($F831:T831)-SUM($F828:T828)-SUM($F829:T829),0),MIN(SUM($F830:T830)+SUM($F831:T831)-SUM($F828:T828)-SUM($F829:T829),0))</f>
        <v>0</v>
      </c>
      <c r="U833" s="53">
        <f>IF(SUM(T828:U828)&gt;=0,MAX(SUM($F830:U830)+SUM($F831:U831)-SUM($F828:U828)-SUM($F829:U829),0),MIN(SUM($F830:U830)+SUM($F831:U831)-SUM($F828:U828)-SUM($F829:U829),0))</f>
        <v>0</v>
      </c>
      <c r="V833" s="53">
        <f>IF(SUM(U828:V828)&gt;=0,MAX(SUM($F830:V830)+SUM($F831:V831)-SUM($F828:V828)-SUM($F829:V829),0),MIN(SUM($F830:V830)+SUM($F831:V831)-SUM($F828:V828)-SUM($F829:V829),0))</f>
        <v>0</v>
      </c>
      <c r="W833" s="53">
        <f>IF(SUM(V828:W828)&gt;=0,MAX(SUM($F830:W830)+SUM($F831:W831)-SUM($F828:W828)-SUM($F829:W829),0),MIN(SUM($F830:W830)+SUM($F831:W831)-SUM($F828:W828)-SUM($F829:W829),0))</f>
        <v>0</v>
      </c>
      <c r="X833" s="53">
        <f>IF(SUM(W828:X828)&gt;=0,MAX(SUM($F830:X830)+SUM($F831:X831)-SUM($F828:X828)-SUM($F829:X829),0),MIN(SUM($F830:X830)+SUM($F831:X831)-SUM($F828:X828)-SUM($F829:X829),0))</f>
        <v>0</v>
      </c>
      <c r="Y833" s="53">
        <f>IF(SUM(X828:Y828)&gt;=0,MAX(SUM($F830:Y830)+SUM($F831:Y831)-SUM($F828:Y828)-SUM($F829:Y829),0),MIN(SUM($F830:Y830)+SUM($F831:Y831)-SUM($F828:Y828)-SUM($F829:Y829),0))</f>
        <v>0</v>
      </c>
      <c r="Z833" s="53">
        <f>IF(SUM(Y828:Z828)&gt;=0,MAX(SUM($F830:Z830)+SUM($F831:Z831)-SUM($F828:Z828)-SUM($F829:Z829),0),MIN(SUM($F830:Z830)+SUM($F831:Z831)-SUM($F828:Z828)-SUM($F829:Z829),0))</f>
        <v>0</v>
      </c>
      <c r="AA833" s="53">
        <f>IF(SUM(Z828:AA828)&gt;=0,MAX(SUM($F830:AA830)+SUM($F831:AA831)-SUM($F828:AA828)-SUM($F829:AA829),0),MIN(SUM($F830:AA830)+SUM($F831:AA831)-SUM($F828:AA828)-SUM($F829:AA829),0))</f>
        <v>0</v>
      </c>
      <c r="AB833" s="53">
        <f>IF(SUM(AA828:AB828)&gt;=0,MAX(SUM($F830:AB830)+SUM($F831:AB831)-SUM($F828:AB828)-SUM($F829:AB829),0),MIN(SUM($F830:AB830)+SUM($F831:AB831)-SUM($F828:AB828)-SUM($F829:AB829),0))</f>
        <v>0</v>
      </c>
      <c r="AC833" s="53">
        <f>IF(SUM(AB828:AC828)&gt;=0,MAX(SUM($F830:AC830)+SUM($F831:AC831)-SUM($F828:AC828)-SUM($F829:AC829),0),MIN(SUM($F830:AC830)+SUM($F831:AC831)-SUM($F828:AC828)-SUM($F829:AC829),0))</f>
        <v>0</v>
      </c>
    </row>
    <row r="834" spans="1:31" hidden="1" outlineLevel="2" x14ac:dyDescent="0.2">
      <c r="A834" t="str">
        <f ca="1">Language!A$574</f>
        <v xml:space="preserve">    списано затрат на реализованную продукцию</v>
      </c>
      <c r="C834" s="5" t="str">
        <f ca="1">CHOOSE(B823,CUR_Main,CUR_Foreign)</f>
        <v>тыс. EUR</v>
      </c>
      <c r="D834" t="str">
        <f>TEXT(B823,"0")&amp;"_10"</f>
        <v>1_10</v>
      </c>
      <c r="F834" s="53">
        <f t="shared" ref="F834:AC834" si="2301">IF((E729+F727)&gt;0,F728*(E835+F828)/(E729+F727),0)</f>
        <v>0</v>
      </c>
      <c r="G834" s="53">
        <f t="shared" si="2301"/>
        <v>0</v>
      </c>
      <c r="H834" s="53">
        <f t="shared" si="2301"/>
        <v>0</v>
      </c>
      <c r="I834" s="53">
        <f t="shared" si="2301"/>
        <v>0</v>
      </c>
      <c r="J834" s="53">
        <f t="shared" si="2301"/>
        <v>0</v>
      </c>
      <c r="K834" s="53">
        <f t="shared" si="2301"/>
        <v>0</v>
      </c>
      <c r="L834" s="53">
        <f t="shared" si="2301"/>
        <v>0</v>
      </c>
      <c r="M834" s="53">
        <f t="shared" si="2301"/>
        <v>0</v>
      </c>
      <c r="N834" s="53">
        <f t="shared" si="2301"/>
        <v>0</v>
      </c>
      <c r="O834" s="53">
        <f t="shared" si="2301"/>
        <v>0</v>
      </c>
      <c r="P834" s="53">
        <f t="shared" si="2301"/>
        <v>0</v>
      </c>
      <c r="Q834" s="53">
        <f t="shared" si="2301"/>
        <v>0</v>
      </c>
      <c r="R834" s="53">
        <f t="shared" si="2301"/>
        <v>0</v>
      </c>
      <c r="S834" s="53">
        <f t="shared" si="2301"/>
        <v>0</v>
      </c>
      <c r="T834" s="53">
        <f t="shared" si="2301"/>
        <v>0</v>
      </c>
      <c r="U834" s="53">
        <f t="shared" si="2301"/>
        <v>0</v>
      </c>
      <c r="V834" s="53">
        <f t="shared" si="2301"/>
        <v>0</v>
      </c>
      <c r="W834" s="53">
        <f t="shared" si="2301"/>
        <v>0</v>
      </c>
      <c r="X834" s="53">
        <f t="shared" si="2301"/>
        <v>0</v>
      </c>
      <c r="Y834" s="53">
        <f t="shared" si="2301"/>
        <v>0</v>
      </c>
      <c r="Z834" s="53">
        <f t="shared" si="2301"/>
        <v>0</v>
      </c>
      <c r="AA834" s="53">
        <f t="shared" si="2301"/>
        <v>0</v>
      </c>
      <c r="AB834" s="53">
        <f t="shared" si="2301"/>
        <v>0</v>
      </c>
      <c r="AC834" s="53">
        <f t="shared" si="2301"/>
        <v>0</v>
      </c>
      <c r="AE834" s="54">
        <f>SUM(F834:AC834)</f>
        <v>0</v>
      </c>
    </row>
    <row r="835" spans="1:31" hidden="1" outlineLevel="2" x14ac:dyDescent="0.2">
      <c r="A835" s="48" t="str">
        <f ca="1">Language!A$575</f>
        <v xml:space="preserve">    остаток затрат на складе готовой продукции</v>
      </c>
      <c r="C835" s="5" t="str">
        <f ca="1">CHOOSE(B823,CUR_Main,CUR_Foreign)</f>
        <v>тыс. EUR</v>
      </c>
      <c r="D835" t="str">
        <f>TEXT(B823,"0")&amp;"_11"&amp;";int_end"</f>
        <v>1_11;int_end</v>
      </c>
      <c r="F835" s="84">
        <f>SUM($F828:F828)-SUM($F834:F834)</f>
        <v>0</v>
      </c>
      <c r="G835" s="84">
        <f>SUM($F828:G828)-SUM($F834:G834)</f>
        <v>0</v>
      </c>
      <c r="H835" s="84">
        <f>SUM($F828:H828)-SUM($F834:H834)</f>
        <v>0</v>
      </c>
      <c r="I835" s="84">
        <f>SUM($F828:I828)-SUM($F834:I834)</f>
        <v>0</v>
      </c>
      <c r="J835" s="84">
        <f>SUM($F828:J828)-SUM($F834:J834)</f>
        <v>0</v>
      </c>
      <c r="K835" s="84">
        <f>SUM($F828:K828)-SUM($F834:K834)</f>
        <v>0</v>
      </c>
      <c r="L835" s="84">
        <f>SUM($F828:L828)-SUM($F834:L834)</f>
        <v>0</v>
      </c>
      <c r="M835" s="84">
        <f>SUM($F828:M828)-SUM($F834:M834)</f>
        <v>0</v>
      </c>
      <c r="N835" s="84">
        <f>SUM($F828:N828)-SUM($F834:N834)</f>
        <v>0</v>
      </c>
      <c r="O835" s="84">
        <f>SUM($F828:O828)-SUM($F834:O834)</f>
        <v>0</v>
      </c>
      <c r="P835" s="84">
        <f>SUM($F828:P828)-SUM($F834:P834)</f>
        <v>0</v>
      </c>
      <c r="Q835" s="84">
        <f>SUM($F828:Q828)-SUM($F834:Q834)</f>
        <v>0</v>
      </c>
      <c r="R835" s="84">
        <f>SUM($F828:R828)-SUM($F834:R834)</f>
        <v>0</v>
      </c>
      <c r="S835" s="84">
        <f>SUM($F828:S828)-SUM($F834:S834)</f>
        <v>0</v>
      </c>
      <c r="T835" s="84">
        <f>SUM($F828:T828)-SUM($F834:T834)</f>
        <v>0</v>
      </c>
      <c r="U835" s="84">
        <f>SUM($F828:U828)-SUM($F834:U834)</f>
        <v>0</v>
      </c>
      <c r="V835" s="84">
        <f>SUM($F828:V828)-SUM($F834:V834)</f>
        <v>0</v>
      </c>
      <c r="W835" s="84">
        <f>SUM($F828:W828)-SUM($F834:W834)</f>
        <v>0</v>
      </c>
      <c r="X835" s="84">
        <f>SUM($F828:X828)-SUM($F834:X834)</f>
        <v>0</v>
      </c>
      <c r="Y835" s="84">
        <f>SUM($F828:Y828)-SUM($F834:Y834)</f>
        <v>0</v>
      </c>
      <c r="Z835" s="84">
        <f>SUM($F828:Z828)-SUM($F834:Z834)</f>
        <v>0</v>
      </c>
      <c r="AA835" s="84">
        <f>SUM($F828:AA828)-SUM($F834:AA834)</f>
        <v>0</v>
      </c>
      <c r="AB835" s="84">
        <f>SUM($F828:AB828)-SUM($F834:AB834)</f>
        <v>0</v>
      </c>
      <c r="AC835" s="84">
        <f>SUM($F828:AC828)-SUM($F834:AC834)</f>
        <v>0</v>
      </c>
    </row>
    <row r="836" spans="1:31" hidden="1" outlineLevel="2" x14ac:dyDescent="0.2">
      <c r="A836" s="48" t="str">
        <f ca="1">Language!A$576</f>
        <v xml:space="preserve">    остаток затрат в незавершенном производстве</v>
      </c>
      <c r="B836" s="254">
        <f>NWC_T_Cycle</f>
        <v>0</v>
      </c>
      <c r="C836" s="5" t="str">
        <f ca="1">Language!A$38</f>
        <v>дн.</v>
      </c>
      <c r="D836" t="str">
        <f>TEXT(B823,"0")&amp;"_12"&amp;";int_end"</f>
        <v>1_12;int_end</v>
      </c>
      <c r="F836" s="84">
        <f t="shared" ref="F836:T836" si="2302">F828*$B836/PRJ_Step</f>
        <v>0</v>
      </c>
      <c r="G836" s="84">
        <f t="shared" si="2302"/>
        <v>0</v>
      </c>
      <c r="H836" s="84">
        <f t="shared" si="2302"/>
        <v>0</v>
      </c>
      <c r="I836" s="84">
        <f t="shared" si="2302"/>
        <v>0</v>
      </c>
      <c r="J836" s="84">
        <f t="shared" si="2302"/>
        <v>0</v>
      </c>
      <c r="K836" s="84">
        <f t="shared" si="2302"/>
        <v>0</v>
      </c>
      <c r="L836" s="84">
        <f t="shared" si="2302"/>
        <v>0</v>
      </c>
      <c r="M836" s="84">
        <f t="shared" si="2302"/>
        <v>0</v>
      </c>
      <c r="N836" s="84">
        <f t="shared" si="2302"/>
        <v>0</v>
      </c>
      <c r="O836" s="84">
        <f t="shared" si="2302"/>
        <v>0</v>
      </c>
      <c r="P836" s="84">
        <f t="shared" si="2302"/>
        <v>0</v>
      </c>
      <c r="Q836" s="84">
        <f t="shared" si="2302"/>
        <v>0</v>
      </c>
      <c r="R836" s="84">
        <f t="shared" si="2302"/>
        <v>0</v>
      </c>
      <c r="S836" s="84">
        <f t="shared" si="2302"/>
        <v>0</v>
      </c>
      <c r="T836" s="84">
        <f t="shared" si="2302"/>
        <v>0</v>
      </c>
      <c r="U836" s="84">
        <f t="shared" ref="U836" si="2303">U828*$B836/PRJ_Step</f>
        <v>0</v>
      </c>
      <c r="V836" s="84">
        <f t="shared" ref="V836" si="2304">V828*$B836/PRJ_Step</f>
        <v>0</v>
      </c>
      <c r="W836" s="84">
        <f t="shared" ref="W836" si="2305">W828*$B836/PRJ_Step</f>
        <v>0</v>
      </c>
      <c r="X836" s="84">
        <f t="shared" ref="X836" si="2306">X828*$B836/PRJ_Step</f>
        <v>0</v>
      </c>
      <c r="Y836" s="84">
        <f t="shared" ref="Y836" si="2307">Y828*$B836/PRJ_Step</f>
        <v>0</v>
      </c>
      <c r="Z836" s="84">
        <f t="shared" ref="Z836" si="2308">Z828*$B836/PRJ_Step</f>
        <v>0</v>
      </c>
      <c r="AA836" s="84">
        <f t="shared" ref="AA836" si="2309">AA828*$B836/PRJ_Step</f>
        <v>0</v>
      </c>
      <c r="AB836" s="84">
        <f t="shared" ref="AB836:AC836" si="2310">AB828*$B836/PRJ_Step</f>
        <v>0</v>
      </c>
      <c r="AC836" s="84">
        <f t="shared" si="2310"/>
        <v>0</v>
      </c>
    </row>
    <row r="837" spans="1:31" s="48" customFormat="1" hidden="1" outlineLevel="1" x14ac:dyDescent="0.2">
      <c r="B837" s="81"/>
      <c r="C837" s="73"/>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E837" s="91"/>
    </row>
    <row r="838" spans="1:31" ht="12" hidden="1" outlineLevel="1" thickTop="1" x14ac:dyDescent="0.2">
      <c r="A838" s="48" t="str">
        <f>A665</f>
        <v>ВЗД</v>
      </c>
      <c r="B838" s="36" t="str">
        <f ca="1">Language!A$73</f>
        <v>Валюта</v>
      </c>
      <c r="C838" s="85"/>
      <c r="D838">
        <v>1</v>
      </c>
      <c r="E838">
        <v>14</v>
      </c>
      <c r="F838" s="43">
        <f t="shared" ref="F838:AC838" si="2311">SUMIF($D838:$D853,"*1_00*",F838:F853)+SUMIF($D838:$D853,"*2_00*",F838:F853)*F$88</f>
        <v>0</v>
      </c>
      <c r="G838" s="43">
        <f t="shared" si="2311"/>
        <v>0</v>
      </c>
      <c r="H838" s="43">
        <f t="shared" si="2311"/>
        <v>0</v>
      </c>
      <c r="I838" s="43">
        <f t="shared" si="2311"/>
        <v>0</v>
      </c>
      <c r="J838" s="43">
        <f t="shared" si="2311"/>
        <v>0</v>
      </c>
      <c r="K838" s="43">
        <f t="shared" si="2311"/>
        <v>0</v>
      </c>
      <c r="L838" s="43">
        <f t="shared" si="2311"/>
        <v>0</v>
      </c>
      <c r="M838" s="43">
        <f t="shared" si="2311"/>
        <v>0</v>
      </c>
      <c r="N838" s="43">
        <f t="shared" si="2311"/>
        <v>0</v>
      </c>
      <c r="O838" s="43">
        <f t="shared" si="2311"/>
        <v>0</v>
      </c>
      <c r="P838" s="43">
        <f t="shared" si="2311"/>
        <v>0</v>
      </c>
      <c r="Q838" s="43">
        <f t="shared" si="2311"/>
        <v>0</v>
      </c>
      <c r="R838" s="43">
        <f t="shared" si="2311"/>
        <v>0</v>
      </c>
      <c r="S838" s="43">
        <f t="shared" si="2311"/>
        <v>0</v>
      </c>
      <c r="T838" s="43">
        <f t="shared" si="2311"/>
        <v>0</v>
      </c>
      <c r="U838" s="43">
        <f t="shared" si="2311"/>
        <v>0</v>
      </c>
      <c r="V838" s="43">
        <f t="shared" si="2311"/>
        <v>0</v>
      </c>
      <c r="W838" s="43">
        <f t="shared" si="2311"/>
        <v>0</v>
      </c>
      <c r="X838" s="43">
        <f t="shared" si="2311"/>
        <v>0</v>
      </c>
      <c r="Y838" s="43">
        <f t="shared" si="2311"/>
        <v>0</v>
      </c>
      <c r="Z838" s="43">
        <f t="shared" si="2311"/>
        <v>0</v>
      </c>
      <c r="AA838" s="43">
        <f t="shared" si="2311"/>
        <v>0</v>
      </c>
      <c r="AB838" s="43">
        <f t="shared" si="2311"/>
        <v>0</v>
      </c>
      <c r="AC838" s="43">
        <f t="shared" si="2311"/>
        <v>0</v>
      </c>
      <c r="AD838" s="43"/>
      <c r="AE838" s="54">
        <f>SUM(F838:AC838)</f>
        <v>0</v>
      </c>
    </row>
    <row r="839" spans="1:31" ht="12" hidden="1" outlineLevel="1" thickTop="1" x14ac:dyDescent="0.2">
      <c r="A839" s="273" t="str">
        <f ca="1">Language!A$578</f>
        <v>Наименование</v>
      </c>
      <c r="B839" s="254">
        <v>1</v>
      </c>
      <c r="C839" s="5" t="str">
        <f ca="1">CHOOSE(B839,CUR_Main,CUR_Foreign)</f>
        <v>тыс. EUR</v>
      </c>
      <c r="D839" s="16"/>
      <c r="F839" s="83">
        <f t="shared" ref="F839:AC839" si="2312">F841</f>
        <v>0</v>
      </c>
      <c r="G839" s="83">
        <f t="shared" si="2312"/>
        <v>0</v>
      </c>
      <c r="H839" s="83">
        <f t="shared" si="2312"/>
        <v>0</v>
      </c>
      <c r="I839" s="83">
        <f t="shared" si="2312"/>
        <v>0</v>
      </c>
      <c r="J839" s="83">
        <f t="shared" si="2312"/>
        <v>0</v>
      </c>
      <c r="K839" s="83">
        <f t="shared" si="2312"/>
        <v>0</v>
      </c>
      <c r="L839" s="83">
        <f t="shared" si="2312"/>
        <v>0</v>
      </c>
      <c r="M839" s="83">
        <f t="shared" si="2312"/>
        <v>0</v>
      </c>
      <c r="N839" s="83">
        <f t="shared" si="2312"/>
        <v>0</v>
      </c>
      <c r="O839" s="83">
        <f t="shared" si="2312"/>
        <v>0</v>
      </c>
      <c r="P839" s="83">
        <f t="shared" si="2312"/>
        <v>0</v>
      </c>
      <c r="Q839" s="83">
        <f t="shared" si="2312"/>
        <v>0</v>
      </c>
      <c r="R839" s="83">
        <f t="shared" si="2312"/>
        <v>0</v>
      </c>
      <c r="S839" s="83">
        <f t="shared" si="2312"/>
        <v>0</v>
      </c>
      <c r="T839" s="83">
        <f t="shared" si="2312"/>
        <v>0</v>
      </c>
      <c r="U839" s="83">
        <f t="shared" si="2312"/>
        <v>0</v>
      </c>
      <c r="V839" s="83">
        <f t="shared" si="2312"/>
        <v>0</v>
      </c>
      <c r="W839" s="83">
        <f t="shared" si="2312"/>
        <v>0</v>
      </c>
      <c r="X839" s="83">
        <f t="shared" si="2312"/>
        <v>0</v>
      </c>
      <c r="Y839" s="83">
        <f t="shared" si="2312"/>
        <v>0</v>
      </c>
      <c r="Z839" s="83">
        <f t="shared" si="2312"/>
        <v>0</v>
      </c>
      <c r="AA839" s="83">
        <f t="shared" si="2312"/>
        <v>0</v>
      </c>
      <c r="AB839" s="83">
        <f t="shared" si="2312"/>
        <v>0</v>
      </c>
      <c r="AC839" s="83">
        <f t="shared" si="2312"/>
        <v>0</v>
      </c>
      <c r="AD839" s="43"/>
      <c r="AE839" s="54">
        <f>SUM(F839:AC839)</f>
        <v>0</v>
      </c>
    </row>
    <row r="840" spans="1:31" ht="12" hidden="1" outlineLevel="1" collapsed="1" thickTop="1" x14ac:dyDescent="0.2">
      <c r="A840" t="str">
        <f ca="1">Language!A$580</f>
        <v>Плановый расход на единицу продукции</v>
      </c>
      <c r="B840" s="288">
        <v>0</v>
      </c>
      <c r="C840" s="5" t="str">
        <f ca="1">CHOOSE(B839,CUR_Main,CUR_Foreign)</f>
        <v>тыс. EUR</v>
      </c>
      <c r="D840" s="16"/>
      <c r="F840" s="140">
        <f>B840</f>
        <v>0</v>
      </c>
      <c r="G840" s="140">
        <f t="shared" ref="G840:AC840" si="2313">F840*IF(CalcMethod=2,1+F843,1)</f>
        <v>0</v>
      </c>
      <c r="H840" s="140">
        <f t="shared" si="2313"/>
        <v>0</v>
      </c>
      <c r="I840" s="140">
        <f t="shared" si="2313"/>
        <v>0</v>
      </c>
      <c r="J840" s="140">
        <f t="shared" si="2313"/>
        <v>0</v>
      </c>
      <c r="K840" s="140">
        <f t="shared" si="2313"/>
        <v>0</v>
      </c>
      <c r="L840" s="140">
        <f t="shared" si="2313"/>
        <v>0</v>
      </c>
      <c r="M840" s="140">
        <f t="shared" si="2313"/>
        <v>0</v>
      </c>
      <c r="N840" s="140">
        <f t="shared" si="2313"/>
        <v>0</v>
      </c>
      <c r="O840" s="140">
        <f t="shared" si="2313"/>
        <v>0</v>
      </c>
      <c r="P840" s="140">
        <f t="shared" si="2313"/>
        <v>0</v>
      </c>
      <c r="Q840" s="140">
        <f t="shared" si="2313"/>
        <v>0</v>
      </c>
      <c r="R840" s="140">
        <f t="shared" si="2313"/>
        <v>0</v>
      </c>
      <c r="S840" s="140">
        <f t="shared" si="2313"/>
        <v>0</v>
      </c>
      <c r="T840" s="140">
        <f t="shared" si="2313"/>
        <v>0</v>
      </c>
      <c r="U840" s="140">
        <f t="shared" si="2313"/>
        <v>0</v>
      </c>
      <c r="V840" s="140">
        <f t="shared" si="2313"/>
        <v>0</v>
      </c>
      <c r="W840" s="140">
        <f t="shared" si="2313"/>
        <v>0</v>
      </c>
      <c r="X840" s="140">
        <f t="shared" si="2313"/>
        <v>0</v>
      </c>
      <c r="Y840" s="140">
        <f t="shared" si="2313"/>
        <v>0</v>
      </c>
      <c r="Z840" s="140">
        <f t="shared" si="2313"/>
        <v>0</v>
      </c>
      <c r="AA840" s="140">
        <f t="shared" si="2313"/>
        <v>0</v>
      </c>
      <c r="AB840" s="140">
        <f t="shared" si="2313"/>
        <v>0</v>
      </c>
      <c r="AC840" s="140">
        <f t="shared" si="2313"/>
        <v>0</v>
      </c>
      <c r="AE840" s="54"/>
    </row>
    <row r="841" spans="1:31" s="48" customFormat="1" ht="12" hidden="1" outlineLevel="2" thickTop="1" x14ac:dyDescent="0.2">
      <c r="A841" t="str">
        <f ca="1">Language!A$581</f>
        <v>Расход за период</v>
      </c>
      <c r="B841" s="119"/>
      <c r="C841" s="92" t="str">
        <f ca="1">CHOOSE(B839,CUR_Main,CUR_Foreign)</f>
        <v>тыс. EUR</v>
      </c>
      <c r="D841" s="48" t="str">
        <f>TEXT(B839,"0")&amp;"_00"</f>
        <v>1_00</v>
      </c>
      <c r="F841" s="83">
        <f t="shared" ref="F841:AC841" si="2314">F840*F731</f>
        <v>0</v>
      </c>
      <c r="G841" s="83">
        <f t="shared" si="2314"/>
        <v>0</v>
      </c>
      <c r="H841" s="83">
        <f t="shared" si="2314"/>
        <v>0</v>
      </c>
      <c r="I841" s="83">
        <f t="shared" si="2314"/>
        <v>0</v>
      </c>
      <c r="J841" s="83">
        <f t="shared" si="2314"/>
        <v>0</v>
      </c>
      <c r="K841" s="83">
        <f t="shared" si="2314"/>
        <v>0</v>
      </c>
      <c r="L841" s="83">
        <f t="shared" si="2314"/>
        <v>0</v>
      </c>
      <c r="M841" s="83">
        <f t="shared" si="2314"/>
        <v>0</v>
      </c>
      <c r="N841" s="83">
        <f t="shared" si="2314"/>
        <v>0</v>
      </c>
      <c r="O841" s="83">
        <f t="shared" si="2314"/>
        <v>0</v>
      </c>
      <c r="P841" s="83">
        <f t="shared" si="2314"/>
        <v>0</v>
      </c>
      <c r="Q841" s="83">
        <f t="shared" si="2314"/>
        <v>0</v>
      </c>
      <c r="R841" s="83">
        <f t="shared" si="2314"/>
        <v>0</v>
      </c>
      <c r="S841" s="83">
        <f t="shared" si="2314"/>
        <v>0</v>
      </c>
      <c r="T841" s="83">
        <f t="shared" si="2314"/>
        <v>0</v>
      </c>
      <c r="U841" s="83">
        <f t="shared" si="2314"/>
        <v>0</v>
      </c>
      <c r="V841" s="83">
        <f t="shared" si="2314"/>
        <v>0</v>
      </c>
      <c r="W841" s="83">
        <f t="shared" si="2314"/>
        <v>0</v>
      </c>
      <c r="X841" s="83">
        <f t="shared" si="2314"/>
        <v>0</v>
      </c>
      <c r="Y841" s="83">
        <f t="shared" si="2314"/>
        <v>0</v>
      </c>
      <c r="Z841" s="83">
        <f t="shared" si="2314"/>
        <v>0</v>
      </c>
      <c r="AA841" s="83">
        <f t="shared" si="2314"/>
        <v>0</v>
      </c>
      <c r="AB841" s="83">
        <f t="shared" si="2314"/>
        <v>0</v>
      </c>
      <c r="AC841" s="83">
        <f t="shared" si="2314"/>
        <v>0</v>
      </c>
      <c r="AE841" s="54">
        <f>SUM(F841:AC841)</f>
        <v>0</v>
      </c>
    </row>
    <row r="842" spans="1:31" s="48" customFormat="1" ht="12" hidden="1" outlineLevel="2" thickTop="1" x14ac:dyDescent="0.2">
      <c r="A842" t="str">
        <f ca="1">Language!A$104</f>
        <v>Предполагаемый темп годового роста цен</v>
      </c>
      <c r="B842"/>
      <c r="C842" s="5" t="s">
        <v>2430</v>
      </c>
      <c r="D842" s="16" t="s">
        <v>2429</v>
      </c>
      <c r="F842" s="268">
        <f t="shared" ref="F842:AC842" si="2315">CHOOSE($B839,F$80,F$91)</f>
        <v>0</v>
      </c>
      <c r="G842" s="268">
        <f t="shared" si="2315"/>
        <v>0</v>
      </c>
      <c r="H842" s="268">
        <f t="shared" si="2315"/>
        <v>0</v>
      </c>
      <c r="I842" s="268">
        <f t="shared" si="2315"/>
        <v>0</v>
      </c>
      <c r="J842" s="268">
        <f t="shared" si="2315"/>
        <v>0</v>
      </c>
      <c r="K842" s="268">
        <f t="shared" si="2315"/>
        <v>0</v>
      </c>
      <c r="L842" s="268">
        <f t="shared" si="2315"/>
        <v>0</v>
      </c>
      <c r="M842" s="268">
        <f t="shared" si="2315"/>
        <v>0</v>
      </c>
      <c r="N842" s="268">
        <f t="shared" si="2315"/>
        <v>0</v>
      </c>
      <c r="O842" s="268">
        <f t="shared" si="2315"/>
        <v>0</v>
      </c>
      <c r="P842" s="268">
        <f t="shared" si="2315"/>
        <v>0</v>
      </c>
      <c r="Q842" s="268">
        <f t="shared" si="2315"/>
        <v>0</v>
      </c>
      <c r="R842" s="268">
        <f t="shared" si="2315"/>
        <v>0</v>
      </c>
      <c r="S842" s="268">
        <f t="shared" si="2315"/>
        <v>0</v>
      </c>
      <c r="T842" s="268">
        <f t="shared" si="2315"/>
        <v>0</v>
      </c>
      <c r="U842" s="268">
        <f t="shared" si="2315"/>
        <v>0</v>
      </c>
      <c r="V842" s="268">
        <f t="shared" si="2315"/>
        <v>0</v>
      </c>
      <c r="W842" s="268">
        <f t="shared" si="2315"/>
        <v>0</v>
      </c>
      <c r="X842" s="268">
        <f t="shared" si="2315"/>
        <v>0</v>
      </c>
      <c r="Y842" s="268">
        <f t="shared" si="2315"/>
        <v>0</v>
      </c>
      <c r="Z842" s="268">
        <f t="shared" si="2315"/>
        <v>0</v>
      </c>
      <c r="AA842" s="268">
        <f t="shared" si="2315"/>
        <v>0</v>
      </c>
      <c r="AB842" s="268">
        <f t="shared" si="2315"/>
        <v>0</v>
      </c>
      <c r="AC842" s="268">
        <f t="shared" si="2315"/>
        <v>0</v>
      </c>
      <c r="AE842" s="91"/>
    </row>
    <row r="843" spans="1:31" s="48" customFormat="1" ht="12" hidden="1" outlineLevel="2" thickTop="1" x14ac:dyDescent="0.2">
      <c r="A843" t="str">
        <f ca="1">Language!A$106</f>
        <v>То же, в пересчете на период, равный шагу проекта</v>
      </c>
      <c r="B843"/>
      <c r="C843" s="5" t="s">
        <v>2430</v>
      </c>
      <c r="D843" s="16" t="s">
        <v>2429</v>
      </c>
      <c r="F843" s="30">
        <f t="shared" ref="F843:AC843" si="2316">POWER(1+F842,PRJ_Step/360)-1</f>
        <v>0</v>
      </c>
      <c r="G843" s="30">
        <f t="shared" si="2316"/>
        <v>0</v>
      </c>
      <c r="H843" s="30">
        <f t="shared" si="2316"/>
        <v>0</v>
      </c>
      <c r="I843" s="30">
        <f t="shared" si="2316"/>
        <v>0</v>
      </c>
      <c r="J843" s="30">
        <f t="shared" si="2316"/>
        <v>0</v>
      </c>
      <c r="K843" s="30">
        <f t="shared" si="2316"/>
        <v>0</v>
      </c>
      <c r="L843" s="30">
        <f t="shared" si="2316"/>
        <v>0</v>
      </c>
      <c r="M843" s="30">
        <f t="shared" si="2316"/>
        <v>0</v>
      </c>
      <c r="N843" s="30">
        <f t="shared" si="2316"/>
        <v>0</v>
      </c>
      <c r="O843" s="30">
        <f t="shared" si="2316"/>
        <v>0</v>
      </c>
      <c r="P843" s="30">
        <f t="shared" si="2316"/>
        <v>0</v>
      </c>
      <c r="Q843" s="30">
        <f t="shared" si="2316"/>
        <v>0</v>
      </c>
      <c r="R843" s="30">
        <f t="shared" si="2316"/>
        <v>0</v>
      </c>
      <c r="S843" s="30">
        <f t="shared" si="2316"/>
        <v>0</v>
      </c>
      <c r="T843" s="30">
        <f t="shared" si="2316"/>
        <v>0</v>
      </c>
      <c r="U843" s="30">
        <f t="shared" si="2316"/>
        <v>0</v>
      </c>
      <c r="V843" s="30">
        <f t="shared" si="2316"/>
        <v>0</v>
      </c>
      <c r="W843" s="30">
        <f t="shared" si="2316"/>
        <v>0</v>
      </c>
      <c r="X843" s="30">
        <f t="shared" si="2316"/>
        <v>0</v>
      </c>
      <c r="Y843" s="30">
        <f t="shared" si="2316"/>
        <v>0</v>
      </c>
      <c r="Z843" s="30">
        <f t="shared" si="2316"/>
        <v>0</v>
      </c>
      <c r="AA843" s="30">
        <f t="shared" si="2316"/>
        <v>0</v>
      </c>
      <c r="AB843" s="30">
        <f t="shared" si="2316"/>
        <v>0</v>
      </c>
      <c r="AC843" s="30">
        <f t="shared" si="2316"/>
        <v>0</v>
      </c>
      <c r="AE843" s="91"/>
    </row>
    <row r="844" spans="1:31" s="48" customFormat="1" ht="12" hidden="1" outlineLevel="2" thickTop="1" x14ac:dyDescent="0.2">
      <c r="A844" t="str">
        <f ca="1">Language!A$579</f>
        <v xml:space="preserve">    затраты без НДС</v>
      </c>
      <c r="B844"/>
      <c r="C844" s="5" t="str">
        <f ca="1">CHOOSE(B839,CUR_Main,CUR_Foreign)</f>
        <v>тыс. EUR</v>
      </c>
      <c r="D844" t="str">
        <f>TEXT(B839,"0")&amp;"_01"</f>
        <v>1_01</v>
      </c>
      <c r="F844" s="53">
        <f t="shared" ref="F844:AC844" si="2317">F841/(1+$B845)</f>
        <v>0</v>
      </c>
      <c r="G844" s="53">
        <f t="shared" si="2317"/>
        <v>0</v>
      </c>
      <c r="H844" s="53">
        <f t="shared" si="2317"/>
        <v>0</v>
      </c>
      <c r="I844" s="53">
        <f t="shared" si="2317"/>
        <v>0</v>
      </c>
      <c r="J844" s="53">
        <f t="shared" si="2317"/>
        <v>0</v>
      </c>
      <c r="K844" s="53">
        <f t="shared" si="2317"/>
        <v>0</v>
      </c>
      <c r="L844" s="53">
        <f t="shared" si="2317"/>
        <v>0</v>
      </c>
      <c r="M844" s="53">
        <f t="shared" si="2317"/>
        <v>0</v>
      </c>
      <c r="N844" s="53">
        <f t="shared" si="2317"/>
        <v>0</v>
      </c>
      <c r="O844" s="53">
        <f t="shared" si="2317"/>
        <v>0</v>
      </c>
      <c r="P844" s="53">
        <f t="shared" si="2317"/>
        <v>0</v>
      </c>
      <c r="Q844" s="53">
        <f t="shared" si="2317"/>
        <v>0</v>
      </c>
      <c r="R844" s="53">
        <f t="shared" si="2317"/>
        <v>0</v>
      </c>
      <c r="S844" s="53">
        <f t="shared" si="2317"/>
        <v>0</v>
      </c>
      <c r="T844" s="53">
        <f t="shared" si="2317"/>
        <v>0</v>
      </c>
      <c r="U844" s="53">
        <f t="shared" si="2317"/>
        <v>0</v>
      </c>
      <c r="V844" s="53">
        <f t="shared" si="2317"/>
        <v>0</v>
      </c>
      <c r="W844" s="53">
        <f t="shared" si="2317"/>
        <v>0</v>
      </c>
      <c r="X844" s="53">
        <f t="shared" si="2317"/>
        <v>0</v>
      </c>
      <c r="Y844" s="53">
        <f t="shared" si="2317"/>
        <v>0</v>
      </c>
      <c r="Z844" s="53">
        <f t="shared" si="2317"/>
        <v>0</v>
      </c>
      <c r="AA844" s="53">
        <f t="shared" si="2317"/>
        <v>0</v>
      </c>
      <c r="AB844" s="53">
        <f t="shared" si="2317"/>
        <v>0</v>
      </c>
      <c r="AC844" s="53">
        <f t="shared" si="2317"/>
        <v>0</v>
      </c>
      <c r="AE844" s="54">
        <f>SUM(F844:AC844)</f>
        <v>0</v>
      </c>
    </row>
    <row r="845" spans="1:31" s="48" customFormat="1" ht="12" hidden="1" outlineLevel="2" thickTop="1" x14ac:dyDescent="0.2">
      <c r="A845" t="str">
        <f ca="1">Language!A$561</f>
        <v xml:space="preserve">    НДС</v>
      </c>
      <c r="B845" s="283">
        <f>VAT</f>
        <v>0.23</v>
      </c>
      <c r="C845" s="5" t="str">
        <f ca="1">CHOOSE(B839,CUR_Main,CUR_Foreign)</f>
        <v>тыс. EUR</v>
      </c>
      <c r="D845" t="str">
        <f>TEXT(B839,"0")&amp;"_02"</f>
        <v>1_02</v>
      </c>
      <c r="F845" s="53">
        <f t="shared" ref="F845:AC845" si="2318">F841-F844</f>
        <v>0</v>
      </c>
      <c r="G845" s="53">
        <f t="shared" si="2318"/>
        <v>0</v>
      </c>
      <c r="H845" s="53">
        <f t="shared" si="2318"/>
        <v>0</v>
      </c>
      <c r="I845" s="53">
        <f t="shared" si="2318"/>
        <v>0</v>
      </c>
      <c r="J845" s="53">
        <f t="shared" si="2318"/>
        <v>0</v>
      </c>
      <c r="K845" s="53">
        <f t="shared" si="2318"/>
        <v>0</v>
      </c>
      <c r="L845" s="53">
        <f t="shared" si="2318"/>
        <v>0</v>
      </c>
      <c r="M845" s="53">
        <f t="shared" si="2318"/>
        <v>0</v>
      </c>
      <c r="N845" s="53">
        <f t="shared" si="2318"/>
        <v>0</v>
      </c>
      <c r="O845" s="53">
        <f t="shared" si="2318"/>
        <v>0</v>
      </c>
      <c r="P845" s="53">
        <f t="shared" si="2318"/>
        <v>0</v>
      </c>
      <c r="Q845" s="53">
        <f t="shared" si="2318"/>
        <v>0</v>
      </c>
      <c r="R845" s="53">
        <f t="shared" si="2318"/>
        <v>0</v>
      </c>
      <c r="S845" s="53">
        <f t="shared" si="2318"/>
        <v>0</v>
      </c>
      <c r="T845" s="53">
        <f t="shared" si="2318"/>
        <v>0</v>
      </c>
      <c r="U845" s="53">
        <f t="shared" si="2318"/>
        <v>0</v>
      </c>
      <c r="V845" s="53">
        <f t="shared" si="2318"/>
        <v>0</v>
      </c>
      <c r="W845" s="53">
        <f t="shared" si="2318"/>
        <v>0</v>
      </c>
      <c r="X845" s="53">
        <f t="shared" si="2318"/>
        <v>0</v>
      </c>
      <c r="Y845" s="53">
        <f t="shared" si="2318"/>
        <v>0</v>
      </c>
      <c r="Z845" s="53">
        <f t="shared" si="2318"/>
        <v>0</v>
      </c>
      <c r="AA845" s="53">
        <f t="shared" si="2318"/>
        <v>0</v>
      </c>
      <c r="AB845" s="53">
        <f t="shared" si="2318"/>
        <v>0</v>
      </c>
      <c r="AC845" s="53">
        <f t="shared" si="2318"/>
        <v>0</v>
      </c>
      <c r="AE845" s="54">
        <f>SUM(F845:AC845)</f>
        <v>0</v>
      </c>
    </row>
    <row r="846" spans="1:31" s="48" customFormat="1" ht="12" hidden="1" outlineLevel="2" thickTop="1" x14ac:dyDescent="0.2">
      <c r="A846" t="str">
        <f ca="1">Language!A$582</f>
        <v xml:space="preserve">    оплачено расходов (без НДС)</v>
      </c>
      <c r="B846" s="81"/>
      <c r="C846" s="5" t="str">
        <f ca="1">CHOOSE(B839,CUR_Main,CUR_Foreign)</f>
        <v>тыс. EUR</v>
      </c>
      <c r="D846" t="str">
        <f>TEXT(B839,"0")&amp;"_06"</f>
        <v>1_06</v>
      </c>
      <c r="F846" s="269">
        <f t="shared" ref="F846:AC846" si="2319">F844</f>
        <v>0</v>
      </c>
      <c r="G846" s="269">
        <f t="shared" si="2319"/>
        <v>0</v>
      </c>
      <c r="H846" s="269">
        <f t="shared" si="2319"/>
        <v>0</v>
      </c>
      <c r="I846" s="269">
        <f t="shared" si="2319"/>
        <v>0</v>
      </c>
      <c r="J846" s="269">
        <f t="shared" si="2319"/>
        <v>0</v>
      </c>
      <c r="K846" s="269">
        <f t="shared" si="2319"/>
        <v>0</v>
      </c>
      <c r="L846" s="269">
        <f t="shared" si="2319"/>
        <v>0</v>
      </c>
      <c r="M846" s="269">
        <f t="shared" si="2319"/>
        <v>0</v>
      </c>
      <c r="N846" s="269">
        <f t="shared" si="2319"/>
        <v>0</v>
      </c>
      <c r="O846" s="269">
        <f t="shared" si="2319"/>
        <v>0</v>
      </c>
      <c r="P846" s="269">
        <f t="shared" si="2319"/>
        <v>0</v>
      </c>
      <c r="Q846" s="269">
        <f t="shared" si="2319"/>
        <v>0</v>
      </c>
      <c r="R846" s="269">
        <f t="shared" si="2319"/>
        <v>0</v>
      </c>
      <c r="S846" s="269">
        <f t="shared" si="2319"/>
        <v>0</v>
      </c>
      <c r="T846" s="269">
        <f t="shared" si="2319"/>
        <v>0</v>
      </c>
      <c r="U846" s="269">
        <f t="shared" si="2319"/>
        <v>0</v>
      </c>
      <c r="V846" s="269">
        <f t="shared" si="2319"/>
        <v>0</v>
      </c>
      <c r="W846" s="269">
        <f t="shared" si="2319"/>
        <v>0</v>
      </c>
      <c r="X846" s="269">
        <f t="shared" si="2319"/>
        <v>0</v>
      </c>
      <c r="Y846" s="269">
        <f t="shared" si="2319"/>
        <v>0</v>
      </c>
      <c r="Z846" s="269">
        <f t="shared" si="2319"/>
        <v>0</v>
      </c>
      <c r="AA846" s="269">
        <f t="shared" si="2319"/>
        <v>0</v>
      </c>
      <c r="AB846" s="269">
        <f t="shared" si="2319"/>
        <v>0</v>
      </c>
      <c r="AC846" s="269">
        <f t="shared" si="2319"/>
        <v>0</v>
      </c>
      <c r="AE846" s="54">
        <f>SUM(F846:AC846)</f>
        <v>0</v>
      </c>
    </row>
    <row r="847" spans="1:31" s="48" customFormat="1" ht="12" hidden="1" outlineLevel="2" thickTop="1" x14ac:dyDescent="0.2">
      <c r="A847" t="str">
        <f ca="1">Language!A$571</f>
        <v xml:space="preserve">    выплаченный НДС</v>
      </c>
      <c r="B847" s="81"/>
      <c r="C847" s="5" t="str">
        <f ca="1">CHOOSE(B839,CUR_Main,CUR_Foreign)</f>
        <v>тыс. EUR</v>
      </c>
      <c r="D847" t="str">
        <f>TEXT(B839,"0")&amp;"_07"</f>
        <v>1_07</v>
      </c>
      <c r="F847" s="53">
        <f t="shared" ref="F847:AC847" si="2320">F846*$B845</f>
        <v>0</v>
      </c>
      <c r="G847" s="53">
        <f t="shared" si="2320"/>
        <v>0</v>
      </c>
      <c r="H847" s="53">
        <f t="shared" si="2320"/>
        <v>0</v>
      </c>
      <c r="I847" s="53">
        <f t="shared" si="2320"/>
        <v>0</v>
      </c>
      <c r="J847" s="53">
        <f t="shared" si="2320"/>
        <v>0</v>
      </c>
      <c r="K847" s="53">
        <f t="shared" si="2320"/>
        <v>0</v>
      </c>
      <c r="L847" s="53">
        <f t="shared" si="2320"/>
        <v>0</v>
      </c>
      <c r="M847" s="53">
        <f t="shared" si="2320"/>
        <v>0</v>
      </c>
      <c r="N847" s="53">
        <f t="shared" si="2320"/>
        <v>0</v>
      </c>
      <c r="O847" s="53">
        <f t="shared" si="2320"/>
        <v>0</v>
      </c>
      <c r="P847" s="53">
        <f t="shared" si="2320"/>
        <v>0</v>
      </c>
      <c r="Q847" s="53">
        <f t="shared" si="2320"/>
        <v>0</v>
      </c>
      <c r="R847" s="53">
        <f t="shared" si="2320"/>
        <v>0</v>
      </c>
      <c r="S847" s="53">
        <f t="shared" si="2320"/>
        <v>0</v>
      </c>
      <c r="T847" s="53">
        <f t="shared" si="2320"/>
        <v>0</v>
      </c>
      <c r="U847" s="53">
        <f t="shared" si="2320"/>
        <v>0</v>
      </c>
      <c r="V847" s="53">
        <f t="shared" si="2320"/>
        <v>0</v>
      </c>
      <c r="W847" s="53">
        <f t="shared" si="2320"/>
        <v>0</v>
      </c>
      <c r="X847" s="53">
        <f t="shared" si="2320"/>
        <v>0</v>
      </c>
      <c r="Y847" s="53">
        <f t="shared" si="2320"/>
        <v>0</v>
      </c>
      <c r="Z847" s="53">
        <f t="shared" si="2320"/>
        <v>0</v>
      </c>
      <c r="AA847" s="53">
        <f t="shared" si="2320"/>
        <v>0</v>
      </c>
      <c r="AB847" s="53">
        <f t="shared" si="2320"/>
        <v>0</v>
      </c>
      <c r="AC847" s="53">
        <f t="shared" si="2320"/>
        <v>0</v>
      </c>
      <c r="AE847" s="54">
        <f>SUM(F847:AC847)</f>
        <v>0</v>
      </c>
    </row>
    <row r="848" spans="1:31" ht="12" hidden="1" outlineLevel="2" thickTop="1" x14ac:dyDescent="0.2">
      <c r="A848" t="str">
        <f ca="1">Language!A$572</f>
        <v xml:space="preserve">    кредиторская задолженность</v>
      </c>
      <c r="C848" s="5" t="str">
        <f ca="1">CHOOSE(B839,CUR_Main,CUR_Foreign)</f>
        <v>тыс. EUR</v>
      </c>
      <c r="D848" t="str">
        <f>TEXT(B839,"0")&amp;"_08"&amp;";int_end"</f>
        <v>1_08;int_end</v>
      </c>
      <c r="F848" s="53">
        <f>IF(SUM(E844:F844)&gt;=0,MAX(SUM($F844:F844)+SUM($F845:F845)-SUM($F846:F846)-SUM($F847:F847),0),MIN(SUM($F844:F844)+SUM($F845:F845)-SUM($F846:F846)-SUM($F847:F847),0))</f>
        <v>0</v>
      </c>
      <c r="G848" s="53">
        <f>IF(SUM(F844:G844)&gt;=0,MAX(SUM($F844:G844)+SUM($F845:G845)-SUM($F846:G846)-SUM($F847:G847),0),MIN(SUM($F844:G844)+SUM($F845:G845)-SUM($F846:G846)-SUM($F847:G847),0))</f>
        <v>0</v>
      </c>
      <c r="H848" s="53">
        <f>IF(SUM(G844:H844)&gt;=0,MAX(SUM($F844:H844)+SUM($F845:H845)-SUM($F846:H846)-SUM($F847:H847),0),MIN(SUM($F844:H844)+SUM($F845:H845)-SUM($F846:H846)-SUM($F847:H847),0))</f>
        <v>0</v>
      </c>
      <c r="I848" s="53">
        <f>IF(SUM(H844:I844)&gt;=0,MAX(SUM($F844:I844)+SUM($F845:I845)-SUM($F846:I846)-SUM($F847:I847),0),MIN(SUM($F844:I844)+SUM($F845:I845)-SUM($F846:I846)-SUM($F847:I847),0))</f>
        <v>0</v>
      </c>
      <c r="J848" s="53">
        <f>IF(SUM(I844:J844)&gt;=0,MAX(SUM($F844:J844)+SUM($F845:J845)-SUM($F846:J846)-SUM($F847:J847),0),MIN(SUM($F844:J844)+SUM($F845:J845)-SUM($F846:J846)-SUM($F847:J847),0))</f>
        <v>0</v>
      </c>
      <c r="K848" s="53">
        <f>IF(SUM(J844:K844)&gt;=0,MAX(SUM($F844:K844)+SUM($F845:K845)-SUM($F846:K846)-SUM($F847:K847),0),MIN(SUM($F844:K844)+SUM($F845:K845)-SUM($F846:K846)-SUM($F847:K847),0))</f>
        <v>0</v>
      </c>
      <c r="L848" s="53">
        <f>IF(SUM(K844:L844)&gt;=0,MAX(SUM($F844:L844)+SUM($F845:L845)-SUM($F846:L846)-SUM($F847:L847),0),MIN(SUM($F844:L844)+SUM($F845:L845)-SUM($F846:L846)-SUM($F847:L847),0))</f>
        <v>0</v>
      </c>
      <c r="M848" s="53">
        <f>IF(SUM(L844:M844)&gt;=0,MAX(SUM($F844:M844)+SUM($F845:M845)-SUM($F846:M846)-SUM($F847:M847),0),MIN(SUM($F844:M844)+SUM($F845:M845)-SUM($F846:M846)-SUM($F847:M847),0))</f>
        <v>0</v>
      </c>
      <c r="N848" s="53">
        <f>IF(SUM(M844:N844)&gt;=0,MAX(SUM($F844:N844)+SUM($F845:N845)-SUM($F846:N846)-SUM($F847:N847),0),MIN(SUM($F844:N844)+SUM($F845:N845)-SUM($F846:N846)-SUM($F847:N847),0))</f>
        <v>0</v>
      </c>
      <c r="O848" s="53">
        <f>IF(SUM(N844:O844)&gt;=0,MAX(SUM($F844:O844)+SUM($F845:O845)-SUM($F846:O846)-SUM($F847:O847),0),MIN(SUM($F844:O844)+SUM($F845:O845)-SUM($F846:O846)-SUM($F847:O847),0))</f>
        <v>0</v>
      </c>
      <c r="P848" s="53">
        <f>IF(SUM(O844:P844)&gt;=0,MAX(SUM($F844:P844)+SUM($F845:P845)-SUM($F846:P846)-SUM($F847:P847),0),MIN(SUM($F844:P844)+SUM($F845:P845)-SUM($F846:P846)-SUM($F847:P847),0))</f>
        <v>0</v>
      </c>
      <c r="Q848" s="53">
        <f>IF(SUM(P844:Q844)&gt;=0,MAX(SUM($F844:Q844)+SUM($F845:Q845)-SUM($F846:Q846)-SUM($F847:Q847),0),MIN(SUM($F844:Q844)+SUM($F845:Q845)-SUM($F846:Q846)-SUM($F847:Q847),0))</f>
        <v>0</v>
      </c>
      <c r="R848" s="53">
        <f>IF(SUM(Q844:R844)&gt;=0,MAX(SUM($F844:R844)+SUM($F845:R845)-SUM($F846:R846)-SUM($F847:R847),0),MIN(SUM($F844:R844)+SUM($F845:R845)-SUM($F846:R846)-SUM($F847:R847),0))</f>
        <v>0</v>
      </c>
      <c r="S848" s="53">
        <f>IF(SUM(R844:S844)&gt;=0,MAX(SUM($F844:S844)+SUM($F845:S845)-SUM($F846:S846)-SUM($F847:S847),0),MIN(SUM($F844:S844)+SUM($F845:S845)-SUM($F846:S846)-SUM($F847:S847),0))</f>
        <v>0</v>
      </c>
      <c r="T848" s="53">
        <f>IF(SUM(S844:T844)&gt;=0,MAX(SUM($F844:T844)+SUM($F845:T845)-SUM($F846:T846)-SUM($F847:T847),0),MIN(SUM($F844:T844)+SUM($F845:T845)-SUM($F846:T846)-SUM($F847:T847),0))</f>
        <v>0</v>
      </c>
      <c r="U848" s="53">
        <f>IF(SUM(T844:U844)&gt;=0,MAX(SUM($F844:U844)+SUM($F845:U845)-SUM($F846:U846)-SUM($F847:U847),0),MIN(SUM($F844:U844)+SUM($F845:U845)-SUM($F846:U846)-SUM($F847:U847),0))</f>
        <v>0</v>
      </c>
      <c r="V848" s="53">
        <f>IF(SUM(U844:V844)&gt;=0,MAX(SUM($F844:V844)+SUM($F845:V845)-SUM($F846:V846)-SUM($F847:V847),0),MIN(SUM($F844:V844)+SUM($F845:V845)-SUM($F846:V846)-SUM($F847:V847),0))</f>
        <v>0</v>
      </c>
      <c r="W848" s="53">
        <f>IF(SUM(V844:W844)&gt;=0,MAX(SUM($F844:W844)+SUM($F845:W845)-SUM($F846:W846)-SUM($F847:W847),0),MIN(SUM($F844:W844)+SUM($F845:W845)-SUM($F846:W846)-SUM($F847:W847),0))</f>
        <v>0</v>
      </c>
      <c r="X848" s="53">
        <f>IF(SUM(W844:X844)&gt;=0,MAX(SUM($F844:X844)+SUM($F845:X845)-SUM($F846:X846)-SUM($F847:X847),0),MIN(SUM($F844:X844)+SUM($F845:X845)-SUM($F846:X846)-SUM($F847:X847),0))</f>
        <v>0</v>
      </c>
      <c r="Y848" s="53">
        <f>IF(SUM(X844:Y844)&gt;=0,MAX(SUM($F844:Y844)+SUM($F845:Y845)-SUM($F846:Y846)-SUM($F847:Y847),0),MIN(SUM($F844:Y844)+SUM($F845:Y845)-SUM($F846:Y846)-SUM($F847:Y847),0))</f>
        <v>0</v>
      </c>
      <c r="Z848" s="53">
        <f>IF(SUM(Y844:Z844)&gt;=0,MAX(SUM($F844:Z844)+SUM($F845:Z845)-SUM($F846:Z846)-SUM($F847:Z847),0),MIN(SUM($F844:Z844)+SUM($F845:Z845)-SUM($F846:Z846)-SUM($F847:Z847),0))</f>
        <v>0</v>
      </c>
      <c r="AA848" s="53">
        <f>IF(SUM(Z844:AA844)&gt;=0,MAX(SUM($F844:AA844)+SUM($F845:AA845)-SUM($F846:AA846)-SUM($F847:AA847),0),MIN(SUM($F844:AA844)+SUM($F845:AA845)-SUM($F846:AA846)-SUM($F847:AA847),0))</f>
        <v>0</v>
      </c>
      <c r="AB848" s="53">
        <f>IF(SUM(AA844:AB844)&gt;=0,MAX(SUM($F844:AB844)+SUM($F845:AB845)-SUM($F846:AB846)-SUM($F847:AB847),0),MIN(SUM($F844:AB844)+SUM($F845:AB845)-SUM($F846:AB846)-SUM($F847:AB847),0))</f>
        <v>0</v>
      </c>
      <c r="AC848" s="53">
        <f>IF(SUM(AB844:AC844)&gt;=0,MAX(SUM($F844:AC844)+SUM($F845:AC845)-SUM($F846:AC846)-SUM($F847:AC847),0),MIN(SUM($F844:AC844)+SUM($F845:AC845)-SUM($F846:AC846)-SUM($F847:AC847),0))</f>
        <v>0</v>
      </c>
    </row>
    <row r="849" spans="1:31" ht="12" hidden="1" outlineLevel="2" thickTop="1" x14ac:dyDescent="0.2">
      <c r="A849" t="str">
        <f ca="1">Language!A$573</f>
        <v xml:space="preserve">    выплаченные авансы</v>
      </c>
      <c r="C849" s="5" t="str">
        <f ca="1">CHOOSE(B839,CUR_Main,CUR_Foreign)</f>
        <v>тыс. EUR</v>
      </c>
      <c r="D849" t="str">
        <f>TEXT(B839,"0")&amp;"_09"&amp;";int_end"</f>
        <v>1_09;int_end</v>
      </c>
      <c r="F849" s="53">
        <f>IF(SUM(E844:F844)&gt;=0,MAX(SUM($F846:F846)+SUM($F847:F847)-SUM($F844:F844)-SUM($F845:F845),0),MIN(SUM($F846:F846)+SUM($F847:F847)-SUM($F844:F844)-SUM($F845:F845),0))</f>
        <v>0</v>
      </c>
      <c r="G849" s="53">
        <f>IF(SUM(F844:G844)&gt;=0,MAX(SUM($F846:G846)+SUM($F847:G847)-SUM($F844:G844)-SUM($F845:G845),0),MIN(SUM($F846:G846)+SUM($F847:G847)-SUM($F844:G844)-SUM($F845:G845),0))</f>
        <v>0</v>
      </c>
      <c r="H849" s="53">
        <f>IF(SUM(G844:H844)&gt;=0,MAX(SUM($F846:H846)+SUM($F847:H847)-SUM($F844:H844)-SUM($F845:H845),0),MIN(SUM($F846:H846)+SUM($F847:H847)-SUM($F844:H844)-SUM($F845:H845),0))</f>
        <v>0</v>
      </c>
      <c r="I849" s="53">
        <f>IF(SUM(H844:I844)&gt;=0,MAX(SUM($F846:I846)+SUM($F847:I847)-SUM($F844:I844)-SUM($F845:I845),0),MIN(SUM($F846:I846)+SUM($F847:I847)-SUM($F844:I844)-SUM($F845:I845),0))</f>
        <v>0</v>
      </c>
      <c r="J849" s="53">
        <f>IF(SUM(I844:J844)&gt;=0,MAX(SUM($F846:J846)+SUM($F847:J847)-SUM($F844:J844)-SUM($F845:J845),0),MIN(SUM($F846:J846)+SUM($F847:J847)-SUM($F844:J844)-SUM($F845:J845),0))</f>
        <v>0</v>
      </c>
      <c r="K849" s="53">
        <f>IF(SUM(J844:K844)&gt;=0,MAX(SUM($F846:K846)+SUM($F847:K847)-SUM($F844:K844)-SUM($F845:K845),0),MIN(SUM($F846:K846)+SUM($F847:K847)-SUM($F844:K844)-SUM($F845:K845),0))</f>
        <v>0</v>
      </c>
      <c r="L849" s="53">
        <f>IF(SUM(K844:L844)&gt;=0,MAX(SUM($F846:L846)+SUM($F847:L847)-SUM($F844:L844)-SUM($F845:L845),0),MIN(SUM($F846:L846)+SUM($F847:L847)-SUM($F844:L844)-SUM($F845:L845),0))</f>
        <v>0</v>
      </c>
      <c r="M849" s="53">
        <f>IF(SUM(L844:M844)&gt;=0,MAX(SUM($F846:M846)+SUM($F847:M847)-SUM($F844:M844)-SUM($F845:M845),0),MIN(SUM($F846:M846)+SUM($F847:M847)-SUM($F844:M844)-SUM($F845:M845),0))</f>
        <v>0</v>
      </c>
      <c r="N849" s="53">
        <f>IF(SUM(M844:N844)&gt;=0,MAX(SUM($F846:N846)+SUM($F847:N847)-SUM($F844:N844)-SUM($F845:N845),0),MIN(SUM($F846:N846)+SUM($F847:N847)-SUM($F844:N844)-SUM($F845:N845),0))</f>
        <v>0</v>
      </c>
      <c r="O849" s="53">
        <f>IF(SUM(N844:O844)&gt;=0,MAX(SUM($F846:O846)+SUM($F847:O847)-SUM($F844:O844)-SUM($F845:O845),0),MIN(SUM($F846:O846)+SUM($F847:O847)-SUM($F844:O844)-SUM($F845:O845),0))</f>
        <v>0</v>
      </c>
      <c r="P849" s="53">
        <f>IF(SUM(O844:P844)&gt;=0,MAX(SUM($F846:P846)+SUM($F847:P847)-SUM($F844:P844)-SUM($F845:P845),0),MIN(SUM($F846:P846)+SUM($F847:P847)-SUM($F844:P844)-SUM($F845:P845),0))</f>
        <v>0</v>
      </c>
      <c r="Q849" s="53">
        <f>IF(SUM(P844:Q844)&gt;=0,MAX(SUM($F846:Q846)+SUM($F847:Q847)-SUM($F844:Q844)-SUM($F845:Q845),0),MIN(SUM($F846:Q846)+SUM($F847:Q847)-SUM($F844:Q844)-SUM($F845:Q845),0))</f>
        <v>0</v>
      </c>
      <c r="R849" s="53">
        <f>IF(SUM(Q844:R844)&gt;=0,MAX(SUM($F846:R846)+SUM($F847:R847)-SUM($F844:R844)-SUM($F845:R845),0),MIN(SUM($F846:R846)+SUM($F847:R847)-SUM($F844:R844)-SUM($F845:R845),0))</f>
        <v>0</v>
      </c>
      <c r="S849" s="53">
        <f>IF(SUM(R844:S844)&gt;=0,MAX(SUM($F846:S846)+SUM($F847:S847)-SUM($F844:S844)-SUM($F845:S845),0),MIN(SUM($F846:S846)+SUM($F847:S847)-SUM($F844:S844)-SUM($F845:S845),0))</f>
        <v>0</v>
      </c>
      <c r="T849" s="53">
        <f>IF(SUM(S844:T844)&gt;=0,MAX(SUM($F846:T846)+SUM($F847:T847)-SUM($F844:T844)-SUM($F845:T845),0),MIN(SUM($F846:T846)+SUM($F847:T847)-SUM($F844:T844)-SUM($F845:T845),0))</f>
        <v>0</v>
      </c>
      <c r="U849" s="53">
        <f>IF(SUM(T844:U844)&gt;=0,MAX(SUM($F846:U846)+SUM($F847:U847)-SUM($F844:U844)-SUM($F845:U845),0),MIN(SUM($F846:U846)+SUM($F847:U847)-SUM($F844:U844)-SUM($F845:U845),0))</f>
        <v>0</v>
      </c>
      <c r="V849" s="53">
        <f>IF(SUM(U844:V844)&gt;=0,MAX(SUM($F846:V846)+SUM($F847:V847)-SUM($F844:V844)-SUM($F845:V845),0),MIN(SUM($F846:V846)+SUM($F847:V847)-SUM($F844:V844)-SUM($F845:V845),0))</f>
        <v>0</v>
      </c>
      <c r="W849" s="53">
        <f>IF(SUM(V844:W844)&gt;=0,MAX(SUM($F846:W846)+SUM($F847:W847)-SUM($F844:W844)-SUM($F845:W845),0),MIN(SUM($F846:W846)+SUM($F847:W847)-SUM($F844:W844)-SUM($F845:W845),0))</f>
        <v>0</v>
      </c>
      <c r="X849" s="53">
        <f>IF(SUM(W844:X844)&gt;=0,MAX(SUM($F846:X846)+SUM($F847:X847)-SUM($F844:X844)-SUM($F845:X845),0),MIN(SUM($F846:X846)+SUM($F847:X847)-SUM($F844:X844)-SUM($F845:X845),0))</f>
        <v>0</v>
      </c>
      <c r="Y849" s="53">
        <f>IF(SUM(X844:Y844)&gt;=0,MAX(SUM($F846:Y846)+SUM($F847:Y847)-SUM($F844:Y844)-SUM($F845:Y845),0),MIN(SUM($F846:Y846)+SUM($F847:Y847)-SUM($F844:Y844)-SUM($F845:Y845),0))</f>
        <v>0</v>
      </c>
      <c r="Z849" s="53">
        <f>IF(SUM(Y844:Z844)&gt;=0,MAX(SUM($F846:Z846)+SUM($F847:Z847)-SUM($F844:Z844)-SUM($F845:Z845),0),MIN(SUM($F846:Z846)+SUM($F847:Z847)-SUM($F844:Z844)-SUM($F845:Z845),0))</f>
        <v>0</v>
      </c>
      <c r="AA849" s="53">
        <f>IF(SUM(Z844:AA844)&gt;=0,MAX(SUM($F846:AA846)+SUM($F847:AA847)-SUM($F844:AA844)-SUM($F845:AA845),0),MIN(SUM($F846:AA846)+SUM($F847:AA847)-SUM($F844:AA844)-SUM($F845:AA845),0))</f>
        <v>0</v>
      </c>
      <c r="AB849" s="53">
        <f>IF(SUM(AA844:AB844)&gt;=0,MAX(SUM($F846:AB846)+SUM($F847:AB847)-SUM($F844:AB844)-SUM($F845:AB845),0),MIN(SUM($F846:AB846)+SUM($F847:AB847)-SUM($F844:AB844)-SUM($F845:AB845),0))</f>
        <v>0</v>
      </c>
      <c r="AC849" s="53">
        <f>IF(SUM(AB844:AC844)&gt;=0,MAX(SUM($F846:AC846)+SUM($F847:AC847)-SUM($F844:AC844)-SUM($F845:AC845),0),MIN(SUM($F846:AC846)+SUM($F847:AC847)-SUM($F844:AC844)-SUM($F845:AC845),0))</f>
        <v>0</v>
      </c>
    </row>
    <row r="850" spans="1:31" ht="12" hidden="1" outlineLevel="2" thickTop="1" x14ac:dyDescent="0.2">
      <c r="A850" t="str">
        <f ca="1">Language!A$574</f>
        <v xml:space="preserve">    списано затрат на реализованную продукцию</v>
      </c>
      <c r="C850" s="5" t="str">
        <f ca="1">CHOOSE(B839,CUR_Main,CUR_Foreign)</f>
        <v>тыс. EUR</v>
      </c>
      <c r="D850" t="str">
        <f>TEXT(B839,"0")&amp;"_10"</f>
        <v>1_10</v>
      </c>
      <c r="F850" s="53">
        <f t="shared" ref="F850:AC850" si="2321">IF((E733+F731)&gt;0,F732*(E851+F844)/(E733+F731),0)</f>
        <v>0</v>
      </c>
      <c r="G850" s="53">
        <f t="shared" si="2321"/>
        <v>0</v>
      </c>
      <c r="H850" s="53">
        <f t="shared" si="2321"/>
        <v>0</v>
      </c>
      <c r="I850" s="53">
        <f t="shared" si="2321"/>
        <v>0</v>
      </c>
      <c r="J850" s="53">
        <f t="shared" si="2321"/>
        <v>0</v>
      </c>
      <c r="K850" s="53">
        <f t="shared" si="2321"/>
        <v>0</v>
      </c>
      <c r="L850" s="53">
        <f t="shared" si="2321"/>
        <v>0</v>
      </c>
      <c r="M850" s="53">
        <f t="shared" si="2321"/>
        <v>0</v>
      </c>
      <c r="N850" s="53">
        <f t="shared" si="2321"/>
        <v>0</v>
      </c>
      <c r="O850" s="53">
        <f t="shared" si="2321"/>
        <v>0</v>
      </c>
      <c r="P850" s="53">
        <f t="shared" si="2321"/>
        <v>0</v>
      </c>
      <c r="Q850" s="53">
        <f t="shared" si="2321"/>
        <v>0</v>
      </c>
      <c r="R850" s="53">
        <f t="shared" si="2321"/>
        <v>0</v>
      </c>
      <c r="S850" s="53">
        <f t="shared" si="2321"/>
        <v>0</v>
      </c>
      <c r="T850" s="53">
        <f t="shared" si="2321"/>
        <v>0</v>
      </c>
      <c r="U850" s="53">
        <f t="shared" si="2321"/>
        <v>0</v>
      </c>
      <c r="V850" s="53">
        <f t="shared" si="2321"/>
        <v>0</v>
      </c>
      <c r="W850" s="53">
        <f t="shared" si="2321"/>
        <v>0</v>
      </c>
      <c r="X850" s="53">
        <f t="shared" si="2321"/>
        <v>0</v>
      </c>
      <c r="Y850" s="53">
        <f t="shared" si="2321"/>
        <v>0</v>
      </c>
      <c r="Z850" s="53">
        <f t="shared" si="2321"/>
        <v>0</v>
      </c>
      <c r="AA850" s="53">
        <f t="shared" si="2321"/>
        <v>0</v>
      </c>
      <c r="AB850" s="53">
        <f t="shared" si="2321"/>
        <v>0</v>
      </c>
      <c r="AC850" s="53">
        <f t="shared" si="2321"/>
        <v>0</v>
      </c>
      <c r="AE850" s="54">
        <f>SUM(F850:AC850)</f>
        <v>0</v>
      </c>
    </row>
    <row r="851" spans="1:31" ht="12" hidden="1" outlineLevel="2" thickTop="1" x14ac:dyDescent="0.2">
      <c r="A851" s="48" t="str">
        <f ca="1">Language!A$575</f>
        <v xml:space="preserve">    остаток затрат на складе готовой продукции</v>
      </c>
      <c r="C851" s="5" t="str">
        <f ca="1">CHOOSE(B839,CUR_Main,CUR_Foreign)</f>
        <v>тыс. EUR</v>
      </c>
      <c r="D851" t="str">
        <f>TEXT(B839,"0")&amp;"_11"&amp;";int_end"</f>
        <v>1_11;int_end</v>
      </c>
      <c r="F851" s="84">
        <f>SUM($F844:F844)-SUM($F850:F850)</f>
        <v>0</v>
      </c>
      <c r="G851" s="84">
        <f>SUM($F844:G844)-SUM($F850:G850)</f>
        <v>0</v>
      </c>
      <c r="H851" s="84">
        <f>SUM($F844:H844)-SUM($F850:H850)</f>
        <v>0</v>
      </c>
      <c r="I851" s="84">
        <f>SUM($F844:I844)-SUM($F850:I850)</f>
        <v>0</v>
      </c>
      <c r="J851" s="84">
        <f>SUM($F844:J844)-SUM($F850:J850)</f>
        <v>0</v>
      </c>
      <c r="K851" s="84">
        <f>SUM($F844:K844)-SUM($F850:K850)</f>
        <v>0</v>
      </c>
      <c r="L851" s="84">
        <f>SUM($F844:L844)-SUM($F850:L850)</f>
        <v>0</v>
      </c>
      <c r="M851" s="84">
        <f>SUM($F844:M844)-SUM($F850:M850)</f>
        <v>0</v>
      </c>
      <c r="N851" s="84">
        <f>SUM($F844:N844)-SUM($F850:N850)</f>
        <v>0</v>
      </c>
      <c r="O851" s="84">
        <f>SUM($F844:O844)-SUM($F850:O850)</f>
        <v>0</v>
      </c>
      <c r="P851" s="84">
        <f>SUM($F844:P844)-SUM($F850:P850)</f>
        <v>0</v>
      </c>
      <c r="Q851" s="84">
        <f>SUM($F844:Q844)-SUM($F850:Q850)</f>
        <v>0</v>
      </c>
      <c r="R851" s="84">
        <f>SUM($F844:R844)-SUM($F850:R850)</f>
        <v>0</v>
      </c>
      <c r="S851" s="84">
        <f>SUM($F844:S844)-SUM($F850:S850)</f>
        <v>0</v>
      </c>
      <c r="T851" s="84">
        <f>SUM($F844:T844)-SUM($F850:T850)</f>
        <v>0</v>
      </c>
      <c r="U851" s="84">
        <f>SUM($F844:U844)-SUM($F850:U850)</f>
        <v>0</v>
      </c>
      <c r="V851" s="84">
        <f>SUM($F844:V844)-SUM($F850:V850)</f>
        <v>0</v>
      </c>
      <c r="W851" s="84">
        <f>SUM($F844:W844)-SUM($F850:W850)</f>
        <v>0</v>
      </c>
      <c r="X851" s="84">
        <f>SUM($F844:X844)-SUM($F850:X850)</f>
        <v>0</v>
      </c>
      <c r="Y851" s="84">
        <f>SUM($F844:Y844)-SUM($F850:Y850)</f>
        <v>0</v>
      </c>
      <c r="Z851" s="84">
        <f>SUM($F844:Z844)-SUM($F850:Z850)</f>
        <v>0</v>
      </c>
      <c r="AA851" s="84">
        <f>SUM($F844:AA844)-SUM($F850:AA850)</f>
        <v>0</v>
      </c>
      <c r="AB851" s="84">
        <f>SUM($F844:AB844)-SUM($F850:AB850)</f>
        <v>0</v>
      </c>
      <c r="AC851" s="84">
        <f>SUM($F844:AC844)-SUM($F850:AC850)</f>
        <v>0</v>
      </c>
    </row>
    <row r="852" spans="1:31" ht="12" hidden="1" outlineLevel="2" thickTop="1" x14ac:dyDescent="0.2">
      <c r="A852" s="48" t="str">
        <f ca="1">Language!A$576</f>
        <v xml:space="preserve">    остаток затрат в незавершенном производстве</v>
      </c>
      <c r="B852" s="254">
        <f>NWC_T_Cycle</f>
        <v>0</v>
      </c>
      <c r="C852" s="5" t="str">
        <f ca="1">Language!A$38</f>
        <v>дн.</v>
      </c>
      <c r="D852" t="str">
        <f>TEXT(B839,"0")&amp;"_12"&amp;";int_end"</f>
        <v>1_12;int_end</v>
      </c>
      <c r="F852" s="84">
        <f t="shared" ref="F852:AC852" si="2322">F844*$B852/PRJ_Step</f>
        <v>0</v>
      </c>
      <c r="G852" s="84">
        <f t="shared" si="2322"/>
        <v>0</v>
      </c>
      <c r="H852" s="84">
        <f t="shared" si="2322"/>
        <v>0</v>
      </c>
      <c r="I852" s="84">
        <f t="shared" si="2322"/>
        <v>0</v>
      </c>
      <c r="J852" s="84">
        <f t="shared" si="2322"/>
        <v>0</v>
      </c>
      <c r="K852" s="84">
        <f t="shared" si="2322"/>
        <v>0</v>
      </c>
      <c r="L852" s="84">
        <f t="shared" si="2322"/>
        <v>0</v>
      </c>
      <c r="M852" s="84">
        <f t="shared" si="2322"/>
        <v>0</v>
      </c>
      <c r="N852" s="84">
        <f t="shared" si="2322"/>
        <v>0</v>
      </c>
      <c r="O852" s="84">
        <f t="shared" si="2322"/>
        <v>0</v>
      </c>
      <c r="P852" s="84">
        <f t="shared" si="2322"/>
        <v>0</v>
      </c>
      <c r="Q852" s="84">
        <f t="shared" si="2322"/>
        <v>0</v>
      </c>
      <c r="R852" s="84">
        <f t="shared" si="2322"/>
        <v>0</v>
      </c>
      <c r="S852" s="84">
        <f t="shared" si="2322"/>
        <v>0</v>
      </c>
      <c r="T852" s="84">
        <f t="shared" si="2322"/>
        <v>0</v>
      </c>
      <c r="U852" s="84">
        <f t="shared" si="2322"/>
        <v>0</v>
      </c>
      <c r="V852" s="84">
        <f t="shared" si="2322"/>
        <v>0</v>
      </c>
      <c r="W852" s="84">
        <f t="shared" si="2322"/>
        <v>0</v>
      </c>
      <c r="X852" s="84">
        <f t="shared" si="2322"/>
        <v>0</v>
      </c>
      <c r="Y852" s="84">
        <f t="shared" si="2322"/>
        <v>0</v>
      </c>
      <c r="Z852" s="84">
        <f t="shared" si="2322"/>
        <v>0</v>
      </c>
      <c r="AA852" s="84">
        <f t="shared" si="2322"/>
        <v>0</v>
      </c>
      <c r="AB852" s="84">
        <f t="shared" si="2322"/>
        <v>0</v>
      </c>
      <c r="AC852" s="84">
        <f t="shared" si="2322"/>
        <v>0</v>
      </c>
    </row>
    <row r="853" spans="1:31" s="48" customFormat="1" ht="12" hidden="1" outlineLevel="1" thickTop="1" x14ac:dyDescent="0.2">
      <c r="B853" s="81"/>
      <c r="C853" s="73"/>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E853" s="91"/>
    </row>
    <row r="854" spans="1:31" s="48" customFormat="1" hidden="1" outlineLevel="1" collapsed="1" x14ac:dyDescent="0.2">
      <c r="A854" s="35" t="str">
        <f ca="1">Language!A548</f>
        <v xml:space="preserve"> = Итого</v>
      </c>
      <c r="B854" s="81"/>
      <c r="C854" s="5" t="str">
        <f t="shared" ref="C854:C863" ca="1" si="2323">CUR_Main</f>
        <v>тыс. EUR</v>
      </c>
      <c r="F854" s="56">
        <f ca="1">SUMIF($D821:OFFSET($D854,-1,0),"*1_00*",F821:OFFSET(F854,-1,0))+SUMIF($D821:OFFSET($D854,-1,0),"*2_00*",F821:OFFSET(F854,-1,0))*F$88</f>
        <v>0</v>
      </c>
      <c r="G854" s="56">
        <f ca="1">SUMIF($D821:OFFSET($D854,-1,0),"*1_00*",G821:OFFSET(G854,-1,0))+SUMIF($D821:OFFSET($D854,-1,0),"*2_00*",G821:OFFSET(G854,-1,0))*G$88</f>
        <v>0</v>
      </c>
      <c r="H854" s="56">
        <f ca="1">SUMIF($D821:OFFSET($D854,-1,0),"*1_00*",H821:OFFSET(H854,-1,0))+SUMIF($D821:OFFSET($D854,-1,0),"*2_00*",H821:OFFSET(H854,-1,0))*H$88</f>
        <v>0</v>
      </c>
      <c r="I854" s="56">
        <f ca="1">SUMIF($D821:OFFSET($D854,-1,0),"*1_00*",I821:OFFSET(I854,-1,0))+SUMIF($D821:OFFSET($D854,-1,0),"*2_00*",I821:OFFSET(I854,-1,0))*I$88</f>
        <v>0</v>
      </c>
      <c r="J854" s="56">
        <f ca="1">SUMIF($D821:OFFSET($D854,-1,0),"*1_00*",J821:OFFSET(J854,-1,0))+SUMIF($D821:OFFSET($D854,-1,0),"*2_00*",J821:OFFSET(J854,-1,0))*J$88</f>
        <v>0</v>
      </c>
      <c r="K854" s="56">
        <f ca="1">SUMIF($D821:OFFSET($D854,-1,0),"*1_00*",K821:OFFSET(K854,-1,0))+SUMIF($D821:OFFSET($D854,-1,0),"*2_00*",K821:OFFSET(K854,-1,0))*K$88</f>
        <v>0</v>
      </c>
      <c r="L854" s="56">
        <f ca="1">SUMIF($D821:OFFSET($D854,-1,0),"*1_00*",L821:OFFSET(L854,-1,0))+SUMIF($D821:OFFSET($D854,-1,0),"*2_00*",L821:OFFSET(L854,-1,0))*L$88</f>
        <v>0</v>
      </c>
      <c r="M854" s="56">
        <f ca="1">SUMIF($D821:OFFSET($D854,-1,0),"*1_00*",M821:OFFSET(M854,-1,0))+SUMIF($D821:OFFSET($D854,-1,0),"*2_00*",M821:OFFSET(M854,-1,0))*M$88</f>
        <v>0</v>
      </c>
      <c r="N854" s="56">
        <f ca="1">SUMIF($D821:OFFSET($D854,-1,0),"*1_00*",N821:OFFSET(N854,-1,0))+SUMIF($D821:OFFSET($D854,-1,0),"*2_00*",N821:OFFSET(N854,-1,0))*N$88</f>
        <v>0</v>
      </c>
      <c r="O854" s="56">
        <f ca="1">SUMIF($D821:OFFSET($D854,-1,0),"*1_00*",O821:OFFSET(O854,-1,0))+SUMIF($D821:OFFSET($D854,-1,0),"*2_00*",O821:OFFSET(O854,-1,0))*O$88</f>
        <v>0</v>
      </c>
      <c r="P854" s="56">
        <f ca="1">SUMIF($D821:OFFSET($D854,-1,0),"*1_00*",P821:OFFSET(P854,-1,0))+SUMIF($D821:OFFSET($D854,-1,0),"*2_00*",P821:OFFSET(P854,-1,0))*P$88</f>
        <v>0</v>
      </c>
      <c r="Q854" s="56">
        <f ca="1">SUMIF($D821:OFFSET($D854,-1,0),"*1_00*",Q821:OFFSET(Q854,-1,0))+SUMIF($D821:OFFSET($D854,-1,0),"*2_00*",Q821:OFFSET(Q854,-1,0))*Q$88</f>
        <v>0</v>
      </c>
      <c r="R854" s="56">
        <f ca="1">SUMIF($D821:OFFSET($D854,-1,0),"*1_00*",R821:OFFSET(R854,-1,0))+SUMIF($D821:OFFSET($D854,-1,0),"*2_00*",R821:OFFSET(R854,-1,0))*R$88</f>
        <v>0</v>
      </c>
      <c r="S854" s="56">
        <f ca="1">SUMIF($D821:OFFSET($D854,-1,0),"*1_00*",S821:OFFSET(S854,-1,0))+SUMIF($D821:OFFSET($D854,-1,0),"*2_00*",S821:OFFSET(S854,-1,0))*S$88</f>
        <v>0</v>
      </c>
      <c r="T854" s="56">
        <f ca="1">SUMIF($D821:OFFSET($D854,-1,0),"*1_00*",T821:OFFSET(T854,-1,0))+SUMIF($D821:OFFSET($D854,-1,0),"*2_00*",T821:OFFSET(T854,-1,0))*T$88</f>
        <v>0</v>
      </c>
      <c r="U854" s="56">
        <f ca="1">SUMIF($D821:OFFSET($D854,-1,0),"*1_00*",U821:OFFSET(U854,-1,0))+SUMIF($D821:OFFSET($D854,-1,0),"*2_00*",U821:OFFSET(U854,-1,0))*U$88</f>
        <v>0</v>
      </c>
      <c r="V854" s="56">
        <f ca="1">SUMIF($D821:OFFSET($D854,-1,0),"*1_00*",V821:OFFSET(V854,-1,0))+SUMIF($D821:OFFSET($D854,-1,0),"*2_00*",V821:OFFSET(V854,-1,0))*V$88</f>
        <v>0</v>
      </c>
      <c r="W854" s="56">
        <f ca="1">SUMIF($D821:OFFSET($D854,-1,0),"*1_00*",W821:OFFSET(W854,-1,0))+SUMIF($D821:OFFSET($D854,-1,0),"*2_00*",W821:OFFSET(W854,-1,0))*W$88</f>
        <v>0</v>
      </c>
      <c r="X854" s="56">
        <f ca="1">SUMIF($D821:OFFSET($D854,-1,0),"*1_00*",X821:OFFSET(X854,-1,0))+SUMIF($D821:OFFSET($D854,-1,0),"*2_00*",X821:OFFSET(X854,-1,0))*X$88</f>
        <v>0</v>
      </c>
      <c r="Y854" s="56">
        <f ca="1">SUMIF($D821:OFFSET($D854,-1,0),"*1_00*",Y821:OFFSET(Y854,-1,0))+SUMIF($D821:OFFSET($D854,-1,0),"*2_00*",Y821:OFFSET(Y854,-1,0))*Y$88</f>
        <v>0</v>
      </c>
      <c r="Z854" s="56">
        <f ca="1">SUMIF($D821:OFFSET($D854,-1,0),"*1_00*",Z821:OFFSET(Z854,-1,0))+SUMIF($D821:OFFSET($D854,-1,0),"*2_00*",Z821:OFFSET(Z854,-1,0))*Z$88</f>
        <v>0</v>
      </c>
      <c r="AA854" s="56">
        <f ca="1">SUMIF($D821:OFFSET($D854,-1,0),"*1_00*",AA821:OFFSET(AA854,-1,0))+SUMIF($D821:OFFSET($D854,-1,0),"*2_00*",AA821:OFFSET(AA854,-1,0))*AA$88</f>
        <v>0</v>
      </c>
      <c r="AB854" s="56">
        <f ca="1">SUMIF($D821:OFFSET($D854,-1,0),"*1_00*",AB821:OFFSET(AB854,-1,0))+SUMIF($D821:OFFSET($D854,-1,0),"*2_00*",AB821:OFFSET(AB854,-1,0))*AB$88</f>
        <v>0</v>
      </c>
      <c r="AC854" s="56">
        <f ca="1">SUMIF($D821:OFFSET($D854,-1,0),"*1_00*",AC821:OFFSET(AC854,-1,0))+SUMIF($D821:OFFSET($D854,-1,0),"*2_00*",AC821:OFFSET(AC854,-1,0))*AC$88</f>
        <v>0</v>
      </c>
      <c r="AD854" s="105"/>
      <c r="AE854" s="94">
        <f ca="1">SUM(F854:AC854)</f>
        <v>0</v>
      </c>
    </row>
    <row r="855" spans="1:31" s="48" customFormat="1" hidden="1" outlineLevel="2" x14ac:dyDescent="0.2">
      <c r="A855" t="str">
        <f ca="1">Language!A$579</f>
        <v xml:space="preserve">    затраты без НДС</v>
      </c>
      <c r="B855" s="81"/>
      <c r="C855" s="5" t="str">
        <f t="shared" ca="1" si="2323"/>
        <v>тыс. EUR</v>
      </c>
      <c r="F855" s="84">
        <f ca="1">SUMIF($D821:OFFSET($D854,-1,0),"*1_01*",F821:OFFSET(F854,-1,0))+SUMIF($D821:OFFSET($D854,-1,0),"*2_01*",F821:OFFSET(F854,-1,0))*F$88</f>
        <v>0</v>
      </c>
      <c r="G855" s="84">
        <f ca="1">SUMIF($D821:OFFSET($D854,-1,0),"*1_01*",G821:OFFSET(G854,-1,0))+SUMIF($D821:OFFSET($D854,-1,0),"*2_01*",G821:OFFSET(G854,-1,0))*G$88</f>
        <v>0</v>
      </c>
      <c r="H855" s="84">
        <f ca="1">SUMIF($D821:OFFSET($D854,-1,0),"*1_01*",H821:OFFSET(H854,-1,0))+SUMIF($D821:OFFSET($D854,-1,0),"*2_01*",H821:OFFSET(H854,-1,0))*H$88</f>
        <v>0</v>
      </c>
      <c r="I855" s="84">
        <f ca="1">SUMIF($D821:OFFSET($D854,-1,0),"*1_01*",I821:OFFSET(I854,-1,0))+SUMIF($D821:OFFSET($D854,-1,0),"*2_01*",I821:OFFSET(I854,-1,0))*I$88</f>
        <v>0</v>
      </c>
      <c r="J855" s="84">
        <f ca="1">SUMIF($D821:OFFSET($D854,-1,0),"*1_01*",J821:OFFSET(J854,-1,0))+SUMIF($D821:OFFSET($D854,-1,0),"*2_01*",J821:OFFSET(J854,-1,0))*J$88</f>
        <v>0</v>
      </c>
      <c r="K855" s="84">
        <f ca="1">SUMIF($D821:OFFSET($D854,-1,0),"*1_01*",K821:OFFSET(K854,-1,0))+SUMIF($D821:OFFSET($D854,-1,0),"*2_01*",K821:OFFSET(K854,-1,0))*K$88</f>
        <v>0</v>
      </c>
      <c r="L855" s="84">
        <f ca="1">SUMIF($D821:OFFSET($D854,-1,0),"*1_01*",L821:OFFSET(L854,-1,0))+SUMIF($D821:OFFSET($D854,-1,0),"*2_01*",L821:OFFSET(L854,-1,0))*L$88</f>
        <v>0</v>
      </c>
      <c r="M855" s="84">
        <f ca="1">SUMIF($D821:OFFSET($D854,-1,0),"*1_01*",M821:OFFSET(M854,-1,0))+SUMIF($D821:OFFSET($D854,-1,0),"*2_01*",M821:OFFSET(M854,-1,0))*M$88</f>
        <v>0</v>
      </c>
      <c r="N855" s="84">
        <f ca="1">SUMIF($D821:OFFSET($D854,-1,0),"*1_01*",N821:OFFSET(N854,-1,0))+SUMIF($D821:OFFSET($D854,-1,0),"*2_01*",N821:OFFSET(N854,-1,0))*N$88</f>
        <v>0</v>
      </c>
      <c r="O855" s="84">
        <f ca="1">SUMIF($D821:OFFSET($D854,-1,0),"*1_01*",O821:OFFSET(O854,-1,0))+SUMIF($D821:OFFSET($D854,-1,0),"*2_01*",O821:OFFSET(O854,-1,0))*O$88</f>
        <v>0</v>
      </c>
      <c r="P855" s="84">
        <f ca="1">SUMIF($D821:OFFSET($D854,-1,0),"*1_01*",P821:OFFSET(P854,-1,0))+SUMIF($D821:OFFSET($D854,-1,0),"*2_01*",P821:OFFSET(P854,-1,0))*P$88</f>
        <v>0</v>
      </c>
      <c r="Q855" s="84">
        <f ca="1">SUMIF($D821:OFFSET($D854,-1,0),"*1_01*",Q821:OFFSET(Q854,-1,0))+SUMIF($D821:OFFSET($D854,-1,0),"*2_01*",Q821:OFFSET(Q854,-1,0))*Q$88</f>
        <v>0</v>
      </c>
      <c r="R855" s="84">
        <f ca="1">SUMIF($D821:OFFSET($D854,-1,0),"*1_01*",R821:OFFSET(R854,-1,0))+SUMIF($D821:OFFSET($D854,-1,0),"*2_01*",R821:OFFSET(R854,-1,0))*R$88</f>
        <v>0</v>
      </c>
      <c r="S855" s="84">
        <f ca="1">SUMIF($D821:OFFSET($D854,-1,0),"*1_01*",S821:OFFSET(S854,-1,0))+SUMIF($D821:OFFSET($D854,-1,0),"*2_01*",S821:OFFSET(S854,-1,0))*S$88</f>
        <v>0</v>
      </c>
      <c r="T855" s="84">
        <f ca="1">SUMIF($D821:OFFSET($D854,-1,0),"*1_01*",T821:OFFSET(T854,-1,0))+SUMIF($D821:OFFSET($D854,-1,0),"*2_01*",T821:OFFSET(T854,-1,0))*T$88</f>
        <v>0</v>
      </c>
      <c r="U855" s="84">
        <f ca="1">SUMIF($D821:OFFSET($D854,-1,0),"*1_01*",U821:OFFSET(U854,-1,0))+SUMIF($D821:OFFSET($D854,-1,0),"*2_01*",U821:OFFSET(U854,-1,0))*U$88</f>
        <v>0</v>
      </c>
      <c r="V855" s="84">
        <f ca="1">SUMIF($D821:OFFSET($D854,-1,0),"*1_01*",V821:OFFSET(V854,-1,0))+SUMIF($D821:OFFSET($D854,-1,0),"*2_01*",V821:OFFSET(V854,-1,0))*V$88</f>
        <v>0</v>
      </c>
      <c r="W855" s="84">
        <f ca="1">SUMIF($D821:OFFSET($D854,-1,0),"*1_01*",W821:OFFSET(W854,-1,0))+SUMIF($D821:OFFSET($D854,-1,0),"*2_01*",W821:OFFSET(W854,-1,0))*W$88</f>
        <v>0</v>
      </c>
      <c r="X855" s="84">
        <f ca="1">SUMIF($D821:OFFSET($D854,-1,0),"*1_01*",X821:OFFSET(X854,-1,0))+SUMIF($D821:OFFSET($D854,-1,0),"*2_01*",X821:OFFSET(X854,-1,0))*X$88</f>
        <v>0</v>
      </c>
      <c r="Y855" s="84">
        <f ca="1">SUMIF($D821:OFFSET($D854,-1,0),"*1_01*",Y821:OFFSET(Y854,-1,0))+SUMIF($D821:OFFSET($D854,-1,0),"*2_01*",Y821:OFFSET(Y854,-1,0))*Y$88</f>
        <v>0</v>
      </c>
      <c r="Z855" s="84">
        <f ca="1">SUMIF($D821:OFFSET($D854,-1,0),"*1_01*",Z821:OFFSET(Z854,-1,0))+SUMIF($D821:OFFSET($D854,-1,0),"*2_01*",Z821:OFFSET(Z854,-1,0))*Z$88</f>
        <v>0</v>
      </c>
      <c r="AA855" s="84">
        <f ca="1">SUMIF($D821:OFFSET($D854,-1,0),"*1_01*",AA821:OFFSET(AA854,-1,0))+SUMIF($D821:OFFSET($D854,-1,0),"*2_01*",AA821:OFFSET(AA854,-1,0))*AA$88</f>
        <v>0</v>
      </c>
      <c r="AB855" s="84">
        <f ca="1">SUMIF($D821:OFFSET($D854,-1,0),"*1_01*",AB821:OFFSET(AB854,-1,0))+SUMIF($D821:OFFSET($D854,-1,0),"*2_01*",AB821:OFFSET(AB854,-1,0))*AB$88</f>
        <v>0</v>
      </c>
      <c r="AC855" s="84">
        <f ca="1">SUMIF($D821:OFFSET($D854,-1,0),"*1_01*",AC821:OFFSET(AC854,-1,0))+SUMIF($D821:OFFSET($D854,-1,0),"*2_01*",AC821:OFFSET(AC854,-1,0))*AC$88</f>
        <v>0</v>
      </c>
      <c r="AD855" s="105"/>
      <c r="AE855" s="93">
        <f ca="1">SUM(F855:AC855)</f>
        <v>0</v>
      </c>
    </row>
    <row r="856" spans="1:31" hidden="1" outlineLevel="2" x14ac:dyDescent="0.2">
      <c r="A856" t="str">
        <f ca="1">Language!A$561</f>
        <v xml:space="preserve">    НДС</v>
      </c>
      <c r="C856" s="5" t="str">
        <f t="shared" ca="1" si="2323"/>
        <v>тыс. EUR</v>
      </c>
      <c r="F856" s="43">
        <f ca="1">SUMIF($D821:OFFSET($D854,-1,0),"*1_02*",F821:OFFSET(F854,-1,0))+SUMIF($D821:OFFSET($D854,-1,0),"*2_02*",F821:OFFSET(F854,-1,0))*F$88</f>
        <v>0</v>
      </c>
      <c r="G856" s="43">
        <f ca="1">SUMIF($D821:OFFSET($D854,-1,0),"*1_02*",G821:OFFSET(G854,-1,0))+SUMIF($D821:OFFSET($D854,-1,0),"*2_02*",G821:OFFSET(G854,-1,0))*G$88</f>
        <v>0</v>
      </c>
      <c r="H856" s="43">
        <f ca="1">SUMIF($D821:OFFSET($D854,-1,0),"*1_02*",H821:OFFSET(H854,-1,0))+SUMIF($D821:OFFSET($D854,-1,0),"*2_02*",H821:OFFSET(H854,-1,0))*H$88</f>
        <v>0</v>
      </c>
      <c r="I856" s="43">
        <f ca="1">SUMIF($D821:OFFSET($D854,-1,0),"*1_02*",I821:OFFSET(I854,-1,0))+SUMIF($D821:OFFSET($D854,-1,0),"*2_02*",I821:OFFSET(I854,-1,0))*I$88</f>
        <v>0</v>
      </c>
      <c r="J856" s="43">
        <f ca="1">SUMIF($D821:OFFSET($D854,-1,0),"*1_02*",J821:OFFSET(J854,-1,0))+SUMIF($D821:OFFSET($D854,-1,0),"*2_02*",J821:OFFSET(J854,-1,0))*J$88</f>
        <v>0</v>
      </c>
      <c r="K856" s="43">
        <f ca="1">SUMIF($D821:OFFSET($D854,-1,0),"*1_02*",K821:OFFSET(K854,-1,0))+SUMIF($D821:OFFSET($D854,-1,0),"*2_02*",K821:OFFSET(K854,-1,0))*K$88</f>
        <v>0</v>
      </c>
      <c r="L856" s="43">
        <f ca="1">SUMIF($D821:OFFSET($D854,-1,0),"*1_02*",L821:OFFSET(L854,-1,0))+SUMIF($D821:OFFSET($D854,-1,0),"*2_02*",L821:OFFSET(L854,-1,0))*L$88</f>
        <v>0</v>
      </c>
      <c r="M856" s="43">
        <f ca="1">SUMIF($D821:OFFSET($D854,-1,0),"*1_02*",M821:OFFSET(M854,-1,0))+SUMIF($D821:OFFSET($D854,-1,0),"*2_02*",M821:OFFSET(M854,-1,0))*M$88</f>
        <v>0</v>
      </c>
      <c r="N856" s="43">
        <f ca="1">SUMIF($D821:OFFSET($D854,-1,0),"*1_02*",N821:OFFSET(N854,-1,0))+SUMIF($D821:OFFSET($D854,-1,0),"*2_02*",N821:OFFSET(N854,-1,0))*N$88</f>
        <v>0</v>
      </c>
      <c r="O856" s="43">
        <f ca="1">SUMIF($D821:OFFSET($D854,-1,0),"*1_02*",O821:OFFSET(O854,-1,0))+SUMIF($D821:OFFSET($D854,-1,0),"*2_02*",O821:OFFSET(O854,-1,0))*O$88</f>
        <v>0</v>
      </c>
      <c r="P856" s="43">
        <f ca="1">SUMIF($D821:OFFSET($D854,-1,0),"*1_02*",P821:OFFSET(P854,-1,0))+SUMIF($D821:OFFSET($D854,-1,0),"*2_02*",P821:OFFSET(P854,-1,0))*P$88</f>
        <v>0</v>
      </c>
      <c r="Q856" s="43">
        <f ca="1">SUMIF($D821:OFFSET($D854,-1,0),"*1_02*",Q821:OFFSET(Q854,-1,0))+SUMIF($D821:OFFSET($D854,-1,0),"*2_02*",Q821:OFFSET(Q854,-1,0))*Q$88</f>
        <v>0</v>
      </c>
      <c r="R856" s="43">
        <f ca="1">SUMIF($D821:OFFSET($D854,-1,0),"*1_02*",R821:OFFSET(R854,-1,0))+SUMIF($D821:OFFSET($D854,-1,0),"*2_02*",R821:OFFSET(R854,-1,0))*R$88</f>
        <v>0</v>
      </c>
      <c r="S856" s="43">
        <f ca="1">SUMIF($D821:OFFSET($D854,-1,0),"*1_02*",S821:OFFSET(S854,-1,0))+SUMIF($D821:OFFSET($D854,-1,0),"*2_02*",S821:OFFSET(S854,-1,0))*S$88</f>
        <v>0</v>
      </c>
      <c r="T856" s="43">
        <f ca="1">SUMIF($D821:OFFSET($D854,-1,0),"*1_02*",T821:OFFSET(T854,-1,0))+SUMIF($D821:OFFSET($D854,-1,0),"*2_02*",T821:OFFSET(T854,-1,0))*T$88</f>
        <v>0</v>
      </c>
      <c r="U856" s="43">
        <f ca="1">SUMIF($D821:OFFSET($D854,-1,0),"*1_02*",U821:OFFSET(U854,-1,0))+SUMIF($D821:OFFSET($D854,-1,0),"*2_02*",U821:OFFSET(U854,-1,0))*U$88</f>
        <v>0</v>
      </c>
      <c r="V856" s="43">
        <f ca="1">SUMIF($D821:OFFSET($D854,-1,0),"*1_02*",V821:OFFSET(V854,-1,0))+SUMIF($D821:OFFSET($D854,-1,0),"*2_02*",V821:OFFSET(V854,-1,0))*V$88</f>
        <v>0</v>
      </c>
      <c r="W856" s="43">
        <f ca="1">SUMIF($D821:OFFSET($D854,-1,0),"*1_02*",W821:OFFSET(W854,-1,0))+SUMIF($D821:OFFSET($D854,-1,0),"*2_02*",W821:OFFSET(W854,-1,0))*W$88</f>
        <v>0</v>
      </c>
      <c r="X856" s="43">
        <f ca="1">SUMIF($D821:OFFSET($D854,-1,0),"*1_02*",X821:OFFSET(X854,-1,0))+SUMIF($D821:OFFSET($D854,-1,0),"*2_02*",X821:OFFSET(X854,-1,0))*X$88</f>
        <v>0</v>
      </c>
      <c r="Y856" s="43">
        <f ca="1">SUMIF($D821:OFFSET($D854,-1,0),"*1_02*",Y821:OFFSET(Y854,-1,0))+SUMIF($D821:OFFSET($D854,-1,0),"*2_02*",Y821:OFFSET(Y854,-1,0))*Y$88</f>
        <v>0</v>
      </c>
      <c r="Z856" s="43">
        <f ca="1">SUMIF($D821:OFFSET($D854,-1,0),"*1_02*",Z821:OFFSET(Z854,-1,0))+SUMIF($D821:OFFSET($D854,-1,0),"*2_02*",Z821:OFFSET(Z854,-1,0))*Z$88</f>
        <v>0</v>
      </c>
      <c r="AA856" s="43">
        <f ca="1">SUMIF($D821:OFFSET($D854,-1,0),"*1_02*",AA821:OFFSET(AA854,-1,0))+SUMIF($D821:OFFSET($D854,-1,0),"*2_02*",AA821:OFFSET(AA854,-1,0))*AA$88</f>
        <v>0</v>
      </c>
      <c r="AB856" s="43">
        <f ca="1">SUMIF($D821:OFFSET($D854,-1,0),"*1_02*",AB821:OFFSET(AB854,-1,0))+SUMIF($D821:OFFSET($D854,-1,0),"*2_02*",AB821:OFFSET(AB854,-1,0))*AB$88</f>
        <v>0</v>
      </c>
      <c r="AC856" s="43">
        <f ca="1">SUMIF($D821:OFFSET($D854,-1,0),"*1_02*",AC821:OFFSET(AC854,-1,0))+SUMIF($D821:OFFSET($D854,-1,0),"*2_02*",AC821:OFFSET(AC854,-1,0))*AC$88</f>
        <v>0</v>
      </c>
      <c r="AD856" s="43"/>
      <c r="AE856" s="93">
        <f ca="1">SUM(F856:AC856)</f>
        <v>0</v>
      </c>
    </row>
    <row r="857" spans="1:31" hidden="1" outlineLevel="2" x14ac:dyDescent="0.2">
      <c r="A857" t="str">
        <f ca="1">Language!A582</f>
        <v xml:space="preserve">    оплачено расходов (без НДС)</v>
      </c>
      <c r="C857" s="5" t="str">
        <f t="shared" ca="1" si="2323"/>
        <v>тыс. EUR</v>
      </c>
      <c r="F857" s="43">
        <f ca="1">SUMIF($D821:OFFSET($D854,-1,0),"*1_06*",F821:OFFSET(F854,-1,0))+SUMIF($D821:OFFSET($D854,-1,0),"*2_06*",F821:OFFSET(F854,-1,0))*F$88</f>
        <v>0</v>
      </c>
      <c r="G857" s="43">
        <f ca="1">SUMIF($D821:OFFSET($D854,-1,0),"*1_06*",G821:OFFSET(G854,-1,0))+SUMIF($D821:OFFSET($D854,-1,0),"*2_06*",G821:OFFSET(G854,-1,0))*G$88</f>
        <v>0</v>
      </c>
      <c r="H857" s="43">
        <f ca="1">SUMIF($D821:OFFSET($D854,-1,0),"*1_06*",H821:OFFSET(H854,-1,0))+SUMIF($D821:OFFSET($D854,-1,0),"*2_06*",H821:OFFSET(H854,-1,0))*H$88</f>
        <v>0</v>
      </c>
      <c r="I857" s="43">
        <f ca="1">SUMIF($D821:OFFSET($D854,-1,0),"*1_06*",I821:OFFSET(I854,-1,0))+SUMIF($D821:OFFSET($D854,-1,0),"*2_06*",I821:OFFSET(I854,-1,0))*I$88</f>
        <v>0</v>
      </c>
      <c r="J857" s="43">
        <f ca="1">SUMIF($D821:OFFSET($D854,-1,0),"*1_06*",J821:OFFSET(J854,-1,0))+SUMIF($D821:OFFSET($D854,-1,0),"*2_06*",J821:OFFSET(J854,-1,0))*J$88</f>
        <v>0</v>
      </c>
      <c r="K857" s="43">
        <f ca="1">SUMIF($D821:OFFSET($D854,-1,0),"*1_06*",K821:OFFSET(K854,-1,0))+SUMIF($D821:OFFSET($D854,-1,0),"*2_06*",K821:OFFSET(K854,-1,0))*K$88</f>
        <v>0</v>
      </c>
      <c r="L857" s="43">
        <f ca="1">SUMIF($D821:OFFSET($D854,-1,0),"*1_06*",L821:OFFSET(L854,-1,0))+SUMIF($D821:OFFSET($D854,-1,0),"*2_06*",L821:OFFSET(L854,-1,0))*L$88</f>
        <v>0</v>
      </c>
      <c r="M857" s="43">
        <f ca="1">SUMIF($D821:OFFSET($D854,-1,0),"*1_06*",M821:OFFSET(M854,-1,0))+SUMIF($D821:OFFSET($D854,-1,0),"*2_06*",M821:OFFSET(M854,-1,0))*M$88</f>
        <v>0</v>
      </c>
      <c r="N857" s="43">
        <f ca="1">SUMIF($D821:OFFSET($D854,-1,0),"*1_06*",N821:OFFSET(N854,-1,0))+SUMIF($D821:OFFSET($D854,-1,0),"*2_06*",N821:OFFSET(N854,-1,0))*N$88</f>
        <v>0</v>
      </c>
      <c r="O857" s="43">
        <f ca="1">SUMIF($D821:OFFSET($D854,-1,0),"*1_06*",O821:OFFSET(O854,-1,0))+SUMIF($D821:OFFSET($D854,-1,0),"*2_06*",O821:OFFSET(O854,-1,0))*O$88</f>
        <v>0</v>
      </c>
      <c r="P857" s="43">
        <f ca="1">SUMIF($D821:OFFSET($D854,-1,0),"*1_06*",P821:OFFSET(P854,-1,0))+SUMIF($D821:OFFSET($D854,-1,0),"*2_06*",P821:OFFSET(P854,-1,0))*P$88</f>
        <v>0</v>
      </c>
      <c r="Q857" s="43">
        <f ca="1">SUMIF($D821:OFFSET($D854,-1,0),"*1_06*",Q821:OFFSET(Q854,-1,0))+SUMIF($D821:OFFSET($D854,-1,0),"*2_06*",Q821:OFFSET(Q854,-1,0))*Q$88</f>
        <v>0</v>
      </c>
      <c r="R857" s="43">
        <f ca="1">SUMIF($D821:OFFSET($D854,-1,0),"*1_06*",R821:OFFSET(R854,-1,0))+SUMIF($D821:OFFSET($D854,-1,0),"*2_06*",R821:OFFSET(R854,-1,0))*R$88</f>
        <v>0</v>
      </c>
      <c r="S857" s="43">
        <f ca="1">SUMIF($D821:OFFSET($D854,-1,0),"*1_06*",S821:OFFSET(S854,-1,0))+SUMIF($D821:OFFSET($D854,-1,0),"*2_06*",S821:OFFSET(S854,-1,0))*S$88</f>
        <v>0</v>
      </c>
      <c r="T857" s="43">
        <f ca="1">SUMIF($D821:OFFSET($D854,-1,0),"*1_06*",T821:OFFSET(T854,-1,0))+SUMIF($D821:OFFSET($D854,-1,0),"*2_06*",T821:OFFSET(T854,-1,0))*T$88</f>
        <v>0</v>
      </c>
      <c r="U857" s="43">
        <f ca="1">SUMIF($D821:OFFSET($D854,-1,0),"*1_06*",U821:OFFSET(U854,-1,0))+SUMIF($D821:OFFSET($D854,-1,0),"*2_06*",U821:OFFSET(U854,-1,0))*U$88</f>
        <v>0</v>
      </c>
      <c r="V857" s="43">
        <f ca="1">SUMIF($D821:OFFSET($D854,-1,0),"*1_06*",V821:OFFSET(V854,-1,0))+SUMIF($D821:OFFSET($D854,-1,0),"*2_06*",V821:OFFSET(V854,-1,0))*V$88</f>
        <v>0</v>
      </c>
      <c r="W857" s="43">
        <f ca="1">SUMIF($D821:OFFSET($D854,-1,0),"*1_06*",W821:OFFSET(W854,-1,0))+SUMIF($D821:OFFSET($D854,-1,0),"*2_06*",W821:OFFSET(W854,-1,0))*W$88</f>
        <v>0</v>
      </c>
      <c r="X857" s="43">
        <f ca="1">SUMIF($D821:OFFSET($D854,-1,0),"*1_06*",X821:OFFSET(X854,-1,0))+SUMIF($D821:OFFSET($D854,-1,0),"*2_06*",X821:OFFSET(X854,-1,0))*X$88</f>
        <v>0</v>
      </c>
      <c r="Y857" s="43">
        <f ca="1">SUMIF($D821:OFFSET($D854,-1,0),"*1_06*",Y821:OFFSET(Y854,-1,0))+SUMIF($D821:OFFSET($D854,-1,0),"*2_06*",Y821:OFFSET(Y854,-1,0))*Y$88</f>
        <v>0</v>
      </c>
      <c r="Z857" s="43">
        <f ca="1">SUMIF($D821:OFFSET($D854,-1,0),"*1_06*",Z821:OFFSET(Z854,-1,0))+SUMIF($D821:OFFSET($D854,-1,0),"*2_06*",Z821:OFFSET(Z854,-1,0))*Z$88</f>
        <v>0</v>
      </c>
      <c r="AA857" s="43">
        <f ca="1">SUMIF($D821:OFFSET($D854,-1,0),"*1_06*",AA821:OFFSET(AA854,-1,0))+SUMIF($D821:OFFSET($D854,-1,0),"*2_06*",AA821:OFFSET(AA854,-1,0))*AA$88</f>
        <v>0</v>
      </c>
      <c r="AB857" s="43">
        <f ca="1">SUMIF($D821:OFFSET($D854,-1,0),"*1_06*",AB821:OFFSET(AB854,-1,0))+SUMIF($D821:OFFSET($D854,-1,0),"*2_06*",AB821:OFFSET(AB854,-1,0))*AB$88</f>
        <v>0</v>
      </c>
      <c r="AC857" s="43">
        <f ca="1">SUMIF($D821:OFFSET($D854,-1,0),"*1_06*",AC821:OFFSET(AC854,-1,0))+SUMIF($D821:OFFSET($D854,-1,0),"*2_06*",AC821:OFFSET(AC854,-1,0))*AC$88</f>
        <v>0</v>
      </c>
      <c r="AD857" s="43"/>
      <c r="AE857" s="93">
        <f ca="1">SUM(F857:AC857)</f>
        <v>0</v>
      </c>
    </row>
    <row r="858" spans="1:31" hidden="1" outlineLevel="2" x14ac:dyDescent="0.2">
      <c r="A858" t="str">
        <f ca="1">Language!A$571</f>
        <v xml:space="preserve">    выплаченный НДС</v>
      </c>
      <c r="C858" s="5" t="str">
        <f t="shared" ca="1" si="2323"/>
        <v>тыс. EUR</v>
      </c>
      <c r="F858" s="43">
        <f ca="1">SUMIF($D821:OFFSET($D854,-1,0),"*1_07*",F821:OFFSET(F854,-1,0))+SUMIF($D821:OFFSET($D854,-1,0),"*2_07*",F821:OFFSET(F854,-1,0))*F$88</f>
        <v>0</v>
      </c>
      <c r="G858" s="43">
        <f ca="1">SUMIF($D821:OFFSET($D854,-1,0),"*1_07*",G821:OFFSET(G854,-1,0))+SUMIF($D821:OFFSET($D854,-1,0),"*2_07*",G821:OFFSET(G854,-1,0))*G$88</f>
        <v>0</v>
      </c>
      <c r="H858" s="43">
        <f ca="1">SUMIF($D821:OFFSET($D854,-1,0),"*1_07*",H821:OFFSET(H854,-1,0))+SUMIF($D821:OFFSET($D854,-1,0),"*2_07*",H821:OFFSET(H854,-1,0))*H$88</f>
        <v>0</v>
      </c>
      <c r="I858" s="43">
        <f ca="1">SUMIF($D821:OFFSET($D854,-1,0),"*1_07*",I821:OFFSET(I854,-1,0))+SUMIF($D821:OFFSET($D854,-1,0),"*2_07*",I821:OFFSET(I854,-1,0))*I$88</f>
        <v>0</v>
      </c>
      <c r="J858" s="43">
        <f ca="1">SUMIF($D821:OFFSET($D854,-1,0),"*1_07*",J821:OFFSET(J854,-1,0))+SUMIF($D821:OFFSET($D854,-1,0),"*2_07*",J821:OFFSET(J854,-1,0))*J$88</f>
        <v>0</v>
      </c>
      <c r="K858" s="43">
        <f ca="1">SUMIF($D821:OFFSET($D854,-1,0),"*1_07*",K821:OFFSET(K854,-1,0))+SUMIF($D821:OFFSET($D854,-1,0),"*2_07*",K821:OFFSET(K854,-1,0))*K$88</f>
        <v>0</v>
      </c>
      <c r="L858" s="43">
        <f ca="1">SUMIF($D821:OFFSET($D854,-1,0),"*1_07*",L821:OFFSET(L854,-1,0))+SUMIF($D821:OFFSET($D854,-1,0),"*2_07*",L821:OFFSET(L854,-1,0))*L$88</f>
        <v>0</v>
      </c>
      <c r="M858" s="43">
        <f ca="1">SUMIF($D821:OFFSET($D854,-1,0),"*1_07*",M821:OFFSET(M854,-1,0))+SUMIF($D821:OFFSET($D854,-1,0),"*2_07*",M821:OFFSET(M854,-1,0))*M$88</f>
        <v>0</v>
      </c>
      <c r="N858" s="43">
        <f ca="1">SUMIF($D821:OFFSET($D854,-1,0),"*1_07*",N821:OFFSET(N854,-1,0))+SUMIF($D821:OFFSET($D854,-1,0),"*2_07*",N821:OFFSET(N854,-1,0))*N$88</f>
        <v>0</v>
      </c>
      <c r="O858" s="43">
        <f ca="1">SUMIF($D821:OFFSET($D854,-1,0),"*1_07*",O821:OFFSET(O854,-1,0))+SUMIF($D821:OFFSET($D854,-1,0),"*2_07*",O821:OFFSET(O854,-1,0))*O$88</f>
        <v>0</v>
      </c>
      <c r="P858" s="43">
        <f ca="1">SUMIF($D821:OFFSET($D854,-1,0),"*1_07*",P821:OFFSET(P854,-1,0))+SUMIF($D821:OFFSET($D854,-1,0),"*2_07*",P821:OFFSET(P854,-1,0))*P$88</f>
        <v>0</v>
      </c>
      <c r="Q858" s="43">
        <f ca="1">SUMIF($D821:OFFSET($D854,-1,0),"*1_07*",Q821:OFFSET(Q854,-1,0))+SUMIF($D821:OFFSET($D854,-1,0),"*2_07*",Q821:OFFSET(Q854,-1,0))*Q$88</f>
        <v>0</v>
      </c>
      <c r="R858" s="43">
        <f ca="1">SUMIF($D821:OFFSET($D854,-1,0),"*1_07*",R821:OFFSET(R854,-1,0))+SUMIF($D821:OFFSET($D854,-1,0),"*2_07*",R821:OFFSET(R854,-1,0))*R$88</f>
        <v>0</v>
      </c>
      <c r="S858" s="43">
        <f ca="1">SUMIF($D821:OFFSET($D854,-1,0),"*1_07*",S821:OFFSET(S854,-1,0))+SUMIF($D821:OFFSET($D854,-1,0),"*2_07*",S821:OFFSET(S854,-1,0))*S$88</f>
        <v>0</v>
      </c>
      <c r="T858" s="43">
        <f ca="1">SUMIF($D821:OFFSET($D854,-1,0),"*1_07*",T821:OFFSET(T854,-1,0))+SUMIF($D821:OFFSET($D854,-1,0),"*2_07*",T821:OFFSET(T854,-1,0))*T$88</f>
        <v>0</v>
      </c>
      <c r="U858" s="43">
        <f ca="1">SUMIF($D821:OFFSET($D854,-1,0),"*1_07*",U821:OFFSET(U854,-1,0))+SUMIF($D821:OFFSET($D854,-1,0),"*2_07*",U821:OFFSET(U854,-1,0))*U$88</f>
        <v>0</v>
      </c>
      <c r="V858" s="43">
        <f ca="1">SUMIF($D821:OFFSET($D854,-1,0),"*1_07*",V821:OFFSET(V854,-1,0))+SUMIF($D821:OFFSET($D854,-1,0),"*2_07*",V821:OFFSET(V854,-1,0))*V$88</f>
        <v>0</v>
      </c>
      <c r="W858" s="43">
        <f ca="1">SUMIF($D821:OFFSET($D854,-1,0),"*1_07*",W821:OFFSET(W854,-1,0))+SUMIF($D821:OFFSET($D854,-1,0),"*2_07*",W821:OFFSET(W854,-1,0))*W$88</f>
        <v>0</v>
      </c>
      <c r="X858" s="43">
        <f ca="1">SUMIF($D821:OFFSET($D854,-1,0),"*1_07*",X821:OFFSET(X854,-1,0))+SUMIF($D821:OFFSET($D854,-1,0),"*2_07*",X821:OFFSET(X854,-1,0))*X$88</f>
        <v>0</v>
      </c>
      <c r="Y858" s="43">
        <f ca="1">SUMIF($D821:OFFSET($D854,-1,0),"*1_07*",Y821:OFFSET(Y854,-1,0))+SUMIF($D821:OFFSET($D854,-1,0),"*2_07*",Y821:OFFSET(Y854,-1,0))*Y$88</f>
        <v>0</v>
      </c>
      <c r="Z858" s="43">
        <f ca="1">SUMIF($D821:OFFSET($D854,-1,0),"*1_07*",Z821:OFFSET(Z854,-1,0))+SUMIF($D821:OFFSET($D854,-1,0),"*2_07*",Z821:OFFSET(Z854,-1,0))*Z$88</f>
        <v>0</v>
      </c>
      <c r="AA858" s="43">
        <f ca="1">SUMIF($D821:OFFSET($D854,-1,0),"*1_07*",AA821:OFFSET(AA854,-1,0))+SUMIF($D821:OFFSET($D854,-1,0),"*2_07*",AA821:OFFSET(AA854,-1,0))*AA$88</f>
        <v>0</v>
      </c>
      <c r="AB858" s="43">
        <f ca="1">SUMIF($D821:OFFSET($D854,-1,0),"*1_07*",AB821:OFFSET(AB854,-1,0))+SUMIF($D821:OFFSET($D854,-1,0),"*2_07*",AB821:OFFSET(AB854,-1,0))*AB$88</f>
        <v>0</v>
      </c>
      <c r="AC858" s="43">
        <f ca="1">SUMIF($D821:OFFSET($D854,-1,0),"*1_07*",AC821:OFFSET(AC854,-1,0))+SUMIF($D821:OFFSET($D854,-1,0),"*2_07*",AC821:OFFSET(AC854,-1,0))*AC$88</f>
        <v>0</v>
      </c>
      <c r="AD858" s="43"/>
      <c r="AE858" s="93">
        <f ca="1">SUM(F858:AC858)</f>
        <v>0</v>
      </c>
    </row>
    <row r="859" spans="1:31" hidden="1" outlineLevel="2" x14ac:dyDescent="0.2">
      <c r="A859" t="str">
        <f ca="1">Language!A$572</f>
        <v xml:space="preserve">    кредиторская задолженность</v>
      </c>
      <c r="C859" s="5" t="str">
        <f t="shared" ca="1" si="2323"/>
        <v>тыс. EUR</v>
      </c>
      <c r="D859" s="16" t="s">
        <v>2594</v>
      </c>
      <c r="F859" s="43">
        <f ca="1">MAX(SUM($F855:F855)+SUM($F856:F856)-SUM($F857:F857)-SUM($F858:F858),0)</f>
        <v>0</v>
      </c>
      <c r="G859" s="43">
        <f ca="1">MAX(SUM($F855:G855)+SUM($F856:G856)-SUM($F857:G857)-SUM($F858:G858),0)</f>
        <v>0</v>
      </c>
      <c r="H859" s="43">
        <f ca="1">MAX(SUM($F855:H855)+SUM($F856:H856)-SUM($F857:H857)-SUM($F858:H858),0)</f>
        <v>0</v>
      </c>
      <c r="I859" s="43">
        <f ca="1">MAX(SUM($F855:I855)+SUM($F856:I856)-SUM($F857:I857)-SUM($F858:I858),0)</f>
        <v>0</v>
      </c>
      <c r="J859" s="43">
        <f ca="1">MAX(SUM($F855:J855)+SUM($F856:J856)-SUM($F857:J857)-SUM($F858:J858),0)</f>
        <v>0</v>
      </c>
      <c r="K859" s="43">
        <f ca="1">MAX(SUM($F855:K855)+SUM($F856:K856)-SUM($F857:K857)-SUM($F858:K858),0)</f>
        <v>0</v>
      </c>
      <c r="L859" s="43">
        <f ca="1">MAX(SUM($F855:L855)+SUM($F856:L856)-SUM($F857:L857)-SUM($F858:L858),0)</f>
        <v>0</v>
      </c>
      <c r="M859" s="43">
        <f ca="1">MAX(SUM($F855:M855)+SUM($F856:M856)-SUM($F857:M857)-SUM($F858:M858),0)</f>
        <v>0</v>
      </c>
      <c r="N859" s="43">
        <f ca="1">MAX(SUM($F855:N855)+SUM($F856:N856)-SUM($F857:N857)-SUM($F858:N858),0)</f>
        <v>0</v>
      </c>
      <c r="O859" s="43">
        <f ca="1">MAX(SUM($F855:O855)+SUM($F856:O856)-SUM($F857:O857)-SUM($F858:O858),0)</f>
        <v>0</v>
      </c>
      <c r="P859" s="43">
        <f ca="1">MAX(SUM($F855:P855)+SUM($F856:P856)-SUM($F857:P857)-SUM($F858:P858),0)</f>
        <v>0</v>
      </c>
      <c r="Q859" s="43">
        <f ca="1">MAX(SUM($F855:Q855)+SUM($F856:Q856)-SUM($F857:Q857)-SUM($F858:Q858),0)</f>
        <v>0</v>
      </c>
      <c r="R859" s="43">
        <f ca="1">MAX(SUM($F855:R855)+SUM($F856:R856)-SUM($F857:R857)-SUM($F858:R858),0)</f>
        <v>0</v>
      </c>
      <c r="S859" s="43">
        <f ca="1">MAX(SUM($F855:S855)+SUM($F856:S856)-SUM($F857:S857)-SUM($F858:S858),0)</f>
        <v>0</v>
      </c>
      <c r="T859" s="43">
        <f ca="1">MAX(SUM($F855:T855)+SUM($F856:T856)-SUM($F857:T857)-SUM($F858:T858),0)</f>
        <v>0</v>
      </c>
      <c r="U859" s="43">
        <f ca="1">MAX(SUM($F855:U855)+SUM($F856:U856)-SUM($F857:U857)-SUM($F858:U858),0)</f>
        <v>0</v>
      </c>
      <c r="V859" s="43">
        <f ca="1">MAX(SUM($F855:V855)+SUM($F856:V856)-SUM($F857:V857)-SUM($F858:V858),0)</f>
        <v>0</v>
      </c>
      <c r="W859" s="43">
        <f ca="1">MAX(SUM($F855:W855)+SUM($F856:W856)-SUM($F857:W857)-SUM($F858:W858),0)</f>
        <v>0</v>
      </c>
      <c r="X859" s="43">
        <f ca="1">MAX(SUM($F855:X855)+SUM($F856:X856)-SUM($F857:X857)-SUM($F858:X858),0)</f>
        <v>0</v>
      </c>
      <c r="Y859" s="43">
        <f ca="1">MAX(SUM($F855:Y855)+SUM($F856:Y856)-SUM($F857:Y857)-SUM($F858:Y858),0)</f>
        <v>0</v>
      </c>
      <c r="Z859" s="43">
        <f ca="1">MAX(SUM($F855:Z855)+SUM($F856:Z856)-SUM($F857:Z857)-SUM($F858:Z858),0)</f>
        <v>0</v>
      </c>
      <c r="AA859" s="43">
        <f ca="1">MAX(SUM($F855:AA855)+SUM($F856:AA856)-SUM($F857:AA857)-SUM($F858:AA858),0)</f>
        <v>0</v>
      </c>
      <c r="AB859" s="43">
        <f ca="1">MAX(SUM($F855:AB855)+SUM($F856:AB856)-SUM($F857:AB857)-SUM($F858:AB858),0)</f>
        <v>0</v>
      </c>
      <c r="AC859" s="43">
        <f ca="1">MAX(SUM($F855:AC855)+SUM($F856:AC856)-SUM($F857:AC857)-SUM($F858:AC858),0)</f>
        <v>0</v>
      </c>
      <c r="AD859" s="43"/>
      <c r="AE859" s="93"/>
    </row>
    <row r="860" spans="1:31" hidden="1" outlineLevel="2" x14ac:dyDescent="0.2">
      <c r="A860" t="str">
        <f ca="1">Language!A$573</f>
        <v xml:space="preserve">    выплаченные авансы</v>
      </c>
      <c r="C860" s="5" t="str">
        <f t="shared" ca="1" si="2323"/>
        <v>тыс. EUR</v>
      </c>
      <c r="D860" s="16" t="s">
        <v>2594</v>
      </c>
      <c r="F860" s="43">
        <f ca="1">MAX(SUM($F857:F857)+SUM($F858:F858)-SUM($F855:F855)-SUM($F856:F856),0)</f>
        <v>0</v>
      </c>
      <c r="G860" s="43">
        <f ca="1">MAX(SUM($F857:G857)+SUM($F858:G858)-SUM($F855:G855)-SUM($F856:G856),0)</f>
        <v>0</v>
      </c>
      <c r="H860" s="43">
        <f ca="1">MAX(SUM($F857:H857)+SUM($F858:H858)-SUM($F855:H855)-SUM($F856:H856),0)</f>
        <v>0</v>
      </c>
      <c r="I860" s="43">
        <f ca="1">MAX(SUM($F857:I857)+SUM($F858:I858)-SUM($F855:I855)-SUM($F856:I856),0)</f>
        <v>0</v>
      </c>
      <c r="J860" s="43">
        <f ca="1">MAX(SUM($F857:J857)+SUM($F858:J858)-SUM($F855:J855)-SUM($F856:J856),0)</f>
        <v>0</v>
      </c>
      <c r="K860" s="43">
        <f ca="1">MAX(SUM($F857:K857)+SUM($F858:K858)-SUM($F855:K855)-SUM($F856:K856),0)</f>
        <v>0</v>
      </c>
      <c r="L860" s="43">
        <f ca="1">MAX(SUM($F857:L857)+SUM($F858:L858)-SUM($F855:L855)-SUM($F856:L856),0)</f>
        <v>0</v>
      </c>
      <c r="M860" s="43">
        <f ca="1">MAX(SUM($F857:M857)+SUM($F858:M858)-SUM($F855:M855)-SUM($F856:M856),0)</f>
        <v>0</v>
      </c>
      <c r="N860" s="43">
        <f ca="1">MAX(SUM($F857:N857)+SUM($F858:N858)-SUM($F855:N855)-SUM($F856:N856),0)</f>
        <v>0</v>
      </c>
      <c r="O860" s="43">
        <f ca="1">MAX(SUM($F857:O857)+SUM($F858:O858)-SUM($F855:O855)-SUM($F856:O856),0)</f>
        <v>0</v>
      </c>
      <c r="P860" s="43">
        <f ca="1">MAX(SUM($F857:P857)+SUM($F858:P858)-SUM($F855:P855)-SUM($F856:P856),0)</f>
        <v>0</v>
      </c>
      <c r="Q860" s="43">
        <f ca="1">MAX(SUM($F857:Q857)+SUM($F858:Q858)-SUM($F855:Q855)-SUM($F856:Q856),0)</f>
        <v>0</v>
      </c>
      <c r="R860" s="43">
        <f ca="1">MAX(SUM($F857:R857)+SUM($F858:R858)-SUM($F855:R855)-SUM($F856:R856),0)</f>
        <v>0</v>
      </c>
      <c r="S860" s="43">
        <f ca="1">MAX(SUM($F857:S857)+SUM($F858:S858)-SUM($F855:S855)-SUM($F856:S856),0)</f>
        <v>0</v>
      </c>
      <c r="T860" s="43">
        <f ca="1">MAX(SUM($F857:T857)+SUM($F858:T858)-SUM($F855:T855)-SUM($F856:T856),0)</f>
        <v>0</v>
      </c>
      <c r="U860" s="43">
        <f ca="1">MAX(SUM($F857:U857)+SUM($F858:U858)-SUM($F855:U855)-SUM($F856:U856),0)</f>
        <v>0</v>
      </c>
      <c r="V860" s="43">
        <f ca="1">MAX(SUM($F857:V857)+SUM($F858:V858)-SUM($F855:V855)-SUM($F856:V856),0)</f>
        <v>0</v>
      </c>
      <c r="W860" s="43">
        <f ca="1">MAX(SUM($F857:W857)+SUM($F858:W858)-SUM($F855:W855)-SUM($F856:W856),0)</f>
        <v>0</v>
      </c>
      <c r="X860" s="43">
        <f ca="1">MAX(SUM($F857:X857)+SUM($F858:X858)-SUM($F855:X855)-SUM($F856:X856),0)</f>
        <v>0</v>
      </c>
      <c r="Y860" s="43">
        <f ca="1">MAX(SUM($F857:Y857)+SUM($F858:Y858)-SUM($F855:Y855)-SUM($F856:Y856),0)</f>
        <v>0</v>
      </c>
      <c r="Z860" s="43">
        <f ca="1">MAX(SUM($F857:Z857)+SUM($F858:Z858)-SUM($F855:Z855)-SUM($F856:Z856),0)</f>
        <v>0</v>
      </c>
      <c r="AA860" s="43">
        <f ca="1">MAX(SUM($F857:AA857)+SUM($F858:AA858)-SUM($F855:AA855)-SUM($F856:AA856),0)</f>
        <v>0</v>
      </c>
      <c r="AB860" s="43">
        <f ca="1">MAX(SUM($F857:AB857)+SUM($F858:AB858)-SUM($F855:AB855)-SUM($F856:AB856),0)</f>
        <v>0</v>
      </c>
      <c r="AC860" s="43">
        <f ca="1">MAX(SUM($F857:AC857)+SUM($F858:AC858)-SUM($F855:AC855)-SUM($F856:AC856),0)</f>
        <v>0</v>
      </c>
      <c r="AD860" s="43"/>
      <c r="AE860" s="93"/>
    </row>
    <row r="861" spans="1:31" hidden="1" outlineLevel="2" x14ac:dyDescent="0.2">
      <c r="A861" t="str">
        <f ca="1">Language!A$574</f>
        <v xml:space="preserve">    списано затрат на реализованную продукцию</v>
      </c>
      <c r="C861" s="5" t="str">
        <f t="shared" ca="1" si="2323"/>
        <v>тыс. EUR</v>
      </c>
      <c r="F861" s="43">
        <f ca="1">SUMIF($D821:OFFSET($D854,-1,0),"*1_10*",F821:OFFSET(F854,-1,0))+SUMIF($D821:OFFSET($D854,-1,0),"*2_10*",F821:OFFSET(F854,-1,0))*F$88</f>
        <v>0</v>
      </c>
      <c r="G861" s="43">
        <f ca="1">SUMIF($D821:OFFSET($D854,-1,0),"*1_10*",G821:OFFSET(G854,-1,0))+SUMIF($D821:OFFSET($D854,-1,0),"*2_10*",G821:OFFSET(G854,-1,0))*G$88</f>
        <v>0</v>
      </c>
      <c r="H861" s="43">
        <f ca="1">SUMIF($D821:OFFSET($D854,-1,0),"*1_10*",H821:OFFSET(H854,-1,0))+SUMIF($D821:OFFSET($D854,-1,0),"*2_10*",H821:OFFSET(H854,-1,0))*H$88</f>
        <v>0</v>
      </c>
      <c r="I861" s="43">
        <f ca="1">SUMIF($D821:OFFSET($D854,-1,0),"*1_10*",I821:OFFSET(I854,-1,0))+SUMIF($D821:OFFSET($D854,-1,0),"*2_10*",I821:OFFSET(I854,-1,0))*I$88</f>
        <v>0</v>
      </c>
      <c r="J861" s="43">
        <f ca="1">SUMIF($D821:OFFSET($D854,-1,0),"*1_10*",J821:OFFSET(J854,-1,0))+SUMIF($D821:OFFSET($D854,-1,0),"*2_10*",J821:OFFSET(J854,-1,0))*J$88</f>
        <v>0</v>
      </c>
      <c r="K861" s="43">
        <f ca="1">SUMIF($D821:OFFSET($D854,-1,0),"*1_10*",K821:OFFSET(K854,-1,0))+SUMIF($D821:OFFSET($D854,-1,0),"*2_10*",K821:OFFSET(K854,-1,0))*K$88</f>
        <v>0</v>
      </c>
      <c r="L861" s="43">
        <f ca="1">SUMIF($D821:OFFSET($D854,-1,0),"*1_10*",L821:OFFSET(L854,-1,0))+SUMIF($D821:OFFSET($D854,-1,0),"*2_10*",L821:OFFSET(L854,-1,0))*L$88</f>
        <v>0</v>
      </c>
      <c r="M861" s="43">
        <f ca="1">SUMIF($D821:OFFSET($D854,-1,0),"*1_10*",M821:OFFSET(M854,-1,0))+SUMIF($D821:OFFSET($D854,-1,0),"*2_10*",M821:OFFSET(M854,-1,0))*M$88</f>
        <v>0</v>
      </c>
      <c r="N861" s="43">
        <f ca="1">SUMIF($D821:OFFSET($D854,-1,0),"*1_10*",N821:OFFSET(N854,-1,0))+SUMIF($D821:OFFSET($D854,-1,0),"*2_10*",N821:OFFSET(N854,-1,0))*N$88</f>
        <v>0</v>
      </c>
      <c r="O861" s="43">
        <f ca="1">SUMIF($D821:OFFSET($D854,-1,0),"*1_10*",O821:OFFSET(O854,-1,0))+SUMIF($D821:OFFSET($D854,-1,0),"*2_10*",O821:OFFSET(O854,-1,0))*O$88</f>
        <v>0</v>
      </c>
      <c r="P861" s="43">
        <f ca="1">SUMIF($D821:OFFSET($D854,-1,0),"*1_10*",P821:OFFSET(P854,-1,0))+SUMIF($D821:OFFSET($D854,-1,0),"*2_10*",P821:OFFSET(P854,-1,0))*P$88</f>
        <v>0</v>
      </c>
      <c r="Q861" s="43">
        <f ca="1">SUMIF($D821:OFFSET($D854,-1,0),"*1_10*",Q821:OFFSET(Q854,-1,0))+SUMIF($D821:OFFSET($D854,-1,0),"*2_10*",Q821:OFFSET(Q854,-1,0))*Q$88</f>
        <v>0</v>
      </c>
      <c r="R861" s="43">
        <f ca="1">SUMIF($D821:OFFSET($D854,-1,0),"*1_10*",R821:OFFSET(R854,-1,0))+SUMIF($D821:OFFSET($D854,-1,0),"*2_10*",R821:OFFSET(R854,-1,0))*R$88</f>
        <v>0</v>
      </c>
      <c r="S861" s="43">
        <f ca="1">SUMIF($D821:OFFSET($D854,-1,0),"*1_10*",S821:OFFSET(S854,-1,0))+SUMIF($D821:OFFSET($D854,-1,0),"*2_10*",S821:OFFSET(S854,-1,0))*S$88</f>
        <v>0</v>
      </c>
      <c r="T861" s="43">
        <f ca="1">SUMIF($D821:OFFSET($D854,-1,0),"*1_10*",T821:OFFSET(T854,-1,0))+SUMIF($D821:OFFSET($D854,-1,0),"*2_10*",T821:OFFSET(T854,-1,0))*T$88</f>
        <v>0</v>
      </c>
      <c r="U861" s="43">
        <f ca="1">SUMIF($D821:OFFSET($D854,-1,0),"*1_10*",U821:OFFSET(U854,-1,0))+SUMIF($D821:OFFSET($D854,-1,0),"*2_10*",U821:OFFSET(U854,-1,0))*U$88</f>
        <v>0</v>
      </c>
      <c r="V861" s="43">
        <f ca="1">SUMIF($D821:OFFSET($D854,-1,0),"*1_10*",V821:OFFSET(V854,-1,0))+SUMIF($D821:OFFSET($D854,-1,0),"*2_10*",V821:OFFSET(V854,-1,0))*V$88</f>
        <v>0</v>
      </c>
      <c r="W861" s="43">
        <f ca="1">SUMIF($D821:OFFSET($D854,-1,0),"*1_10*",W821:OFFSET(W854,-1,0))+SUMIF($D821:OFFSET($D854,-1,0),"*2_10*",W821:OFFSET(W854,-1,0))*W$88</f>
        <v>0</v>
      </c>
      <c r="X861" s="43">
        <f ca="1">SUMIF($D821:OFFSET($D854,-1,0),"*1_10*",X821:OFFSET(X854,-1,0))+SUMIF($D821:OFFSET($D854,-1,0),"*2_10*",X821:OFFSET(X854,-1,0))*X$88</f>
        <v>0</v>
      </c>
      <c r="Y861" s="43">
        <f ca="1">SUMIF($D821:OFFSET($D854,-1,0),"*1_10*",Y821:OFFSET(Y854,-1,0))+SUMIF($D821:OFFSET($D854,-1,0),"*2_10*",Y821:OFFSET(Y854,-1,0))*Y$88</f>
        <v>0</v>
      </c>
      <c r="Z861" s="43">
        <f ca="1">SUMIF($D821:OFFSET($D854,-1,0),"*1_10*",Z821:OFFSET(Z854,-1,0))+SUMIF($D821:OFFSET($D854,-1,0),"*2_10*",Z821:OFFSET(Z854,-1,0))*Z$88</f>
        <v>0</v>
      </c>
      <c r="AA861" s="43">
        <f ca="1">SUMIF($D821:OFFSET($D854,-1,0),"*1_10*",AA821:OFFSET(AA854,-1,0))+SUMIF($D821:OFFSET($D854,-1,0),"*2_10*",AA821:OFFSET(AA854,-1,0))*AA$88</f>
        <v>0</v>
      </c>
      <c r="AB861" s="43">
        <f ca="1">SUMIF($D821:OFFSET($D854,-1,0),"*1_10*",AB821:OFFSET(AB854,-1,0))+SUMIF($D821:OFFSET($D854,-1,0),"*2_10*",AB821:OFFSET(AB854,-1,0))*AB$88</f>
        <v>0</v>
      </c>
      <c r="AC861" s="43">
        <f ca="1">SUMIF($D821:OFFSET($D854,-1,0),"*1_10*",AC821:OFFSET(AC854,-1,0))+SUMIF($D821:OFFSET($D854,-1,0),"*2_10*",AC821:OFFSET(AC854,-1,0))*AC$88</f>
        <v>0</v>
      </c>
      <c r="AD861" s="43"/>
      <c r="AE861" s="93">
        <f ca="1">SUM(F861:AC861)</f>
        <v>0</v>
      </c>
    </row>
    <row r="862" spans="1:31" hidden="1" outlineLevel="2" x14ac:dyDescent="0.2">
      <c r="A862" s="48" t="str">
        <f ca="1">Language!A$575</f>
        <v xml:space="preserve">    остаток затрат на складе готовой продукции</v>
      </c>
      <c r="C862" s="5" t="str">
        <f t="shared" ca="1" si="2323"/>
        <v>тыс. EUR</v>
      </c>
      <c r="D862" s="16" t="s">
        <v>2594</v>
      </c>
      <c r="F862" s="105">
        <f ca="1">SUM($F855:F855)-SUM($F861:F861)</f>
        <v>0</v>
      </c>
      <c r="G862" s="105">
        <f ca="1">SUM($F855:G855)-SUM($F861:G861)</f>
        <v>0</v>
      </c>
      <c r="H862" s="105">
        <f ca="1">SUM($F855:H855)-SUM($F861:H861)</f>
        <v>0</v>
      </c>
      <c r="I862" s="105">
        <f ca="1">SUM($F855:I855)-SUM($F861:I861)</f>
        <v>0</v>
      </c>
      <c r="J862" s="105">
        <f ca="1">SUM($F855:J855)-SUM($F861:J861)</f>
        <v>0</v>
      </c>
      <c r="K862" s="105">
        <f ca="1">SUM($F855:K855)-SUM($F861:K861)</f>
        <v>0</v>
      </c>
      <c r="L862" s="105">
        <f ca="1">SUM($F855:L855)-SUM($F861:L861)</f>
        <v>0</v>
      </c>
      <c r="M862" s="105">
        <f ca="1">SUM($F855:M855)-SUM($F861:M861)</f>
        <v>0</v>
      </c>
      <c r="N862" s="105">
        <f ca="1">SUM($F855:N855)-SUM($F861:N861)</f>
        <v>0</v>
      </c>
      <c r="O862" s="105">
        <f ca="1">SUM($F855:O855)-SUM($F861:O861)</f>
        <v>0</v>
      </c>
      <c r="P862" s="105">
        <f ca="1">SUM($F855:P855)-SUM($F861:P861)</f>
        <v>0</v>
      </c>
      <c r="Q862" s="105">
        <f ca="1">SUM($F855:Q855)-SUM($F861:Q861)</f>
        <v>0</v>
      </c>
      <c r="R862" s="105">
        <f ca="1">SUM($F855:R855)-SUM($F861:R861)</f>
        <v>0</v>
      </c>
      <c r="S862" s="105">
        <f ca="1">SUM($F855:S855)-SUM($F861:S861)</f>
        <v>0</v>
      </c>
      <c r="T862" s="105">
        <f ca="1">SUM($F855:T855)-SUM($F861:T861)</f>
        <v>0</v>
      </c>
      <c r="U862" s="105">
        <f ca="1">SUM($F855:U855)-SUM($F861:U861)</f>
        <v>0</v>
      </c>
      <c r="V862" s="105">
        <f ca="1">SUM($F855:V855)-SUM($F861:V861)</f>
        <v>0</v>
      </c>
      <c r="W862" s="105">
        <f ca="1">SUM($F855:W855)-SUM($F861:W861)</f>
        <v>0</v>
      </c>
      <c r="X862" s="105">
        <f ca="1">SUM($F855:X855)-SUM($F861:X861)</f>
        <v>0</v>
      </c>
      <c r="Y862" s="105">
        <f ca="1">SUM($F855:Y855)-SUM($F861:Y861)</f>
        <v>0</v>
      </c>
      <c r="Z862" s="105">
        <f ca="1">SUM($F855:Z855)-SUM($F861:Z861)</f>
        <v>0</v>
      </c>
      <c r="AA862" s="105">
        <f ca="1">SUM($F855:AA855)-SUM($F861:AA861)</f>
        <v>0</v>
      </c>
      <c r="AB862" s="105">
        <f ca="1">SUM($F855:AB855)-SUM($F861:AB861)</f>
        <v>0</v>
      </c>
      <c r="AC862" s="105">
        <f ca="1">SUM($F855:AC855)-SUM($F861:AC861)</f>
        <v>0</v>
      </c>
      <c r="AD862" s="43"/>
      <c r="AE862" s="93"/>
    </row>
    <row r="863" spans="1:31" hidden="1" outlineLevel="2" x14ac:dyDescent="0.2">
      <c r="A863" s="48" t="str">
        <f ca="1">Language!A$576</f>
        <v xml:space="preserve">    остаток затрат в незавершенном производстве</v>
      </c>
      <c r="C863" s="5" t="str">
        <f t="shared" ca="1" si="2323"/>
        <v>тыс. EUR</v>
      </c>
      <c r="D863" s="16" t="s">
        <v>2594</v>
      </c>
      <c r="F863" s="43">
        <f ca="1">SUMIF($D821:OFFSET($D854,-1,0),"*1_12*",F821:OFFSET(F854,-1,0))+SUMIF($D821:OFFSET($D854,-1,0),"*2_12*",F821:OFFSET(F854,-1,0))*F$88</f>
        <v>0</v>
      </c>
      <c r="G863" s="43">
        <f ca="1">SUMIF($D821:OFFSET($D854,-1,0),"*1_12*",G821:OFFSET(G854,-1,0))+SUMIF($D821:OFFSET($D854,-1,0),"*2_12*",G821:OFFSET(G854,-1,0))*G$88</f>
        <v>0</v>
      </c>
      <c r="H863" s="43">
        <f ca="1">SUMIF($D821:OFFSET($D854,-1,0),"*1_12*",H821:OFFSET(H854,-1,0))+SUMIF($D821:OFFSET($D854,-1,0),"*2_12*",H821:OFFSET(H854,-1,0))*H$88</f>
        <v>0</v>
      </c>
      <c r="I863" s="43">
        <f ca="1">SUMIF($D821:OFFSET($D854,-1,0),"*1_12*",I821:OFFSET(I854,-1,0))+SUMIF($D821:OFFSET($D854,-1,0),"*2_12*",I821:OFFSET(I854,-1,0))*I$88</f>
        <v>0</v>
      </c>
      <c r="J863" s="43">
        <f ca="1">SUMIF($D821:OFFSET($D854,-1,0),"*1_12*",J821:OFFSET(J854,-1,0))+SUMIF($D821:OFFSET($D854,-1,0),"*2_12*",J821:OFFSET(J854,-1,0))*J$88</f>
        <v>0</v>
      </c>
      <c r="K863" s="43">
        <f ca="1">SUMIF($D821:OFFSET($D854,-1,0),"*1_12*",K821:OFFSET(K854,-1,0))+SUMIF($D821:OFFSET($D854,-1,0),"*2_12*",K821:OFFSET(K854,-1,0))*K$88</f>
        <v>0</v>
      </c>
      <c r="L863" s="43">
        <f ca="1">SUMIF($D821:OFFSET($D854,-1,0),"*1_12*",L821:OFFSET(L854,-1,0))+SUMIF($D821:OFFSET($D854,-1,0),"*2_12*",L821:OFFSET(L854,-1,0))*L$88</f>
        <v>0</v>
      </c>
      <c r="M863" s="43">
        <f ca="1">SUMIF($D821:OFFSET($D854,-1,0),"*1_12*",M821:OFFSET(M854,-1,0))+SUMIF($D821:OFFSET($D854,-1,0),"*2_12*",M821:OFFSET(M854,-1,0))*M$88</f>
        <v>0</v>
      </c>
      <c r="N863" s="43">
        <f ca="1">SUMIF($D821:OFFSET($D854,-1,0),"*1_12*",N821:OFFSET(N854,-1,0))+SUMIF($D821:OFFSET($D854,-1,0),"*2_12*",N821:OFFSET(N854,-1,0))*N$88</f>
        <v>0</v>
      </c>
      <c r="O863" s="43">
        <f ca="1">SUMIF($D821:OFFSET($D854,-1,0),"*1_12*",O821:OFFSET(O854,-1,0))+SUMIF($D821:OFFSET($D854,-1,0),"*2_12*",O821:OFFSET(O854,-1,0))*O$88</f>
        <v>0</v>
      </c>
      <c r="P863" s="43">
        <f ca="1">SUMIF($D821:OFFSET($D854,-1,0),"*1_12*",P821:OFFSET(P854,-1,0))+SUMIF($D821:OFFSET($D854,-1,0),"*2_12*",P821:OFFSET(P854,-1,0))*P$88</f>
        <v>0</v>
      </c>
      <c r="Q863" s="43">
        <f ca="1">SUMIF($D821:OFFSET($D854,-1,0),"*1_12*",Q821:OFFSET(Q854,-1,0))+SUMIF($D821:OFFSET($D854,-1,0),"*2_12*",Q821:OFFSET(Q854,-1,0))*Q$88</f>
        <v>0</v>
      </c>
      <c r="R863" s="43">
        <f ca="1">SUMIF($D821:OFFSET($D854,-1,0),"*1_12*",R821:OFFSET(R854,-1,0))+SUMIF($D821:OFFSET($D854,-1,0),"*2_12*",R821:OFFSET(R854,-1,0))*R$88</f>
        <v>0</v>
      </c>
      <c r="S863" s="43">
        <f ca="1">SUMIF($D821:OFFSET($D854,-1,0),"*1_12*",S821:OFFSET(S854,-1,0))+SUMIF($D821:OFFSET($D854,-1,0),"*2_12*",S821:OFFSET(S854,-1,0))*S$88</f>
        <v>0</v>
      </c>
      <c r="T863" s="43">
        <f ca="1">SUMIF($D821:OFFSET($D854,-1,0),"*1_12*",T821:OFFSET(T854,-1,0))+SUMIF($D821:OFFSET($D854,-1,0),"*2_12*",T821:OFFSET(T854,-1,0))*T$88</f>
        <v>0</v>
      </c>
      <c r="U863" s="43">
        <f ca="1">SUMIF($D821:OFFSET($D854,-1,0),"*1_12*",U821:OFFSET(U854,-1,0))+SUMIF($D821:OFFSET($D854,-1,0),"*2_12*",U821:OFFSET(U854,-1,0))*U$88</f>
        <v>0</v>
      </c>
      <c r="V863" s="43">
        <f ca="1">SUMIF($D821:OFFSET($D854,-1,0),"*1_12*",V821:OFFSET(V854,-1,0))+SUMIF($D821:OFFSET($D854,-1,0),"*2_12*",V821:OFFSET(V854,-1,0))*V$88</f>
        <v>0</v>
      </c>
      <c r="W863" s="43">
        <f ca="1">SUMIF($D821:OFFSET($D854,-1,0),"*1_12*",W821:OFFSET(W854,-1,0))+SUMIF($D821:OFFSET($D854,-1,0),"*2_12*",W821:OFFSET(W854,-1,0))*W$88</f>
        <v>0</v>
      </c>
      <c r="X863" s="43">
        <f ca="1">SUMIF($D821:OFFSET($D854,-1,0),"*1_12*",X821:OFFSET(X854,-1,0))+SUMIF($D821:OFFSET($D854,-1,0),"*2_12*",X821:OFFSET(X854,-1,0))*X$88</f>
        <v>0</v>
      </c>
      <c r="Y863" s="43">
        <f ca="1">SUMIF($D821:OFFSET($D854,-1,0),"*1_12*",Y821:OFFSET(Y854,-1,0))+SUMIF($D821:OFFSET($D854,-1,0),"*2_12*",Y821:OFFSET(Y854,-1,0))*Y$88</f>
        <v>0</v>
      </c>
      <c r="Z863" s="43">
        <f ca="1">SUMIF($D821:OFFSET($D854,-1,0),"*1_12*",Z821:OFFSET(Z854,-1,0))+SUMIF($D821:OFFSET($D854,-1,0),"*2_12*",Z821:OFFSET(Z854,-1,0))*Z$88</f>
        <v>0</v>
      </c>
      <c r="AA863" s="43">
        <f ca="1">SUMIF($D821:OFFSET($D854,-1,0),"*1_12*",AA821:OFFSET(AA854,-1,0))+SUMIF($D821:OFFSET($D854,-1,0),"*2_12*",AA821:OFFSET(AA854,-1,0))*AA$88</f>
        <v>0</v>
      </c>
      <c r="AB863" s="43">
        <f ca="1">SUMIF($D821:OFFSET($D854,-1,0),"*1_12*",AB821:OFFSET(AB854,-1,0))+SUMIF($D821:OFFSET($D854,-1,0),"*2_12*",AB821:OFFSET(AB854,-1,0))*AB$88</f>
        <v>0</v>
      </c>
      <c r="AC863" s="43">
        <f ca="1">SUMIF($D821:OFFSET($D854,-1,0),"*1_12*",AC821:OFFSET(AC854,-1,0))+SUMIF($D821:OFFSET($D854,-1,0),"*2_12*",AC821:OFFSET(AC854,-1,0))*AC$88</f>
        <v>0</v>
      </c>
      <c r="AD863" s="43"/>
      <c r="AE863" s="93"/>
    </row>
    <row r="864" spans="1:31" hidden="1" outlineLevel="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4"/>
    </row>
    <row r="865" spans="1:31" hidden="1" outlineLevel="1" x14ac:dyDescent="0.2"/>
    <row r="866" spans="1:31" s="4" customFormat="1" ht="15.95" customHeight="1" thickTop="1" thickBot="1" x14ac:dyDescent="0.25">
      <c r="A866" s="165" t="str">
        <f ca="1">Language!A583</f>
        <v xml:space="preserve">         ПЕРСОНАЛ И ЗАРАБОТНАЯ ПЛАТА</v>
      </c>
      <c r="B866" s="165"/>
      <c r="C866" s="165"/>
      <c r="D866" s="165"/>
      <c r="E866" s="165"/>
      <c r="F866" s="177" t="str">
        <f t="shared" ref="F866:AC866" ca="1" si="2324">PeriodTitle</f>
        <v>1 кв. 2016</v>
      </c>
      <c r="G866" s="177" t="str">
        <f t="shared" ca="1" si="2324"/>
        <v>2 кв. 2016</v>
      </c>
      <c r="H866" s="177" t="str">
        <f t="shared" ca="1" si="2324"/>
        <v>3 кв. 2016</v>
      </c>
      <c r="I866" s="177" t="str">
        <f t="shared" ca="1" si="2324"/>
        <v>4 кв. 2016</v>
      </c>
      <c r="J866" s="177" t="str">
        <f t="shared" ca="1" si="2324"/>
        <v>1 кв. 2017</v>
      </c>
      <c r="K866" s="177" t="str">
        <f t="shared" ca="1" si="2324"/>
        <v>2 кв. 2017</v>
      </c>
      <c r="L866" s="177" t="str">
        <f t="shared" ca="1" si="2324"/>
        <v>3 кв. 2017</v>
      </c>
      <c r="M866" s="177" t="str">
        <f t="shared" ca="1" si="2324"/>
        <v>4 кв. 2017</v>
      </c>
      <c r="N866" s="177" t="str">
        <f t="shared" ca="1" si="2324"/>
        <v>1 кв. 2018</v>
      </c>
      <c r="O866" s="177" t="str">
        <f t="shared" ca="1" si="2324"/>
        <v>2 кв. 2018</v>
      </c>
      <c r="P866" s="177" t="str">
        <f t="shared" ca="1" si="2324"/>
        <v>3 кв. 2018</v>
      </c>
      <c r="Q866" s="177" t="str">
        <f t="shared" ca="1" si="2324"/>
        <v>4 кв. 2018</v>
      </c>
      <c r="R866" s="177" t="str">
        <f t="shared" ca="1" si="2324"/>
        <v>1 кв. 2019</v>
      </c>
      <c r="S866" s="177" t="str">
        <f t="shared" ca="1" si="2324"/>
        <v>2 кв. 2019</v>
      </c>
      <c r="T866" s="177" t="str">
        <f t="shared" ca="1" si="2324"/>
        <v>3 кв. 2019</v>
      </c>
      <c r="U866" s="177" t="str">
        <f t="shared" ca="1" si="2324"/>
        <v>4 кв. 2019</v>
      </c>
      <c r="V866" s="177" t="str">
        <f t="shared" ca="1" si="2324"/>
        <v>1 кв. 2020</v>
      </c>
      <c r="W866" s="177" t="str">
        <f t="shared" ca="1" si="2324"/>
        <v>2 кв. 2020</v>
      </c>
      <c r="X866" s="177" t="str">
        <f t="shared" ca="1" si="2324"/>
        <v>3 кв. 2020</v>
      </c>
      <c r="Y866" s="177" t="str">
        <f t="shared" ca="1" si="2324"/>
        <v>4 кв. 2020</v>
      </c>
      <c r="Z866" s="177" t="str">
        <f t="shared" ca="1" si="2324"/>
        <v>1 кв. 2021</v>
      </c>
      <c r="AA866" s="177" t="str">
        <f t="shared" ca="1" si="2324"/>
        <v>2 кв. 2021</v>
      </c>
      <c r="AB866" s="177" t="str">
        <f t="shared" ca="1" si="2324"/>
        <v>3 кв. 2021</v>
      </c>
      <c r="AC866" s="177" t="str">
        <f t="shared" ca="1" si="2324"/>
        <v>4 кв. 2021</v>
      </c>
      <c r="AD866" s="165"/>
      <c r="AE866" s="194" t="str">
        <f ca="1">Language!$A$372</f>
        <v>ИТОГО</v>
      </c>
    </row>
    <row r="867" spans="1:31" ht="12" outlineLevel="1" thickTop="1" x14ac:dyDescent="0.2"/>
    <row r="868" spans="1:31" outlineLevel="1" x14ac:dyDescent="0.2">
      <c r="A868" s="35" t="str">
        <f ca="1">Language!A584</f>
        <v>Основной производственный персонал</v>
      </c>
    </row>
    <row r="869" spans="1:31" outlineLevel="1" x14ac:dyDescent="0.2">
      <c r="B869" s="36" t="str">
        <f ca="1">Language!A$73</f>
        <v>Валюта</v>
      </c>
      <c r="C869" s="87"/>
      <c r="D869">
        <v>1</v>
      </c>
      <c r="E869">
        <v>5</v>
      </c>
    </row>
    <row r="870" spans="1:31" outlineLevel="1" x14ac:dyDescent="0.2">
      <c r="A870" s="273" t="str">
        <f ca="1">Language!A$431</f>
        <v>Наименование</v>
      </c>
      <c r="B870" s="254">
        <v>1</v>
      </c>
      <c r="C870" s="86" t="str">
        <f ca="1">CHOOSE(B870,CUR_Main,CUR_Foreign)</f>
        <v>тыс. EUR</v>
      </c>
      <c r="D870" s="16" t="str">
        <f>TEXT(B870,"0")&amp;"_01"</f>
        <v>1_01</v>
      </c>
      <c r="F870" s="53">
        <f t="shared" ref="F870:T870" si="2325">F872*F871*PRJ_Step/30</f>
        <v>0</v>
      </c>
      <c r="G870" s="53">
        <f t="shared" si="2325"/>
        <v>0</v>
      </c>
      <c r="H870" s="53">
        <f t="shared" si="2325"/>
        <v>0</v>
      </c>
      <c r="I870" s="53">
        <f t="shared" si="2325"/>
        <v>0</v>
      </c>
      <c r="J870" s="53">
        <f t="shared" si="2325"/>
        <v>0</v>
      </c>
      <c r="K870" s="53">
        <f t="shared" si="2325"/>
        <v>268.29000000000002</v>
      </c>
      <c r="L870" s="53">
        <f t="shared" si="2325"/>
        <v>268.29000000000002</v>
      </c>
      <c r="M870" s="53">
        <f t="shared" si="2325"/>
        <v>268.29000000000002</v>
      </c>
      <c r="N870" s="53">
        <f t="shared" si="2325"/>
        <v>268.29000000000002</v>
      </c>
      <c r="O870" s="53">
        <f t="shared" si="2325"/>
        <v>268.29000000000002</v>
      </c>
      <c r="P870" s="53">
        <f t="shared" si="2325"/>
        <v>268.29000000000002</v>
      </c>
      <c r="Q870" s="53">
        <f t="shared" si="2325"/>
        <v>268.29000000000002</v>
      </c>
      <c r="R870" s="53">
        <f t="shared" si="2325"/>
        <v>268.29000000000002</v>
      </c>
      <c r="S870" s="53">
        <f t="shared" si="2325"/>
        <v>268.29000000000002</v>
      </c>
      <c r="T870" s="53">
        <f t="shared" si="2325"/>
        <v>268.29000000000002</v>
      </c>
      <c r="U870" s="53">
        <f t="shared" ref="U870" si="2326">U872*U871*PRJ_Step/30</f>
        <v>268.29000000000002</v>
      </c>
      <c r="V870" s="53">
        <f t="shared" ref="V870" si="2327">V872*V871*PRJ_Step/30</f>
        <v>268.29000000000002</v>
      </c>
      <c r="W870" s="53">
        <f t="shared" ref="W870" si="2328">W872*W871*PRJ_Step/30</f>
        <v>268.29000000000002</v>
      </c>
      <c r="X870" s="53">
        <f t="shared" ref="X870" si="2329">X872*X871*PRJ_Step/30</f>
        <v>268.29000000000002</v>
      </c>
      <c r="Y870" s="53">
        <f t="shared" ref="Y870" si="2330">Y872*Y871*PRJ_Step/30</f>
        <v>268.29000000000002</v>
      </c>
      <c r="Z870" s="53">
        <f t="shared" ref="Z870" si="2331">Z872*Z871*PRJ_Step/30</f>
        <v>268.29000000000002</v>
      </c>
      <c r="AA870" s="53">
        <f t="shared" ref="AA870" si="2332">AA872*AA871*PRJ_Step/30</f>
        <v>268.29000000000002</v>
      </c>
      <c r="AB870" s="53">
        <f t="shared" ref="AB870:AC870" si="2333">AB872*AB871*PRJ_Step/30</f>
        <v>268.29000000000002</v>
      </c>
      <c r="AC870" s="53">
        <f t="shared" si="2333"/>
        <v>268.29000000000002</v>
      </c>
      <c r="AE870" s="54">
        <f>SUM(F870:AC870)</f>
        <v>5097.51</v>
      </c>
    </row>
    <row r="871" spans="1:31" outlineLevel="1" x14ac:dyDescent="0.2">
      <c r="A871" t="str">
        <f ca="1">Language!A$590</f>
        <v>Количество</v>
      </c>
      <c r="B871" s="270">
        <f>Персонал!I71</f>
        <v>123</v>
      </c>
      <c r="C871" s="5" t="str">
        <f ca="1">Language!A$592</f>
        <v>чел.</v>
      </c>
      <c r="D871" s="16" t="s">
        <v>2614</v>
      </c>
      <c r="F871" s="269">
        <f>IF(SUM($F$714:F$714)&lt;&gt;0,$B871,0)</f>
        <v>0</v>
      </c>
      <c r="G871" s="269">
        <f>IF(SUM($F$714:G$714)&lt;&gt;0,$B871,0)</f>
        <v>0</v>
      </c>
      <c r="H871" s="269">
        <f>IF(SUM($F$714:H$714)&lt;&gt;0,$B871,0)</f>
        <v>0</v>
      </c>
      <c r="I871" s="269">
        <f>IF(SUM($F$714:I$714)&lt;&gt;0,$B871,0)</f>
        <v>0</v>
      </c>
      <c r="J871" s="269">
        <f>IF(SUM($F$714:J$714)&lt;&gt;0,$B871,0)</f>
        <v>0</v>
      </c>
      <c r="K871" s="269">
        <f>IF(SUM($F$714:K$714)&lt;&gt;0,$B871,0)</f>
        <v>123</v>
      </c>
      <c r="L871" s="269">
        <f>IF(SUM($F$714:L$714)&lt;&gt;0,$B871,0)</f>
        <v>123</v>
      </c>
      <c r="M871" s="269">
        <f>IF(SUM($F$714:M$714)&lt;&gt;0,$B871,0)</f>
        <v>123</v>
      </c>
      <c r="N871" s="269">
        <f>IF(SUM($F$714:N$714)&lt;&gt;0,$B871,0)</f>
        <v>123</v>
      </c>
      <c r="O871" s="269">
        <f>IF(SUM($F$714:O$714)&lt;&gt;0,$B871,0)</f>
        <v>123</v>
      </c>
      <c r="P871" s="269">
        <f>IF(SUM($F$714:P$714)&lt;&gt;0,$B871,0)</f>
        <v>123</v>
      </c>
      <c r="Q871" s="269">
        <f>IF(SUM($F$714:Q$714)&lt;&gt;0,$B871,0)</f>
        <v>123</v>
      </c>
      <c r="R871" s="269">
        <f>IF(SUM($F$714:R$714)&lt;&gt;0,$B871,0)</f>
        <v>123</v>
      </c>
      <c r="S871" s="269">
        <f>IF(SUM($F$714:S$714)&lt;&gt;0,$B871,0)</f>
        <v>123</v>
      </c>
      <c r="T871" s="269">
        <f>IF(SUM($F$714:T$714)&lt;&gt;0,$B871,0)</f>
        <v>123</v>
      </c>
      <c r="U871" s="269">
        <f>IF(SUM($F$714:U$714)&lt;&gt;0,$B871,0)</f>
        <v>123</v>
      </c>
      <c r="V871" s="269">
        <f>IF(SUM($F$714:V$714)&lt;&gt;0,$B871,0)</f>
        <v>123</v>
      </c>
      <c r="W871" s="269">
        <f>IF(SUM($F$714:W$714)&lt;&gt;0,$B871,0)</f>
        <v>123</v>
      </c>
      <c r="X871" s="269">
        <f>IF(SUM($F$714:X$714)&lt;&gt;0,$B871,0)</f>
        <v>123</v>
      </c>
      <c r="Y871" s="269">
        <f>IF(SUM($F$714:Y$714)&lt;&gt;0,$B871,0)</f>
        <v>123</v>
      </c>
      <c r="Z871" s="269">
        <f>IF(SUM($F$714:Z$714)&lt;&gt;0,$B871,0)</f>
        <v>123</v>
      </c>
      <c r="AA871" s="269">
        <f>IF(SUM($F$714:AA$714)&lt;&gt;0,$B871,0)</f>
        <v>123</v>
      </c>
      <c r="AB871" s="269">
        <f>IF(SUM($F$714:AB$714)&lt;&gt;0,$B871,0)</f>
        <v>123</v>
      </c>
      <c r="AC871" s="269">
        <f>IF(SUM($F$714:AC$714)&lt;&gt;0,$B871,0)</f>
        <v>123</v>
      </c>
      <c r="AE871" s="54"/>
    </row>
    <row r="872" spans="1:31" s="48" customFormat="1" outlineLevel="1" collapsed="1" x14ac:dyDescent="0.2">
      <c r="A872" s="52" t="str">
        <f ca="1">Language!A$589</f>
        <v>Месячный оклад</v>
      </c>
      <c r="B872" s="289">
        <f>Персонал!O71/B871/1000</f>
        <v>0.72707317073170741</v>
      </c>
      <c r="C872" s="86" t="str">
        <f ca="1">CHOOSE(B870,CUR_Main,CUR_Foreign)</f>
        <v>тыс. EUR</v>
      </c>
      <c r="D872" s="16" t="s">
        <v>2429</v>
      </c>
      <c r="F872" s="285">
        <f>B872</f>
        <v>0.72707317073170741</v>
      </c>
      <c r="G872" s="285">
        <f t="shared" ref="G872:AC872" si="2334">F872*IF(CalcMethod=2,1+F874,1)</f>
        <v>0.72707317073170741</v>
      </c>
      <c r="H872" s="285">
        <f t="shared" si="2334"/>
        <v>0.72707317073170741</v>
      </c>
      <c r="I872" s="285">
        <f t="shared" si="2334"/>
        <v>0.72707317073170741</v>
      </c>
      <c r="J872" s="285">
        <f t="shared" si="2334"/>
        <v>0.72707317073170741</v>
      </c>
      <c r="K872" s="285">
        <f t="shared" si="2334"/>
        <v>0.72707317073170741</v>
      </c>
      <c r="L872" s="285">
        <f t="shared" si="2334"/>
        <v>0.72707317073170741</v>
      </c>
      <c r="M872" s="285">
        <f t="shared" si="2334"/>
        <v>0.72707317073170741</v>
      </c>
      <c r="N872" s="285">
        <f t="shared" si="2334"/>
        <v>0.72707317073170741</v>
      </c>
      <c r="O872" s="285">
        <f t="shared" si="2334"/>
        <v>0.72707317073170741</v>
      </c>
      <c r="P872" s="285">
        <f t="shared" si="2334"/>
        <v>0.72707317073170741</v>
      </c>
      <c r="Q872" s="285">
        <f t="shared" si="2334"/>
        <v>0.72707317073170741</v>
      </c>
      <c r="R872" s="285">
        <f t="shared" si="2334"/>
        <v>0.72707317073170741</v>
      </c>
      <c r="S872" s="285">
        <f t="shared" si="2334"/>
        <v>0.72707317073170741</v>
      </c>
      <c r="T872" s="285">
        <f t="shared" si="2334"/>
        <v>0.72707317073170741</v>
      </c>
      <c r="U872" s="285">
        <f t="shared" si="2334"/>
        <v>0.72707317073170741</v>
      </c>
      <c r="V872" s="285">
        <f t="shared" si="2334"/>
        <v>0.72707317073170741</v>
      </c>
      <c r="W872" s="285">
        <f t="shared" si="2334"/>
        <v>0.72707317073170741</v>
      </c>
      <c r="X872" s="285">
        <f t="shared" si="2334"/>
        <v>0.72707317073170741</v>
      </c>
      <c r="Y872" s="285">
        <f t="shared" si="2334"/>
        <v>0.72707317073170741</v>
      </c>
      <c r="Z872" s="285">
        <f t="shared" si="2334"/>
        <v>0.72707317073170741</v>
      </c>
      <c r="AA872" s="285">
        <f t="shared" si="2334"/>
        <v>0.72707317073170741</v>
      </c>
      <c r="AB872" s="285">
        <f t="shared" si="2334"/>
        <v>0.72707317073170741</v>
      </c>
      <c r="AC872" s="285">
        <f t="shared" si="2334"/>
        <v>0.72707317073170741</v>
      </c>
      <c r="AE872" s="93"/>
    </row>
    <row r="873" spans="1:31" hidden="1" outlineLevel="2" x14ac:dyDescent="0.2">
      <c r="A873" t="str">
        <f ca="1">Language!A$104</f>
        <v>Предполагаемый темп годового роста цен</v>
      </c>
      <c r="C873" s="5" t="s">
        <v>2430</v>
      </c>
      <c r="D873" s="16" t="s">
        <v>2429</v>
      </c>
      <c r="F873" s="268">
        <f t="shared" ref="F873:T873" si="2335">CHOOSE($B870,F$80,F$91)</f>
        <v>0</v>
      </c>
      <c r="G873" s="268">
        <f t="shared" si="2335"/>
        <v>0</v>
      </c>
      <c r="H873" s="268">
        <f t="shared" si="2335"/>
        <v>0</v>
      </c>
      <c r="I873" s="268">
        <f t="shared" si="2335"/>
        <v>0</v>
      </c>
      <c r="J873" s="268">
        <f t="shared" si="2335"/>
        <v>0</v>
      </c>
      <c r="K873" s="268">
        <f t="shared" si="2335"/>
        <v>0</v>
      </c>
      <c r="L873" s="268">
        <f t="shared" si="2335"/>
        <v>0</v>
      </c>
      <c r="M873" s="268">
        <f t="shared" si="2335"/>
        <v>0</v>
      </c>
      <c r="N873" s="268">
        <f t="shared" si="2335"/>
        <v>0</v>
      </c>
      <c r="O873" s="268">
        <f t="shared" si="2335"/>
        <v>0</v>
      </c>
      <c r="P873" s="268">
        <f t="shared" si="2335"/>
        <v>0</v>
      </c>
      <c r="Q873" s="268">
        <f t="shared" si="2335"/>
        <v>0</v>
      </c>
      <c r="R873" s="268">
        <f t="shared" si="2335"/>
        <v>0</v>
      </c>
      <c r="S873" s="268">
        <f t="shared" si="2335"/>
        <v>0</v>
      </c>
      <c r="T873" s="268">
        <f t="shared" si="2335"/>
        <v>0</v>
      </c>
      <c r="U873" s="268">
        <f t="shared" ref="U873" si="2336">CHOOSE($B870,U$80,U$91)</f>
        <v>0</v>
      </c>
      <c r="V873" s="268">
        <f t="shared" ref="V873" si="2337">CHOOSE($B870,V$80,V$91)</f>
        <v>0</v>
      </c>
      <c r="W873" s="268">
        <f t="shared" ref="W873" si="2338">CHOOSE($B870,W$80,W$91)</f>
        <v>0</v>
      </c>
      <c r="X873" s="268">
        <f t="shared" ref="X873" si="2339">CHOOSE($B870,X$80,X$91)</f>
        <v>0</v>
      </c>
      <c r="Y873" s="268">
        <f t="shared" ref="Y873" si="2340">CHOOSE($B870,Y$80,Y$91)</f>
        <v>0</v>
      </c>
      <c r="Z873" s="268">
        <f t="shared" ref="Z873" si="2341">CHOOSE($B870,Z$80,Z$91)</f>
        <v>0</v>
      </c>
      <c r="AA873" s="268">
        <f t="shared" ref="AA873" si="2342">CHOOSE($B870,AA$80,AA$91)</f>
        <v>0</v>
      </c>
      <c r="AB873" s="268">
        <f t="shared" ref="AB873:AC873" si="2343">CHOOSE($B870,AB$80,AB$91)</f>
        <v>0</v>
      </c>
      <c r="AC873" s="268">
        <f t="shared" si="2343"/>
        <v>0</v>
      </c>
      <c r="AE873" s="54"/>
    </row>
    <row r="874" spans="1:31" hidden="1" outlineLevel="2" x14ac:dyDescent="0.2">
      <c r="A874" t="str">
        <f ca="1">Language!A$106</f>
        <v>То же, в пересчете на период, равный шагу проекта</v>
      </c>
      <c r="C874" s="5" t="s">
        <v>2430</v>
      </c>
      <c r="D874" s="16" t="s">
        <v>2429</v>
      </c>
      <c r="F874" s="30">
        <f t="shared" ref="F874:T874" si="2344">POWER(1+F873,PRJ_Step/360)-1</f>
        <v>0</v>
      </c>
      <c r="G874" s="30">
        <f t="shared" si="2344"/>
        <v>0</v>
      </c>
      <c r="H874" s="30">
        <f t="shared" si="2344"/>
        <v>0</v>
      </c>
      <c r="I874" s="30">
        <f t="shared" si="2344"/>
        <v>0</v>
      </c>
      <c r="J874" s="30">
        <f t="shared" si="2344"/>
        <v>0</v>
      </c>
      <c r="K874" s="30">
        <f t="shared" si="2344"/>
        <v>0</v>
      </c>
      <c r="L874" s="30">
        <f t="shared" si="2344"/>
        <v>0</v>
      </c>
      <c r="M874" s="30">
        <f t="shared" si="2344"/>
        <v>0</v>
      </c>
      <c r="N874" s="30">
        <f t="shared" si="2344"/>
        <v>0</v>
      </c>
      <c r="O874" s="30">
        <f t="shared" si="2344"/>
        <v>0</v>
      </c>
      <c r="P874" s="30">
        <f t="shared" si="2344"/>
        <v>0</v>
      </c>
      <c r="Q874" s="30">
        <f t="shared" si="2344"/>
        <v>0</v>
      </c>
      <c r="R874" s="30">
        <f t="shared" si="2344"/>
        <v>0</v>
      </c>
      <c r="S874" s="30">
        <f t="shared" si="2344"/>
        <v>0</v>
      </c>
      <c r="T874" s="30">
        <f t="shared" si="2344"/>
        <v>0</v>
      </c>
      <c r="U874" s="30">
        <f t="shared" ref="U874" si="2345">POWER(1+U873,PRJ_Step/360)-1</f>
        <v>0</v>
      </c>
      <c r="V874" s="30">
        <f t="shared" ref="V874" si="2346">POWER(1+V873,PRJ_Step/360)-1</f>
        <v>0</v>
      </c>
      <c r="W874" s="30">
        <f t="shared" ref="W874" si="2347">POWER(1+W873,PRJ_Step/360)-1</f>
        <v>0</v>
      </c>
      <c r="X874" s="30">
        <f t="shared" ref="X874" si="2348">POWER(1+X873,PRJ_Step/360)-1</f>
        <v>0</v>
      </c>
      <c r="Y874" s="30">
        <f t="shared" ref="Y874" si="2349">POWER(1+Y873,PRJ_Step/360)-1</f>
        <v>0</v>
      </c>
      <c r="Z874" s="30">
        <f t="shared" ref="Z874" si="2350">POWER(1+Z873,PRJ_Step/360)-1</f>
        <v>0</v>
      </c>
      <c r="AA874" s="30">
        <f t="shared" ref="AA874" si="2351">POWER(1+AA873,PRJ_Step/360)-1</f>
        <v>0</v>
      </c>
      <c r="AB874" s="30">
        <f t="shared" ref="AB874:AC874" si="2352">POWER(1+AB873,PRJ_Step/360)-1</f>
        <v>0</v>
      </c>
      <c r="AC874" s="30">
        <f t="shared" si="2352"/>
        <v>0</v>
      </c>
      <c r="AE874" s="54"/>
    </row>
    <row r="875" spans="1:31" outlineLevel="1" x14ac:dyDescent="0.2">
      <c r="AE875" s="54"/>
    </row>
    <row r="876" spans="1:31" outlineLevel="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121"/>
    </row>
    <row r="877" spans="1:31" outlineLevel="1" x14ac:dyDescent="0.2">
      <c r="A877" s="35" t="str">
        <f ca="1">Language!A585</f>
        <v>Вспомогательный производственный персонал</v>
      </c>
      <c r="AE877" s="54"/>
    </row>
    <row r="878" spans="1:31" outlineLevel="1" x14ac:dyDescent="0.2">
      <c r="B878" s="36" t="str">
        <f ca="1">Language!A$73</f>
        <v>Валюта</v>
      </c>
      <c r="C878" s="87"/>
      <c r="D878">
        <v>1</v>
      </c>
      <c r="E878">
        <v>5</v>
      </c>
      <c r="AE878" s="54"/>
    </row>
    <row r="879" spans="1:31" outlineLevel="1" x14ac:dyDescent="0.2">
      <c r="A879" s="273" t="str">
        <f ca="1">Language!A$431</f>
        <v>Наименование</v>
      </c>
      <c r="B879" s="254">
        <v>1</v>
      </c>
      <c r="C879" s="86" t="str">
        <f ca="1">CHOOSE(B879,CUR_Main,CUR_Foreign)</f>
        <v>тыс. EUR</v>
      </c>
      <c r="D879" s="16" t="str">
        <f>TEXT(B879,"0")&amp;"_02"</f>
        <v>1_02</v>
      </c>
      <c r="F879" s="53">
        <f t="shared" ref="F879:T879" si="2353">F881*F880*PRJ_Step/30</f>
        <v>0</v>
      </c>
      <c r="G879" s="53">
        <f t="shared" si="2353"/>
        <v>0</v>
      </c>
      <c r="H879" s="53">
        <f t="shared" si="2353"/>
        <v>0</v>
      </c>
      <c r="I879" s="53">
        <f t="shared" si="2353"/>
        <v>0</v>
      </c>
      <c r="J879" s="53">
        <f t="shared" si="2353"/>
        <v>0</v>
      </c>
      <c r="K879" s="53">
        <f t="shared" si="2353"/>
        <v>0</v>
      </c>
      <c r="L879" s="53">
        <f t="shared" si="2353"/>
        <v>0</v>
      </c>
      <c r="M879" s="53">
        <f t="shared" si="2353"/>
        <v>0</v>
      </c>
      <c r="N879" s="53">
        <f t="shared" si="2353"/>
        <v>0</v>
      </c>
      <c r="O879" s="53">
        <f t="shared" si="2353"/>
        <v>0</v>
      </c>
      <c r="P879" s="53">
        <f t="shared" si="2353"/>
        <v>0</v>
      </c>
      <c r="Q879" s="53">
        <f t="shared" si="2353"/>
        <v>0</v>
      </c>
      <c r="R879" s="53">
        <f t="shared" si="2353"/>
        <v>0</v>
      </c>
      <c r="S879" s="53">
        <f t="shared" si="2353"/>
        <v>0</v>
      </c>
      <c r="T879" s="53">
        <f t="shared" si="2353"/>
        <v>0</v>
      </c>
      <c r="U879" s="53">
        <f t="shared" ref="U879" si="2354">U881*U880*PRJ_Step/30</f>
        <v>0</v>
      </c>
      <c r="V879" s="53">
        <f t="shared" ref="V879" si="2355">V881*V880*PRJ_Step/30</f>
        <v>0</v>
      </c>
      <c r="W879" s="53">
        <f t="shared" ref="W879" si="2356">W881*W880*PRJ_Step/30</f>
        <v>0</v>
      </c>
      <c r="X879" s="53">
        <f t="shared" ref="X879" si="2357">X881*X880*PRJ_Step/30</f>
        <v>0</v>
      </c>
      <c r="Y879" s="53">
        <f t="shared" ref="Y879" si="2358">Y881*Y880*PRJ_Step/30</f>
        <v>0</v>
      </c>
      <c r="Z879" s="53">
        <f t="shared" ref="Z879" si="2359">Z881*Z880*PRJ_Step/30</f>
        <v>0</v>
      </c>
      <c r="AA879" s="53">
        <f t="shared" ref="AA879" si="2360">AA881*AA880*PRJ_Step/30</f>
        <v>0</v>
      </c>
      <c r="AB879" s="53">
        <f t="shared" ref="AB879:AC879" si="2361">AB881*AB880*PRJ_Step/30</f>
        <v>0</v>
      </c>
      <c r="AC879" s="53">
        <f t="shared" si="2361"/>
        <v>0</v>
      </c>
      <c r="AE879" s="54">
        <f>SUM(F879:AC879)</f>
        <v>0</v>
      </c>
    </row>
    <row r="880" spans="1:31" outlineLevel="1" x14ac:dyDescent="0.2">
      <c r="A880" t="str">
        <f ca="1">Language!A$590</f>
        <v>Количество</v>
      </c>
      <c r="B880" s="270">
        <v>0</v>
      </c>
      <c r="C880" s="5" t="str">
        <f ca="1">Language!A$592</f>
        <v>чел.</v>
      </c>
      <c r="D880" s="16" t="s">
        <v>2614</v>
      </c>
      <c r="F880" s="269">
        <f>IF(SUM($F$714:F$714)&lt;&gt;0,$B880,0)</f>
        <v>0</v>
      </c>
      <c r="G880" s="269">
        <f>IF(SUM($F$714:G$714)&lt;&gt;0,$B880,0)</f>
        <v>0</v>
      </c>
      <c r="H880" s="269">
        <f>IF(SUM($F$714:H$714)&lt;&gt;0,$B880,0)</f>
        <v>0</v>
      </c>
      <c r="I880" s="269">
        <f>IF(SUM($F$714:I$714)&lt;&gt;0,$B880,0)</f>
        <v>0</v>
      </c>
      <c r="J880" s="269">
        <f>IF(SUM($F$714:J$714)&lt;&gt;0,$B880,0)</f>
        <v>0</v>
      </c>
      <c r="K880" s="269">
        <f>IF(SUM($F$714:K$714)&lt;&gt;0,$B880,0)</f>
        <v>0</v>
      </c>
      <c r="L880" s="269">
        <f>IF(SUM($F$714:L$714)&lt;&gt;0,$B880,0)</f>
        <v>0</v>
      </c>
      <c r="M880" s="269">
        <f>IF(SUM($F$714:M$714)&lt;&gt;0,$B880,0)</f>
        <v>0</v>
      </c>
      <c r="N880" s="269">
        <f>IF(SUM($F$714:N$714)&lt;&gt;0,$B880,0)</f>
        <v>0</v>
      </c>
      <c r="O880" s="269">
        <f>IF(SUM($F$714:O$714)&lt;&gt;0,$B880,0)</f>
        <v>0</v>
      </c>
      <c r="P880" s="269">
        <f>IF(SUM($F$714:P$714)&lt;&gt;0,$B880,0)</f>
        <v>0</v>
      </c>
      <c r="Q880" s="269">
        <f>IF(SUM($F$714:Q$714)&lt;&gt;0,$B880,0)</f>
        <v>0</v>
      </c>
      <c r="R880" s="269">
        <f>IF(SUM($F$714:R$714)&lt;&gt;0,$B880,0)</f>
        <v>0</v>
      </c>
      <c r="S880" s="269">
        <f>IF(SUM($F$714:S$714)&lt;&gt;0,$B880,0)</f>
        <v>0</v>
      </c>
      <c r="T880" s="269">
        <f>IF(SUM($F$714:T$714)&lt;&gt;0,$B880,0)</f>
        <v>0</v>
      </c>
      <c r="U880" s="269">
        <f>IF(SUM($F$714:U$714)&lt;&gt;0,$B880,0)</f>
        <v>0</v>
      </c>
      <c r="V880" s="269">
        <f>IF(SUM($F$714:V$714)&lt;&gt;0,$B880,0)</f>
        <v>0</v>
      </c>
      <c r="W880" s="269">
        <f>IF(SUM($F$714:W$714)&lt;&gt;0,$B880,0)</f>
        <v>0</v>
      </c>
      <c r="X880" s="269">
        <f>IF(SUM($F$714:X$714)&lt;&gt;0,$B880,0)</f>
        <v>0</v>
      </c>
      <c r="Y880" s="269">
        <f>IF(SUM($F$714:Y$714)&lt;&gt;0,$B880,0)</f>
        <v>0</v>
      </c>
      <c r="Z880" s="269">
        <f>IF(SUM($F$714:Z$714)&lt;&gt;0,$B880,0)</f>
        <v>0</v>
      </c>
      <c r="AA880" s="269">
        <f>IF(SUM($F$714:AA$714)&lt;&gt;0,$B880,0)</f>
        <v>0</v>
      </c>
      <c r="AB880" s="269">
        <f>IF(SUM($F$714:AB$714)&lt;&gt;0,$B880,0)</f>
        <v>0</v>
      </c>
      <c r="AC880" s="269">
        <f>IF(SUM($F$714:AC$714)&lt;&gt;0,$B880,0)</f>
        <v>0</v>
      </c>
      <c r="AE880" s="54"/>
    </row>
    <row r="881" spans="1:31" s="48" customFormat="1" outlineLevel="1" collapsed="1" x14ac:dyDescent="0.2">
      <c r="A881" s="52" t="str">
        <f ca="1">Language!A$589</f>
        <v>Месячный оклад</v>
      </c>
      <c r="B881" s="289">
        <v>0</v>
      </c>
      <c r="C881" s="86" t="str">
        <f ca="1">CHOOSE(B879,CUR_Main,CUR_Foreign)</f>
        <v>тыс. EUR</v>
      </c>
      <c r="D881" s="16" t="s">
        <v>2429</v>
      </c>
      <c r="F881" s="285">
        <f>B881</f>
        <v>0</v>
      </c>
      <c r="G881" s="285">
        <f t="shared" ref="G881:AC881" si="2362">F881*IF(CalcMethod=2,1+F883,1)</f>
        <v>0</v>
      </c>
      <c r="H881" s="285">
        <f t="shared" si="2362"/>
        <v>0</v>
      </c>
      <c r="I881" s="285">
        <f t="shared" si="2362"/>
        <v>0</v>
      </c>
      <c r="J881" s="285">
        <f t="shared" si="2362"/>
        <v>0</v>
      </c>
      <c r="K881" s="285">
        <f t="shared" si="2362"/>
        <v>0</v>
      </c>
      <c r="L881" s="285">
        <f t="shared" si="2362"/>
        <v>0</v>
      </c>
      <c r="M881" s="285">
        <f t="shared" si="2362"/>
        <v>0</v>
      </c>
      <c r="N881" s="285">
        <f t="shared" si="2362"/>
        <v>0</v>
      </c>
      <c r="O881" s="285">
        <f t="shared" si="2362"/>
        <v>0</v>
      </c>
      <c r="P881" s="285">
        <f t="shared" si="2362"/>
        <v>0</v>
      </c>
      <c r="Q881" s="285">
        <f t="shared" si="2362"/>
        <v>0</v>
      </c>
      <c r="R881" s="285">
        <f t="shared" si="2362"/>
        <v>0</v>
      </c>
      <c r="S881" s="285">
        <f t="shared" si="2362"/>
        <v>0</v>
      </c>
      <c r="T881" s="285">
        <f t="shared" si="2362"/>
        <v>0</v>
      </c>
      <c r="U881" s="285">
        <f t="shared" si="2362"/>
        <v>0</v>
      </c>
      <c r="V881" s="285">
        <f t="shared" si="2362"/>
        <v>0</v>
      </c>
      <c r="W881" s="285">
        <f t="shared" si="2362"/>
        <v>0</v>
      </c>
      <c r="X881" s="285">
        <f t="shared" si="2362"/>
        <v>0</v>
      </c>
      <c r="Y881" s="285">
        <f t="shared" si="2362"/>
        <v>0</v>
      </c>
      <c r="Z881" s="285">
        <f t="shared" si="2362"/>
        <v>0</v>
      </c>
      <c r="AA881" s="285">
        <f t="shared" si="2362"/>
        <v>0</v>
      </c>
      <c r="AB881" s="285">
        <f t="shared" si="2362"/>
        <v>0</v>
      </c>
      <c r="AC881" s="285">
        <f t="shared" si="2362"/>
        <v>0</v>
      </c>
      <c r="AE881" s="93"/>
    </row>
    <row r="882" spans="1:31" hidden="1" outlineLevel="2" x14ac:dyDescent="0.2">
      <c r="A882" t="str">
        <f ca="1">Language!A$104</f>
        <v>Предполагаемый темп годового роста цен</v>
      </c>
      <c r="C882" s="5" t="s">
        <v>2430</v>
      </c>
      <c r="D882" s="16" t="s">
        <v>2429</v>
      </c>
      <c r="F882" s="268">
        <f t="shared" ref="F882:T882" si="2363">CHOOSE($B879,F$80,F$91)</f>
        <v>0</v>
      </c>
      <c r="G882" s="268">
        <f t="shared" si="2363"/>
        <v>0</v>
      </c>
      <c r="H882" s="268">
        <f t="shared" si="2363"/>
        <v>0</v>
      </c>
      <c r="I882" s="268">
        <f t="shared" si="2363"/>
        <v>0</v>
      </c>
      <c r="J882" s="268">
        <f t="shared" si="2363"/>
        <v>0</v>
      </c>
      <c r="K882" s="268">
        <f t="shared" si="2363"/>
        <v>0</v>
      </c>
      <c r="L882" s="268">
        <f t="shared" si="2363"/>
        <v>0</v>
      </c>
      <c r="M882" s="268">
        <f t="shared" si="2363"/>
        <v>0</v>
      </c>
      <c r="N882" s="268">
        <f t="shared" si="2363"/>
        <v>0</v>
      </c>
      <c r="O882" s="268">
        <f t="shared" si="2363"/>
        <v>0</v>
      </c>
      <c r="P882" s="268">
        <f t="shared" si="2363"/>
        <v>0</v>
      </c>
      <c r="Q882" s="268">
        <f t="shared" si="2363"/>
        <v>0</v>
      </c>
      <c r="R882" s="268">
        <f t="shared" si="2363"/>
        <v>0</v>
      </c>
      <c r="S882" s="268">
        <f t="shared" si="2363"/>
        <v>0</v>
      </c>
      <c r="T882" s="268">
        <f t="shared" si="2363"/>
        <v>0</v>
      </c>
      <c r="U882" s="268">
        <f t="shared" ref="U882" si="2364">CHOOSE($B879,U$80,U$91)</f>
        <v>0</v>
      </c>
      <c r="V882" s="268">
        <f t="shared" ref="V882" si="2365">CHOOSE($B879,V$80,V$91)</f>
        <v>0</v>
      </c>
      <c r="W882" s="268">
        <f t="shared" ref="W882" si="2366">CHOOSE($B879,W$80,W$91)</f>
        <v>0</v>
      </c>
      <c r="X882" s="268">
        <f t="shared" ref="X882" si="2367">CHOOSE($B879,X$80,X$91)</f>
        <v>0</v>
      </c>
      <c r="Y882" s="268">
        <f t="shared" ref="Y882" si="2368">CHOOSE($B879,Y$80,Y$91)</f>
        <v>0</v>
      </c>
      <c r="Z882" s="268">
        <f t="shared" ref="Z882" si="2369">CHOOSE($B879,Z$80,Z$91)</f>
        <v>0</v>
      </c>
      <c r="AA882" s="268">
        <f t="shared" ref="AA882" si="2370">CHOOSE($B879,AA$80,AA$91)</f>
        <v>0</v>
      </c>
      <c r="AB882" s="268">
        <f t="shared" ref="AB882:AC882" si="2371">CHOOSE($B879,AB$80,AB$91)</f>
        <v>0</v>
      </c>
      <c r="AC882" s="268">
        <f t="shared" si="2371"/>
        <v>0</v>
      </c>
      <c r="AE882" s="54"/>
    </row>
    <row r="883" spans="1:31" hidden="1" outlineLevel="2" x14ac:dyDescent="0.2">
      <c r="A883" t="str">
        <f ca="1">Language!A$106</f>
        <v>То же, в пересчете на период, равный шагу проекта</v>
      </c>
      <c r="C883" s="5" t="s">
        <v>2430</v>
      </c>
      <c r="D883" s="16" t="s">
        <v>2429</v>
      </c>
      <c r="F883" s="30">
        <f t="shared" ref="F883:T883" si="2372">POWER(1+F882,PRJ_Step/360)-1</f>
        <v>0</v>
      </c>
      <c r="G883" s="30">
        <f t="shared" si="2372"/>
        <v>0</v>
      </c>
      <c r="H883" s="30">
        <f t="shared" si="2372"/>
        <v>0</v>
      </c>
      <c r="I883" s="30">
        <f t="shared" si="2372"/>
        <v>0</v>
      </c>
      <c r="J883" s="30">
        <f t="shared" si="2372"/>
        <v>0</v>
      </c>
      <c r="K883" s="30">
        <f t="shared" si="2372"/>
        <v>0</v>
      </c>
      <c r="L883" s="30">
        <f t="shared" si="2372"/>
        <v>0</v>
      </c>
      <c r="M883" s="30">
        <f t="shared" si="2372"/>
        <v>0</v>
      </c>
      <c r="N883" s="30">
        <f t="shared" si="2372"/>
        <v>0</v>
      </c>
      <c r="O883" s="30">
        <f t="shared" si="2372"/>
        <v>0</v>
      </c>
      <c r="P883" s="30">
        <f t="shared" si="2372"/>
        <v>0</v>
      </c>
      <c r="Q883" s="30">
        <f t="shared" si="2372"/>
        <v>0</v>
      </c>
      <c r="R883" s="30">
        <f t="shared" si="2372"/>
        <v>0</v>
      </c>
      <c r="S883" s="30">
        <f t="shared" si="2372"/>
        <v>0</v>
      </c>
      <c r="T883" s="30">
        <f t="shared" si="2372"/>
        <v>0</v>
      </c>
      <c r="U883" s="30">
        <f t="shared" ref="U883" si="2373">POWER(1+U882,PRJ_Step/360)-1</f>
        <v>0</v>
      </c>
      <c r="V883" s="30">
        <f t="shared" ref="V883" si="2374">POWER(1+V882,PRJ_Step/360)-1</f>
        <v>0</v>
      </c>
      <c r="W883" s="30">
        <f t="shared" ref="W883" si="2375">POWER(1+W882,PRJ_Step/360)-1</f>
        <v>0</v>
      </c>
      <c r="X883" s="30">
        <f t="shared" ref="X883" si="2376">POWER(1+X882,PRJ_Step/360)-1</f>
        <v>0</v>
      </c>
      <c r="Y883" s="30">
        <f t="shared" ref="Y883" si="2377">POWER(1+Y882,PRJ_Step/360)-1</f>
        <v>0</v>
      </c>
      <c r="Z883" s="30">
        <f t="shared" ref="Z883" si="2378">POWER(1+Z882,PRJ_Step/360)-1</f>
        <v>0</v>
      </c>
      <c r="AA883" s="30">
        <f t="shared" ref="AA883" si="2379">POWER(1+AA882,PRJ_Step/360)-1</f>
        <v>0</v>
      </c>
      <c r="AB883" s="30">
        <f t="shared" ref="AB883:AC883" si="2380">POWER(1+AB882,PRJ_Step/360)-1</f>
        <v>0</v>
      </c>
      <c r="AC883" s="30">
        <f t="shared" si="2380"/>
        <v>0</v>
      </c>
      <c r="AE883" s="54"/>
    </row>
    <row r="884" spans="1:31" outlineLevel="1" x14ac:dyDescent="0.2">
      <c r="AE884" s="54"/>
    </row>
    <row r="885" spans="1:31" outlineLevel="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121"/>
    </row>
    <row r="886" spans="1:31" outlineLevel="1" x14ac:dyDescent="0.2">
      <c r="A886" s="35" t="str">
        <f ca="1">Language!A586</f>
        <v>Административный персонал</v>
      </c>
      <c r="AE886" s="54"/>
    </row>
    <row r="887" spans="1:31" outlineLevel="1" x14ac:dyDescent="0.2">
      <c r="B887" s="36" t="str">
        <f ca="1">Language!A$73</f>
        <v>Валюта</v>
      </c>
      <c r="C887" s="87"/>
      <c r="D887">
        <v>1</v>
      </c>
      <c r="E887">
        <v>5</v>
      </c>
      <c r="AE887" s="54"/>
    </row>
    <row r="888" spans="1:31" outlineLevel="1" x14ac:dyDescent="0.2">
      <c r="A888" s="273" t="str">
        <f ca="1">Language!A$431</f>
        <v>Наименование</v>
      </c>
      <c r="B888" s="254">
        <v>1</v>
      </c>
      <c r="C888" s="86" t="str">
        <f ca="1">CHOOSE(B888,CUR_Main,CUR_Foreign)</f>
        <v>тыс. EUR</v>
      </c>
      <c r="D888" s="16" t="str">
        <f>TEXT(B888,"0")&amp;"_03"</f>
        <v>1_03</v>
      </c>
      <c r="F888" s="53">
        <f t="shared" ref="F888:T888" si="2381">F890*F889*PRJ_Step/30</f>
        <v>0</v>
      </c>
      <c r="G888" s="53">
        <f t="shared" si="2381"/>
        <v>0</v>
      </c>
      <c r="H888" s="53">
        <f t="shared" si="2381"/>
        <v>0</v>
      </c>
      <c r="I888" s="53">
        <f t="shared" si="2381"/>
        <v>0</v>
      </c>
      <c r="J888" s="53">
        <f t="shared" si="2381"/>
        <v>0</v>
      </c>
      <c r="K888" s="53">
        <f t="shared" si="2381"/>
        <v>97.859999999999985</v>
      </c>
      <c r="L888" s="53">
        <f t="shared" si="2381"/>
        <v>97.859999999999985</v>
      </c>
      <c r="M888" s="53">
        <f t="shared" si="2381"/>
        <v>97.859999999999985</v>
      </c>
      <c r="N888" s="53">
        <f t="shared" si="2381"/>
        <v>97.859999999999985</v>
      </c>
      <c r="O888" s="53">
        <f t="shared" si="2381"/>
        <v>97.859999999999985</v>
      </c>
      <c r="P888" s="53">
        <f t="shared" si="2381"/>
        <v>97.859999999999985</v>
      </c>
      <c r="Q888" s="53">
        <f t="shared" si="2381"/>
        <v>97.859999999999985</v>
      </c>
      <c r="R888" s="53">
        <f t="shared" si="2381"/>
        <v>97.859999999999985</v>
      </c>
      <c r="S888" s="53">
        <f t="shared" si="2381"/>
        <v>97.859999999999985</v>
      </c>
      <c r="T888" s="53">
        <f t="shared" si="2381"/>
        <v>97.859999999999985</v>
      </c>
      <c r="U888" s="53">
        <f t="shared" ref="U888" si="2382">U890*U889*PRJ_Step/30</f>
        <v>97.859999999999985</v>
      </c>
      <c r="V888" s="53">
        <f t="shared" ref="V888" si="2383">V890*V889*PRJ_Step/30</f>
        <v>97.859999999999985</v>
      </c>
      <c r="W888" s="53">
        <f t="shared" ref="W888" si="2384">W890*W889*PRJ_Step/30</f>
        <v>97.859999999999985</v>
      </c>
      <c r="X888" s="53">
        <f t="shared" ref="X888" si="2385">X890*X889*PRJ_Step/30</f>
        <v>97.859999999999985</v>
      </c>
      <c r="Y888" s="53">
        <f t="shared" ref="Y888" si="2386">Y890*Y889*PRJ_Step/30</f>
        <v>97.859999999999985</v>
      </c>
      <c r="Z888" s="53">
        <f t="shared" ref="Z888" si="2387">Z890*Z889*PRJ_Step/30</f>
        <v>97.859999999999985</v>
      </c>
      <c r="AA888" s="53">
        <f t="shared" ref="AA888" si="2388">AA890*AA889*PRJ_Step/30</f>
        <v>97.859999999999985</v>
      </c>
      <c r="AB888" s="53">
        <f t="shared" ref="AB888:AC888" si="2389">AB890*AB889*PRJ_Step/30</f>
        <v>97.859999999999985</v>
      </c>
      <c r="AC888" s="53">
        <f t="shared" si="2389"/>
        <v>97.859999999999985</v>
      </c>
      <c r="AE888" s="54">
        <f>SUM(F888:AC888)</f>
        <v>1859.3399999999992</v>
      </c>
    </row>
    <row r="889" spans="1:31" outlineLevel="1" x14ac:dyDescent="0.2">
      <c r="A889" t="str">
        <f ca="1">Language!A$590</f>
        <v>Количество</v>
      </c>
      <c r="B889" s="270">
        <f>Персонал!B41</f>
        <v>22</v>
      </c>
      <c r="C889" s="5" t="str">
        <f ca="1">Language!A$592</f>
        <v>чел.</v>
      </c>
      <c r="D889" s="16" t="s">
        <v>2614</v>
      </c>
      <c r="F889" s="269">
        <f>IF(SUM($F$714:F$714)&lt;&gt;0,$B889,0)</f>
        <v>0</v>
      </c>
      <c r="G889" s="269">
        <f>IF(SUM($F$714:G$714)&lt;&gt;0,$B889,0)</f>
        <v>0</v>
      </c>
      <c r="H889" s="269">
        <f>IF(SUM($F$714:H$714)&lt;&gt;0,$B889,0)</f>
        <v>0</v>
      </c>
      <c r="I889" s="269">
        <f>IF(SUM($F$714:I$714)&lt;&gt;0,$B889,0)</f>
        <v>0</v>
      </c>
      <c r="J889" s="269">
        <f>IF(SUM($F$714:J$714)&lt;&gt;0,$B889,0)</f>
        <v>0</v>
      </c>
      <c r="K889" s="269">
        <f>IF(SUM($F$714:K$714)&lt;&gt;0,$B889,0)</f>
        <v>22</v>
      </c>
      <c r="L889" s="269">
        <f>IF(SUM($F$714:L$714)&lt;&gt;0,$B889,0)</f>
        <v>22</v>
      </c>
      <c r="M889" s="269">
        <f>IF(SUM($F$714:M$714)&lt;&gt;0,$B889,0)</f>
        <v>22</v>
      </c>
      <c r="N889" s="269">
        <f>IF(SUM($F$714:N$714)&lt;&gt;0,$B889,0)</f>
        <v>22</v>
      </c>
      <c r="O889" s="269">
        <f>IF(SUM($F$714:O$714)&lt;&gt;0,$B889,0)</f>
        <v>22</v>
      </c>
      <c r="P889" s="269">
        <f>IF(SUM($F$714:P$714)&lt;&gt;0,$B889,0)</f>
        <v>22</v>
      </c>
      <c r="Q889" s="269">
        <f>IF(SUM($F$714:Q$714)&lt;&gt;0,$B889,0)</f>
        <v>22</v>
      </c>
      <c r="R889" s="269">
        <f>IF(SUM($F$714:R$714)&lt;&gt;0,$B889,0)</f>
        <v>22</v>
      </c>
      <c r="S889" s="269">
        <f>IF(SUM($F$714:S$714)&lt;&gt;0,$B889,0)</f>
        <v>22</v>
      </c>
      <c r="T889" s="269">
        <f>IF(SUM($F$714:T$714)&lt;&gt;0,$B889,0)</f>
        <v>22</v>
      </c>
      <c r="U889" s="269">
        <f>IF(SUM($F$714:U$714)&lt;&gt;0,$B889,0)</f>
        <v>22</v>
      </c>
      <c r="V889" s="269">
        <f>IF(SUM($F$714:V$714)&lt;&gt;0,$B889,0)</f>
        <v>22</v>
      </c>
      <c r="W889" s="269">
        <f>IF(SUM($F$714:W$714)&lt;&gt;0,$B889,0)</f>
        <v>22</v>
      </c>
      <c r="X889" s="269">
        <f>IF(SUM($F$714:X$714)&lt;&gt;0,$B889,0)</f>
        <v>22</v>
      </c>
      <c r="Y889" s="269">
        <f>IF(SUM($F$714:Y$714)&lt;&gt;0,$B889,0)</f>
        <v>22</v>
      </c>
      <c r="Z889" s="269">
        <f>IF(SUM($F$714:Z$714)&lt;&gt;0,$B889,0)</f>
        <v>22</v>
      </c>
      <c r="AA889" s="269">
        <f>IF(SUM($F$714:AA$714)&lt;&gt;0,$B889,0)</f>
        <v>22</v>
      </c>
      <c r="AB889" s="269">
        <f>IF(SUM($F$714:AB$714)&lt;&gt;0,$B889,0)</f>
        <v>22</v>
      </c>
      <c r="AC889" s="269">
        <f>IF(SUM($F$714:AC$714)&lt;&gt;0,$B889,0)</f>
        <v>22</v>
      </c>
      <c r="AE889" s="54"/>
    </row>
    <row r="890" spans="1:31" s="48" customFormat="1" outlineLevel="1" collapsed="1" x14ac:dyDescent="0.2">
      <c r="A890" s="52" t="str">
        <f ca="1">Language!A$589</f>
        <v>Месячный оклад</v>
      </c>
      <c r="B890" s="289">
        <f>Персонал!O70/B889/1000</f>
        <v>1.4827272727272727</v>
      </c>
      <c r="C890" s="86" t="str">
        <f ca="1">CHOOSE(B888,CUR_Main,CUR_Foreign)</f>
        <v>тыс. EUR</v>
      </c>
      <c r="D890" s="16" t="s">
        <v>2429</v>
      </c>
      <c r="F890" s="285">
        <f>B890</f>
        <v>1.4827272727272727</v>
      </c>
      <c r="G890" s="285">
        <f t="shared" ref="G890:AC890" si="2390">F890*IF(CalcMethod=2,1+F892,1)</f>
        <v>1.4827272727272727</v>
      </c>
      <c r="H890" s="285">
        <f t="shared" si="2390"/>
        <v>1.4827272727272727</v>
      </c>
      <c r="I890" s="285">
        <f t="shared" si="2390"/>
        <v>1.4827272727272727</v>
      </c>
      <c r="J890" s="285">
        <f t="shared" si="2390"/>
        <v>1.4827272727272727</v>
      </c>
      <c r="K890" s="285">
        <f t="shared" si="2390"/>
        <v>1.4827272727272727</v>
      </c>
      <c r="L890" s="285">
        <f t="shared" si="2390"/>
        <v>1.4827272727272727</v>
      </c>
      <c r="M890" s="285">
        <f t="shared" si="2390"/>
        <v>1.4827272727272727</v>
      </c>
      <c r="N890" s="285">
        <f t="shared" si="2390"/>
        <v>1.4827272727272727</v>
      </c>
      <c r="O890" s="285">
        <f t="shared" si="2390"/>
        <v>1.4827272727272727</v>
      </c>
      <c r="P890" s="285">
        <f t="shared" si="2390"/>
        <v>1.4827272727272727</v>
      </c>
      <c r="Q890" s="285">
        <f t="shared" si="2390"/>
        <v>1.4827272727272727</v>
      </c>
      <c r="R890" s="285">
        <f t="shared" si="2390"/>
        <v>1.4827272727272727</v>
      </c>
      <c r="S890" s="285">
        <f t="shared" si="2390"/>
        <v>1.4827272727272727</v>
      </c>
      <c r="T890" s="285">
        <f t="shared" si="2390"/>
        <v>1.4827272727272727</v>
      </c>
      <c r="U890" s="285">
        <f t="shared" si="2390"/>
        <v>1.4827272727272727</v>
      </c>
      <c r="V890" s="285">
        <f t="shared" si="2390"/>
        <v>1.4827272727272727</v>
      </c>
      <c r="W890" s="285">
        <f t="shared" si="2390"/>
        <v>1.4827272727272727</v>
      </c>
      <c r="X890" s="285">
        <f t="shared" si="2390"/>
        <v>1.4827272727272727</v>
      </c>
      <c r="Y890" s="285">
        <f t="shared" si="2390"/>
        <v>1.4827272727272727</v>
      </c>
      <c r="Z890" s="285">
        <f t="shared" si="2390"/>
        <v>1.4827272727272727</v>
      </c>
      <c r="AA890" s="285">
        <f t="shared" si="2390"/>
        <v>1.4827272727272727</v>
      </c>
      <c r="AB890" s="285">
        <f t="shared" si="2390"/>
        <v>1.4827272727272727</v>
      </c>
      <c r="AC890" s="285">
        <f t="shared" si="2390"/>
        <v>1.4827272727272727</v>
      </c>
      <c r="AE890" s="93"/>
    </row>
    <row r="891" spans="1:31" hidden="1" outlineLevel="2" x14ac:dyDescent="0.2">
      <c r="A891" t="str">
        <f ca="1">Language!A$104</f>
        <v>Предполагаемый темп годового роста цен</v>
      </c>
      <c r="C891" s="5" t="s">
        <v>2430</v>
      </c>
      <c r="D891" s="16" t="s">
        <v>2429</v>
      </c>
      <c r="F891" s="268">
        <f t="shared" ref="F891:T891" si="2391">CHOOSE($B888,F$80,F$91)</f>
        <v>0</v>
      </c>
      <c r="G891" s="268">
        <f t="shared" si="2391"/>
        <v>0</v>
      </c>
      <c r="H891" s="268">
        <f t="shared" si="2391"/>
        <v>0</v>
      </c>
      <c r="I891" s="268">
        <f t="shared" si="2391"/>
        <v>0</v>
      </c>
      <c r="J891" s="268">
        <f t="shared" si="2391"/>
        <v>0</v>
      </c>
      <c r="K891" s="268">
        <f t="shared" si="2391"/>
        <v>0</v>
      </c>
      <c r="L891" s="268">
        <f t="shared" si="2391"/>
        <v>0</v>
      </c>
      <c r="M891" s="268">
        <f t="shared" si="2391"/>
        <v>0</v>
      </c>
      <c r="N891" s="268">
        <f t="shared" si="2391"/>
        <v>0</v>
      </c>
      <c r="O891" s="268">
        <f t="shared" si="2391"/>
        <v>0</v>
      </c>
      <c r="P891" s="268">
        <f t="shared" si="2391"/>
        <v>0</v>
      </c>
      <c r="Q891" s="268">
        <f t="shared" si="2391"/>
        <v>0</v>
      </c>
      <c r="R891" s="268">
        <f t="shared" si="2391"/>
        <v>0</v>
      </c>
      <c r="S891" s="268">
        <f t="shared" si="2391"/>
        <v>0</v>
      </c>
      <c r="T891" s="268">
        <f t="shared" si="2391"/>
        <v>0</v>
      </c>
      <c r="U891" s="268">
        <f t="shared" ref="U891" si="2392">CHOOSE($B888,U$80,U$91)</f>
        <v>0</v>
      </c>
      <c r="V891" s="268">
        <f t="shared" ref="V891" si="2393">CHOOSE($B888,V$80,V$91)</f>
        <v>0</v>
      </c>
      <c r="W891" s="268">
        <f t="shared" ref="W891" si="2394">CHOOSE($B888,W$80,W$91)</f>
        <v>0</v>
      </c>
      <c r="X891" s="268">
        <f t="shared" ref="X891" si="2395">CHOOSE($B888,X$80,X$91)</f>
        <v>0</v>
      </c>
      <c r="Y891" s="268">
        <f t="shared" ref="Y891" si="2396">CHOOSE($B888,Y$80,Y$91)</f>
        <v>0</v>
      </c>
      <c r="Z891" s="268">
        <f t="shared" ref="Z891" si="2397">CHOOSE($B888,Z$80,Z$91)</f>
        <v>0</v>
      </c>
      <c r="AA891" s="268">
        <f t="shared" ref="AA891" si="2398">CHOOSE($B888,AA$80,AA$91)</f>
        <v>0</v>
      </c>
      <c r="AB891" s="268">
        <f t="shared" ref="AB891:AC891" si="2399">CHOOSE($B888,AB$80,AB$91)</f>
        <v>0</v>
      </c>
      <c r="AC891" s="268">
        <f t="shared" si="2399"/>
        <v>0</v>
      </c>
      <c r="AE891" s="54"/>
    </row>
    <row r="892" spans="1:31" hidden="1" outlineLevel="2" x14ac:dyDescent="0.2">
      <c r="A892" t="str">
        <f ca="1">Language!A$106</f>
        <v>То же, в пересчете на период, равный шагу проекта</v>
      </c>
      <c r="C892" s="5" t="s">
        <v>2430</v>
      </c>
      <c r="D892" s="16" t="s">
        <v>2429</v>
      </c>
      <c r="F892" s="30">
        <f t="shared" ref="F892:T892" si="2400">POWER(1+F891,PRJ_Step/360)-1</f>
        <v>0</v>
      </c>
      <c r="G892" s="30">
        <f t="shared" si="2400"/>
        <v>0</v>
      </c>
      <c r="H892" s="30">
        <f t="shared" si="2400"/>
        <v>0</v>
      </c>
      <c r="I892" s="30">
        <f t="shared" si="2400"/>
        <v>0</v>
      </c>
      <c r="J892" s="30">
        <f t="shared" si="2400"/>
        <v>0</v>
      </c>
      <c r="K892" s="30">
        <f t="shared" si="2400"/>
        <v>0</v>
      </c>
      <c r="L892" s="30">
        <f t="shared" si="2400"/>
        <v>0</v>
      </c>
      <c r="M892" s="30">
        <f t="shared" si="2400"/>
        <v>0</v>
      </c>
      <c r="N892" s="30">
        <f t="shared" si="2400"/>
        <v>0</v>
      </c>
      <c r="O892" s="30">
        <f t="shared" si="2400"/>
        <v>0</v>
      </c>
      <c r="P892" s="30">
        <f t="shared" si="2400"/>
        <v>0</v>
      </c>
      <c r="Q892" s="30">
        <f t="shared" si="2400"/>
        <v>0</v>
      </c>
      <c r="R892" s="30">
        <f t="shared" si="2400"/>
        <v>0</v>
      </c>
      <c r="S892" s="30">
        <f t="shared" si="2400"/>
        <v>0</v>
      </c>
      <c r="T892" s="30">
        <f t="shared" si="2400"/>
        <v>0</v>
      </c>
      <c r="U892" s="30">
        <f t="shared" ref="U892" si="2401">POWER(1+U891,PRJ_Step/360)-1</f>
        <v>0</v>
      </c>
      <c r="V892" s="30">
        <f t="shared" ref="V892" si="2402">POWER(1+V891,PRJ_Step/360)-1</f>
        <v>0</v>
      </c>
      <c r="W892" s="30">
        <f t="shared" ref="W892" si="2403">POWER(1+W891,PRJ_Step/360)-1</f>
        <v>0</v>
      </c>
      <c r="X892" s="30">
        <f t="shared" ref="X892" si="2404">POWER(1+X891,PRJ_Step/360)-1</f>
        <v>0</v>
      </c>
      <c r="Y892" s="30">
        <f t="shared" ref="Y892" si="2405">POWER(1+Y891,PRJ_Step/360)-1</f>
        <v>0</v>
      </c>
      <c r="Z892" s="30">
        <f t="shared" ref="Z892" si="2406">POWER(1+Z891,PRJ_Step/360)-1</f>
        <v>0</v>
      </c>
      <c r="AA892" s="30">
        <f t="shared" ref="AA892" si="2407">POWER(1+AA891,PRJ_Step/360)-1</f>
        <v>0</v>
      </c>
      <c r="AB892" s="30">
        <f t="shared" ref="AB892:AC892" si="2408">POWER(1+AB891,PRJ_Step/360)-1</f>
        <v>0</v>
      </c>
      <c r="AC892" s="30">
        <f t="shared" si="2408"/>
        <v>0</v>
      </c>
      <c r="AE892" s="54"/>
    </row>
    <row r="893" spans="1:31" outlineLevel="1" x14ac:dyDescent="0.2">
      <c r="AE893" s="54"/>
    </row>
    <row r="894" spans="1:31" outlineLevel="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121"/>
    </row>
    <row r="895" spans="1:31" outlineLevel="1" x14ac:dyDescent="0.2">
      <c r="A895" s="35" t="str">
        <f ca="1">Language!A587</f>
        <v>Коммерческий персонал</v>
      </c>
      <c r="AE895" s="54"/>
    </row>
    <row r="896" spans="1:31" outlineLevel="1" x14ac:dyDescent="0.2">
      <c r="B896" s="36" t="str">
        <f ca="1">Language!A$73</f>
        <v>Валюта</v>
      </c>
      <c r="C896" s="87"/>
      <c r="D896">
        <v>1</v>
      </c>
      <c r="E896">
        <v>5</v>
      </c>
      <c r="AE896" s="54"/>
    </row>
    <row r="897" spans="1:31" outlineLevel="1" x14ac:dyDescent="0.2">
      <c r="A897" s="273" t="str">
        <f ca="1">Language!A$431</f>
        <v>Наименование</v>
      </c>
      <c r="B897" s="254">
        <v>1</v>
      </c>
      <c r="C897" s="86" t="str">
        <f ca="1">CHOOSE(B897,CUR_Main,CUR_Foreign)</f>
        <v>тыс. EUR</v>
      </c>
      <c r="D897" s="16" t="str">
        <f>TEXT(B897,"0")&amp;"_04"</f>
        <v>1_04</v>
      </c>
      <c r="F897" s="53">
        <f t="shared" ref="F897:T897" si="2409">F899*F898*PRJ_Step/30</f>
        <v>0</v>
      </c>
      <c r="G897" s="53">
        <f t="shared" si="2409"/>
        <v>0</v>
      </c>
      <c r="H897" s="53">
        <f t="shared" si="2409"/>
        <v>0</v>
      </c>
      <c r="I897" s="53">
        <f t="shared" si="2409"/>
        <v>0</v>
      </c>
      <c r="J897" s="53">
        <f t="shared" si="2409"/>
        <v>0</v>
      </c>
      <c r="K897" s="53">
        <f t="shared" si="2409"/>
        <v>0</v>
      </c>
      <c r="L897" s="53">
        <f t="shared" si="2409"/>
        <v>0</v>
      </c>
      <c r="M897" s="53">
        <f t="shared" si="2409"/>
        <v>0</v>
      </c>
      <c r="N897" s="53">
        <f t="shared" si="2409"/>
        <v>0</v>
      </c>
      <c r="O897" s="53">
        <f t="shared" si="2409"/>
        <v>0</v>
      </c>
      <c r="P897" s="53">
        <f t="shared" si="2409"/>
        <v>0</v>
      </c>
      <c r="Q897" s="53">
        <f t="shared" si="2409"/>
        <v>0</v>
      </c>
      <c r="R897" s="53">
        <f t="shared" si="2409"/>
        <v>0</v>
      </c>
      <c r="S897" s="53">
        <f t="shared" si="2409"/>
        <v>0</v>
      </c>
      <c r="T897" s="53">
        <f t="shared" si="2409"/>
        <v>0</v>
      </c>
      <c r="U897" s="53">
        <f t="shared" ref="U897" si="2410">U899*U898*PRJ_Step/30</f>
        <v>0</v>
      </c>
      <c r="V897" s="53">
        <f t="shared" ref="V897" si="2411">V899*V898*PRJ_Step/30</f>
        <v>0</v>
      </c>
      <c r="W897" s="53">
        <f t="shared" ref="W897" si="2412">W899*W898*PRJ_Step/30</f>
        <v>0</v>
      </c>
      <c r="X897" s="53">
        <f t="shared" ref="X897" si="2413">X899*X898*PRJ_Step/30</f>
        <v>0</v>
      </c>
      <c r="Y897" s="53">
        <f t="shared" ref="Y897" si="2414">Y899*Y898*PRJ_Step/30</f>
        <v>0</v>
      </c>
      <c r="Z897" s="53">
        <f t="shared" ref="Z897" si="2415">Z899*Z898*PRJ_Step/30</f>
        <v>0</v>
      </c>
      <c r="AA897" s="53">
        <f t="shared" ref="AA897" si="2416">AA899*AA898*PRJ_Step/30</f>
        <v>0</v>
      </c>
      <c r="AB897" s="53">
        <f t="shared" ref="AB897:AC897" si="2417">AB899*AB898*PRJ_Step/30</f>
        <v>0</v>
      </c>
      <c r="AC897" s="53">
        <f t="shared" si="2417"/>
        <v>0</v>
      </c>
      <c r="AE897" s="54">
        <f>SUM(F897:AC897)</f>
        <v>0</v>
      </c>
    </row>
    <row r="898" spans="1:31" outlineLevel="1" x14ac:dyDescent="0.2">
      <c r="A898" t="str">
        <f ca="1">Language!A$590</f>
        <v>Количество</v>
      </c>
      <c r="B898" s="270">
        <v>0</v>
      </c>
      <c r="C898" s="5" t="str">
        <f ca="1">Language!A$592</f>
        <v>чел.</v>
      </c>
      <c r="D898" s="16" t="s">
        <v>2614</v>
      </c>
      <c r="F898" s="269">
        <f>IF(SUM($F$714:F$714)&lt;&gt;0,$B898,0)</f>
        <v>0</v>
      </c>
      <c r="G898" s="269">
        <f>IF(SUM($F$714:G$714)&lt;&gt;0,$B898,0)</f>
        <v>0</v>
      </c>
      <c r="H898" s="269">
        <f>IF(SUM($F$714:H$714)&lt;&gt;0,$B898,0)</f>
        <v>0</v>
      </c>
      <c r="I898" s="269">
        <f>IF(SUM($F$714:I$714)&lt;&gt;0,$B898,0)</f>
        <v>0</v>
      </c>
      <c r="J898" s="269">
        <f>IF(SUM($F$714:J$714)&lt;&gt;0,$B898,0)</f>
        <v>0</v>
      </c>
      <c r="K898" s="269">
        <f>IF(SUM($F$714:K$714)&lt;&gt;0,$B898,0)</f>
        <v>0</v>
      </c>
      <c r="L898" s="269">
        <f>IF(SUM($F$714:L$714)&lt;&gt;0,$B898,0)</f>
        <v>0</v>
      </c>
      <c r="M898" s="269">
        <f>IF(SUM($F$714:M$714)&lt;&gt;0,$B898,0)</f>
        <v>0</v>
      </c>
      <c r="N898" s="269">
        <f>IF(SUM($F$714:N$714)&lt;&gt;0,$B898,0)</f>
        <v>0</v>
      </c>
      <c r="O898" s="269">
        <f>IF(SUM($F$714:O$714)&lt;&gt;0,$B898,0)</f>
        <v>0</v>
      </c>
      <c r="P898" s="269">
        <f>IF(SUM($F$714:P$714)&lt;&gt;0,$B898,0)</f>
        <v>0</v>
      </c>
      <c r="Q898" s="269">
        <f>IF(SUM($F$714:Q$714)&lt;&gt;0,$B898,0)</f>
        <v>0</v>
      </c>
      <c r="R898" s="269">
        <f>IF(SUM($F$714:R$714)&lt;&gt;0,$B898,0)</f>
        <v>0</v>
      </c>
      <c r="S898" s="269">
        <f>IF(SUM($F$714:S$714)&lt;&gt;0,$B898,0)</f>
        <v>0</v>
      </c>
      <c r="T898" s="269">
        <f>IF(SUM($F$714:T$714)&lt;&gt;0,$B898,0)</f>
        <v>0</v>
      </c>
      <c r="U898" s="269">
        <f>IF(SUM($F$714:U$714)&lt;&gt;0,$B898,0)</f>
        <v>0</v>
      </c>
      <c r="V898" s="269">
        <f>IF(SUM($F$714:V$714)&lt;&gt;0,$B898,0)</f>
        <v>0</v>
      </c>
      <c r="W898" s="269">
        <f>IF(SUM($F$714:W$714)&lt;&gt;0,$B898,0)</f>
        <v>0</v>
      </c>
      <c r="X898" s="269">
        <f>IF(SUM($F$714:X$714)&lt;&gt;0,$B898,0)</f>
        <v>0</v>
      </c>
      <c r="Y898" s="269">
        <f>IF(SUM($F$714:Y$714)&lt;&gt;0,$B898,0)</f>
        <v>0</v>
      </c>
      <c r="Z898" s="269">
        <f>IF(SUM($F$714:Z$714)&lt;&gt;0,$B898,0)</f>
        <v>0</v>
      </c>
      <c r="AA898" s="269">
        <f>IF(SUM($F$714:AA$714)&lt;&gt;0,$B898,0)</f>
        <v>0</v>
      </c>
      <c r="AB898" s="269">
        <f>IF(SUM($F$714:AB$714)&lt;&gt;0,$B898,0)</f>
        <v>0</v>
      </c>
      <c r="AC898" s="269">
        <f>IF(SUM($F$714:AC$714)&lt;&gt;0,$B898,0)</f>
        <v>0</v>
      </c>
      <c r="AE898" s="54"/>
    </row>
    <row r="899" spans="1:31" s="48" customFormat="1" outlineLevel="1" collapsed="1" x14ac:dyDescent="0.2">
      <c r="A899" s="52" t="str">
        <f ca="1">Language!A$589</f>
        <v>Месячный оклад</v>
      </c>
      <c r="B899" s="289">
        <v>0</v>
      </c>
      <c r="C899" s="86" t="str">
        <f ca="1">CHOOSE(B897,CUR_Main,CUR_Foreign)</f>
        <v>тыс. EUR</v>
      </c>
      <c r="D899" s="16" t="s">
        <v>2429</v>
      </c>
      <c r="F899" s="285">
        <f>B899</f>
        <v>0</v>
      </c>
      <c r="G899" s="285">
        <f t="shared" ref="G899:AC899" si="2418">F899*IF(CalcMethod=2,1+F901,1)</f>
        <v>0</v>
      </c>
      <c r="H899" s="285">
        <f t="shared" si="2418"/>
        <v>0</v>
      </c>
      <c r="I899" s="285">
        <f t="shared" si="2418"/>
        <v>0</v>
      </c>
      <c r="J899" s="285">
        <f t="shared" si="2418"/>
        <v>0</v>
      </c>
      <c r="K899" s="285">
        <f t="shared" si="2418"/>
        <v>0</v>
      </c>
      <c r="L899" s="285">
        <f t="shared" si="2418"/>
        <v>0</v>
      </c>
      <c r="M899" s="285">
        <f t="shared" si="2418"/>
        <v>0</v>
      </c>
      <c r="N899" s="285">
        <f t="shared" si="2418"/>
        <v>0</v>
      </c>
      <c r="O899" s="285">
        <f t="shared" si="2418"/>
        <v>0</v>
      </c>
      <c r="P899" s="285">
        <f t="shared" si="2418"/>
        <v>0</v>
      </c>
      <c r="Q899" s="285">
        <f t="shared" si="2418"/>
        <v>0</v>
      </c>
      <c r="R899" s="285">
        <f t="shared" si="2418"/>
        <v>0</v>
      </c>
      <c r="S899" s="285">
        <f t="shared" si="2418"/>
        <v>0</v>
      </c>
      <c r="T899" s="285">
        <f t="shared" si="2418"/>
        <v>0</v>
      </c>
      <c r="U899" s="285">
        <f t="shared" si="2418"/>
        <v>0</v>
      </c>
      <c r="V899" s="285">
        <f t="shared" si="2418"/>
        <v>0</v>
      </c>
      <c r="W899" s="285">
        <f t="shared" si="2418"/>
        <v>0</v>
      </c>
      <c r="X899" s="285">
        <f t="shared" si="2418"/>
        <v>0</v>
      </c>
      <c r="Y899" s="285">
        <f t="shared" si="2418"/>
        <v>0</v>
      </c>
      <c r="Z899" s="285">
        <f t="shared" si="2418"/>
        <v>0</v>
      </c>
      <c r="AA899" s="285">
        <f t="shared" si="2418"/>
        <v>0</v>
      </c>
      <c r="AB899" s="285">
        <f t="shared" si="2418"/>
        <v>0</v>
      </c>
      <c r="AC899" s="285">
        <f t="shared" si="2418"/>
        <v>0</v>
      </c>
      <c r="AE899" s="93"/>
    </row>
    <row r="900" spans="1:31" hidden="1" outlineLevel="2" x14ac:dyDescent="0.2">
      <c r="A900" t="str">
        <f ca="1">Language!A$104</f>
        <v>Предполагаемый темп годового роста цен</v>
      </c>
      <c r="C900" s="5" t="s">
        <v>2430</v>
      </c>
      <c r="D900" s="16" t="s">
        <v>2429</v>
      </c>
      <c r="F900" s="268">
        <f t="shared" ref="F900:T900" si="2419">CHOOSE($B897,F$80,F$91)</f>
        <v>0</v>
      </c>
      <c r="G900" s="268">
        <f t="shared" si="2419"/>
        <v>0</v>
      </c>
      <c r="H900" s="268">
        <f t="shared" si="2419"/>
        <v>0</v>
      </c>
      <c r="I900" s="268">
        <f t="shared" si="2419"/>
        <v>0</v>
      </c>
      <c r="J900" s="268">
        <f t="shared" si="2419"/>
        <v>0</v>
      </c>
      <c r="K900" s="268">
        <f t="shared" si="2419"/>
        <v>0</v>
      </c>
      <c r="L900" s="268">
        <f t="shared" si="2419"/>
        <v>0</v>
      </c>
      <c r="M900" s="268">
        <f t="shared" si="2419"/>
        <v>0</v>
      </c>
      <c r="N900" s="268">
        <f t="shared" si="2419"/>
        <v>0</v>
      </c>
      <c r="O900" s="268">
        <f t="shared" si="2419"/>
        <v>0</v>
      </c>
      <c r="P900" s="268">
        <f t="shared" si="2419"/>
        <v>0</v>
      </c>
      <c r="Q900" s="268">
        <f t="shared" si="2419"/>
        <v>0</v>
      </c>
      <c r="R900" s="268">
        <f t="shared" si="2419"/>
        <v>0</v>
      </c>
      <c r="S900" s="268">
        <f t="shared" si="2419"/>
        <v>0</v>
      </c>
      <c r="T900" s="268">
        <f t="shared" si="2419"/>
        <v>0</v>
      </c>
      <c r="U900" s="268">
        <f t="shared" ref="U900" si="2420">CHOOSE($B897,U$80,U$91)</f>
        <v>0</v>
      </c>
      <c r="V900" s="268">
        <f t="shared" ref="V900" si="2421">CHOOSE($B897,V$80,V$91)</f>
        <v>0</v>
      </c>
      <c r="W900" s="268">
        <f t="shared" ref="W900" si="2422">CHOOSE($B897,W$80,W$91)</f>
        <v>0</v>
      </c>
      <c r="X900" s="268">
        <f t="shared" ref="X900" si="2423">CHOOSE($B897,X$80,X$91)</f>
        <v>0</v>
      </c>
      <c r="Y900" s="268">
        <f t="shared" ref="Y900" si="2424">CHOOSE($B897,Y$80,Y$91)</f>
        <v>0</v>
      </c>
      <c r="Z900" s="268">
        <f t="shared" ref="Z900" si="2425">CHOOSE($B897,Z$80,Z$91)</f>
        <v>0</v>
      </c>
      <c r="AA900" s="268">
        <f t="shared" ref="AA900" si="2426">CHOOSE($B897,AA$80,AA$91)</f>
        <v>0</v>
      </c>
      <c r="AB900" s="268">
        <f t="shared" ref="AB900:AC900" si="2427">CHOOSE($B897,AB$80,AB$91)</f>
        <v>0</v>
      </c>
      <c r="AC900" s="268">
        <f t="shared" si="2427"/>
        <v>0</v>
      </c>
      <c r="AE900" s="54"/>
    </row>
    <row r="901" spans="1:31" hidden="1" outlineLevel="2" x14ac:dyDescent="0.2">
      <c r="A901" t="str">
        <f ca="1">Language!A$106</f>
        <v>То же, в пересчете на период, равный шагу проекта</v>
      </c>
      <c r="C901" s="5" t="s">
        <v>2430</v>
      </c>
      <c r="D901" s="16" t="s">
        <v>2429</v>
      </c>
      <c r="F901" s="30">
        <f t="shared" ref="F901:T901" si="2428">POWER(1+F900,PRJ_Step/360)-1</f>
        <v>0</v>
      </c>
      <c r="G901" s="30">
        <f t="shared" si="2428"/>
        <v>0</v>
      </c>
      <c r="H901" s="30">
        <f t="shared" si="2428"/>
        <v>0</v>
      </c>
      <c r="I901" s="30">
        <f t="shared" si="2428"/>
        <v>0</v>
      </c>
      <c r="J901" s="30">
        <f t="shared" si="2428"/>
        <v>0</v>
      </c>
      <c r="K901" s="30">
        <f t="shared" si="2428"/>
        <v>0</v>
      </c>
      <c r="L901" s="30">
        <f t="shared" si="2428"/>
        <v>0</v>
      </c>
      <c r="M901" s="30">
        <f t="shared" si="2428"/>
        <v>0</v>
      </c>
      <c r="N901" s="30">
        <f t="shared" si="2428"/>
        <v>0</v>
      </c>
      <c r="O901" s="30">
        <f t="shared" si="2428"/>
        <v>0</v>
      </c>
      <c r="P901" s="30">
        <f t="shared" si="2428"/>
        <v>0</v>
      </c>
      <c r="Q901" s="30">
        <f t="shared" si="2428"/>
        <v>0</v>
      </c>
      <c r="R901" s="30">
        <f t="shared" si="2428"/>
        <v>0</v>
      </c>
      <c r="S901" s="30">
        <f t="shared" si="2428"/>
        <v>0</v>
      </c>
      <c r="T901" s="30">
        <f t="shared" si="2428"/>
        <v>0</v>
      </c>
      <c r="U901" s="30">
        <f t="shared" ref="U901" si="2429">POWER(1+U900,PRJ_Step/360)-1</f>
        <v>0</v>
      </c>
      <c r="V901" s="30">
        <f t="shared" ref="V901" si="2430">POWER(1+V900,PRJ_Step/360)-1</f>
        <v>0</v>
      </c>
      <c r="W901" s="30">
        <f t="shared" ref="W901" si="2431">POWER(1+W900,PRJ_Step/360)-1</f>
        <v>0</v>
      </c>
      <c r="X901" s="30">
        <f t="shared" ref="X901" si="2432">POWER(1+X900,PRJ_Step/360)-1</f>
        <v>0</v>
      </c>
      <c r="Y901" s="30">
        <f t="shared" ref="Y901" si="2433">POWER(1+Y900,PRJ_Step/360)-1</f>
        <v>0</v>
      </c>
      <c r="Z901" s="30">
        <f t="shared" ref="Z901" si="2434">POWER(1+Z900,PRJ_Step/360)-1</f>
        <v>0</v>
      </c>
      <c r="AA901" s="30">
        <f t="shared" ref="AA901" si="2435">POWER(1+AA900,PRJ_Step/360)-1</f>
        <v>0</v>
      </c>
      <c r="AB901" s="30">
        <f t="shared" ref="AB901:AC901" si="2436">POWER(1+AB900,PRJ_Step/360)-1</f>
        <v>0</v>
      </c>
      <c r="AC901" s="30">
        <f t="shared" si="2436"/>
        <v>0</v>
      </c>
      <c r="AE901" s="54"/>
    </row>
    <row r="902" spans="1:31" outlineLevel="1" x14ac:dyDescent="0.2">
      <c r="AE902" s="54"/>
    </row>
    <row r="903" spans="1:31" outlineLevel="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121"/>
    </row>
    <row r="904" spans="1:31" outlineLevel="1" collapsed="1" x14ac:dyDescent="0.2">
      <c r="A904" s="35" t="str">
        <f ca="1">Language!A548</f>
        <v xml:space="preserve"> = Итого</v>
      </c>
      <c r="C904" s="5" t="str">
        <f ca="1">CUR_Main</f>
        <v>тыс. EUR</v>
      </c>
      <c r="F904" s="88">
        <f t="shared" ref="F904:T904" si="2437">SUM(F905:F908)</f>
        <v>0</v>
      </c>
      <c r="G904" s="88">
        <f t="shared" si="2437"/>
        <v>0</v>
      </c>
      <c r="H904" s="88">
        <f t="shared" si="2437"/>
        <v>0</v>
      </c>
      <c r="I904" s="88">
        <f t="shared" si="2437"/>
        <v>0</v>
      </c>
      <c r="J904" s="88">
        <f t="shared" si="2437"/>
        <v>0</v>
      </c>
      <c r="K904" s="88">
        <f t="shared" si="2437"/>
        <v>366.15</v>
      </c>
      <c r="L904" s="88">
        <f t="shared" si="2437"/>
        <v>366.15</v>
      </c>
      <c r="M904" s="88">
        <f t="shared" si="2437"/>
        <v>366.15</v>
      </c>
      <c r="N904" s="88">
        <f t="shared" si="2437"/>
        <v>366.15</v>
      </c>
      <c r="O904" s="88">
        <f t="shared" si="2437"/>
        <v>366.15</v>
      </c>
      <c r="P904" s="88">
        <f t="shared" si="2437"/>
        <v>366.15</v>
      </c>
      <c r="Q904" s="88">
        <f t="shared" si="2437"/>
        <v>366.15</v>
      </c>
      <c r="R904" s="88">
        <f t="shared" si="2437"/>
        <v>366.15</v>
      </c>
      <c r="S904" s="88">
        <f t="shared" si="2437"/>
        <v>366.15</v>
      </c>
      <c r="T904" s="88">
        <f t="shared" si="2437"/>
        <v>366.15</v>
      </c>
      <c r="U904" s="88">
        <f t="shared" ref="U904" si="2438">SUM(U905:U908)</f>
        <v>366.15</v>
      </c>
      <c r="V904" s="88">
        <f t="shared" ref="V904" si="2439">SUM(V905:V908)</f>
        <v>366.15</v>
      </c>
      <c r="W904" s="88">
        <f t="shared" ref="W904" si="2440">SUM(W905:W908)</f>
        <v>366.15</v>
      </c>
      <c r="X904" s="88">
        <f t="shared" ref="X904" si="2441">SUM(X905:X908)</f>
        <v>366.15</v>
      </c>
      <c r="Y904" s="88">
        <f t="shared" ref="Y904" si="2442">SUM(Y905:Y908)</f>
        <v>366.15</v>
      </c>
      <c r="Z904" s="88">
        <f t="shared" ref="Z904" si="2443">SUM(Z905:Z908)</f>
        <v>366.15</v>
      </c>
      <c r="AA904" s="88">
        <f t="shared" ref="AA904" si="2444">SUM(AA905:AA908)</f>
        <v>366.15</v>
      </c>
      <c r="AB904" s="88">
        <f t="shared" ref="AB904:AC904" si="2445">SUM(AB905:AB908)</f>
        <v>366.15</v>
      </c>
      <c r="AC904" s="88">
        <f t="shared" si="2445"/>
        <v>366.15</v>
      </c>
      <c r="AE904" s="57">
        <f>SUM(F904:AC904)</f>
        <v>6956.8499999999976</v>
      </c>
    </row>
    <row r="905" spans="1:31" hidden="1" outlineLevel="2" x14ac:dyDescent="0.2">
      <c r="A905" t="str">
        <f ca="1">Language!A584</f>
        <v>Основной производственный персонал</v>
      </c>
      <c r="C905" s="5" t="str">
        <f ca="1">CUR_Main</f>
        <v>тыс. EUR</v>
      </c>
      <c r="F905" s="53">
        <f t="shared" ref="F905:T905" si="2446">SUMIF($D868:$D903,"*1_01*",F868:F903)+SUMIF($D868:$D903,"*2_01*",F868:F903)*F$88</f>
        <v>0</v>
      </c>
      <c r="G905" s="53">
        <f t="shared" si="2446"/>
        <v>0</v>
      </c>
      <c r="H905" s="53">
        <f t="shared" si="2446"/>
        <v>0</v>
      </c>
      <c r="I905" s="53">
        <f t="shared" si="2446"/>
        <v>0</v>
      </c>
      <c r="J905" s="53">
        <f t="shared" si="2446"/>
        <v>0</v>
      </c>
      <c r="K905" s="53">
        <f t="shared" si="2446"/>
        <v>268.29000000000002</v>
      </c>
      <c r="L905" s="53">
        <f t="shared" si="2446"/>
        <v>268.29000000000002</v>
      </c>
      <c r="M905" s="53">
        <f t="shared" si="2446"/>
        <v>268.29000000000002</v>
      </c>
      <c r="N905" s="53">
        <f t="shared" si="2446"/>
        <v>268.29000000000002</v>
      </c>
      <c r="O905" s="53">
        <f t="shared" si="2446"/>
        <v>268.29000000000002</v>
      </c>
      <c r="P905" s="53">
        <f t="shared" si="2446"/>
        <v>268.29000000000002</v>
      </c>
      <c r="Q905" s="53">
        <f t="shared" si="2446"/>
        <v>268.29000000000002</v>
      </c>
      <c r="R905" s="53">
        <f t="shared" si="2446"/>
        <v>268.29000000000002</v>
      </c>
      <c r="S905" s="53">
        <f t="shared" si="2446"/>
        <v>268.29000000000002</v>
      </c>
      <c r="T905" s="53">
        <f t="shared" si="2446"/>
        <v>268.29000000000002</v>
      </c>
      <c r="U905" s="53">
        <f t="shared" ref="U905" si="2447">SUMIF($D868:$D903,"*1_01*",U868:U903)+SUMIF($D868:$D903,"*2_01*",U868:U903)*U$88</f>
        <v>268.29000000000002</v>
      </c>
      <c r="V905" s="53">
        <f t="shared" ref="V905" si="2448">SUMIF($D868:$D903,"*1_01*",V868:V903)+SUMIF($D868:$D903,"*2_01*",V868:V903)*V$88</f>
        <v>268.29000000000002</v>
      </c>
      <c r="W905" s="53">
        <f t="shared" ref="W905" si="2449">SUMIF($D868:$D903,"*1_01*",W868:W903)+SUMIF($D868:$D903,"*2_01*",W868:W903)*W$88</f>
        <v>268.29000000000002</v>
      </c>
      <c r="X905" s="53">
        <f t="shared" ref="X905" si="2450">SUMIF($D868:$D903,"*1_01*",X868:X903)+SUMIF($D868:$D903,"*2_01*",X868:X903)*X$88</f>
        <v>268.29000000000002</v>
      </c>
      <c r="Y905" s="53">
        <f t="shared" ref="Y905" si="2451">SUMIF($D868:$D903,"*1_01*",Y868:Y903)+SUMIF($D868:$D903,"*2_01*",Y868:Y903)*Y$88</f>
        <v>268.29000000000002</v>
      </c>
      <c r="Z905" s="53">
        <f t="shared" ref="Z905" si="2452">SUMIF($D868:$D903,"*1_01*",Z868:Z903)+SUMIF($D868:$D903,"*2_01*",Z868:Z903)*Z$88</f>
        <v>268.29000000000002</v>
      </c>
      <c r="AA905" s="53">
        <f t="shared" ref="AA905" si="2453">SUMIF($D868:$D903,"*1_01*",AA868:AA903)+SUMIF($D868:$D903,"*2_01*",AA868:AA903)*AA$88</f>
        <v>268.29000000000002</v>
      </c>
      <c r="AB905" s="53">
        <f t="shared" ref="AB905:AC905" si="2454">SUMIF($D868:$D903,"*1_01*",AB868:AB903)+SUMIF($D868:$D903,"*2_01*",AB868:AB903)*AB$88</f>
        <v>268.29000000000002</v>
      </c>
      <c r="AC905" s="53">
        <f t="shared" si="2454"/>
        <v>268.29000000000002</v>
      </c>
      <c r="AE905" s="54">
        <f>SUM(F905:AC905)</f>
        <v>5097.51</v>
      </c>
    </row>
    <row r="906" spans="1:31" hidden="1" outlineLevel="2" x14ac:dyDescent="0.2">
      <c r="A906" t="str">
        <f ca="1">Language!A585</f>
        <v>Вспомогательный производственный персонал</v>
      </c>
      <c r="C906" s="5" t="str">
        <f ca="1">CUR_Main</f>
        <v>тыс. EUR</v>
      </c>
      <c r="F906" s="53">
        <f t="shared" ref="F906:T906" si="2455">SUMIF($D868:$D903,"*1_02*",F868:F903)+SUMIF($D868:$D903,"*2_02*",F868:F903)*F$88</f>
        <v>0</v>
      </c>
      <c r="G906" s="53">
        <f t="shared" si="2455"/>
        <v>0</v>
      </c>
      <c r="H906" s="53">
        <f t="shared" si="2455"/>
        <v>0</v>
      </c>
      <c r="I906" s="53">
        <f t="shared" si="2455"/>
        <v>0</v>
      </c>
      <c r="J906" s="53">
        <f t="shared" si="2455"/>
        <v>0</v>
      </c>
      <c r="K906" s="53">
        <f t="shared" si="2455"/>
        <v>0</v>
      </c>
      <c r="L906" s="53">
        <f t="shared" si="2455"/>
        <v>0</v>
      </c>
      <c r="M906" s="53">
        <f t="shared" si="2455"/>
        <v>0</v>
      </c>
      <c r="N906" s="53">
        <f t="shared" si="2455"/>
        <v>0</v>
      </c>
      <c r="O906" s="53">
        <f t="shared" si="2455"/>
        <v>0</v>
      </c>
      <c r="P906" s="53">
        <f t="shared" si="2455"/>
        <v>0</v>
      </c>
      <c r="Q906" s="53">
        <f t="shared" si="2455"/>
        <v>0</v>
      </c>
      <c r="R906" s="53">
        <f t="shared" si="2455"/>
        <v>0</v>
      </c>
      <c r="S906" s="53">
        <f t="shared" si="2455"/>
        <v>0</v>
      </c>
      <c r="T906" s="53">
        <f t="shared" si="2455"/>
        <v>0</v>
      </c>
      <c r="U906" s="53">
        <f t="shared" ref="U906" si="2456">SUMIF($D868:$D903,"*1_02*",U868:U903)+SUMIF($D868:$D903,"*2_02*",U868:U903)*U$88</f>
        <v>0</v>
      </c>
      <c r="V906" s="53">
        <f t="shared" ref="V906" si="2457">SUMIF($D868:$D903,"*1_02*",V868:V903)+SUMIF($D868:$D903,"*2_02*",V868:V903)*V$88</f>
        <v>0</v>
      </c>
      <c r="W906" s="53">
        <f t="shared" ref="W906" si="2458">SUMIF($D868:$D903,"*1_02*",W868:W903)+SUMIF($D868:$D903,"*2_02*",W868:W903)*W$88</f>
        <v>0</v>
      </c>
      <c r="X906" s="53">
        <f t="shared" ref="X906" si="2459">SUMIF($D868:$D903,"*1_02*",X868:X903)+SUMIF($D868:$D903,"*2_02*",X868:X903)*X$88</f>
        <v>0</v>
      </c>
      <c r="Y906" s="53">
        <f t="shared" ref="Y906" si="2460">SUMIF($D868:$D903,"*1_02*",Y868:Y903)+SUMIF($D868:$D903,"*2_02*",Y868:Y903)*Y$88</f>
        <v>0</v>
      </c>
      <c r="Z906" s="53">
        <f t="shared" ref="Z906" si="2461">SUMIF($D868:$D903,"*1_02*",Z868:Z903)+SUMIF($D868:$D903,"*2_02*",Z868:Z903)*Z$88</f>
        <v>0</v>
      </c>
      <c r="AA906" s="53">
        <f t="shared" ref="AA906" si="2462">SUMIF($D868:$D903,"*1_02*",AA868:AA903)+SUMIF($D868:$D903,"*2_02*",AA868:AA903)*AA$88</f>
        <v>0</v>
      </c>
      <c r="AB906" s="53">
        <f t="shared" ref="AB906:AC906" si="2463">SUMIF($D868:$D903,"*1_02*",AB868:AB903)+SUMIF($D868:$D903,"*2_02*",AB868:AB903)*AB$88</f>
        <v>0</v>
      </c>
      <c r="AC906" s="53">
        <f t="shared" si="2463"/>
        <v>0</v>
      </c>
      <c r="AE906" s="54">
        <f>SUM(F906:AC906)</f>
        <v>0</v>
      </c>
    </row>
    <row r="907" spans="1:31" hidden="1" outlineLevel="2" x14ac:dyDescent="0.2">
      <c r="A907" t="str">
        <f ca="1">Language!A586</f>
        <v>Административный персонал</v>
      </c>
      <c r="C907" s="5" t="str">
        <f ca="1">CUR_Main</f>
        <v>тыс. EUR</v>
      </c>
      <c r="F907" s="53">
        <f t="shared" ref="F907:T907" si="2464">SUMIF($D868:$D903,"*1_03*",F868:F903)+SUMIF($D868:$D903,"*2_03*",F868:F903)*F$88</f>
        <v>0</v>
      </c>
      <c r="G907" s="53">
        <f t="shared" si="2464"/>
        <v>0</v>
      </c>
      <c r="H907" s="53">
        <f t="shared" si="2464"/>
        <v>0</v>
      </c>
      <c r="I907" s="53">
        <f t="shared" si="2464"/>
        <v>0</v>
      </c>
      <c r="J907" s="53">
        <f t="shared" si="2464"/>
        <v>0</v>
      </c>
      <c r="K907" s="53">
        <f t="shared" si="2464"/>
        <v>97.859999999999985</v>
      </c>
      <c r="L907" s="53">
        <f t="shared" si="2464"/>
        <v>97.859999999999985</v>
      </c>
      <c r="M907" s="53">
        <f t="shared" si="2464"/>
        <v>97.859999999999985</v>
      </c>
      <c r="N907" s="53">
        <f t="shared" si="2464"/>
        <v>97.859999999999985</v>
      </c>
      <c r="O907" s="53">
        <f t="shared" si="2464"/>
        <v>97.859999999999985</v>
      </c>
      <c r="P907" s="53">
        <f t="shared" si="2464"/>
        <v>97.859999999999985</v>
      </c>
      <c r="Q907" s="53">
        <f t="shared" si="2464"/>
        <v>97.859999999999985</v>
      </c>
      <c r="R907" s="53">
        <f t="shared" si="2464"/>
        <v>97.859999999999985</v>
      </c>
      <c r="S907" s="53">
        <f t="shared" si="2464"/>
        <v>97.859999999999985</v>
      </c>
      <c r="T907" s="53">
        <f t="shared" si="2464"/>
        <v>97.859999999999985</v>
      </c>
      <c r="U907" s="53">
        <f t="shared" ref="U907" si="2465">SUMIF($D868:$D903,"*1_03*",U868:U903)+SUMIF($D868:$D903,"*2_03*",U868:U903)*U$88</f>
        <v>97.859999999999985</v>
      </c>
      <c r="V907" s="53">
        <f t="shared" ref="V907" si="2466">SUMIF($D868:$D903,"*1_03*",V868:V903)+SUMIF($D868:$D903,"*2_03*",V868:V903)*V$88</f>
        <v>97.859999999999985</v>
      </c>
      <c r="W907" s="53">
        <f t="shared" ref="W907" si="2467">SUMIF($D868:$D903,"*1_03*",W868:W903)+SUMIF($D868:$D903,"*2_03*",W868:W903)*W$88</f>
        <v>97.859999999999985</v>
      </c>
      <c r="X907" s="53">
        <f t="shared" ref="X907" si="2468">SUMIF($D868:$D903,"*1_03*",X868:X903)+SUMIF($D868:$D903,"*2_03*",X868:X903)*X$88</f>
        <v>97.859999999999985</v>
      </c>
      <c r="Y907" s="53">
        <f t="shared" ref="Y907" si="2469">SUMIF($D868:$D903,"*1_03*",Y868:Y903)+SUMIF($D868:$D903,"*2_03*",Y868:Y903)*Y$88</f>
        <v>97.859999999999985</v>
      </c>
      <c r="Z907" s="53">
        <f t="shared" ref="Z907" si="2470">SUMIF($D868:$D903,"*1_03*",Z868:Z903)+SUMIF($D868:$D903,"*2_03*",Z868:Z903)*Z$88</f>
        <v>97.859999999999985</v>
      </c>
      <c r="AA907" s="53">
        <f t="shared" ref="AA907" si="2471">SUMIF($D868:$D903,"*1_03*",AA868:AA903)+SUMIF($D868:$D903,"*2_03*",AA868:AA903)*AA$88</f>
        <v>97.859999999999985</v>
      </c>
      <c r="AB907" s="53">
        <f t="shared" ref="AB907:AC907" si="2472">SUMIF($D868:$D903,"*1_03*",AB868:AB903)+SUMIF($D868:$D903,"*2_03*",AB868:AB903)*AB$88</f>
        <v>97.859999999999985</v>
      </c>
      <c r="AC907" s="53">
        <f t="shared" si="2472"/>
        <v>97.859999999999985</v>
      </c>
      <c r="AE907" s="54">
        <f>SUM(F907:AC907)</f>
        <v>1859.3399999999992</v>
      </c>
    </row>
    <row r="908" spans="1:31" hidden="1" outlineLevel="2" x14ac:dyDescent="0.2">
      <c r="A908" t="str">
        <f ca="1">Language!A587</f>
        <v>Коммерческий персонал</v>
      </c>
      <c r="C908" s="5" t="str">
        <f ca="1">CUR_Main</f>
        <v>тыс. EUR</v>
      </c>
      <c r="F908" s="53">
        <f t="shared" ref="F908:T908" si="2473">SUMIF($D868:$D903,"*1_04*",F868:F903)+SUMIF($D868:$D903,"*2_04*",F868:F903)*F$88</f>
        <v>0</v>
      </c>
      <c r="G908" s="53">
        <f t="shared" si="2473"/>
        <v>0</v>
      </c>
      <c r="H908" s="53">
        <f t="shared" si="2473"/>
        <v>0</v>
      </c>
      <c r="I908" s="53">
        <f t="shared" si="2473"/>
        <v>0</v>
      </c>
      <c r="J908" s="53">
        <f t="shared" si="2473"/>
        <v>0</v>
      </c>
      <c r="K908" s="53">
        <f t="shared" si="2473"/>
        <v>0</v>
      </c>
      <c r="L908" s="53">
        <f t="shared" si="2473"/>
        <v>0</v>
      </c>
      <c r="M908" s="53">
        <f t="shared" si="2473"/>
        <v>0</v>
      </c>
      <c r="N908" s="53">
        <f t="shared" si="2473"/>
        <v>0</v>
      </c>
      <c r="O908" s="53">
        <f t="shared" si="2473"/>
        <v>0</v>
      </c>
      <c r="P908" s="53">
        <f t="shared" si="2473"/>
        <v>0</v>
      </c>
      <c r="Q908" s="53">
        <f t="shared" si="2473"/>
        <v>0</v>
      </c>
      <c r="R908" s="53">
        <f t="shared" si="2473"/>
        <v>0</v>
      </c>
      <c r="S908" s="53">
        <f t="shared" si="2473"/>
        <v>0</v>
      </c>
      <c r="T908" s="53">
        <f t="shared" si="2473"/>
        <v>0</v>
      </c>
      <c r="U908" s="53">
        <f t="shared" ref="U908" si="2474">SUMIF($D868:$D903,"*1_04*",U868:U903)+SUMIF($D868:$D903,"*2_04*",U868:U903)*U$88</f>
        <v>0</v>
      </c>
      <c r="V908" s="53">
        <f t="shared" ref="V908" si="2475">SUMIF($D868:$D903,"*1_04*",V868:V903)+SUMIF($D868:$D903,"*2_04*",V868:V903)*V$88</f>
        <v>0</v>
      </c>
      <c r="W908" s="53">
        <f t="shared" ref="W908" si="2476">SUMIF($D868:$D903,"*1_04*",W868:W903)+SUMIF($D868:$D903,"*2_04*",W868:W903)*W$88</f>
        <v>0</v>
      </c>
      <c r="X908" s="53">
        <f t="shared" ref="X908" si="2477">SUMIF($D868:$D903,"*1_04*",X868:X903)+SUMIF($D868:$D903,"*2_04*",X868:X903)*X$88</f>
        <v>0</v>
      </c>
      <c r="Y908" s="53">
        <f t="shared" ref="Y908" si="2478">SUMIF($D868:$D903,"*1_04*",Y868:Y903)+SUMIF($D868:$D903,"*2_04*",Y868:Y903)*Y$88</f>
        <v>0</v>
      </c>
      <c r="Z908" s="53">
        <f t="shared" ref="Z908" si="2479">SUMIF($D868:$D903,"*1_04*",Z868:Z903)+SUMIF($D868:$D903,"*2_04*",Z868:Z903)*Z$88</f>
        <v>0</v>
      </c>
      <c r="AA908" s="53">
        <f t="shared" ref="AA908" si="2480">SUMIF($D868:$D903,"*1_04*",AA868:AA903)+SUMIF($D868:$D903,"*2_04*",AA868:AA903)*AA$88</f>
        <v>0</v>
      </c>
      <c r="AB908" s="53">
        <f t="shared" ref="AB908:AC908" si="2481">SUMIF($D868:$D903,"*1_04*",AB868:AB903)+SUMIF($D868:$D903,"*2_04*",AB868:AB903)*AB$88</f>
        <v>0</v>
      </c>
      <c r="AC908" s="53">
        <f t="shared" si="2481"/>
        <v>0</v>
      </c>
      <c r="AE908" s="54">
        <f>SUM(F908:AC908)</f>
        <v>0</v>
      </c>
    </row>
    <row r="909" spans="1:31" outlineLevel="1" x14ac:dyDescent="0.2">
      <c r="AE909" s="54"/>
    </row>
    <row r="910" spans="1:31" outlineLevel="1" collapsed="1" x14ac:dyDescent="0.2">
      <c r="A910" s="35" t="str">
        <f ca="1">Language!A$593</f>
        <v>Начисленные страховые взносы в фонды</v>
      </c>
      <c r="C910" s="5" t="str">
        <f ca="1">CUR_Main</f>
        <v>тыс. EUR</v>
      </c>
      <c r="F910" s="56">
        <f t="shared" ref="F910:T910" si="2482">SUM(F911:F914)</f>
        <v>0</v>
      </c>
      <c r="G910" s="56">
        <f t="shared" si="2482"/>
        <v>0</v>
      </c>
      <c r="H910" s="56">
        <f t="shared" si="2482"/>
        <v>0</v>
      </c>
      <c r="I910" s="56">
        <f t="shared" si="2482"/>
        <v>0</v>
      </c>
      <c r="J910" s="56">
        <f t="shared" si="2482"/>
        <v>0</v>
      </c>
      <c r="K910" s="56">
        <f t="shared" si="2482"/>
        <v>73.66937999999999</v>
      </c>
      <c r="L910" s="56">
        <f t="shared" si="2482"/>
        <v>73.66937999999999</v>
      </c>
      <c r="M910" s="56">
        <f t="shared" si="2482"/>
        <v>73.66937999999999</v>
      </c>
      <c r="N910" s="56">
        <f t="shared" si="2482"/>
        <v>73.66937999999999</v>
      </c>
      <c r="O910" s="56">
        <f t="shared" si="2482"/>
        <v>73.66937999999999</v>
      </c>
      <c r="P910" s="56">
        <f t="shared" si="2482"/>
        <v>73.66937999999999</v>
      </c>
      <c r="Q910" s="56">
        <f t="shared" si="2482"/>
        <v>73.66937999999999</v>
      </c>
      <c r="R910" s="56">
        <f t="shared" si="2482"/>
        <v>73.66937999999999</v>
      </c>
      <c r="S910" s="56">
        <f t="shared" si="2482"/>
        <v>73.66937999999999</v>
      </c>
      <c r="T910" s="56">
        <f t="shared" si="2482"/>
        <v>73.66937999999999</v>
      </c>
      <c r="U910" s="56">
        <f t="shared" ref="U910" si="2483">SUM(U911:U914)</f>
        <v>73.66937999999999</v>
      </c>
      <c r="V910" s="56">
        <f t="shared" ref="V910" si="2484">SUM(V911:V914)</f>
        <v>73.66937999999999</v>
      </c>
      <c r="W910" s="56">
        <f t="shared" ref="W910" si="2485">SUM(W911:W914)</f>
        <v>73.66937999999999</v>
      </c>
      <c r="X910" s="56">
        <f t="shared" ref="X910" si="2486">SUM(X911:X914)</f>
        <v>73.66937999999999</v>
      </c>
      <c r="Y910" s="56">
        <f t="shared" ref="Y910" si="2487">SUM(Y911:Y914)</f>
        <v>73.66937999999999</v>
      </c>
      <c r="Z910" s="56">
        <f t="shared" ref="Z910" si="2488">SUM(Z911:Z914)</f>
        <v>73.66937999999999</v>
      </c>
      <c r="AA910" s="56">
        <f t="shared" ref="AA910" si="2489">SUM(AA911:AA914)</f>
        <v>73.66937999999999</v>
      </c>
      <c r="AB910" s="56">
        <f t="shared" ref="AB910:AC910" si="2490">SUM(AB911:AB914)</f>
        <v>73.66937999999999</v>
      </c>
      <c r="AC910" s="56">
        <f t="shared" si="2490"/>
        <v>73.66937999999999</v>
      </c>
      <c r="AE910" s="57">
        <f>SUM(F910:AC910)</f>
        <v>1399.7182200000004</v>
      </c>
    </row>
    <row r="911" spans="1:31" hidden="1" outlineLevel="2" x14ac:dyDescent="0.2">
      <c r="A911" t="str">
        <f ca="1">Language!A594</f>
        <v xml:space="preserve">    - на зарплату основного произв. персонала</v>
      </c>
      <c r="C911" s="5" t="str">
        <f ca="1">CUR_Main</f>
        <v>тыс. EUR</v>
      </c>
      <c r="F911" s="84">
        <f t="shared" ref="F911:X911" si="2491">F905*(F138+F141+F204+F223)</f>
        <v>0</v>
      </c>
      <c r="G911" s="84">
        <f t="shared" si="2491"/>
        <v>0</v>
      </c>
      <c r="H911" s="84">
        <f t="shared" si="2491"/>
        <v>0</v>
      </c>
      <c r="I911" s="84">
        <f t="shared" si="2491"/>
        <v>0</v>
      </c>
      <c r="J911" s="84">
        <f t="shared" si="2491"/>
        <v>0</v>
      </c>
      <c r="K911" s="84">
        <f t="shared" si="2491"/>
        <v>53.979948</v>
      </c>
      <c r="L911" s="84">
        <f t="shared" si="2491"/>
        <v>53.979948</v>
      </c>
      <c r="M911" s="84">
        <f t="shared" si="2491"/>
        <v>53.979948</v>
      </c>
      <c r="N911" s="84">
        <f t="shared" si="2491"/>
        <v>53.979948</v>
      </c>
      <c r="O911" s="84">
        <f t="shared" si="2491"/>
        <v>53.979948</v>
      </c>
      <c r="P911" s="84">
        <f t="shared" si="2491"/>
        <v>53.979948</v>
      </c>
      <c r="Q911" s="84">
        <f t="shared" si="2491"/>
        <v>53.979948</v>
      </c>
      <c r="R911" s="84">
        <f t="shared" si="2491"/>
        <v>53.979948</v>
      </c>
      <c r="S911" s="84">
        <f t="shared" si="2491"/>
        <v>53.979948</v>
      </c>
      <c r="T911" s="84">
        <f t="shared" si="2491"/>
        <v>53.979948</v>
      </c>
      <c r="U911" s="84">
        <f t="shared" si="2491"/>
        <v>53.979948</v>
      </c>
      <c r="V911" s="84">
        <f t="shared" si="2491"/>
        <v>53.979948</v>
      </c>
      <c r="W911" s="84">
        <f t="shared" si="2491"/>
        <v>53.979948</v>
      </c>
      <c r="X911" s="84">
        <f t="shared" si="2491"/>
        <v>53.979948</v>
      </c>
      <c r="Y911" s="84">
        <f t="shared" ref="Y911" si="2492">Y905*(Y138+Y141+Y204+Y223)</f>
        <v>53.979948</v>
      </c>
      <c r="Z911" s="84">
        <f t="shared" ref="Z911" si="2493">Z905*(Z138+Z141+Z204+Z223)</f>
        <v>53.979948</v>
      </c>
      <c r="AA911" s="84">
        <f t="shared" ref="AA911" si="2494">AA905*(AA138+AA141+AA204+AA223)</f>
        <v>53.979948</v>
      </c>
      <c r="AB911" s="84">
        <f t="shared" ref="AB911:AC911" si="2495">AB905*(AB138+AB141+AB204+AB223)</f>
        <v>53.979948</v>
      </c>
      <c r="AC911" s="84">
        <f t="shared" si="2495"/>
        <v>53.979948</v>
      </c>
      <c r="AE911" s="54">
        <f>SUM(F911:AC911)</f>
        <v>1025.6190120000001</v>
      </c>
    </row>
    <row r="912" spans="1:31" hidden="1" outlineLevel="2" x14ac:dyDescent="0.2">
      <c r="A912" t="str">
        <f ca="1">Language!A595</f>
        <v xml:space="preserve">    - на зарплату вспомогательного произв. персонала</v>
      </c>
      <c r="C912" s="5" t="str">
        <f ca="1">CUR_Main</f>
        <v>тыс. EUR</v>
      </c>
      <c r="F912" s="84">
        <f t="shared" ref="F912:X912" si="2496">F906*(F138+F141+F204+F223)</f>
        <v>0</v>
      </c>
      <c r="G912" s="84">
        <f t="shared" si="2496"/>
        <v>0</v>
      </c>
      <c r="H912" s="84">
        <f t="shared" si="2496"/>
        <v>0</v>
      </c>
      <c r="I912" s="84">
        <f t="shared" si="2496"/>
        <v>0</v>
      </c>
      <c r="J912" s="84">
        <f t="shared" si="2496"/>
        <v>0</v>
      </c>
      <c r="K912" s="84">
        <f t="shared" si="2496"/>
        <v>0</v>
      </c>
      <c r="L912" s="84">
        <f t="shared" si="2496"/>
        <v>0</v>
      </c>
      <c r="M912" s="84">
        <f t="shared" si="2496"/>
        <v>0</v>
      </c>
      <c r="N912" s="84">
        <f t="shared" si="2496"/>
        <v>0</v>
      </c>
      <c r="O912" s="84">
        <f t="shared" si="2496"/>
        <v>0</v>
      </c>
      <c r="P912" s="84">
        <f t="shared" si="2496"/>
        <v>0</v>
      </c>
      <c r="Q912" s="84">
        <f t="shared" si="2496"/>
        <v>0</v>
      </c>
      <c r="R912" s="84">
        <f t="shared" si="2496"/>
        <v>0</v>
      </c>
      <c r="S912" s="84">
        <f t="shared" si="2496"/>
        <v>0</v>
      </c>
      <c r="T912" s="84">
        <f t="shared" si="2496"/>
        <v>0</v>
      </c>
      <c r="U912" s="84">
        <f t="shared" si="2496"/>
        <v>0</v>
      </c>
      <c r="V912" s="84">
        <f t="shared" si="2496"/>
        <v>0</v>
      </c>
      <c r="W912" s="84">
        <f t="shared" si="2496"/>
        <v>0</v>
      </c>
      <c r="X912" s="84">
        <f t="shared" si="2496"/>
        <v>0</v>
      </c>
      <c r="Y912" s="84">
        <f t="shared" ref="Y912" si="2497">Y906*(Y138+Y141+Y204+Y223)</f>
        <v>0</v>
      </c>
      <c r="Z912" s="84">
        <f t="shared" ref="Z912" si="2498">Z906*(Z138+Z141+Z204+Z223)</f>
        <v>0</v>
      </c>
      <c r="AA912" s="84">
        <f t="shared" ref="AA912" si="2499">AA906*(AA138+AA141+AA204+AA223)</f>
        <v>0</v>
      </c>
      <c r="AB912" s="84">
        <f t="shared" ref="AB912:AC912" si="2500">AB906*(AB138+AB141+AB204+AB223)</f>
        <v>0</v>
      </c>
      <c r="AC912" s="84">
        <f t="shared" si="2500"/>
        <v>0</v>
      </c>
      <c r="AE912" s="54">
        <f>SUM(F912:AC912)</f>
        <v>0</v>
      </c>
    </row>
    <row r="913" spans="1:31" hidden="1" outlineLevel="2" x14ac:dyDescent="0.2">
      <c r="A913" t="str">
        <f ca="1">Language!A596</f>
        <v xml:space="preserve">    - на зарплату административного персонала</v>
      </c>
      <c r="C913" s="5" t="str">
        <f ca="1">CUR_Main</f>
        <v>тыс. EUR</v>
      </c>
      <c r="F913" s="84">
        <f t="shared" ref="F913:X913" si="2501">F907*(F138+F141+F204+F223)</f>
        <v>0</v>
      </c>
      <c r="G913" s="84">
        <f t="shared" si="2501"/>
        <v>0</v>
      </c>
      <c r="H913" s="84">
        <f t="shared" si="2501"/>
        <v>0</v>
      </c>
      <c r="I913" s="84">
        <f t="shared" si="2501"/>
        <v>0</v>
      </c>
      <c r="J913" s="84">
        <f t="shared" si="2501"/>
        <v>0</v>
      </c>
      <c r="K913" s="84">
        <f t="shared" si="2501"/>
        <v>19.689431999999996</v>
      </c>
      <c r="L913" s="84">
        <f t="shared" si="2501"/>
        <v>19.689431999999996</v>
      </c>
      <c r="M913" s="84">
        <f t="shared" si="2501"/>
        <v>19.689431999999996</v>
      </c>
      <c r="N913" s="84">
        <f t="shared" si="2501"/>
        <v>19.689431999999996</v>
      </c>
      <c r="O913" s="84">
        <f t="shared" si="2501"/>
        <v>19.689431999999996</v>
      </c>
      <c r="P913" s="84">
        <f t="shared" si="2501"/>
        <v>19.689431999999996</v>
      </c>
      <c r="Q913" s="84">
        <f t="shared" si="2501"/>
        <v>19.689431999999996</v>
      </c>
      <c r="R913" s="84">
        <f t="shared" si="2501"/>
        <v>19.689431999999996</v>
      </c>
      <c r="S913" s="84">
        <f t="shared" si="2501"/>
        <v>19.689431999999996</v>
      </c>
      <c r="T913" s="84">
        <f t="shared" si="2501"/>
        <v>19.689431999999996</v>
      </c>
      <c r="U913" s="84">
        <f t="shared" si="2501"/>
        <v>19.689431999999996</v>
      </c>
      <c r="V913" s="84">
        <f t="shared" si="2501"/>
        <v>19.689431999999996</v>
      </c>
      <c r="W913" s="84">
        <f t="shared" si="2501"/>
        <v>19.689431999999996</v>
      </c>
      <c r="X913" s="84">
        <f t="shared" si="2501"/>
        <v>19.689431999999996</v>
      </c>
      <c r="Y913" s="84">
        <f t="shared" ref="Y913" si="2502">Y907*(Y138+Y141+Y204+Y223)</f>
        <v>19.689431999999996</v>
      </c>
      <c r="Z913" s="84">
        <f t="shared" ref="Z913" si="2503">Z907*(Z138+Z141+Z204+Z223)</f>
        <v>19.689431999999996</v>
      </c>
      <c r="AA913" s="84">
        <f t="shared" ref="AA913" si="2504">AA907*(AA138+AA141+AA204+AA223)</f>
        <v>19.689431999999996</v>
      </c>
      <c r="AB913" s="84">
        <f t="shared" ref="AB913:AC913" si="2505">AB907*(AB138+AB141+AB204+AB223)</f>
        <v>19.689431999999996</v>
      </c>
      <c r="AC913" s="84">
        <f t="shared" si="2505"/>
        <v>19.689431999999996</v>
      </c>
      <c r="AE913" s="54">
        <f>SUM(F913:AC913)</f>
        <v>374.09920800000009</v>
      </c>
    </row>
    <row r="914" spans="1:31" hidden="1" outlineLevel="2" x14ac:dyDescent="0.2">
      <c r="A914" t="str">
        <f ca="1">Language!A597</f>
        <v xml:space="preserve">    - на зарплату коммерческого персонала</v>
      </c>
      <c r="C914" s="5" t="str">
        <f ca="1">CUR_Main</f>
        <v>тыс. EUR</v>
      </c>
      <c r="F914" s="84">
        <f t="shared" ref="F914:X914" si="2506">F908*(F138+F141+F204+F223)</f>
        <v>0</v>
      </c>
      <c r="G914" s="84">
        <f t="shared" si="2506"/>
        <v>0</v>
      </c>
      <c r="H914" s="84">
        <f t="shared" si="2506"/>
        <v>0</v>
      </c>
      <c r="I914" s="84">
        <f t="shared" si="2506"/>
        <v>0</v>
      </c>
      <c r="J914" s="84">
        <f t="shared" si="2506"/>
        <v>0</v>
      </c>
      <c r="K914" s="84">
        <f t="shared" si="2506"/>
        <v>0</v>
      </c>
      <c r="L914" s="84">
        <f t="shared" si="2506"/>
        <v>0</v>
      </c>
      <c r="M914" s="84">
        <f t="shared" si="2506"/>
        <v>0</v>
      </c>
      <c r="N914" s="84">
        <f t="shared" si="2506"/>
        <v>0</v>
      </c>
      <c r="O914" s="84">
        <f t="shared" si="2506"/>
        <v>0</v>
      </c>
      <c r="P914" s="84">
        <f t="shared" si="2506"/>
        <v>0</v>
      </c>
      <c r="Q914" s="84">
        <f t="shared" si="2506"/>
        <v>0</v>
      </c>
      <c r="R914" s="84">
        <f t="shared" si="2506"/>
        <v>0</v>
      </c>
      <c r="S914" s="84">
        <f t="shared" si="2506"/>
        <v>0</v>
      </c>
      <c r="T914" s="84">
        <f t="shared" si="2506"/>
        <v>0</v>
      </c>
      <c r="U914" s="84">
        <f t="shared" si="2506"/>
        <v>0</v>
      </c>
      <c r="V914" s="84">
        <f t="shared" si="2506"/>
        <v>0</v>
      </c>
      <c r="W914" s="84">
        <f t="shared" si="2506"/>
        <v>0</v>
      </c>
      <c r="X914" s="84">
        <f t="shared" si="2506"/>
        <v>0</v>
      </c>
      <c r="Y914" s="84">
        <f t="shared" ref="Y914" si="2507">Y908*(Y138+Y141+Y204+Y223)</f>
        <v>0</v>
      </c>
      <c r="Z914" s="84">
        <f t="shared" ref="Z914" si="2508">Z908*(Z138+Z141+Z204+Z223)</f>
        <v>0</v>
      </c>
      <c r="AA914" s="84">
        <f t="shared" ref="AA914" si="2509">AA908*(AA138+AA141+AA204+AA223)</f>
        <v>0</v>
      </c>
      <c r="AB914" s="84">
        <f t="shared" ref="AB914:AC914" si="2510">AB908*(AB138+AB141+AB204+AB223)</f>
        <v>0</v>
      </c>
      <c r="AC914" s="84">
        <f t="shared" si="2510"/>
        <v>0</v>
      </c>
      <c r="AE914" s="54">
        <f>SUM(F914:AC914)</f>
        <v>0</v>
      </c>
    </row>
    <row r="915" spans="1:31" outlineLevel="1" x14ac:dyDescent="0.2">
      <c r="AE915" s="54"/>
    </row>
    <row r="916" spans="1:31" outlineLevel="1" x14ac:dyDescent="0.2">
      <c r="A916" s="35" t="str">
        <f ca="1">Language!A598</f>
        <v>Расходы на зарплату с учетом страховых взносов</v>
      </c>
      <c r="C916" s="5" t="str">
        <f ca="1">CUR_Main</f>
        <v>тыс. EUR</v>
      </c>
      <c r="F916" s="58">
        <f t="shared" ref="F916:T916" si="2511">F904+F910</f>
        <v>0</v>
      </c>
      <c r="G916" s="58">
        <f t="shared" si="2511"/>
        <v>0</v>
      </c>
      <c r="H916" s="58">
        <f t="shared" si="2511"/>
        <v>0</v>
      </c>
      <c r="I916" s="58">
        <f t="shared" si="2511"/>
        <v>0</v>
      </c>
      <c r="J916" s="58">
        <f t="shared" si="2511"/>
        <v>0</v>
      </c>
      <c r="K916" s="58">
        <f t="shared" si="2511"/>
        <v>439.81937999999997</v>
      </c>
      <c r="L916" s="58">
        <f t="shared" si="2511"/>
        <v>439.81937999999997</v>
      </c>
      <c r="M916" s="58">
        <f t="shared" si="2511"/>
        <v>439.81937999999997</v>
      </c>
      <c r="N916" s="58">
        <f t="shared" si="2511"/>
        <v>439.81937999999997</v>
      </c>
      <c r="O916" s="58">
        <f t="shared" si="2511"/>
        <v>439.81937999999997</v>
      </c>
      <c r="P916" s="58">
        <f t="shared" si="2511"/>
        <v>439.81937999999997</v>
      </c>
      <c r="Q916" s="58">
        <f t="shared" si="2511"/>
        <v>439.81937999999997</v>
      </c>
      <c r="R916" s="58">
        <f t="shared" si="2511"/>
        <v>439.81937999999997</v>
      </c>
      <c r="S916" s="58">
        <f t="shared" si="2511"/>
        <v>439.81937999999997</v>
      </c>
      <c r="T916" s="58">
        <f t="shared" si="2511"/>
        <v>439.81937999999997</v>
      </c>
      <c r="U916" s="58">
        <f t="shared" ref="U916" si="2512">U904+U910</f>
        <v>439.81937999999997</v>
      </c>
      <c r="V916" s="58">
        <f t="shared" ref="V916" si="2513">V904+V910</f>
        <v>439.81937999999997</v>
      </c>
      <c r="W916" s="58">
        <f t="shared" ref="W916" si="2514">W904+W910</f>
        <v>439.81937999999997</v>
      </c>
      <c r="X916" s="58">
        <f t="shared" ref="X916" si="2515">X904+X910</f>
        <v>439.81937999999997</v>
      </c>
      <c r="Y916" s="58">
        <f t="shared" ref="Y916" si="2516">Y904+Y910</f>
        <v>439.81937999999997</v>
      </c>
      <c r="Z916" s="58">
        <f t="shared" ref="Z916" si="2517">Z904+Z910</f>
        <v>439.81937999999997</v>
      </c>
      <c r="AA916" s="58">
        <f t="shared" ref="AA916" si="2518">AA904+AA910</f>
        <v>439.81937999999997</v>
      </c>
      <c r="AB916" s="58">
        <f t="shared" ref="AB916:AC916" si="2519">AB904+AB910</f>
        <v>439.81937999999997</v>
      </c>
      <c r="AC916" s="58">
        <f t="shared" si="2519"/>
        <v>439.81937999999997</v>
      </c>
      <c r="AE916" s="57">
        <f>SUM(F916:AC916)</f>
        <v>8356.5682199999992</v>
      </c>
    </row>
    <row r="917" spans="1:31" outlineLevel="1" x14ac:dyDescent="0.2">
      <c r="A917" s="35"/>
      <c r="C917" s="5"/>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E917" s="57"/>
    </row>
    <row r="918" spans="1:31" s="11" customFormat="1" outlineLevel="1" x14ac:dyDescent="0.2">
      <c r="A918" s="11" t="str">
        <f ca="1">Language!A588</f>
        <v>Общая численность персонала</v>
      </c>
      <c r="C918" s="36" t="str">
        <f ca="1">Language!A592</f>
        <v>чел.</v>
      </c>
      <c r="D918" s="89" t="s">
        <v>2429</v>
      </c>
      <c r="F918" s="90">
        <f t="shared" ref="F918:T918" si="2520">SUMIF($D868:$D903,"*qnt*",F868:F903)</f>
        <v>0</v>
      </c>
      <c r="G918" s="90">
        <f t="shared" si="2520"/>
        <v>0</v>
      </c>
      <c r="H918" s="90">
        <f t="shared" si="2520"/>
        <v>0</v>
      </c>
      <c r="I918" s="90">
        <f t="shared" si="2520"/>
        <v>0</v>
      </c>
      <c r="J918" s="90">
        <f t="shared" si="2520"/>
        <v>0</v>
      </c>
      <c r="K918" s="90">
        <f t="shared" si="2520"/>
        <v>145</v>
      </c>
      <c r="L918" s="90">
        <f t="shared" si="2520"/>
        <v>145</v>
      </c>
      <c r="M918" s="90">
        <f t="shared" si="2520"/>
        <v>145</v>
      </c>
      <c r="N918" s="90">
        <f t="shared" si="2520"/>
        <v>145</v>
      </c>
      <c r="O918" s="90">
        <f t="shared" si="2520"/>
        <v>145</v>
      </c>
      <c r="P918" s="90">
        <f t="shared" si="2520"/>
        <v>145</v>
      </c>
      <c r="Q918" s="90">
        <f t="shared" si="2520"/>
        <v>145</v>
      </c>
      <c r="R918" s="90">
        <f t="shared" si="2520"/>
        <v>145</v>
      </c>
      <c r="S918" s="90">
        <f t="shared" si="2520"/>
        <v>145</v>
      </c>
      <c r="T918" s="90">
        <f t="shared" si="2520"/>
        <v>145</v>
      </c>
      <c r="U918" s="90">
        <f t="shared" ref="U918" si="2521">SUMIF($D868:$D903,"*qnt*",U868:U903)</f>
        <v>145</v>
      </c>
      <c r="V918" s="90">
        <f t="shared" ref="V918" si="2522">SUMIF($D868:$D903,"*qnt*",V868:V903)</f>
        <v>145</v>
      </c>
      <c r="W918" s="90">
        <f t="shared" ref="W918" si="2523">SUMIF($D868:$D903,"*qnt*",W868:W903)</f>
        <v>145</v>
      </c>
      <c r="X918" s="90">
        <f t="shared" ref="X918" si="2524">SUMIF($D868:$D903,"*qnt*",X868:X903)</f>
        <v>145</v>
      </c>
      <c r="Y918" s="90">
        <f t="shared" ref="Y918" si="2525">SUMIF($D868:$D903,"*qnt*",Y868:Y903)</f>
        <v>145</v>
      </c>
      <c r="Z918" s="90">
        <f t="shared" ref="Z918" si="2526">SUMIF($D868:$D903,"*qnt*",Z868:Z903)</f>
        <v>145</v>
      </c>
      <c r="AA918" s="90">
        <f t="shared" ref="AA918" si="2527">SUMIF($D868:$D903,"*qnt*",AA868:AA903)</f>
        <v>145</v>
      </c>
      <c r="AB918" s="90">
        <f t="shared" ref="AB918:AC918" si="2528">SUMIF($D868:$D903,"*qnt*",AB868:AB903)</f>
        <v>145</v>
      </c>
      <c r="AC918" s="90">
        <f t="shared" si="2528"/>
        <v>145</v>
      </c>
      <c r="AE918" s="54"/>
    </row>
    <row r="919" spans="1:31" outlineLevel="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4"/>
    </row>
    <row r="920" spans="1:31" outlineLevel="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22"/>
    </row>
    <row r="921" spans="1:31" s="4" customFormat="1" ht="15.95" customHeight="1" thickBot="1" x14ac:dyDescent="0.25">
      <c r="A921" s="165" t="str">
        <f ca="1">Language!A599</f>
        <v xml:space="preserve">         ТЕКУЩИЕ ЗАТРАТЫ</v>
      </c>
      <c r="B921" s="165"/>
      <c r="C921" s="165"/>
      <c r="D921" s="165"/>
      <c r="E921" s="165"/>
      <c r="F921" s="177" t="str">
        <f t="shared" ref="F921:AC921" ca="1" si="2529">PeriodTitle</f>
        <v>1 кв. 2016</v>
      </c>
      <c r="G921" s="177" t="str">
        <f t="shared" ca="1" si="2529"/>
        <v>2 кв. 2016</v>
      </c>
      <c r="H921" s="177" t="str">
        <f t="shared" ca="1" si="2529"/>
        <v>3 кв. 2016</v>
      </c>
      <c r="I921" s="177" t="str">
        <f t="shared" ca="1" si="2529"/>
        <v>4 кв. 2016</v>
      </c>
      <c r="J921" s="177" t="str">
        <f t="shared" ca="1" si="2529"/>
        <v>1 кв. 2017</v>
      </c>
      <c r="K921" s="177" t="str">
        <f t="shared" ca="1" si="2529"/>
        <v>2 кв. 2017</v>
      </c>
      <c r="L921" s="177" t="str">
        <f t="shared" ca="1" si="2529"/>
        <v>3 кв. 2017</v>
      </c>
      <c r="M921" s="177" t="str">
        <f t="shared" ca="1" si="2529"/>
        <v>4 кв. 2017</v>
      </c>
      <c r="N921" s="177" t="str">
        <f t="shared" ca="1" si="2529"/>
        <v>1 кв. 2018</v>
      </c>
      <c r="O921" s="177" t="str">
        <f t="shared" ca="1" si="2529"/>
        <v>2 кв. 2018</v>
      </c>
      <c r="P921" s="177" t="str">
        <f t="shared" ca="1" si="2529"/>
        <v>3 кв. 2018</v>
      </c>
      <c r="Q921" s="177" t="str">
        <f t="shared" ca="1" si="2529"/>
        <v>4 кв. 2018</v>
      </c>
      <c r="R921" s="177" t="str">
        <f t="shared" ca="1" si="2529"/>
        <v>1 кв. 2019</v>
      </c>
      <c r="S921" s="177" t="str">
        <f t="shared" ca="1" si="2529"/>
        <v>2 кв. 2019</v>
      </c>
      <c r="T921" s="177" t="str">
        <f t="shared" ca="1" si="2529"/>
        <v>3 кв. 2019</v>
      </c>
      <c r="U921" s="177" t="str">
        <f t="shared" ca="1" si="2529"/>
        <v>4 кв. 2019</v>
      </c>
      <c r="V921" s="177" t="str">
        <f t="shared" ca="1" si="2529"/>
        <v>1 кв. 2020</v>
      </c>
      <c r="W921" s="177" t="str">
        <f t="shared" ca="1" si="2529"/>
        <v>2 кв. 2020</v>
      </c>
      <c r="X921" s="177" t="str">
        <f t="shared" ca="1" si="2529"/>
        <v>3 кв. 2020</v>
      </c>
      <c r="Y921" s="177" t="str">
        <f t="shared" ca="1" si="2529"/>
        <v>4 кв. 2020</v>
      </c>
      <c r="Z921" s="177" t="str">
        <f t="shared" ca="1" si="2529"/>
        <v>1 кв. 2021</v>
      </c>
      <c r="AA921" s="177" t="str">
        <f t="shared" ca="1" si="2529"/>
        <v>2 кв. 2021</v>
      </c>
      <c r="AB921" s="177" t="str">
        <f t="shared" ca="1" si="2529"/>
        <v>3 кв. 2021</v>
      </c>
      <c r="AC921" s="177" t="str">
        <f t="shared" ca="1" si="2529"/>
        <v>4 кв. 2021</v>
      </c>
      <c r="AD921" s="165"/>
      <c r="AE921" s="194" t="str">
        <f ca="1">Language!$A$372</f>
        <v>ИТОГО</v>
      </c>
    </row>
    <row r="922" spans="1:31" ht="12" outlineLevel="1" thickTop="1" x14ac:dyDescent="0.2"/>
    <row r="923" spans="1:31" outlineLevel="1" x14ac:dyDescent="0.2">
      <c r="A923" s="35" t="str">
        <f ca="1">Language!A601</f>
        <v>Прямые производственные расходы</v>
      </c>
    </row>
    <row r="924" spans="1:31" outlineLevel="1" x14ac:dyDescent="0.2"/>
    <row r="925" spans="1:31" outlineLevel="1" x14ac:dyDescent="0.2">
      <c r="A925" t="str">
        <f ca="1">Language!A611</f>
        <v>Расходы на материалы и комплектующие</v>
      </c>
      <c r="C925" s="5" t="str">
        <f ca="1">CUR_Main</f>
        <v>тыс. EUR</v>
      </c>
      <c r="F925" s="43">
        <f t="shared" ref="F925:T925" ca="1" si="2530">F804</f>
        <v>0</v>
      </c>
      <c r="G925" s="43">
        <f t="shared" ca="1" si="2530"/>
        <v>0</v>
      </c>
      <c r="H925" s="43">
        <f t="shared" ca="1" si="2530"/>
        <v>0</v>
      </c>
      <c r="I925" s="43">
        <f t="shared" ca="1" si="2530"/>
        <v>0</v>
      </c>
      <c r="J925" s="43">
        <f t="shared" ca="1" si="2530"/>
        <v>0</v>
      </c>
      <c r="K925" s="43">
        <f t="shared" ca="1" si="2530"/>
        <v>581.99128181252672</v>
      </c>
      <c r="L925" s="43">
        <f t="shared" ca="1" si="2530"/>
        <v>2271.9144207061654</v>
      </c>
      <c r="M925" s="43">
        <f t="shared" ca="1" si="2530"/>
        <v>3649.3970405799773</v>
      </c>
      <c r="N925" s="43">
        <f t="shared" ca="1" si="2530"/>
        <v>5210.3239219243887</v>
      </c>
      <c r="O925" s="43">
        <f t="shared" ca="1" si="2530"/>
        <v>6289.8939644094726</v>
      </c>
      <c r="P925" s="43">
        <f t="shared" ca="1" si="2530"/>
        <v>6289.8939644094726</v>
      </c>
      <c r="Q925" s="43">
        <f t="shared" ca="1" si="2530"/>
        <v>6289.8939644094726</v>
      </c>
      <c r="R925" s="43">
        <f t="shared" ca="1" si="2530"/>
        <v>6289.8939644094726</v>
      </c>
      <c r="S925" s="43">
        <f t="shared" ca="1" si="2530"/>
        <v>6289.8939644094726</v>
      </c>
      <c r="T925" s="43">
        <f t="shared" ca="1" si="2530"/>
        <v>6289.8939644094726</v>
      </c>
      <c r="U925" s="43">
        <f t="shared" ref="U925" ca="1" si="2531">U804</f>
        <v>6289.8939644094726</v>
      </c>
      <c r="V925" s="43">
        <f t="shared" ref="V925" ca="1" si="2532">V804</f>
        <v>6289.8939644094726</v>
      </c>
      <c r="W925" s="43">
        <f t="shared" ref="W925" ca="1" si="2533">W804</f>
        <v>6289.8939644094726</v>
      </c>
      <c r="X925" s="43">
        <f t="shared" ref="X925" ca="1" si="2534">X804</f>
        <v>6289.8939644094726</v>
      </c>
      <c r="Y925" s="43">
        <f t="shared" ref="Y925" ca="1" si="2535">Y804</f>
        <v>6289.8939644094726</v>
      </c>
      <c r="Z925" s="43">
        <f t="shared" ref="Z925" ca="1" si="2536">Z804</f>
        <v>6289.8939644094726</v>
      </c>
      <c r="AA925" s="43">
        <f t="shared" ref="AA925" ca="1" si="2537">AA804</f>
        <v>6289.8939644094726</v>
      </c>
      <c r="AB925" s="43">
        <f t="shared" ref="AB925:AC925" ca="1" si="2538">AB804</f>
        <v>6289.8939644094726</v>
      </c>
      <c r="AC925" s="43">
        <f t="shared" ca="1" si="2538"/>
        <v>6289.8939644094726</v>
      </c>
      <c r="AE925" s="54">
        <f ca="1">SUM(F925:AC925)</f>
        <v>106062.03613116518</v>
      </c>
    </row>
    <row r="926" spans="1:31" outlineLevel="1" x14ac:dyDescent="0.2">
      <c r="A926" t="str">
        <f ca="1">Language!A600</f>
        <v>Прочие переменные затраты</v>
      </c>
      <c r="C926" s="5" t="str">
        <f ca="1">CUR_Main</f>
        <v>тыс. EUR</v>
      </c>
      <c r="F926" s="43">
        <f t="shared" ref="F926:T926" ca="1" si="2539">F854</f>
        <v>0</v>
      </c>
      <c r="G926" s="43">
        <f t="shared" ca="1" si="2539"/>
        <v>0</v>
      </c>
      <c r="H926" s="43">
        <f t="shared" ca="1" si="2539"/>
        <v>0</v>
      </c>
      <c r="I926" s="43">
        <f t="shared" ca="1" si="2539"/>
        <v>0</v>
      </c>
      <c r="J926" s="43">
        <f t="shared" ca="1" si="2539"/>
        <v>0</v>
      </c>
      <c r="K926" s="43">
        <f t="shared" ca="1" si="2539"/>
        <v>0</v>
      </c>
      <c r="L926" s="43">
        <f t="shared" ca="1" si="2539"/>
        <v>0</v>
      </c>
      <c r="M926" s="43">
        <f t="shared" ca="1" si="2539"/>
        <v>0</v>
      </c>
      <c r="N926" s="43">
        <f t="shared" ca="1" si="2539"/>
        <v>0</v>
      </c>
      <c r="O926" s="43">
        <f t="shared" ca="1" si="2539"/>
        <v>0</v>
      </c>
      <c r="P926" s="43">
        <f t="shared" ca="1" si="2539"/>
        <v>0</v>
      </c>
      <c r="Q926" s="43">
        <f t="shared" ca="1" si="2539"/>
        <v>0</v>
      </c>
      <c r="R926" s="43">
        <f t="shared" ca="1" si="2539"/>
        <v>0</v>
      </c>
      <c r="S926" s="43">
        <f t="shared" ca="1" si="2539"/>
        <v>0</v>
      </c>
      <c r="T926" s="43">
        <f t="shared" ca="1" si="2539"/>
        <v>0</v>
      </c>
      <c r="U926" s="43">
        <f t="shared" ref="U926" ca="1" si="2540">U854</f>
        <v>0</v>
      </c>
      <c r="V926" s="43">
        <f t="shared" ref="V926" ca="1" si="2541">V854</f>
        <v>0</v>
      </c>
      <c r="W926" s="43">
        <f t="shared" ref="W926" ca="1" si="2542">W854</f>
        <v>0</v>
      </c>
      <c r="X926" s="43">
        <f t="shared" ref="X926" ca="1" si="2543">X854</f>
        <v>0</v>
      </c>
      <c r="Y926" s="43">
        <f t="shared" ref="Y926" ca="1" si="2544">Y854</f>
        <v>0</v>
      </c>
      <c r="Z926" s="43">
        <f t="shared" ref="Z926" ca="1" si="2545">Z854</f>
        <v>0</v>
      </c>
      <c r="AA926" s="43">
        <f t="shared" ref="AA926" ca="1" si="2546">AA854</f>
        <v>0</v>
      </c>
      <c r="AB926" s="43">
        <f t="shared" ref="AB926:AC926" ca="1" si="2547">AB854</f>
        <v>0</v>
      </c>
      <c r="AC926" s="43">
        <f t="shared" ca="1" si="2547"/>
        <v>0</v>
      </c>
      <c r="AE926" s="54">
        <f ca="1">SUM(F926:AC926)</f>
        <v>0</v>
      </c>
    </row>
    <row r="927" spans="1:31" outlineLevel="1" x14ac:dyDescent="0.2">
      <c r="A927" t="str">
        <f ca="1">Language!A612</f>
        <v>Зарплата основного производственного персонала</v>
      </c>
      <c r="C927" s="5" t="str">
        <f ca="1">CUR_Main</f>
        <v>тыс. EUR</v>
      </c>
      <c r="F927" s="43">
        <f t="shared" ref="F927:T927" si="2548">F905</f>
        <v>0</v>
      </c>
      <c r="G927" s="43">
        <f t="shared" si="2548"/>
        <v>0</v>
      </c>
      <c r="H927" s="43">
        <f t="shared" si="2548"/>
        <v>0</v>
      </c>
      <c r="I927" s="43">
        <f t="shared" si="2548"/>
        <v>0</v>
      </c>
      <c r="J927" s="43">
        <f t="shared" si="2548"/>
        <v>0</v>
      </c>
      <c r="K927" s="43">
        <f t="shared" si="2548"/>
        <v>268.29000000000002</v>
      </c>
      <c r="L927" s="43">
        <f t="shared" si="2548"/>
        <v>268.29000000000002</v>
      </c>
      <c r="M927" s="43">
        <f t="shared" si="2548"/>
        <v>268.29000000000002</v>
      </c>
      <c r="N927" s="43">
        <f t="shared" si="2548"/>
        <v>268.29000000000002</v>
      </c>
      <c r="O927" s="43">
        <f t="shared" si="2548"/>
        <v>268.29000000000002</v>
      </c>
      <c r="P927" s="43">
        <f t="shared" si="2548"/>
        <v>268.29000000000002</v>
      </c>
      <c r="Q927" s="43">
        <f t="shared" si="2548"/>
        <v>268.29000000000002</v>
      </c>
      <c r="R927" s="43">
        <f t="shared" si="2548"/>
        <v>268.29000000000002</v>
      </c>
      <c r="S927" s="43">
        <f t="shared" si="2548"/>
        <v>268.29000000000002</v>
      </c>
      <c r="T927" s="43">
        <f t="shared" si="2548"/>
        <v>268.29000000000002</v>
      </c>
      <c r="U927" s="43">
        <f t="shared" ref="U927" si="2549">U905</f>
        <v>268.29000000000002</v>
      </c>
      <c r="V927" s="43">
        <f t="shared" ref="V927" si="2550">V905</f>
        <v>268.29000000000002</v>
      </c>
      <c r="W927" s="43">
        <f t="shared" ref="W927" si="2551">W905</f>
        <v>268.29000000000002</v>
      </c>
      <c r="X927" s="43">
        <f t="shared" ref="X927" si="2552">X905</f>
        <v>268.29000000000002</v>
      </c>
      <c r="Y927" s="43">
        <f t="shared" ref="Y927" si="2553">Y905</f>
        <v>268.29000000000002</v>
      </c>
      <c r="Z927" s="43">
        <f t="shared" ref="Z927" si="2554">Z905</f>
        <v>268.29000000000002</v>
      </c>
      <c r="AA927" s="43">
        <f t="shared" ref="AA927" si="2555">AA905</f>
        <v>268.29000000000002</v>
      </c>
      <c r="AB927" s="43">
        <f t="shared" ref="AB927:AC927" si="2556">AB905</f>
        <v>268.29000000000002</v>
      </c>
      <c r="AC927" s="43">
        <f t="shared" si="2556"/>
        <v>268.29000000000002</v>
      </c>
      <c r="AE927" s="54">
        <f>SUM(F927:AC927)</f>
        <v>5097.51</v>
      </c>
    </row>
    <row r="928" spans="1:31" outlineLevel="1" x14ac:dyDescent="0.2">
      <c r="A928" t="str">
        <f ca="1">Language!A613</f>
        <v>Страховые взносы на зарплату основного произв. персонала</v>
      </c>
      <c r="C928" s="5" t="str">
        <f ca="1">CUR_Main</f>
        <v>тыс. EUR</v>
      </c>
      <c r="F928" s="43">
        <f t="shared" ref="F928:T928" si="2557">F911</f>
        <v>0</v>
      </c>
      <c r="G928" s="43">
        <f t="shared" si="2557"/>
        <v>0</v>
      </c>
      <c r="H928" s="43">
        <f t="shared" si="2557"/>
        <v>0</v>
      </c>
      <c r="I928" s="43">
        <f t="shared" si="2557"/>
        <v>0</v>
      </c>
      <c r="J928" s="43">
        <f t="shared" si="2557"/>
        <v>0</v>
      </c>
      <c r="K928" s="43">
        <f t="shared" si="2557"/>
        <v>53.979948</v>
      </c>
      <c r="L928" s="43">
        <f t="shared" si="2557"/>
        <v>53.979948</v>
      </c>
      <c r="M928" s="43">
        <f t="shared" si="2557"/>
        <v>53.979948</v>
      </c>
      <c r="N928" s="43">
        <f t="shared" si="2557"/>
        <v>53.979948</v>
      </c>
      <c r="O928" s="43">
        <f t="shared" si="2557"/>
        <v>53.979948</v>
      </c>
      <c r="P928" s="43">
        <f t="shared" si="2557"/>
        <v>53.979948</v>
      </c>
      <c r="Q928" s="43">
        <f t="shared" si="2557"/>
        <v>53.979948</v>
      </c>
      <c r="R928" s="43">
        <f t="shared" si="2557"/>
        <v>53.979948</v>
      </c>
      <c r="S928" s="43">
        <f t="shared" si="2557"/>
        <v>53.979948</v>
      </c>
      <c r="T928" s="43">
        <f t="shared" si="2557"/>
        <v>53.979948</v>
      </c>
      <c r="U928" s="43">
        <f t="shared" ref="U928" si="2558">U911</f>
        <v>53.979948</v>
      </c>
      <c r="V928" s="43">
        <f t="shared" ref="V928" si="2559">V911</f>
        <v>53.979948</v>
      </c>
      <c r="W928" s="43">
        <f t="shared" ref="W928" si="2560">W911</f>
        <v>53.979948</v>
      </c>
      <c r="X928" s="43">
        <f t="shared" ref="X928" si="2561">X911</f>
        <v>53.979948</v>
      </c>
      <c r="Y928" s="43">
        <f t="shared" ref="Y928" si="2562">Y911</f>
        <v>53.979948</v>
      </c>
      <c r="Z928" s="43">
        <f t="shared" ref="Z928" si="2563">Z911</f>
        <v>53.979948</v>
      </c>
      <c r="AA928" s="43">
        <f t="shared" ref="AA928" si="2564">AA911</f>
        <v>53.979948</v>
      </c>
      <c r="AB928" s="43">
        <f t="shared" ref="AB928:AC928" si="2565">AB911</f>
        <v>53.979948</v>
      </c>
      <c r="AC928" s="43">
        <f t="shared" si="2565"/>
        <v>53.979948</v>
      </c>
      <c r="AE928" s="54">
        <f>SUM(F928:AC928)</f>
        <v>1025.6190120000001</v>
      </c>
    </row>
    <row r="929" spans="1:31" outlineLevel="1" x14ac:dyDescent="0.2">
      <c r="B929" s="36" t="str">
        <f ca="1">Language!A$73</f>
        <v>Валюта</v>
      </c>
      <c r="D929">
        <v>2</v>
      </c>
      <c r="E929">
        <v>4</v>
      </c>
    </row>
    <row r="930" spans="1:31" outlineLevel="1" x14ac:dyDescent="0.2">
      <c r="A930" s="273" t="s">
        <v>2868</v>
      </c>
      <c r="B930" s="254">
        <v>1</v>
      </c>
      <c r="C930" s="17" t="str">
        <f ca="1">CHOOSE(B930,CUR_Main,CUR_Foreign)</f>
        <v>тыс. EUR</v>
      </c>
      <c r="D930" s="16" t="str">
        <f>TEXT(B930,"0")&amp;"_01"</f>
        <v>1_01</v>
      </c>
      <c r="F930" s="281">
        <f ca="1">F804*Расходы!$B$10</f>
        <v>0</v>
      </c>
      <c r="G930" s="281">
        <f ca="1">G804*Расходы!$B$10</f>
        <v>0</v>
      </c>
      <c r="H930" s="281">
        <f ca="1">H804*Расходы!$B$10</f>
        <v>0</v>
      </c>
      <c r="I930" s="281">
        <f ca="1">I804*Расходы!$B$10</f>
        <v>0</v>
      </c>
      <c r="J930" s="281">
        <f ca="1">J804*Расходы!$B$10</f>
        <v>0</v>
      </c>
      <c r="K930" s="281">
        <f ca="1">K804*Расходы!$B$10</f>
        <v>1.1639825636250534</v>
      </c>
      <c r="L930" s="281">
        <f ca="1">L804*Расходы!$B$10</f>
        <v>4.5438288414123305</v>
      </c>
      <c r="M930" s="281">
        <f ca="1">M804*Расходы!$B$10</f>
        <v>7.2987940811599552</v>
      </c>
      <c r="N930" s="281">
        <f ca="1">N804*Расходы!$B$10</f>
        <v>10.420647843848778</v>
      </c>
      <c r="O930" s="281">
        <f ca="1">O804*Расходы!$B$10</f>
        <v>12.579787928818945</v>
      </c>
      <c r="P930" s="281">
        <f ca="1">P804*Расходы!$B$10</f>
        <v>12.579787928818945</v>
      </c>
      <c r="Q930" s="281">
        <f ca="1">Q804*Расходы!$B$10</f>
        <v>12.579787928818945</v>
      </c>
      <c r="R930" s="281">
        <f ca="1">R804*Расходы!$B$10</f>
        <v>12.579787928818945</v>
      </c>
      <c r="S930" s="281">
        <f ca="1">S804*Расходы!$B$10</f>
        <v>12.579787928818945</v>
      </c>
      <c r="T930" s="281">
        <f ca="1">T804*Расходы!$B$10</f>
        <v>12.579787928818945</v>
      </c>
      <c r="U930" s="281">
        <f ca="1">U804*Расходы!$B$10</f>
        <v>12.579787928818945</v>
      </c>
      <c r="V930" s="281">
        <f ca="1">V804*Расходы!$B$10</f>
        <v>12.579787928818945</v>
      </c>
      <c r="W930" s="281">
        <f ca="1">W804*Расходы!$B$10</f>
        <v>12.579787928818945</v>
      </c>
      <c r="X930" s="281">
        <f ca="1">X804*Расходы!$B$10</f>
        <v>12.579787928818945</v>
      </c>
      <c r="Y930" s="281">
        <f ca="1">Y804*Расходы!$B$10</f>
        <v>12.579787928818945</v>
      </c>
      <c r="Z930" s="281">
        <f ca="1">Z804*Расходы!$B$10</f>
        <v>12.579787928818945</v>
      </c>
      <c r="AA930" s="281">
        <f ca="1">AA804*Расходы!$B$10</f>
        <v>12.579787928818945</v>
      </c>
      <c r="AB930" s="281">
        <f ca="1">AB804*Расходы!$B$10</f>
        <v>12.579787928818945</v>
      </c>
      <c r="AC930" s="281">
        <f ca="1">AC804*Расходы!$B$10</f>
        <v>12.579787928818945</v>
      </c>
      <c r="AE930" s="54">
        <f ca="1">SUM(F930:AC930)</f>
        <v>212.12407226233029</v>
      </c>
    </row>
    <row r="931" spans="1:31" outlineLevel="2" x14ac:dyDescent="0.2">
      <c r="A931" t="str">
        <f ca="1">Language!A$104</f>
        <v>Предполагаемый темп годового роста цен</v>
      </c>
      <c r="C931" s="5" t="s">
        <v>2430</v>
      </c>
      <c r="D931" s="16" t="s">
        <v>2429</v>
      </c>
      <c r="F931" s="268">
        <f t="shared" ref="F931:T931" si="2566">CHOOSE($B930,F$80,F$91)</f>
        <v>0</v>
      </c>
      <c r="G931" s="268">
        <f t="shared" si="2566"/>
        <v>0</v>
      </c>
      <c r="H931" s="268">
        <f t="shared" si="2566"/>
        <v>0</v>
      </c>
      <c r="I931" s="268">
        <f t="shared" si="2566"/>
        <v>0</v>
      </c>
      <c r="J931" s="268">
        <f t="shared" si="2566"/>
        <v>0</v>
      </c>
      <c r="K931" s="268">
        <f t="shared" si="2566"/>
        <v>0</v>
      </c>
      <c r="L931" s="268">
        <f t="shared" si="2566"/>
        <v>0</v>
      </c>
      <c r="M931" s="268">
        <f t="shared" si="2566"/>
        <v>0</v>
      </c>
      <c r="N931" s="268">
        <f t="shared" si="2566"/>
        <v>0</v>
      </c>
      <c r="O931" s="268">
        <f t="shared" si="2566"/>
        <v>0</v>
      </c>
      <c r="P931" s="268">
        <f t="shared" si="2566"/>
        <v>0</v>
      </c>
      <c r="Q931" s="268">
        <f t="shared" si="2566"/>
        <v>0</v>
      </c>
      <c r="R931" s="268">
        <f t="shared" si="2566"/>
        <v>0</v>
      </c>
      <c r="S931" s="268">
        <f t="shared" si="2566"/>
        <v>0</v>
      </c>
      <c r="T931" s="268">
        <f t="shared" si="2566"/>
        <v>0</v>
      </c>
      <c r="U931" s="268">
        <f t="shared" ref="U931" si="2567">CHOOSE($B930,U$80,U$91)</f>
        <v>0</v>
      </c>
      <c r="V931" s="268">
        <f t="shared" ref="V931" si="2568">CHOOSE($B930,V$80,V$91)</f>
        <v>0</v>
      </c>
      <c r="W931" s="268">
        <f t="shared" ref="W931" si="2569">CHOOSE($B930,W$80,W$91)</f>
        <v>0</v>
      </c>
      <c r="X931" s="268">
        <f t="shared" ref="X931" si="2570">CHOOSE($B930,X$80,X$91)</f>
        <v>0</v>
      </c>
      <c r="Y931" s="268">
        <f t="shared" ref="Y931" si="2571">CHOOSE($B930,Y$80,Y$91)</f>
        <v>0</v>
      </c>
      <c r="Z931" s="268">
        <f t="shared" ref="Z931" si="2572">CHOOSE($B930,Z$80,Z$91)</f>
        <v>0</v>
      </c>
      <c r="AA931" s="268">
        <f t="shared" ref="AA931" si="2573">CHOOSE($B930,AA$80,AA$91)</f>
        <v>0</v>
      </c>
      <c r="AB931" s="268">
        <f t="shared" ref="AB931:AC931" si="2574">CHOOSE($B930,AB$80,AB$91)</f>
        <v>0</v>
      </c>
      <c r="AC931" s="268">
        <f t="shared" si="2574"/>
        <v>0</v>
      </c>
    </row>
    <row r="932" spans="1:31" outlineLevel="2" x14ac:dyDescent="0.2">
      <c r="A932" t="str">
        <f ca="1">Language!A$106</f>
        <v>То же, в пересчете на период, равный шагу проекта</v>
      </c>
      <c r="C932" s="5" t="s">
        <v>2430</v>
      </c>
      <c r="D932" s="16" t="s">
        <v>2429</v>
      </c>
      <c r="F932" s="30">
        <f t="shared" ref="F932:T932" si="2575">POWER(1+F931,PRJ_Step/360)-1</f>
        <v>0</v>
      </c>
      <c r="G932" s="30">
        <f t="shared" si="2575"/>
        <v>0</v>
      </c>
      <c r="H932" s="30">
        <f t="shared" si="2575"/>
        <v>0</v>
      </c>
      <c r="I932" s="30">
        <f t="shared" si="2575"/>
        <v>0</v>
      </c>
      <c r="J932" s="30">
        <f t="shared" si="2575"/>
        <v>0</v>
      </c>
      <c r="K932" s="30">
        <f t="shared" si="2575"/>
        <v>0</v>
      </c>
      <c r="L932" s="30">
        <f t="shared" si="2575"/>
        <v>0</v>
      </c>
      <c r="M932" s="30">
        <f t="shared" si="2575"/>
        <v>0</v>
      </c>
      <c r="N932" s="30">
        <f t="shared" si="2575"/>
        <v>0</v>
      </c>
      <c r="O932" s="30">
        <f t="shared" si="2575"/>
        <v>0</v>
      </c>
      <c r="P932" s="30">
        <f t="shared" si="2575"/>
        <v>0</v>
      </c>
      <c r="Q932" s="30">
        <f t="shared" si="2575"/>
        <v>0</v>
      </c>
      <c r="R932" s="30">
        <f t="shared" si="2575"/>
        <v>0</v>
      </c>
      <c r="S932" s="30">
        <f t="shared" si="2575"/>
        <v>0</v>
      </c>
      <c r="T932" s="30">
        <f t="shared" si="2575"/>
        <v>0</v>
      </c>
      <c r="U932" s="30">
        <f t="shared" ref="U932" si="2576">POWER(1+U931,PRJ_Step/360)-1</f>
        <v>0</v>
      </c>
      <c r="V932" s="30">
        <f t="shared" ref="V932" si="2577">POWER(1+V931,PRJ_Step/360)-1</f>
        <v>0</v>
      </c>
      <c r="W932" s="30">
        <f t="shared" ref="W932" si="2578">POWER(1+W931,PRJ_Step/360)-1</f>
        <v>0</v>
      </c>
      <c r="X932" s="30">
        <f t="shared" ref="X932" si="2579">POWER(1+X931,PRJ_Step/360)-1</f>
        <v>0</v>
      </c>
      <c r="Y932" s="30">
        <f t="shared" ref="Y932" si="2580">POWER(1+Y931,PRJ_Step/360)-1</f>
        <v>0</v>
      </c>
      <c r="Z932" s="30">
        <f t="shared" ref="Z932" si="2581">POWER(1+Z931,PRJ_Step/360)-1</f>
        <v>0</v>
      </c>
      <c r="AA932" s="30">
        <f t="shared" ref="AA932" si="2582">POWER(1+AA931,PRJ_Step/360)-1</f>
        <v>0</v>
      </c>
      <c r="AB932" s="30">
        <f t="shared" ref="AB932:AC932" si="2583">POWER(1+AB931,PRJ_Step/360)-1</f>
        <v>0</v>
      </c>
      <c r="AC932" s="30">
        <f t="shared" si="2583"/>
        <v>0</v>
      </c>
    </row>
    <row r="933" spans="1:31" outlineLevel="2" x14ac:dyDescent="0.2">
      <c r="A933" t="str">
        <f ca="1">Language!A$620</f>
        <v>в том числе НДС</v>
      </c>
      <c r="B933" s="283">
        <f>VAT</f>
        <v>0.23</v>
      </c>
      <c r="C933" s="5" t="str">
        <f ca="1">CHOOSE(B930,CUR_Main,CUR_Foreign)</f>
        <v>тыс. EUR</v>
      </c>
      <c r="D933" t="str">
        <f>TEXT(B930,"0")&amp;"_02"</f>
        <v>1_02</v>
      </c>
      <c r="F933" s="53">
        <f t="shared" ref="F933:T933" ca="1" si="2584">F930*$B933/(1+$B933)</f>
        <v>0</v>
      </c>
      <c r="G933" s="53">
        <f t="shared" ca="1" si="2584"/>
        <v>0</v>
      </c>
      <c r="H933" s="53">
        <f t="shared" ca="1" si="2584"/>
        <v>0</v>
      </c>
      <c r="I933" s="53">
        <f t="shared" ca="1" si="2584"/>
        <v>0</v>
      </c>
      <c r="J933" s="53">
        <f t="shared" ca="1" si="2584"/>
        <v>0</v>
      </c>
      <c r="K933" s="53">
        <f t="shared" ca="1" si="2584"/>
        <v>0.21765527612501001</v>
      </c>
      <c r="L933" s="53">
        <f t="shared" ca="1" si="2584"/>
        <v>0.84965905164620825</v>
      </c>
      <c r="M933" s="53">
        <f t="shared" ca="1" si="2584"/>
        <v>1.364815153387634</v>
      </c>
      <c r="N933" s="53">
        <f t="shared" ca="1" si="2584"/>
        <v>1.948576426085544</v>
      </c>
      <c r="O933" s="53">
        <f t="shared" ca="1" si="2584"/>
        <v>2.3523180679905349</v>
      </c>
      <c r="P933" s="53">
        <f t="shared" ca="1" si="2584"/>
        <v>2.3523180679905349</v>
      </c>
      <c r="Q933" s="53">
        <f t="shared" ca="1" si="2584"/>
        <v>2.3523180679905349</v>
      </c>
      <c r="R933" s="53">
        <f t="shared" ca="1" si="2584"/>
        <v>2.3523180679905349</v>
      </c>
      <c r="S933" s="53">
        <f t="shared" ca="1" si="2584"/>
        <v>2.3523180679905349</v>
      </c>
      <c r="T933" s="53">
        <f t="shared" ca="1" si="2584"/>
        <v>2.3523180679905349</v>
      </c>
      <c r="U933" s="53">
        <f t="shared" ref="U933" ca="1" si="2585">U930*$B933/(1+$B933)</f>
        <v>2.3523180679905349</v>
      </c>
      <c r="V933" s="53">
        <f t="shared" ref="V933" ca="1" si="2586">V930*$B933/(1+$B933)</f>
        <v>2.3523180679905349</v>
      </c>
      <c r="W933" s="53">
        <f t="shared" ref="W933" ca="1" si="2587">W930*$B933/(1+$B933)</f>
        <v>2.3523180679905349</v>
      </c>
      <c r="X933" s="53">
        <f t="shared" ref="X933" ca="1" si="2588">X930*$B933/(1+$B933)</f>
        <v>2.3523180679905349</v>
      </c>
      <c r="Y933" s="53">
        <f t="shared" ref="Y933" ca="1" si="2589">Y930*$B933/(1+$B933)</f>
        <v>2.3523180679905349</v>
      </c>
      <c r="Z933" s="53">
        <f t="shared" ref="Z933" ca="1" si="2590">Z930*$B933/(1+$B933)</f>
        <v>2.3523180679905349</v>
      </c>
      <c r="AA933" s="53">
        <f t="shared" ref="AA933" ca="1" si="2591">AA930*$B933/(1+$B933)</f>
        <v>2.3523180679905349</v>
      </c>
      <c r="AB933" s="53">
        <f t="shared" ref="AB933:AC933" ca="1" si="2592">AB930*$B933/(1+$B933)</f>
        <v>2.3523180679905349</v>
      </c>
      <c r="AC933" s="53">
        <f t="shared" ca="1" si="2592"/>
        <v>2.3523180679905349</v>
      </c>
      <c r="AE933" s="54">
        <f ca="1">SUM(F933:AC933)</f>
        <v>39.665476927102425</v>
      </c>
    </row>
    <row r="934" spans="1:31" outlineLevel="1" x14ac:dyDescent="0.2">
      <c r="A934" s="273" t="s">
        <v>2999</v>
      </c>
      <c r="B934" s="254">
        <v>1</v>
      </c>
      <c r="C934" s="17" t="str">
        <f ca="1">CHOOSE(B934,CUR_Main,CUR_Foreign)</f>
        <v>тыс. EUR</v>
      </c>
      <c r="D934" s="16" t="str">
        <f>TEXT(B934,"0")&amp;"_01"</f>
        <v>1_01</v>
      </c>
      <c r="F934" s="281">
        <f ca="1">F808*Расходы!$B$10</f>
        <v>0</v>
      </c>
      <c r="G934" s="281">
        <f ca="1">G808*Расходы!$B$10</f>
        <v>0</v>
      </c>
      <c r="H934" s="281">
        <f ca="1">H808*Расходы!$B$10</f>
        <v>0</v>
      </c>
      <c r="I934" s="281">
        <f ca="1">I808*Расходы!$B$10</f>
        <v>0</v>
      </c>
      <c r="J934" s="281">
        <f>Расходы!$B$15*Расходы!$B$16/1000</f>
        <v>0</v>
      </c>
      <c r="K934" s="281">
        <f>Расходы!$B$15*Расходы!$B$16/1000</f>
        <v>0</v>
      </c>
      <c r="L934" s="281">
        <f>Расходы!$B$15*Расходы!$B$16/1000</f>
        <v>0</v>
      </c>
      <c r="M934" s="281">
        <f>Расходы!$B$15*Расходы!$B$16/1000</f>
        <v>0</v>
      </c>
      <c r="N934" s="281">
        <f>Расходы!$B$15*Расходы!$B$16/1000</f>
        <v>0</v>
      </c>
      <c r="O934" s="281">
        <f>Расходы!$B$15*Расходы!$B$16/1000</f>
        <v>0</v>
      </c>
      <c r="P934" s="281">
        <f>Расходы!$B$15*Расходы!$B$16/1000</f>
        <v>0</v>
      </c>
      <c r="Q934" s="281">
        <f>Расходы!$B$15*Расходы!$B$16/1000</f>
        <v>0</v>
      </c>
      <c r="R934" s="281">
        <f>Расходы!$B$15*Расходы!$B$16/1000</f>
        <v>0</v>
      </c>
      <c r="S934" s="281">
        <f>Расходы!$B$15*Расходы!$B$16/1000</f>
        <v>0</v>
      </c>
      <c r="T934" s="281">
        <f>Расходы!$B$15*Расходы!$B$16/1000</f>
        <v>0</v>
      </c>
      <c r="U934" s="281">
        <f>Расходы!$B$15*Расходы!$B$16/1000</f>
        <v>0</v>
      </c>
      <c r="V934" s="281">
        <f>Расходы!$B$15*Расходы!$B$16/1000</f>
        <v>0</v>
      </c>
      <c r="W934" s="281">
        <f>Расходы!$B$15*Расходы!$B$16/1000</f>
        <v>0</v>
      </c>
      <c r="X934" s="281">
        <f>Расходы!$B$15*Расходы!$B$16/1000</f>
        <v>0</v>
      </c>
      <c r="Y934" s="281">
        <f>Расходы!$B$15*Расходы!$B$16/1000</f>
        <v>0</v>
      </c>
      <c r="Z934" s="281">
        <f>Расходы!$B$15*Расходы!$B$16/1000</f>
        <v>0</v>
      </c>
      <c r="AA934" s="281">
        <f>Расходы!$B$15*Расходы!$B$16/1000</f>
        <v>0</v>
      </c>
      <c r="AB934" s="281">
        <f>Расходы!$B$15*Расходы!$B$16/1000</f>
        <v>0</v>
      </c>
      <c r="AC934" s="281">
        <f>Расходы!$B$15*Расходы!$B$16/1000</f>
        <v>0</v>
      </c>
      <c r="AE934" s="54">
        <f ca="1">SUM(F934:AC934)</f>
        <v>0</v>
      </c>
    </row>
    <row r="935" spans="1:31" outlineLevel="2" x14ac:dyDescent="0.2">
      <c r="A935" t="str">
        <f ca="1">Language!A$104</f>
        <v>Предполагаемый темп годового роста цен</v>
      </c>
      <c r="C935" s="5" t="s">
        <v>2430</v>
      </c>
      <c r="D935" s="16" t="s">
        <v>2429</v>
      </c>
      <c r="F935" s="268">
        <f t="shared" ref="F935:AC935" si="2593">CHOOSE($B934,F$80,F$91)</f>
        <v>0</v>
      </c>
      <c r="G935" s="268">
        <f t="shared" si="2593"/>
        <v>0</v>
      </c>
      <c r="H935" s="268">
        <f t="shared" si="2593"/>
        <v>0</v>
      </c>
      <c r="I935" s="268">
        <f t="shared" si="2593"/>
        <v>0</v>
      </c>
      <c r="J935" s="268">
        <f t="shared" si="2593"/>
        <v>0</v>
      </c>
      <c r="K935" s="268">
        <f t="shared" si="2593"/>
        <v>0</v>
      </c>
      <c r="L935" s="268">
        <f t="shared" si="2593"/>
        <v>0</v>
      </c>
      <c r="M935" s="268">
        <f t="shared" si="2593"/>
        <v>0</v>
      </c>
      <c r="N935" s="268">
        <f t="shared" si="2593"/>
        <v>0</v>
      </c>
      <c r="O935" s="268">
        <f t="shared" si="2593"/>
        <v>0</v>
      </c>
      <c r="P935" s="268">
        <f t="shared" si="2593"/>
        <v>0</v>
      </c>
      <c r="Q935" s="268">
        <f t="shared" si="2593"/>
        <v>0</v>
      </c>
      <c r="R935" s="268">
        <f t="shared" si="2593"/>
        <v>0</v>
      </c>
      <c r="S935" s="268">
        <f t="shared" si="2593"/>
        <v>0</v>
      </c>
      <c r="T935" s="268">
        <f t="shared" si="2593"/>
        <v>0</v>
      </c>
      <c r="U935" s="268">
        <f t="shared" si="2593"/>
        <v>0</v>
      </c>
      <c r="V935" s="268">
        <f t="shared" si="2593"/>
        <v>0</v>
      </c>
      <c r="W935" s="268">
        <f t="shared" si="2593"/>
        <v>0</v>
      </c>
      <c r="X935" s="268">
        <f t="shared" si="2593"/>
        <v>0</v>
      </c>
      <c r="Y935" s="268">
        <f t="shared" si="2593"/>
        <v>0</v>
      </c>
      <c r="Z935" s="268">
        <f t="shared" si="2593"/>
        <v>0</v>
      </c>
      <c r="AA935" s="268">
        <f t="shared" si="2593"/>
        <v>0</v>
      </c>
      <c r="AB935" s="268">
        <f t="shared" si="2593"/>
        <v>0</v>
      </c>
      <c r="AC935" s="268">
        <f t="shared" si="2593"/>
        <v>0</v>
      </c>
    </row>
    <row r="936" spans="1:31" outlineLevel="2" x14ac:dyDescent="0.2">
      <c r="A936" t="str">
        <f ca="1">Language!A$106</f>
        <v>То же, в пересчете на период, равный шагу проекта</v>
      </c>
      <c r="C936" s="5" t="s">
        <v>2430</v>
      </c>
      <c r="D936" s="16" t="s">
        <v>2429</v>
      </c>
      <c r="F936" s="30">
        <f t="shared" ref="F936:AC936" si="2594">POWER(1+F935,PRJ_Step/360)-1</f>
        <v>0</v>
      </c>
      <c r="G936" s="30">
        <f t="shared" si="2594"/>
        <v>0</v>
      </c>
      <c r="H936" s="30">
        <f t="shared" si="2594"/>
        <v>0</v>
      </c>
      <c r="I936" s="30">
        <f t="shared" si="2594"/>
        <v>0</v>
      </c>
      <c r="J936" s="30">
        <f t="shared" si="2594"/>
        <v>0</v>
      </c>
      <c r="K936" s="30">
        <f t="shared" si="2594"/>
        <v>0</v>
      </c>
      <c r="L936" s="30">
        <f t="shared" si="2594"/>
        <v>0</v>
      </c>
      <c r="M936" s="30">
        <f t="shared" si="2594"/>
        <v>0</v>
      </c>
      <c r="N936" s="30">
        <f t="shared" si="2594"/>
        <v>0</v>
      </c>
      <c r="O936" s="30">
        <f t="shared" si="2594"/>
        <v>0</v>
      </c>
      <c r="P936" s="30">
        <f t="shared" si="2594"/>
        <v>0</v>
      </c>
      <c r="Q936" s="30">
        <f t="shared" si="2594"/>
        <v>0</v>
      </c>
      <c r="R936" s="30">
        <f t="shared" si="2594"/>
        <v>0</v>
      </c>
      <c r="S936" s="30">
        <f t="shared" si="2594"/>
        <v>0</v>
      </c>
      <c r="T936" s="30">
        <f t="shared" si="2594"/>
        <v>0</v>
      </c>
      <c r="U936" s="30">
        <f t="shared" si="2594"/>
        <v>0</v>
      </c>
      <c r="V936" s="30">
        <f t="shared" si="2594"/>
        <v>0</v>
      </c>
      <c r="W936" s="30">
        <f t="shared" si="2594"/>
        <v>0</v>
      </c>
      <c r="X936" s="30">
        <f t="shared" si="2594"/>
        <v>0</v>
      </c>
      <c r="Y936" s="30">
        <f t="shared" si="2594"/>
        <v>0</v>
      </c>
      <c r="Z936" s="30">
        <f t="shared" si="2594"/>
        <v>0</v>
      </c>
      <c r="AA936" s="30">
        <f t="shared" si="2594"/>
        <v>0</v>
      </c>
      <c r="AB936" s="30">
        <f t="shared" si="2594"/>
        <v>0</v>
      </c>
      <c r="AC936" s="30">
        <f t="shared" si="2594"/>
        <v>0</v>
      </c>
    </row>
    <row r="937" spans="1:31" outlineLevel="2" x14ac:dyDescent="0.2">
      <c r="A937" t="str">
        <f ca="1">Language!A$620</f>
        <v>в том числе НДС</v>
      </c>
      <c r="B937" s="283">
        <f>VAT</f>
        <v>0.23</v>
      </c>
      <c r="C937" s="5" t="str">
        <f ca="1">CHOOSE(B934,CUR_Main,CUR_Foreign)</f>
        <v>тыс. EUR</v>
      </c>
      <c r="D937" t="str">
        <f>TEXT(B934,"0")&amp;"_02"</f>
        <v>1_02</v>
      </c>
      <c r="F937" s="53">
        <f t="shared" ref="F937:AC937" ca="1" si="2595">F934*$B937/(1+$B937)</f>
        <v>0</v>
      </c>
      <c r="G937" s="53">
        <f t="shared" ca="1" si="2595"/>
        <v>0</v>
      </c>
      <c r="H937" s="53">
        <f t="shared" ca="1" si="2595"/>
        <v>0</v>
      </c>
      <c r="I937" s="53">
        <f t="shared" ca="1" si="2595"/>
        <v>0</v>
      </c>
      <c r="J937" s="53">
        <f t="shared" si="2595"/>
        <v>0</v>
      </c>
      <c r="K937" s="53">
        <f t="shared" si="2595"/>
        <v>0</v>
      </c>
      <c r="L937" s="53">
        <f t="shared" si="2595"/>
        <v>0</v>
      </c>
      <c r="M937" s="53">
        <f t="shared" si="2595"/>
        <v>0</v>
      </c>
      <c r="N937" s="53">
        <f t="shared" si="2595"/>
        <v>0</v>
      </c>
      <c r="O937" s="53">
        <f t="shared" si="2595"/>
        <v>0</v>
      </c>
      <c r="P937" s="53">
        <f t="shared" si="2595"/>
        <v>0</v>
      </c>
      <c r="Q937" s="53">
        <f t="shared" si="2595"/>
        <v>0</v>
      </c>
      <c r="R937" s="53">
        <f t="shared" si="2595"/>
        <v>0</v>
      </c>
      <c r="S937" s="53">
        <f t="shared" si="2595"/>
        <v>0</v>
      </c>
      <c r="T937" s="53">
        <f t="shared" si="2595"/>
        <v>0</v>
      </c>
      <c r="U937" s="53">
        <f t="shared" si="2595"/>
        <v>0</v>
      </c>
      <c r="V937" s="53">
        <f t="shared" si="2595"/>
        <v>0</v>
      </c>
      <c r="W937" s="53">
        <f t="shared" si="2595"/>
        <v>0</v>
      </c>
      <c r="X937" s="53">
        <f t="shared" si="2595"/>
        <v>0</v>
      </c>
      <c r="Y937" s="53">
        <f t="shared" si="2595"/>
        <v>0</v>
      </c>
      <c r="Z937" s="53">
        <f t="shared" si="2595"/>
        <v>0</v>
      </c>
      <c r="AA937" s="53">
        <f t="shared" si="2595"/>
        <v>0</v>
      </c>
      <c r="AB937" s="53">
        <f t="shared" si="2595"/>
        <v>0</v>
      </c>
      <c r="AC937" s="53">
        <f t="shared" si="2595"/>
        <v>0</v>
      </c>
      <c r="AE937" s="54">
        <f ca="1">SUM(F937:AC937)</f>
        <v>0</v>
      </c>
    </row>
    <row r="938" spans="1:31" outlineLevel="1" x14ac:dyDescent="0.2"/>
    <row r="939" spans="1:31" outlineLevel="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4"/>
    </row>
    <row r="940" spans="1:31" outlineLevel="1" x14ac:dyDescent="0.2">
      <c r="A940" s="35" t="str">
        <f ca="1">Language!A602</f>
        <v>Общие производственные расходы</v>
      </c>
    </row>
    <row r="941" spans="1:31" outlineLevel="1" x14ac:dyDescent="0.2"/>
    <row r="942" spans="1:31" outlineLevel="1" x14ac:dyDescent="0.2">
      <c r="A942" t="str">
        <f ca="1">Language!A614</f>
        <v>Зарплата вспомогательного произв. персонала</v>
      </c>
      <c r="C942" s="5" t="str">
        <f ca="1">CUR_Main</f>
        <v>тыс. EUR</v>
      </c>
      <c r="F942" s="43">
        <f t="shared" ref="F942:T942" si="2596">F906</f>
        <v>0</v>
      </c>
      <c r="G942" s="43">
        <f t="shared" si="2596"/>
        <v>0</v>
      </c>
      <c r="H942" s="43">
        <f t="shared" si="2596"/>
        <v>0</v>
      </c>
      <c r="I942" s="43">
        <f t="shared" si="2596"/>
        <v>0</v>
      </c>
      <c r="J942" s="43">
        <f t="shared" si="2596"/>
        <v>0</v>
      </c>
      <c r="K942" s="43">
        <f t="shared" si="2596"/>
        <v>0</v>
      </c>
      <c r="L942" s="43">
        <f t="shared" si="2596"/>
        <v>0</v>
      </c>
      <c r="M942" s="43">
        <f t="shared" si="2596"/>
        <v>0</v>
      </c>
      <c r="N942" s="43">
        <f t="shared" si="2596"/>
        <v>0</v>
      </c>
      <c r="O942" s="43">
        <f t="shared" si="2596"/>
        <v>0</v>
      </c>
      <c r="P942" s="43">
        <f t="shared" si="2596"/>
        <v>0</v>
      </c>
      <c r="Q942" s="43">
        <f t="shared" si="2596"/>
        <v>0</v>
      </c>
      <c r="R942" s="43">
        <f t="shared" si="2596"/>
        <v>0</v>
      </c>
      <c r="S942" s="43">
        <f t="shared" si="2596"/>
        <v>0</v>
      </c>
      <c r="T942" s="43">
        <f t="shared" si="2596"/>
        <v>0</v>
      </c>
      <c r="U942" s="43">
        <f t="shared" ref="U942" si="2597">U906</f>
        <v>0</v>
      </c>
      <c r="V942" s="43">
        <f t="shared" ref="V942" si="2598">V906</f>
        <v>0</v>
      </c>
      <c r="W942" s="43">
        <f t="shared" ref="W942" si="2599">W906</f>
        <v>0</v>
      </c>
      <c r="X942" s="43">
        <f t="shared" ref="X942" si="2600">X906</f>
        <v>0</v>
      </c>
      <c r="Y942" s="43">
        <f t="shared" ref="Y942" si="2601">Y906</f>
        <v>0</v>
      </c>
      <c r="Z942" s="43">
        <f t="shared" ref="Z942" si="2602">Z906</f>
        <v>0</v>
      </c>
      <c r="AA942" s="43">
        <f t="shared" ref="AA942" si="2603">AA906</f>
        <v>0</v>
      </c>
      <c r="AB942" s="43">
        <f t="shared" ref="AB942:AC942" si="2604">AB906</f>
        <v>0</v>
      </c>
      <c r="AC942" s="43">
        <f t="shared" si="2604"/>
        <v>0</v>
      </c>
      <c r="AE942" s="54">
        <f>SUM(F942:AC942)</f>
        <v>0</v>
      </c>
    </row>
    <row r="943" spans="1:31" outlineLevel="1" x14ac:dyDescent="0.2">
      <c r="A943" t="str">
        <f ca="1">Language!A615</f>
        <v>Страховые взносы на зарплату вспомогательного произв. персонала</v>
      </c>
      <c r="C943" s="5" t="str">
        <f ca="1">CUR_Main</f>
        <v>тыс. EUR</v>
      </c>
      <c r="F943" s="43">
        <f t="shared" ref="F943:T943" si="2605">F912</f>
        <v>0</v>
      </c>
      <c r="G943" s="43">
        <f t="shared" si="2605"/>
        <v>0</v>
      </c>
      <c r="H943" s="43">
        <f t="shared" si="2605"/>
        <v>0</v>
      </c>
      <c r="I943" s="43">
        <f t="shared" si="2605"/>
        <v>0</v>
      </c>
      <c r="J943" s="43">
        <f t="shared" si="2605"/>
        <v>0</v>
      </c>
      <c r="K943" s="43">
        <f t="shared" si="2605"/>
        <v>0</v>
      </c>
      <c r="L943" s="43">
        <f t="shared" si="2605"/>
        <v>0</v>
      </c>
      <c r="M943" s="43">
        <f t="shared" si="2605"/>
        <v>0</v>
      </c>
      <c r="N943" s="43">
        <f t="shared" si="2605"/>
        <v>0</v>
      </c>
      <c r="O943" s="43">
        <f t="shared" si="2605"/>
        <v>0</v>
      </c>
      <c r="P943" s="43">
        <f t="shared" si="2605"/>
        <v>0</v>
      </c>
      <c r="Q943" s="43">
        <f t="shared" si="2605"/>
        <v>0</v>
      </c>
      <c r="R943" s="43">
        <f t="shared" si="2605"/>
        <v>0</v>
      </c>
      <c r="S943" s="43">
        <f t="shared" si="2605"/>
        <v>0</v>
      </c>
      <c r="T943" s="43">
        <f t="shared" si="2605"/>
        <v>0</v>
      </c>
      <c r="U943" s="43">
        <f t="shared" ref="U943" si="2606">U912</f>
        <v>0</v>
      </c>
      <c r="V943" s="43">
        <f t="shared" ref="V943" si="2607">V912</f>
        <v>0</v>
      </c>
      <c r="W943" s="43">
        <f t="shared" ref="W943" si="2608">W912</f>
        <v>0</v>
      </c>
      <c r="X943" s="43">
        <f t="shared" ref="X943" si="2609">X912</f>
        <v>0</v>
      </c>
      <c r="Y943" s="43">
        <f t="shared" ref="Y943" si="2610">Y912</f>
        <v>0</v>
      </c>
      <c r="Z943" s="43">
        <f t="shared" ref="Z943" si="2611">Z912</f>
        <v>0</v>
      </c>
      <c r="AA943" s="43">
        <f t="shared" ref="AA943" si="2612">AA912</f>
        <v>0</v>
      </c>
      <c r="AB943" s="43">
        <f t="shared" ref="AB943:AC943" si="2613">AB912</f>
        <v>0</v>
      </c>
      <c r="AC943" s="43">
        <f t="shared" si="2613"/>
        <v>0</v>
      </c>
      <c r="AE943" s="54">
        <f>SUM(F943:AC943)</f>
        <v>0</v>
      </c>
    </row>
    <row r="944" spans="1:31" outlineLevel="1" x14ac:dyDescent="0.2">
      <c r="A944" t="str">
        <f ca="1">Language!A621</f>
        <v>Амортизация</v>
      </c>
      <c r="C944" s="5" t="str">
        <f ca="1">CUR_Main</f>
        <v>тыс. EUR</v>
      </c>
      <c r="F944" s="43">
        <f t="shared" ref="F944:X944" ca="1" si="2614">F565+F591+F578+F614+F242+F251+F260+F268+F658</f>
        <v>0</v>
      </c>
      <c r="G944" s="43">
        <f t="shared" ca="1" si="2614"/>
        <v>0</v>
      </c>
      <c r="H944" s="43">
        <f t="shared" ca="1" si="2614"/>
        <v>0</v>
      </c>
      <c r="I944" s="43">
        <f t="shared" ca="1" si="2614"/>
        <v>0</v>
      </c>
      <c r="J944" s="43">
        <f t="shared" ca="1" si="2614"/>
        <v>309.35251270876392</v>
      </c>
      <c r="K944" s="43">
        <f t="shared" ca="1" si="2614"/>
        <v>309.35251270876392</v>
      </c>
      <c r="L944" s="43">
        <f t="shared" ca="1" si="2614"/>
        <v>309.35251270876392</v>
      </c>
      <c r="M944" s="43">
        <f t="shared" ca="1" si="2614"/>
        <v>309.35251270876392</v>
      </c>
      <c r="N944" s="43">
        <f t="shared" ca="1" si="2614"/>
        <v>309.35251270876392</v>
      </c>
      <c r="O944" s="43">
        <f t="shared" ca="1" si="2614"/>
        <v>309.35251270876392</v>
      </c>
      <c r="P944" s="43">
        <f t="shared" ca="1" si="2614"/>
        <v>309.35251270876392</v>
      </c>
      <c r="Q944" s="43">
        <f t="shared" ca="1" si="2614"/>
        <v>309.35251270876392</v>
      </c>
      <c r="R944" s="43">
        <f t="shared" ca="1" si="2614"/>
        <v>309.35251270876392</v>
      </c>
      <c r="S944" s="43">
        <f t="shared" ca="1" si="2614"/>
        <v>309.35251270876392</v>
      </c>
      <c r="T944" s="43">
        <f t="shared" ca="1" si="2614"/>
        <v>309.35251270876392</v>
      </c>
      <c r="U944" s="43">
        <f t="shared" ca="1" si="2614"/>
        <v>309.35251270876392</v>
      </c>
      <c r="V944" s="43">
        <f t="shared" ca="1" si="2614"/>
        <v>309.35251270876392</v>
      </c>
      <c r="W944" s="43">
        <f t="shared" ca="1" si="2614"/>
        <v>309.35251270876392</v>
      </c>
      <c r="X944" s="43">
        <f t="shared" ca="1" si="2614"/>
        <v>309.35251270876392</v>
      </c>
      <c r="Y944" s="43">
        <f t="shared" ref="Y944" ca="1" si="2615">Y565+Y591+Y578+Y614+Y242+Y251+Y260+Y268+Y658</f>
        <v>309.35251270876392</v>
      </c>
      <c r="Z944" s="43">
        <f t="shared" ref="Z944" ca="1" si="2616">Z565+Z591+Z578+Z614+Z242+Z251+Z260+Z268+Z658</f>
        <v>309.35251270876392</v>
      </c>
      <c r="AA944" s="43">
        <f t="shared" ref="AA944" ca="1" si="2617">AA565+AA591+AA578+AA614+AA242+AA251+AA260+AA268+AA658</f>
        <v>309.35251270876392</v>
      </c>
      <c r="AB944" s="43">
        <f t="shared" ref="AB944:AC944" ca="1" si="2618">AB565+AB591+AB578+AB614+AB242+AB251+AB260+AB268+AB658</f>
        <v>309.35251270876392</v>
      </c>
      <c r="AC944" s="43">
        <f t="shared" ca="1" si="2618"/>
        <v>309.35251270876392</v>
      </c>
      <c r="AE944" s="54">
        <f ca="1">SUM(F944:AC944)</f>
        <v>6187.0502541752812</v>
      </c>
    </row>
    <row r="945" spans="1:31" outlineLevel="1" x14ac:dyDescent="0.2">
      <c r="A945" t="str">
        <f ca="1">Language!A622</f>
        <v>Земельный и другие налоги, относимые на текущие затраты</v>
      </c>
      <c r="C945" s="5" t="str">
        <f ca="1">CUR_Main</f>
        <v>тыс. EUR</v>
      </c>
      <c r="F945" s="105">
        <f t="shared" ref="F945:X945" si="2619">F143+F147</f>
        <v>0</v>
      </c>
      <c r="G945" s="105">
        <f t="shared" si="2619"/>
        <v>0</v>
      </c>
      <c r="H945" s="105">
        <f t="shared" si="2619"/>
        <v>0</v>
      </c>
      <c r="I945" s="105">
        <f t="shared" si="2619"/>
        <v>0</v>
      </c>
      <c r="J945" s="105">
        <f t="shared" si="2619"/>
        <v>0</v>
      </c>
      <c r="K945" s="105">
        <f t="shared" si="2619"/>
        <v>1.0348837209302326</v>
      </c>
      <c r="L945" s="105">
        <f t="shared" si="2619"/>
        <v>1.0348837209302326</v>
      </c>
      <c r="M945" s="105">
        <f t="shared" si="2619"/>
        <v>1.0348837209302326</v>
      </c>
      <c r="N945" s="105">
        <f t="shared" si="2619"/>
        <v>1.0348837209302326</v>
      </c>
      <c r="O945" s="105">
        <f t="shared" si="2619"/>
        <v>1.0348837209302326</v>
      </c>
      <c r="P945" s="105">
        <f t="shared" si="2619"/>
        <v>1.0348837209302326</v>
      </c>
      <c r="Q945" s="105">
        <f t="shared" si="2619"/>
        <v>1.0348837209302326</v>
      </c>
      <c r="R945" s="105">
        <f t="shared" si="2619"/>
        <v>1.0348837209302326</v>
      </c>
      <c r="S945" s="105">
        <f t="shared" si="2619"/>
        <v>1.0348837209302326</v>
      </c>
      <c r="T945" s="105">
        <f t="shared" si="2619"/>
        <v>1.0348837209302326</v>
      </c>
      <c r="U945" s="105">
        <f t="shared" si="2619"/>
        <v>1.0348837209302326</v>
      </c>
      <c r="V945" s="105">
        <f t="shared" si="2619"/>
        <v>1.0348837209302326</v>
      </c>
      <c r="W945" s="105">
        <f t="shared" si="2619"/>
        <v>1.0348837209302326</v>
      </c>
      <c r="X945" s="105">
        <f t="shared" si="2619"/>
        <v>1.0348837209302326</v>
      </c>
      <c r="Y945" s="105">
        <f t="shared" ref="Y945" si="2620">Y143+Y147</f>
        <v>1.0348837209302326</v>
      </c>
      <c r="Z945" s="105">
        <f t="shared" ref="Z945" si="2621">Z143+Z147</f>
        <v>1.0348837209302326</v>
      </c>
      <c r="AA945" s="105">
        <f t="shared" ref="AA945" si="2622">AA143+AA147</f>
        <v>1.0348837209302326</v>
      </c>
      <c r="AB945" s="105">
        <f t="shared" ref="AB945:AC945" si="2623">AB143+AB147</f>
        <v>1.0348837209302326</v>
      </c>
      <c r="AC945" s="105">
        <f t="shared" si="2623"/>
        <v>1.0348837209302326</v>
      </c>
      <c r="AE945" s="54">
        <f>SUM(F945:AC945)</f>
        <v>19.66279069767441</v>
      </c>
    </row>
    <row r="946" spans="1:31" outlineLevel="1" x14ac:dyDescent="0.2">
      <c r="B946" s="36" t="str">
        <f ca="1">Language!A$73</f>
        <v>Валюта</v>
      </c>
      <c r="D946">
        <v>2</v>
      </c>
      <c r="E946">
        <v>4</v>
      </c>
    </row>
    <row r="947" spans="1:31" outlineLevel="1" x14ac:dyDescent="0.2">
      <c r="A947" s="273" t="s">
        <v>754</v>
      </c>
      <c r="B947" s="254">
        <v>1</v>
      </c>
      <c r="C947" s="17" t="str">
        <f ca="1">CHOOSE(B947,CUR_Main,CUR_Foreign)</f>
        <v>тыс. EUR</v>
      </c>
      <c r="D947" s="16" t="str">
        <f>TEXT(B947,"0")&amp;"_01"</f>
        <v>1_01</v>
      </c>
      <c r="F947" s="281">
        <f ca="1">F804*Расходы!$B$11</f>
        <v>0</v>
      </c>
      <c r="G947" s="281">
        <f ca="1">G804*Расходы!$B$11</f>
        <v>0</v>
      </c>
      <c r="H947" s="281">
        <f ca="1">H804*Расходы!$B$11</f>
        <v>0</v>
      </c>
      <c r="I947" s="281">
        <f ca="1">I804*Расходы!$B$11</f>
        <v>0</v>
      </c>
      <c r="J947" s="281">
        <f ca="1">J804*Расходы!$B$11</f>
        <v>0</v>
      </c>
      <c r="K947" s="281">
        <f ca="1">K804*Расходы!$B$11</f>
        <v>2.3279651272501067</v>
      </c>
      <c r="L947" s="281">
        <f ca="1">L804*Расходы!$B$11</f>
        <v>9.0876576828246609</v>
      </c>
      <c r="M947" s="281">
        <f ca="1">M804*Расходы!$B$11</f>
        <v>14.59758816231991</v>
      </c>
      <c r="N947" s="281">
        <f ca="1">N804*Расходы!$B$11</f>
        <v>20.841295687697556</v>
      </c>
      <c r="O947" s="281">
        <f ca="1">O804*Расходы!$B$11</f>
        <v>25.15957585763789</v>
      </c>
      <c r="P947" s="281">
        <f ca="1">P804*Расходы!$B$11</f>
        <v>25.15957585763789</v>
      </c>
      <c r="Q947" s="281">
        <f ca="1">Q804*Расходы!$B$11</f>
        <v>25.15957585763789</v>
      </c>
      <c r="R947" s="281">
        <f ca="1">R804*Расходы!$B$11</f>
        <v>25.15957585763789</v>
      </c>
      <c r="S947" s="281">
        <f ca="1">S804*Расходы!$B$11</f>
        <v>25.15957585763789</v>
      </c>
      <c r="T947" s="281">
        <f ca="1">T804*Расходы!$B$11</f>
        <v>25.15957585763789</v>
      </c>
      <c r="U947" s="281">
        <f ca="1">U804*Расходы!$B$11</f>
        <v>25.15957585763789</v>
      </c>
      <c r="V947" s="281">
        <f ca="1">V804*Расходы!$B$11</f>
        <v>25.15957585763789</v>
      </c>
      <c r="W947" s="281">
        <f ca="1">W804*Расходы!$B$11</f>
        <v>25.15957585763789</v>
      </c>
      <c r="X947" s="281">
        <f ca="1">X804*Расходы!$B$11</f>
        <v>25.15957585763789</v>
      </c>
      <c r="Y947" s="281">
        <f ca="1">Y804*Расходы!$B$11</f>
        <v>25.15957585763789</v>
      </c>
      <c r="Z947" s="281">
        <f ca="1">Z804*Расходы!$B$11</f>
        <v>25.15957585763789</v>
      </c>
      <c r="AA947" s="281">
        <f ca="1">AA804*Расходы!$B$11</f>
        <v>25.15957585763789</v>
      </c>
      <c r="AB947" s="281">
        <f ca="1">AB804*Расходы!$B$11</f>
        <v>25.15957585763789</v>
      </c>
      <c r="AC947" s="281">
        <f ca="1">AC804*Расходы!$B$11</f>
        <v>25.15957585763789</v>
      </c>
      <c r="AE947" s="54">
        <f ca="1">SUM(F947:AC947)</f>
        <v>424.24814452466057</v>
      </c>
    </row>
    <row r="948" spans="1:31" outlineLevel="2" x14ac:dyDescent="0.2">
      <c r="A948" t="str">
        <f ca="1">Language!A$104</f>
        <v>Предполагаемый темп годового роста цен</v>
      </c>
      <c r="C948" s="5" t="s">
        <v>2430</v>
      </c>
      <c r="D948" s="16" t="s">
        <v>2429</v>
      </c>
      <c r="F948" s="268">
        <f t="shared" ref="F948:T948" si="2624">CHOOSE($B947,F$80,F$91)</f>
        <v>0</v>
      </c>
      <c r="G948" s="268">
        <f t="shared" si="2624"/>
        <v>0</v>
      </c>
      <c r="H948" s="268">
        <f t="shared" si="2624"/>
        <v>0</v>
      </c>
      <c r="I948" s="268">
        <f t="shared" si="2624"/>
        <v>0</v>
      </c>
      <c r="J948" s="268">
        <f t="shared" si="2624"/>
        <v>0</v>
      </c>
      <c r="K948" s="268">
        <f t="shared" si="2624"/>
        <v>0</v>
      </c>
      <c r="L948" s="268">
        <f t="shared" si="2624"/>
        <v>0</v>
      </c>
      <c r="M948" s="268">
        <f t="shared" si="2624"/>
        <v>0</v>
      </c>
      <c r="N948" s="268">
        <f t="shared" si="2624"/>
        <v>0</v>
      </c>
      <c r="O948" s="268">
        <f t="shared" si="2624"/>
        <v>0</v>
      </c>
      <c r="P948" s="268">
        <f t="shared" si="2624"/>
        <v>0</v>
      </c>
      <c r="Q948" s="268">
        <f t="shared" si="2624"/>
        <v>0</v>
      </c>
      <c r="R948" s="268">
        <f t="shared" si="2624"/>
        <v>0</v>
      </c>
      <c r="S948" s="268">
        <f t="shared" si="2624"/>
        <v>0</v>
      </c>
      <c r="T948" s="268">
        <f t="shared" si="2624"/>
        <v>0</v>
      </c>
      <c r="U948" s="268">
        <f t="shared" ref="U948" si="2625">CHOOSE($B947,U$80,U$91)</f>
        <v>0</v>
      </c>
      <c r="V948" s="268">
        <f t="shared" ref="V948" si="2626">CHOOSE($B947,V$80,V$91)</f>
        <v>0</v>
      </c>
      <c r="W948" s="268">
        <f t="shared" ref="W948" si="2627">CHOOSE($B947,W$80,W$91)</f>
        <v>0</v>
      </c>
      <c r="X948" s="268">
        <f t="shared" ref="X948" si="2628">CHOOSE($B947,X$80,X$91)</f>
        <v>0</v>
      </c>
      <c r="Y948" s="268">
        <f t="shared" ref="Y948" si="2629">CHOOSE($B947,Y$80,Y$91)</f>
        <v>0</v>
      </c>
      <c r="Z948" s="268">
        <f t="shared" ref="Z948" si="2630">CHOOSE($B947,Z$80,Z$91)</f>
        <v>0</v>
      </c>
      <c r="AA948" s="268">
        <f t="shared" ref="AA948" si="2631">CHOOSE($B947,AA$80,AA$91)</f>
        <v>0</v>
      </c>
      <c r="AB948" s="268">
        <f t="shared" ref="AB948:AC948" si="2632">CHOOSE($B947,AB$80,AB$91)</f>
        <v>0</v>
      </c>
      <c r="AC948" s="268">
        <f t="shared" si="2632"/>
        <v>0</v>
      </c>
    </row>
    <row r="949" spans="1:31" outlineLevel="2" x14ac:dyDescent="0.2">
      <c r="A949" t="str">
        <f ca="1">Language!A$106</f>
        <v>То же, в пересчете на период, равный шагу проекта</v>
      </c>
      <c r="C949" s="5" t="s">
        <v>2430</v>
      </c>
      <c r="D949" s="16" t="s">
        <v>2429</v>
      </c>
      <c r="F949" s="30">
        <f t="shared" ref="F949:T949" si="2633">POWER(1+F948,PRJ_Step/360)-1</f>
        <v>0</v>
      </c>
      <c r="G949" s="30">
        <f t="shared" si="2633"/>
        <v>0</v>
      </c>
      <c r="H949" s="30">
        <f t="shared" si="2633"/>
        <v>0</v>
      </c>
      <c r="I949" s="30">
        <f t="shared" si="2633"/>
        <v>0</v>
      </c>
      <c r="J949" s="30">
        <f t="shared" si="2633"/>
        <v>0</v>
      </c>
      <c r="K949" s="30">
        <f t="shared" si="2633"/>
        <v>0</v>
      </c>
      <c r="L949" s="30">
        <f t="shared" si="2633"/>
        <v>0</v>
      </c>
      <c r="M949" s="30">
        <f t="shared" si="2633"/>
        <v>0</v>
      </c>
      <c r="N949" s="30">
        <f t="shared" si="2633"/>
        <v>0</v>
      </c>
      <c r="O949" s="30">
        <f t="shared" si="2633"/>
        <v>0</v>
      </c>
      <c r="P949" s="30">
        <f t="shared" si="2633"/>
        <v>0</v>
      </c>
      <c r="Q949" s="30">
        <f t="shared" si="2633"/>
        <v>0</v>
      </c>
      <c r="R949" s="30">
        <f t="shared" si="2633"/>
        <v>0</v>
      </c>
      <c r="S949" s="30">
        <f t="shared" si="2633"/>
        <v>0</v>
      </c>
      <c r="T949" s="30">
        <f t="shared" si="2633"/>
        <v>0</v>
      </c>
      <c r="U949" s="30">
        <f t="shared" ref="U949" si="2634">POWER(1+U948,PRJ_Step/360)-1</f>
        <v>0</v>
      </c>
      <c r="V949" s="30">
        <f t="shared" ref="V949" si="2635">POWER(1+V948,PRJ_Step/360)-1</f>
        <v>0</v>
      </c>
      <c r="W949" s="30">
        <f t="shared" ref="W949" si="2636">POWER(1+W948,PRJ_Step/360)-1</f>
        <v>0</v>
      </c>
      <c r="X949" s="30">
        <f t="shared" ref="X949" si="2637">POWER(1+X948,PRJ_Step/360)-1</f>
        <v>0</v>
      </c>
      <c r="Y949" s="30">
        <f t="shared" ref="Y949" si="2638">POWER(1+Y948,PRJ_Step/360)-1</f>
        <v>0</v>
      </c>
      <c r="Z949" s="30">
        <f t="shared" ref="Z949" si="2639">POWER(1+Z948,PRJ_Step/360)-1</f>
        <v>0</v>
      </c>
      <c r="AA949" s="30">
        <f t="shared" ref="AA949" si="2640">POWER(1+AA948,PRJ_Step/360)-1</f>
        <v>0</v>
      </c>
      <c r="AB949" s="30">
        <f t="shared" ref="AB949:AC949" si="2641">POWER(1+AB948,PRJ_Step/360)-1</f>
        <v>0</v>
      </c>
      <c r="AC949" s="30">
        <f t="shared" si="2641"/>
        <v>0</v>
      </c>
    </row>
    <row r="950" spans="1:31" outlineLevel="2" x14ac:dyDescent="0.2">
      <c r="A950" t="str">
        <f ca="1">Language!A$620</f>
        <v>в том числе НДС</v>
      </c>
      <c r="B950" s="283">
        <f>VAT</f>
        <v>0.23</v>
      </c>
      <c r="C950" s="5" t="str">
        <f ca="1">CHOOSE(B947,CUR_Main,CUR_Foreign)</f>
        <v>тыс. EUR</v>
      </c>
      <c r="D950" t="str">
        <f>TEXT(B947,"0")&amp;"_02"</f>
        <v>1_02</v>
      </c>
      <c r="F950" s="53">
        <f t="shared" ref="F950:T950" ca="1" si="2642">F947*$B950/(1+$B950)</f>
        <v>0</v>
      </c>
      <c r="G950" s="53">
        <f t="shared" ca="1" si="2642"/>
        <v>0</v>
      </c>
      <c r="H950" s="53">
        <f t="shared" ca="1" si="2642"/>
        <v>0</v>
      </c>
      <c r="I950" s="53">
        <f t="shared" ca="1" si="2642"/>
        <v>0</v>
      </c>
      <c r="J950" s="53">
        <f t="shared" ca="1" si="2642"/>
        <v>0</v>
      </c>
      <c r="K950" s="53">
        <f t="shared" ca="1" si="2642"/>
        <v>0.43531055225002002</v>
      </c>
      <c r="L950" s="53">
        <f t="shared" ca="1" si="2642"/>
        <v>1.6993181032924165</v>
      </c>
      <c r="M950" s="53">
        <f t="shared" ca="1" si="2642"/>
        <v>2.7296303067752681</v>
      </c>
      <c r="N950" s="53">
        <f t="shared" ca="1" si="2642"/>
        <v>3.8971528521710881</v>
      </c>
      <c r="O950" s="53">
        <f t="shared" ca="1" si="2642"/>
        <v>4.7046361359810698</v>
      </c>
      <c r="P950" s="53">
        <f t="shared" ca="1" si="2642"/>
        <v>4.7046361359810698</v>
      </c>
      <c r="Q950" s="53">
        <f t="shared" ca="1" si="2642"/>
        <v>4.7046361359810698</v>
      </c>
      <c r="R950" s="53">
        <f t="shared" ca="1" si="2642"/>
        <v>4.7046361359810698</v>
      </c>
      <c r="S950" s="53">
        <f t="shared" ca="1" si="2642"/>
        <v>4.7046361359810698</v>
      </c>
      <c r="T950" s="53">
        <f t="shared" ca="1" si="2642"/>
        <v>4.7046361359810698</v>
      </c>
      <c r="U950" s="53">
        <f t="shared" ref="U950" ca="1" si="2643">U947*$B950/(1+$B950)</f>
        <v>4.7046361359810698</v>
      </c>
      <c r="V950" s="53">
        <f t="shared" ref="V950" ca="1" si="2644">V947*$B950/(1+$B950)</f>
        <v>4.7046361359810698</v>
      </c>
      <c r="W950" s="53">
        <f t="shared" ref="W950" ca="1" si="2645">W947*$B950/(1+$B950)</f>
        <v>4.7046361359810698</v>
      </c>
      <c r="X950" s="53">
        <f t="shared" ref="X950" ca="1" si="2646">X947*$B950/(1+$B950)</f>
        <v>4.7046361359810698</v>
      </c>
      <c r="Y950" s="53">
        <f t="shared" ref="Y950" ca="1" si="2647">Y947*$B950/(1+$B950)</f>
        <v>4.7046361359810698</v>
      </c>
      <c r="Z950" s="53">
        <f t="shared" ref="Z950" ca="1" si="2648">Z947*$B950/(1+$B950)</f>
        <v>4.7046361359810698</v>
      </c>
      <c r="AA950" s="53">
        <f t="shared" ref="AA950" ca="1" si="2649">AA947*$B950/(1+$B950)</f>
        <v>4.7046361359810698</v>
      </c>
      <c r="AB950" s="53">
        <f t="shared" ref="AB950:AC950" ca="1" si="2650">AB947*$B950/(1+$B950)</f>
        <v>4.7046361359810698</v>
      </c>
      <c r="AC950" s="53">
        <f t="shared" ca="1" si="2650"/>
        <v>4.7046361359810698</v>
      </c>
      <c r="AE950" s="54">
        <f ca="1">SUM(F950:AC950)</f>
        <v>79.33095385420485</v>
      </c>
    </row>
    <row r="951" spans="1:31" x14ac:dyDescent="0.2">
      <c r="A951" s="273" t="s">
        <v>2857</v>
      </c>
      <c r="B951" s="254">
        <v>1</v>
      </c>
      <c r="C951" s="17" t="str">
        <f ca="1">CHOOSE(B951,CUR_Main,CUR_Foreign)</f>
        <v>тыс. EUR</v>
      </c>
      <c r="D951" s="16" t="str">
        <f>TEXT(B951,"0")&amp;"_01"</f>
        <v>1_01</v>
      </c>
      <c r="F951" s="281">
        <f ca="1">F804*Расходы!$B$13</f>
        <v>0</v>
      </c>
      <c r="G951" s="281">
        <f ca="1">G804*Расходы!$B$13</f>
        <v>0</v>
      </c>
      <c r="H951" s="281">
        <f ca="1">H804*Расходы!$B$13</f>
        <v>0</v>
      </c>
      <c r="I951" s="281">
        <f ca="1">I804*Расходы!$B$13</f>
        <v>0</v>
      </c>
      <c r="J951" s="281">
        <f ca="1">J804*Расходы!$B$13</f>
        <v>0</v>
      </c>
      <c r="K951" s="281">
        <f ca="1">K804*Расходы!$B$13</f>
        <v>5.8199128181252675</v>
      </c>
      <c r="L951" s="281">
        <f ca="1">L804*Расходы!$B$13</f>
        <v>22.719144207061653</v>
      </c>
      <c r="M951" s="281">
        <f ca="1">M804*Расходы!$B$13</f>
        <v>36.493970405799772</v>
      </c>
      <c r="N951" s="281">
        <f ca="1">N804*Расходы!$B$13</f>
        <v>52.103239219243889</v>
      </c>
      <c r="O951" s="281">
        <f ca="1">O804*Расходы!$B$13</f>
        <v>62.898939644094725</v>
      </c>
      <c r="P951" s="281">
        <f ca="1">P804*Расходы!$B$13</f>
        <v>62.898939644094725</v>
      </c>
      <c r="Q951" s="281">
        <f ca="1">Q804*Расходы!$B$13</f>
        <v>62.898939644094725</v>
      </c>
      <c r="R951" s="281">
        <f ca="1">R804*Расходы!$B$13</f>
        <v>62.898939644094725</v>
      </c>
      <c r="S951" s="281">
        <f ca="1">S804*Расходы!$B$13</f>
        <v>62.898939644094725</v>
      </c>
      <c r="T951" s="281">
        <f ca="1">T804*Расходы!$B$13</f>
        <v>62.898939644094725</v>
      </c>
      <c r="U951" s="281">
        <f ca="1">U804*Расходы!$B$13</f>
        <v>62.898939644094725</v>
      </c>
      <c r="V951" s="281">
        <f ca="1">V804*Расходы!$B$13</f>
        <v>62.898939644094725</v>
      </c>
      <c r="W951" s="281">
        <f ca="1">W804*Расходы!$B$13</f>
        <v>62.898939644094725</v>
      </c>
      <c r="X951" s="281">
        <f ca="1">X804*Расходы!$B$13</f>
        <v>62.898939644094725</v>
      </c>
      <c r="Y951" s="281">
        <f ca="1">Y804*Расходы!$B$13</f>
        <v>62.898939644094725</v>
      </c>
      <c r="Z951" s="281">
        <f ca="1">Z804*Расходы!$B$13</f>
        <v>62.898939644094725</v>
      </c>
      <c r="AA951" s="281">
        <f ca="1">AA804*Расходы!$B$13</f>
        <v>62.898939644094725</v>
      </c>
      <c r="AB951" s="281">
        <f ca="1">AB804*Расходы!$B$13</f>
        <v>62.898939644094725</v>
      </c>
      <c r="AC951" s="281">
        <f ca="1">AC804*Расходы!$B$13</f>
        <v>62.898939644094725</v>
      </c>
      <c r="AE951" s="54">
        <f ca="1">SUM(F951:AC951)</f>
        <v>1060.6203613116518</v>
      </c>
    </row>
    <row r="952" spans="1:31" outlineLevel="2" x14ac:dyDescent="0.2">
      <c r="A952" t="str">
        <f ca="1">Language!A$104</f>
        <v>Предполагаемый темп годового роста цен</v>
      </c>
      <c r="C952" s="5" t="s">
        <v>2430</v>
      </c>
      <c r="D952" s="16" t="s">
        <v>2429</v>
      </c>
      <c r="F952" s="268">
        <f t="shared" ref="F952:T952" si="2651">CHOOSE($B951,F$80,F$91)</f>
        <v>0</v>
      </c>
      <c r="G952" s="268">
        <f t="shared" si="2651"/>
        <v>0</v>
      </c>
      <c r="H952" s="268">
        <f t="shared" si="2651"/>
        <v>0</v>
      </c>
      <c r="I952" s="268">
        <f t="shared" si="2651"/>
        <v>0</v>
      </c>
      <c r="J952" s="268">
        <f t="shared" si="2651"/>
        <v>0</v>
      </c>
      <c r="K952" s="268">
        <f t="shared" si="2651"/>
        <v>0</v>
      </c>
      <c r="L952" s="268">
        <f t="shared" si="2651"/>
        <v>0</v>
      </c>
      <c r="M952" s="268">
        <f t="shared" si="2651"/>
        <v>0</v>
      </c>
      <c r="N952" s="268">
        <f t="shared" si="2651"/>
        <v>0</v>
      </c>
      <c r="O952" s="268">
        <f t="shared" si="2651"/>
        <v>0</v>
      </c>
      <c r="P952" s="268">
        <f t="shared" si="2651"/>
        <v>0</v>
      </c>
      <c r="Q952" s="268">
        <f t="shared" si="2651"/>
        <v>0</v>
      </c>
      <c r="R952" s="268">
        <f t="shared" si="2651"/>
        <v>0</v>
      </c>
      <c r="S952" s="268">
        <f t="shared" si="2651"/>
        <v>0</v>
      </c>
      <c r="T952" s="268">
        <f t="shared" si="2651"/>
        <v>0</v>
      </c>
      <c r="U952" s="268">
        <f t="shared" ref="U952" si="2652">CHOOSE($B951,U$80,U$91)</f>
        <v>0</v>
      </c>
      <c r="V952" s="268">
        <f t="shared" ref="V952" si="2653">CHOOSE($B951,V$80,V$91)</f>
        <v>0</v>
      </c>
      <c r="W952" s="268">
        <f t="shared" ref="W952" si="2654">CHOOSE($B951,W$80,W$91)</f>
        <v>0</v>
      </c>
      <c r="X952" s="268">
        <f t="shared" ref="X952" si="2655">CHOOSE($B951,X$80,X$91)</f>
        <v>0</v>
      </c>
      <c r="Y952" s="268">
        <f t="shared" ref="Y952" si="2656">CHOOSE($B951,Y$80,Y$91)</f>
        <v>0</v>
      </c>
      <c r="Z952" s="268">
        <f t="shared" ref="Z952" si="2657">CHOOSE($B951,Z$80,Z$91)</f>
        <v>0</v>
      </c>
      <c r="AA952" s="268">
        <f t="shared" ref="AA952" si="2658">CHOOSE($B951,AA$80,AA$91)</f>
        <v>0</v>
      </c>
      <c r="AB952" s="268">
        <f t="shared" ref="AB952:AC952" si="2659">CHOOSE($B951,AB$80,AB$91)</f>
        <v>0</v>
      </c>
      <c r="AC952" s="268">
        <f t="shared" si="2659"/>
        <v>0</v>
      </c>
    </row>
    <row r="953" spans="1:31" outlineLevel="2" x14ac:dyDescent="0.2">
      <c r="A953" t="str">
        <f ca="1">Language!A$106</f>
        <v>То же, в пересчете на период, равный шагу проекта</v>
      </c>
      <c r="C953" s="5" t="s">
        <v>2430</v>
      </c>
      <c r="D953" s="16" t="s">
        <v>2429</v>
      </c>
      <c r="F953" s="30">
        <f t="shared" ref="F953:T953" si="2660">POWER(1+F952,PRJ_Step/360)-1</f>
        <v>0</v>
      </c>
      <c r="G953" s="30">
        <f t="shared" si="2660"/>
        <v>0</v>
      </c>
      <c r="H953" s="30">
        <f t="shared" si="2660"/>
        <v>0</v>
      </c>
      <c r="I953" s="30">
        <f t="shared" si="2660"/>
        <v>0</v>
      </c>
      <c r="J953" s="30">
        <f t="shared" si="2660"/>
        <v>0</v>
      </c>
      <c r="K953" s="30">
        <f t="shared" si="2660"/>
        <v>0</v>
      </c>
      <c r="L953" s="30">
        <f t="shared" si="2660"/>
        <v>0</v>
      </c>
      <c r="M953" s="30">
        <f t="shared" si="2660"/>
        <v>0</v>
      </c>
      <c r="N953" s="30">
        <f t="shared" si="2660"/>
        <v>0</v>
      </c>
      <c r="O953" s="30">
        <f t="shared" si="2660"/>
        <v>0</v>
      </c>
      <c r="P953" s="30">
        <f t="shared" si="2660"/>
        <v>0</v>
      </c>
      <c r="Q953" s="30">
        <f t="shared" si="2660"/>
        <v>0</v>
      </c>
      <c r="R953" s="30">
        <f t="shared" si="2660"/>
        <v>0</v>
      </c>
      <c r="S953" s="30">
        <f t="shared" si="2660"/>
        <v>0</v>
      </c>
      <c r="T953" s="30">
        <f t="shared" si="2660"/>
        <v>0</v>
      </c>
      <c r="U953" s="30">
        <f t="shared" ref="U953" si="2661">POWER(1+U952,PRJ_Step/360)-1</f>
        <v>0</v>
      </c>
      <c r="V953" s="30">
        <f t="shared" ref="V953" si="2662">POWER(1+V952,PRJ_Step/360)-1</f>
        <v>0</v>
      </c>
      <c r="W953" s="30">
        <f t="shared" ref="W953" si="2663">POWER(1+W952,PRJ_Step/360)-1</f>
        <v>0</v>
      </c>
      <c r="X953" s="30">
        <f t="shared" ref="X953" si="2664">POWER(1+X952,PRJ_Step/360)-1</f>
        <v>0</v>
      </c>
      <c r="Y953" s="30">
        <f t="shared" ref="Y953" si="2665">POWER(1+Y952,PRJ_Step/360)-1</f>
        <v>0</v>
      </c>
      <c r="Z953" s="30">
        <f t="shared" ref="Z953" si="2666">POWER(1+Z952,PRJ_Step/360)-1</f>
        <v>0</v>
      </c>
      <c r="AA953" s="30">
        <f t="shared" ref="AA953" si="2667">POWER(1+AA952,PRJ_Step/360)-1</f>
        <v>0</v>
      </c>
      <c r="AB953" s="30">
        <f t="shared" ref="AB953:AC953" si="2668">POWER(1+AB952,PRJ_Step/360)-1</f>
        <v>0</v>
      </c>
      <c r="AC953" s="30">
        <f t="shared" si="2668"/>
        <v>0</v>
      </c>
    </row>
    <row r="954" spans="1:31" outlineLevel="2" x14ac:dyDescent="0.2">
      <c r="A954" t="str">
        <f ca="1">Language!A$620</f>
        <v>в том числе НДС</v>
      </c>
      <c r="B954" s="283">
        <f>VAT</f>
        <v>0.23</v>
      </c>
      <c r="C954" s="5" t="str">
        <f ca="1">CHOOSE(B951,CUR_Main,CUR_Foreign)</f>
        <v>тыс. EUR</v>
      </c>
      <c r="D954" t="str">
        <f>TEXT(B951,"0")&amp;"_02"</f>
        <v>1_02</v>
      </c>
      <c r="F954" s="53">
        <f t="shared" ref="F954:T954" ca="1" si="2669">F951*$B954/(1+$B954)</f>
        <v>0</v>
      </c>
      <c r="G954" s="53">
        <f t="shared" ca="1" si="2669"/>
        <v>0</v>
      </c>
      <c r="H954" s="53">
        <f t="shared" ca="1" si="2669"/>
        <v>0</v>
      </c>
      <c r="I954" s="53">
        <f t="shared" ca="1" si="2669"/>
        <v>0</v>
      </c>
      <c r="J954" s="53">
        <f t="shared" ca="1" si="2669"/>
        <v>0</v>
      </c>
      <c r="K954" s="53">
        <f t="shared" ca="1" si="2669"/>
        <v>1.0882763806250502</v>
      </c>
      <c r="L954" s="53">
        <f t="shared" ca="1" si="2669"/>
        <v>4.2482952582310407</v>
      </c>
      <c r="M954" s="53">
        <f t="shared" ca="1" si="2669"/>
        <v>6.8240757669381695</v>
      </c>
      <c r="N954" s="53">
        <f t="shared" ca="1" si="2669"/>
        <v>9.74288213042772</v>
      </c>
      <c r="O954" s="53">
        <f t="shared" ca="1" si="2669"/>
        <v>11.761590339952674</v>
      </c>
      <c r="P954" s="53">
        <f t="shared" ca="1" si="2669"/>
        <v>11.761590339952674</v>
      </c>
      <c r="Q954" s="53">
        <f t="shared" ca="1" si="2669"/>
        <v>11.761590339952674</v>
      </c>
      <c r="R954" s="53">
        <f t="shared" ca="1" si="2669"/>
        <v>11.761590339952674</v>
      </c>
      <c r="S954" s="53">
        <f t="shared" ca="1" si="2669"/>
        <v>11.761590339952674</v>
      </c>
      <c r="T954" s="53">
        <f t="shared" ca="1" si="2669"/>
        <v>11.761590339952674</v>
      </c>
      <c r="U954" s="53">
        <f t="shared" ref="U954" ca="1" si="2670">U951*$B954/(1+$B954)</f>
        <v>11.761590339952674</v>
      </c>
      <c r="V954" s="53">
        <f t="shared" ref="V954" ca="1" si="2671">V951*$B954/(1+$B954)</f>
        <v>11.761590339952674</v>
      </c>
      <c r="W954" s="53">
        <f t="shared" ref="W954" ca="1" si="2672">W951*$B954/(1+$B954)</f>
        <v>11.761590339952674</v>
      </c>
      <c r="X954" s="53">
        <f t="shared" ref="X954" ca="1" si="2673">X951*$B954/(1+$B954)</f>
        <v>11.761590339952674</v>
      </c>
      <c r="Y954" s="53">
        <f t="shared" ref="Y954" ca="1" si="2674">Y951*$B954/(1+$B954)</f>
        <v>11.761590339952674</v>
      </c>
      <c r="Z954" s="53">
        <f t="shared" ref="Z954" ca="1" si="2675">Z951*$B954/(1+$B954)</f>
        <v>11.761590339952674</v>
      </c>
      <c r="AA954" s="53">
        <f t="shared" ref="AA954" ca="1" si="2676">AA951*$B954/(1+$B954)</f>
        <v>11.761590339952674</v>
      </c>
      <c r="AB954" s="53">
        <f t="shared" ref="AB954:AC954" ca="1" si="2677">AB951*$B954/(1+$B954)</f>
        <v>11.761590339952674</v>
      </c>
      <c r="AC954" s="53">
        <f t="shared" ca="1" si="2677"/>
        <v>11.761590339952674</v>
      </c>
      <c r="AE954" s="54">
        <f ca="1">SUM(F954:AC954)</f>
        <v>198.32738463551212</v>
      </c>
    </row>
    <row r="955" spans="1:31" outlineLevel="1" x14ac:dyDescent="0.2"/>
    <row r="956" spans="1:31" outlineLevel="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4"/>
    </row>
    <row r="957" spans="1:31" outlineLevel="1" x14ac:dyDescent="0.2">
      <c r="A957" s="35" t="str">
        <f ca="1">Language!A603</f>
        <v>Административные расходы</v>
      </c>
    </row>
    <row r="958" spans="1:31" outlineLevel="1" x14ac:dyDescent="0.2"/>
    <row r="959" spans="1:31" outlineLevel="1" x14ac:dyDescent="0.2">
      <c r="A959" t="str">
        <f ca="1">Language!A618</f>
        <v>Зарплата административного персонала</v>
      </c>
      <c r="C959" s="5" t="str">
        <f ca="1">CUR_Main</f>
        <v>тыс. EUR</v>
      </c>
      <c r="F959" s="43">
        <f t="shared" ref="F959:T959" si="2678">F907</f>
        <v>0</v>
      </c>
      <c r="G959" s="43">
        <f t="shared" si="2678"/>
        <v>0</v>
      </c>
      <c r="H959" s="43">
        <f t="shared" si="2678"/>
        <v>0</v>
      </c>
      <c r="I959" s="43">
        <f t="shared" si="2678"/>
        <v>0</v>
      </c>
      <c r="J959" s="43">
        <f t="shared" si="2678"/>
        <v>0</v>
      </c>
      <c r="K959" s="43">
        <f t="shared" si="2678"/>
        <v>97.859999999999985</v>
      </c>
      <c r="L959" s="43">
        <f t="shared" si="2678"/>
        <v>97.859999999999985</v>
      </c>
      <c r="M959" s="43">
        <f t="shared" si="2678"/>
        <v>97.859999999999985</v>
      </c>
      <c r="N959" s="43">
        <f t="shared" si="2678"/>
        <v>97.859999999999985</v>
      </c>
      <c r="O959" s="43">
        <f t="shared" si="2678"/>
        <v>97.859999999999985</v>
      </c>
      <c r="P959" s="43">
        <f t="shared" si="2678"/>
        <v>97.859999999999985</v>
      </c>
      <c r="Q959" s="43">
        <f t="shared" si="2678"/>
        <v>97.859999999999985</v>
      </c>
      <c r="R959" s="43">
        <f t="shared" si="2678"/>
        <v>97.859999999999985</v>
      </c>
      <c r="S959" s="43">
        <f t="shared" si="2678"/>
        <v>97.859999999999985</v>
      </c>
      <c r="T959" s="43">
        <f t="shared" si="2678"/>
        <v>97.859999999999985</v>
      </c>
      <c r="U959" s="43">
        <f t="shared" ref="U959" si="2679">U907</f>
        <v>97.859999999999985</v>
      </c>
      <c r="V959" s="43">
        <f t="shared" ref="V959" si="2680">V907</f>
        <v>97.859999999999985</v>
      </c>
      <c r="W959" s="43">
        <f t="shared" ref="W959" si="2681">W907</f>
        <v>97.859999999999985</v>
      </c>
      <c r="X959" s="43">
        <f t="shared" ref="X959" si="2682">X907</f>
        <v>97.859999999999985</v>
      </c>
      <c r="Y959" s="43">
        <f t="shared" ref="Y959" si="2683">Y907</f>
        <v>97.859999999999985</v>
      </c>
      <c r="Z959" s="43">
        <f t="shared" ref="Z959" si="2684">Z907</f>
        <v>97.859999999999985</v>
      </c>
      <c r="AA959" s="43">
        <f t="shared" ref="AA959" si="2685">AA907</f>
        <v>97.859999999999985</v>
      </c>
      <c r="AB959" s="43">
        <f t="shared" ref="AB959:AC959" si="2686">AB907</f>
        <v>97.859999999999985</v>
      </c>
      <c r="AC959" s="43">
        <f t="shared" si="2686"/>
        <v>97.859999999999985</v>
      </c>
      <c r="AE959" s="54">
        <f>SUM(F959:AC959)</f>
        <v>1859.3399999999992</v>
      </c>
    </row>
    <row r="960" spans="1:31" outlineLevel="1" x14ac:dyDescent="0.2">
      <c r="A960" t="str">
        <f ca="1">Language!A619</f>
        <v>Страховые взносы на зарплату административного персонала</v>
      </c>
      <c r="C960" s="5" t="str">
        <f ca="1">CUR_Main</f>
        <v>тыс. EUR</v>
      </c>
      <c r="F960" s="43">
        <f t="shared" ref="F960:T960" si="2687">F913</f>
        <v>0</v>
      </c>
      <c r="G960" s="43">
        <f t="shared" si="2687"/>
        <v>0</v>
      </c>
      <c r="H960" s="43">
        <f t="shared" si="2687"/>
        <v>0</v>
      </c>
      <c r="I960" s="43">
        <f t="shared" si="2687"/>
        <v>0</v>
      </c>
      <c r="J960" s="43">
        <f t="shared" si="2687"/>
        <v>0</v>
      </c>
      <c r="K960" s="43">
        <f t="shared" si="2687"/>
        <v>19.689431999999996</v>
      </c>
      <c r="L960" s="43">
        <f t="shared" si="2687"/>
        <v>19.689431999999996</v>
      </c>
      <c r="M960" s="43">
        <f t="shared" si="2687"/>
        <v>19.689431999999996</v>
      </c>
      <c r="N960" s="43">
        <f t="shared" si="2687"/>
        <v>19.689431999999996</v>
      </c>
      <c r="O960" s="43">
        <f t="shared" si="2687"/>
        <v>19.689431999999996</v>
      </c>
      <c r="P960" s="43">
        <f t="shared" si="2687"/>
        <v>19.689431999999996</v>
      </c>
      <c r="Q960" s="43">
        <f t="shared" si="2687"/>
        <v>19.689431999999996</v>
      </c>
      <c r="R960" s="43">
        <f t="shared" si="2687"/>
        <v>19.689431999999996</v>
      </c>
      <c r="S960" s="43">
        <f t="shared" si="2687"/>
        <v>19.689431999999996</v>
      </c>
      <c r="T960" s="43">
        <f t="shared" si="2687"/>
        <v>19.689431999999996</v>
      </c>
      <c r="U960" s="43">
        <f t="shared" ref="U960" si="2688">U913</f>
        <v>19.689431999999996</v>
      </c>
      <c r="V960" s="43">
        <f t="shared" ref="V960" si="2689">V913</f>
        <v>19.689431999999996</v>
      </c>
      <c r="W960" s="43">
        <f t="shared" ref="W960" si="2690">W913</f>
        <v>19.689431999999996</v>
      </c>
      <c r="X960" s="43">
        <f t="shared" ref="X960" si="2691">X913</f>
        <v>19.689431999999996</v>
      </c>
      <c r="Y960" s="43">
        <f t="shared" ref="Y960" si="2692">Y913</f>
        <v>19.689431999999996</v>
      </c>
      <c r="Z960" s="43">
        <f t="shared" ref="Z960" si="2693">Z913</f>
        <v>19.689431999999996</v>
      </c>
      <c r="AA960" s="43">
        <f t="shared" ref="AA960" si="2694">AA913</f>
        <v>19.689431999999996</v>
      </c>
      <c r="AB960" s="43">
        <f t="shared" ref="AB960:AC960" si="2695">AB913</f>
        <v>19.689431999999996</v>
      </c>
      <c r="AC960" s="43">
        <f t="shared" si="2695"/>
        <v>19.689431999999996</v>
      </c>
      <c r="AE960" s="54">
        <f>SUM(F960:AC960)</f>
        <v>374.09920800000009</v>
      </c>
    </row>
    <row r="961" spans="1:31" outlineLevel="1" x14ac:dyDescent="0.2">
      <c r="B961" s="36" t="str">
        <f ca="1">Language!A$73</f>
        <v>Валюта</v>
      </c>
      <c r="D961">
        <v>1</v>
      </c>
      <c r="E961">
        <v>4</v>
      </c>
    </row>
    <row r="962" spans="1:31" outlineLevel="1" x14ac:dyDescent="0.2">
      <c r="A962" s="273" t="s">
        <v>2858</v>
      </c>
      <c r="B962" s="254">
        <v>1</v>
      </c>
      <c r="C962" s="17" t="str">
        <f ca="1">CHOOSE(B962,CUR_Main,CUR_Foreign)</f>
        <v>тыс. EUR</v>
      </c>
      <c r="D962" s="16" t="str">
        <f>TEXT(B962,"0")&amp;"_01"</f>
        <v>1_01</v>
      </c>
      <c r="F962" s="285">
        <f ca="1">F804*Расходы!$B$12</f>
        <v>0</v>
      </c>
      <c r="G962" s="285">
        <f ca="1">G804*Расходы!$B$12</f>
        <v>0</v>
      </c>
      <c r="H962" s="285">
        <f ca="1">H804*Расходы!$B$12</f>
        <v>0</v>
      </c>
      <c r="I962" s="285">
        <f ca="1">I804*Расходы!$B$12</f>
        <v>0</v>
      </c>
      <c r="J962" s="285">
        <f ca="1">J804*Расходы!$B$12</f>
        <v>0</v>
      </c>
      <c r="K962" s="285">
        <f ca="1">K804*Расходы!$B$12</f>
        <v>2.9099564090626338</v>
      </c>
      <c r="L962" s="285">
        <f ca="1">L804*Расходы!$B$12</f>
        <v>11.359572103530827</v>
      </c>
      <c r="M962" s="285">
        <f ca="1">M804*Расходы!$B$12</f>
        <v>18.246985202899886</v>
      </c>
      <c r="N962" s="285">
        <f ca="1">N804*Расходы!$B$12</f>
        <v>26.051619609621945</v>
      </c>
      <c r="O962" s="285">
        <f ca="1">O804*Расходы!$B$12</f>
        <v>31.449469822047362</v>
      </c>
      <c r="P962" s="285">
        <f ca="1">P804*Расходы!$B$12</f>
        <v>31.449469822047362</v>
      </c>
      <c r="Q962" s="285">
        <f ca="1">Q804*Расходы!$B$12</f>
        <v>31.449469822047362</v>
      </c>
      <c r="R962" s="285">
        <f ca="1">R804*Расходы!$B$12</f>
        <v>31.449469822047362</v>
      </c>
      <c r="S962" s="285">
        <f ca="1">S804*Расходы!$B$12</f>
        <v>31.449469822047362</v>
      </c>
      <c r="T962" s="285">
        <f ca="1">T804*Расходы!$B$12</f>
        <v>31.449469822047362</v>
      </c>
      <c r="U962" s="285">
        <f ca="1">U804*Расходы!$B$12</f>
        <v>31.449469822047362</v>
      </c>
      <c r="V962" s="285">
        <f ca="1">V804*Расходы!$B$12</f>
        <v>31.449469822047362</v>
      </c>
      <c r="W962" s="285">
        <f ca="1">W804*Расходы!$B$12</f>
        <v>31.449469822047362</v>
      </c>
      <c r="X962" s="285">
        <f ca="1">X804*Расходы!$B$12</f>
        <v>31.449469822047362</v>
      </c>
      <c r="Y962" s="285">
        <f ca="1">Y804*Расходы!$B$12</f>
        <v>31.449469822047362</v>
      </c>
      <c r="Z962" s="285">
        <f ca="1">Z804*Расходы!$B$12</f>
        <v>31.449469822047362</v>
      </c>
      <c r="AA962" s="285">
        <f ca="1">AA804*Расходы!$B$12</f>
        <v>31.449469822047362</v>
      </c>
      <c r="AB962" s="285">
        <f ca="1">AB804*Расходы!$B$12</f>
        <v>31.449469822047362</v>
      </c>
      <c r="AC962" s="285">
        <f ca="1">AC804*Расходы!$B$12</f>
        <v>31.449469822047362</v>
      </c>
      <c r="AE962" s="54">
        <f ca="1">SUM(F962:AC962)</f>
        <v>530.31018065582589</v>
      </c>
    </row>
    <row r="963" spans="1:31" outlineLevel="2" x14ac:dyDescent="0.2">
      <c r="A963" t="str">
        <f ca="1">Language!A$104</f>
        <v>Предполагаемый темп годового роста цен</v>
      </c>
      <c r="C963" s="5" t="s">
        <v>2430</v>
      </c>
      <c r="D963" s="16" t="s">
        <v>2429</v>
      </c>
      <c r="F963" s="268">
        <f t="shared" ref="F963:T963" si="2696">CHOOSE($B962,F$80,F$91)</f>
        <v>0</v>
      </c>
      <c r="G963" s="268">
        <f t="shared" si="2696"/>
        <v>0</v>
      </c>
      <c r="H963" s="268">
        <f t="shared" si="2696"/>
        <v>0</v>
      </c>
      <c r="I963" s="268">
        <f t="shared" si="2696"/>
        <v>0</v>
      </c>
      <c r="J963" s="268">
        <f t="shared" si="2696"/>
        <v>0</v>
      </c>
      <c r="K963" s="268">
        <f t="shared" si="2696"/>
        <v>0</v>
      </c>
      <c r="L963" s="268">
        <f t="shared" si="2696"/>
        <v>0</v>
      </c>
      <c r="M963" s="268">
        <f t="shared" si="2696"/>
        <v>0</v>
      </c>
      <c r="N963" s="268">
        <f t="shared" si="2696"/>
        <v>0</v>
      </c>
      <c r="O963" s="268">
        <f t="shared" si="2696"/>
        <v>0</v>
      </c>
      <c r="P963" s="268">
        <f t="shared" si="2696"/>
        <v>0</v>
      </c>
      <c r="Q963" s="268">
        <f t="shared" si="2696"/>
        <v>0</v>
      </c>
      <c r="R963" s="268">
        <f t="shared" si="2696"/>
        <v>0</v>
      </c>
      <c r="S963" s="268">
        <f t="shared" si="2696"/>
        <v>0</v>
      </c>
      <c r="T963" s="268">
        <f t="shared" si="2696"/>
        <v>0</v>
      </c>
      <c r="U963" s="268">
        <f t="shared" ref="U963" si="2697">CHOOSE($B962,U$80,U$91)</f>
        <v>0</v>
      </c>
      <c r="V963" s="268">
        <f t="shared" ref="V963" si="2698">CHOOSE($B962,V$80,V$91)</f>
        <v>0</v>
      </c>
      <c r="W963" s="268">
        <f t="shared" ref="W963" si="2699">CHOOSE($B962,W$80,W$91)</f>
        <v>0</v>
      </c>
      <c r="X963" s="268">
        <f t="shared" ref="X963" si="2700">CHOOSE($B962,X$80,X$91)</f>
        <v>0</v>
      </c>
      <c r="Y963" s="268">
        <f t="shared" ref="Y963" si="2701">CHOOSE($B962,Y$80,Y$91)</f>
        <v>0</v>
      </c>
      <c r="Z963" s="268">
        <f t="shared" ref="Z963" si="2702">CHOOSE($B962,Z$80,Z$91)</f>
        <v>0</v>
      </c>
      <c r="AA963" s="268">
        <f t="shared" ref="AA963" si="2703">CHOOSE($B962,AA$80,AA$91)</f>
        <v>0</v>
      </c>
      <c r="AB963" s="268">
        <f t="shared" ref="AB963:AC963" si="2704">CHOOSE($B962,AB$80,AB$91)</f>
        <v>0</v>
      </c>
      <c r="AC963" s="268">
        <f t="shared" si="2704"/>
        <v>0</v>
      </c>
    </row>
    <row r="964" spans="1:31" outlineLevel="2" x14ac:dyDescent="0.2">
      <c r="A964" t="str">
        <f ca="1">Language!A$106</f>
        <v>То же, в пересчете на период, равный шагу проекта</v>
      </c>
      <c r="C964" s="5" t="s">
        <v>2430</v>
      </c>
      <c r="D964" s="16" t="s">
        <v>2429</v>
      </c>
      <c r="F964" s="30">
        <f t="shared" ref="F964:T964" si="2705">POWER(1+F963,PRJ_Step/360)-1</f>
        <v>0</v>
      </c>
      <c r="G964" s="30">
        <f t="shared" si="2705"/>
        <v>0</v>
      </c>
      <c r="H964" s="30">
        <f t="shared" si="2705"/>
        <v>0</v>
      </c>
      <c r="I964" s="30">
        <f t="shared" si="2705"/>
        <v>0</v>
      </c>
      <c r="J964" s="30">
        <f t="shared" si="2705"/>
        <v>0</v>
      </c>
      <c r="K964" s="30">
        <f t="shared" si="2705"/>
        <v>0</v>
      </c>
      <c r="L964" s="30">
        <f t="shared" si="2705"/>
        <v>0</v>
      </c>
      <c r="M964" s="30">
        <f t="shared" si="2705"/>
        <v>0</v>
      </c>
      <c r="N964" s="30">
        <f t="shared" si="2705"/>
        <v>0</v>
      </c>
      <c r="O964" s="30">
        <f t="shared" si="2705"/>
        <v>0</v>
      </c>
      <c r="P964" s="30">
        <f t="shared" si="2705"/>
        <v>0</v>
      </c>
      <c r="Q964" s="30">
        <f t="shared" si="2705"/>
        <v>0</v>
      </c>
      <c r="R964" s="30">
        <f t="shared" si="2705"/>
        <v>0</v>
      </c>
      <c r="S964" s="30">
        <f t="shared" si="2705"/>
        <v>0</v>
      </c>
      <c r="T964" s="30">
        <f t="shared" si="2705"/>
        <v>0</v>
      </c>
      <c r="U964" s="30">
        <f t="shared" ref="U964" si="2706">POWER(1+U963,PRJ_Step/360)-1</f>
        <v>0</v>
      </c>
      <c r="V964" s="30">
        <f t="shared" ref="V964" si="2707">POWER(1+V963,PRJ_Step/360)-1</f>
        <v>0</v>
      </c>
      <c r="W964" s="30">
        <f t="shared" ref="W964" si="2708">POWER(1+W963,PRJ_Step/360)-1</f>
        <v>0</v>
      </c>
      <c r="X964" s="30">
        <f t="shared" ref="X964" si="2709">POWER(1+X963,PRJ_Step/360)-1</f>
        <v>0</v>
      </c>
      <c r="Y964" s="30">
        <f t="shared" ref="Y964" si="2710">POWER(1+Y963,PRJ_Step/360)-1</f>
        <v>0</v>
      </c>
      <c r="Z964" s="30">
        <f t="shared" ref="Z964" si="2711">POWER(1+Z963,PRJ_Step/360)-1</f>
        <v>0</v>
      </c>
      <c r="AA964" s="30">
        <f t="shared" ref="AA964" si="2712">POWER(1+AA963,PRJ_Step/360)-1</f>
        <v>0</v>
      </c>
      <c r="AB964" s="30">
        <f t="shared" ref="AB964:AC964" si="2713">POWER(1+AB963,PRJ_Step/360)-1</f>
        <v>0</v>
      </c>
      <c r="AC964" s="30">
        <f t="shared" si="2713"/>
        <v>0</v>
      </c>
    </row>
    <row r="965" spans="1:31" outlineLevel="2" x14ac:dyDescent="0.2">
      <c r="A965" t="str">
        <f ca="1">Language!A$620</f>
        <v>в том числе НДС</v>
      </c>
      <c r="B965" s="283">
        <f>VAT</f>
        <v>0.23</v>
      </c>
      <c r="C965" s="5" t="str">
        <f ca="1">CHOOSE(B962,CUR_Main,CUR_Foreign)</f>
        <v>тыс. EUR</v>
      </c>
      <c r="D965" t="str">
        <f>TEXT(B962,"0")&amp;"_02"</f>
        <v>1_02</v>
      </c>
      <c r="F965" s="53">
        <f t="shared" ref="F965:T965" ca="1" si="2714">F962*$B965/(1+$B965)</f>
        <v>0</v>
      </c>
      <c r="G965" s="53">
        <f t="shared" ca="1" si="2714"/>
        <v>0</v>
      </c>
      <c r="H965" s="53">
        <f t="shared" ca="1" si="2714"/>
        <v>0</v>
      </c>
      <c r="I965" s="53">
        <f t="shared" ca="1" si="2714"/>
        <v>0</v>
      </c>
      <c r="J965" s="53">
        <f t="shared" ca="1" si="2714"/>
        <v>0</v>
      </c>
      <c r="K965" s="53">
        <f t="shared" ca="1" si="2714"/>
        <v>0.54413819031252508</v>
      </c>
      <c r="L965" s="53">
        <f t="shared" ca="1" si="2714"/>
        <v>2.1241476291155204</v>
      </c>
      <c r="M965" s="53">
        <f t="shared" ca="1" si="2714"/>
        <v>3.4120378834690848</v>
      </c>
      <c r="N965" s="53">
        <f t="shared" ca="1" si="2714"/>
        <v>4.87144106521386</v>
      </c>
      <c r="O965" s="53">
        <f t="shared" ca="1" si="2714"/>
        <v>5.880795169976337</v>
      </c>
      <c r="P965" s="53">
        <f t="shared" ca="1" si="2714"/>
        <v>5.880795169976337</v>
      </c>
      <c r="Q965" s="53">
        <f t="shared" ca="1" si="2714"/>
        <v>5.880795169976337</v>
      </c>
      <c r="R965" s="53">
        <f t="shared" ca="1" si="2714"/>
        <v>5.880795169976337</v>
      </c>
      <c r="S965" s="53">
        <f t="shared" ca="1" si="2714"/>
        <v>5.880795169976337</v>
      </c>
      <c r="T965" s="53">
        <f t="shared" ca="1" si="2714"/>
        <v>5.880795169976337</v>
      </c>
      <c r="U965" s="53">
        <f t="shared" ref="U965" ca="1" si="2715">U962*$B965/(1+$B965)</f>
        <v>5.880795169976337</v>
      </c>
      <c r="V965" s="53">
        <f t="shared" ref="V965" ca="1" si="2716">V962*$B965/(1+$B965)</f>
        <v>5.880795169976337</v>
      </c>
      <c r="W965" s="53">
        <f t="shared" ref="W965" ca="1" si="2717">W962*$B965/(1+$B965)</f>
        <v>5.880795169976337</v>
      </c>
      <c r="X965" s="53">
        <f t="shared" ref="X965" ca="1" si="2718">X962*$B965/(1+$B965)</f>
        <v>5.880795169976337</v>
      </c>
      <c r="Y965" s="53">
        <f t="shared" ref="Y965" ca="1" si="2719">Y962*$B965/(1+$B965)</f>
        <v>5.880795169976337</v>
      </c>
      <c r="Z965" s="53">
        <f t="shared" ref="Z965" ca="1" si="2720">Z962*$B965/(1+$B965)</f>
        <v>5.880795169976337</v>
      </c>
      <c r="AA965" s="53">
        <f t="shared" ref="AA965" ca="1" si="2721">AA962*$B965/(1+$B965)</f>
        <v>5.880795169976337</v>
      </c>
      <c r="AB965" s="53">
        <f t="shared" ref="AB965:AC965" ca="1" si="2722">AB962*$B965/(1+$B965)</f>
        <v>5.880795169976337</v>
      </c>
      <c r="AC965" s="53">
        <f t="shared" ca="1" si="2722"/>
        <v>5.880795169976337</v>
      </c>
      <c r="AE965" s="54">
        <f ca="1">SUM(F965:AC965)</f>
        <v>99.163692317756059</v>
      </c>
    </row>
    <row r="966" spans="1:31" outlineLevel="1" x14ac:dyDescent="0.2"/>
    <row r="967" spans="1:31" outlineLevel="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4"/>
    </row>
    <row r="968" spans="1:31" outlineLevel="1" x14ac:dyDescent="0.2">
      <c r="A968" s="62" t="str">
        <f ca="1">Language!A604</f>
        <v>Коммерческие расходы</v>
      </c>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22"/>
    </row>
    <row r="969" spans="1:31" outlineLevel="1" x14ac:dyDescent="0.2"/>
    <row r="970" spans="1:31" outlineLevel="1" x14ac:dyDescent="0.2">
      <c r="A970" t="str">
        <f ca="1">Language!A616</f>
        <v>Зарплата коммерческого персонала</v>
      </c>
      <c r="C970" s="5" t="str">
        <f ca="1">CUR_Main</f>
        <v>тыс. EUR</v>
      </c>
      <c r="F970" s="43">
        <f t="shared" ref="F970:T970" si="2723">F908</f>
        <v>0</v>
      </c>
      <c r="G970" s="43">
        <f t="shared" si="2723"/>
        <v>0</v>
      </c>
      <c r="H970" s="43">
        <f t="shared" si="2723"/>
        <v>0</v>
      </c>
      <c r="I970" s="43">
        <f t="shared" si="2723"/>
        <v>0</v>
      </c>
      <c r="J970" s="43">
        <f t="shared" si="2723"/>
        <v>0</v>
      </c>
      <c r="K970" s="43">
        <f t="shared" si="2723"/>
        <v>0</v>
      </c>
      <c r="L970" s="43">
        <f t="shared" si="2723"/>
        <v>0</v>
      </c>
      <c r="M970" s="43">
        <f t="shared" si="2723"/>
        <v>0</v>
      </c>
      <c r="N970" s="43">
        <f t="shared" si="2723"/>
        <v>0</v>
      </c>
      <c r="O970" s="43">
        <f t="shared" si="2723"/>
        <v>0</v>
      </c>
      <c r="P970" s="43">
        <f t="shared" si="2723"/>
        <v>0</v>
      </c>
      <c r="Q970" s="43">
        <f t="shared" si="2723"/>
        <v>0</v>
      </c>
      <c r="R970" s="43">
        <f t="shared" si="2723"/>
        <v>0</v>
      </c>
      <c r="S970" s="43">
        <f t="shared" si="2723"/>
        <v>0</v>
      </c>
      <c r="T970" s="43">
        <f t="shared" si="2723"/>
        <v>0</v>
      </c>
      <c r="U970" s="43">
        <f t="shared" ref="U970" si="2724">U908</f>
        <v>0</v>
      </c>
      <c r="V970" s="43">
        <f t="shared" ref="V970" si="2725">V908</f>
        <v>0</v>
      </c>
      <c r="W970" s="43">
        <f t="shared" ref="W970" si="2726">W908</f>
        <v>0</v>
      </c>
      <c r="X970" s="43">
        <f t="shared" ref="X970" si="2727">X908</f>
        <v>0</v>
      </c>
      <c r="Y970" s="43">
        <f t="shared" ref="Y970" si="2728">Y908</f>
        <v>0</v>
      </c>
      <c r="Z970" s="43">
        <f t="shared" ref="Z970" si="2729">Z908</f>
        <v>0</v>
      </c>
      <c r="AA970" s="43">
        <f t="shared" ref="AA970" si="2730">AA908</f>
        <v>0</v>
      </c>
      <c r="AB970" s="43">
        <f t="shared" ref="AB970:AC970" si="2731">AB908</f>
        <v>0</v>
      </c>
      <c r="AC970" s="43">
        <f t="shared" si="2731"/>
        <v>0</v>
      </c>
      <c r="AE970" s="54">
        <f>SUM(F970:AC970)</f>
        <v>0</v>
      </c>
    </row>
    <row r="971" spans="1:31" outlineLevel="1" x14ac:dyDescent="0.2">
      <c r="A971" t="str">
        <f ca="1">Language!A617</f>
        <v>Страховые взносы на зарплату коммерческого персонала</v>
      </c>
      <c r="C971" s="5" t="str">
        <f ca="1">CUR_Main</f>
        <v>тыс. EUR</v>
      </c>
      <c r="F971" s="43">
        <f t="shared" ref="F971:T971" si="2732">F914</f>
        <v>0</v>
      </c>
      <c r="G971" s="43">
        <f t="shared" si="2732"/>
        <v>0</v>
      </c>
      <c r="H971" s="43">
        <f t="shared" si="2732"/>
        <v>0</v>
      </c>
      <c r="I971" s="43">
        <f t="shared" si="2732"/>
        <v>0</v>
      </c>
      <c r="J971" s="43">
        <f t="shared" si="2732"/>
        <v>0</v>
      </c>
      <c r="K971" s="43">
        <f t="shared" si="2732"/>
        <v>0</v>
      </c>
      <c r="L971" s="43">
        <f t="shared" si="2732"/>
        <v>0</v>
      </c>
      <c r="M971" s="43">
        <f t="shared" si="2732"/>
        <v>0</v>
      </c>
      <c r="N971" s="43">
        <f t="shared" si="2732"/>
        <v>0</v>
      </c>
      <c r="O971" s="43">
        <f t="shared" si="2732"/>
        <v>0</v>
      </c>
      <c r="P971" s="43">
        <f t="shared" si="2732"/>
        <v>0</v>
      </c>
      <c r="Q971" s="43">
        <f t="shared" si="2732"/>
        <v>0</v>
      </c>
      <c r="R971" s="43">
        <f t="shared" si="2732"/>
        <v>0</v>
      </c>
      <c r="S971" s="43">
        <f t="shared" si="2732"/>
        <v>0</v>
      </c>
      <c r="T971" s="43">
        <f t="shared" si="2732"/>
        <v>0</v>
      </c>
      <c r="U971" s="43">
        <f t="shared" ref="U971" si="2733">U914</f>
        <v>0</v>
      </c>
      <c r="V971" s="43">
        <f t="shared" ref="V971" si="2734">V914</f>
        <v>0</v>
      </c>
      <c r="W971" s="43">
        <f t="shared" ref="W971" si="2735">W914</f>
        <v>0</v>
      </c>
      <c r="X971" s="43">
        <f t="shared" ref="X971" si="2736">X914</f>
        <v>0</v>
      </c>
      <c r="Y971" s="43">
        <f t="shared" ref="Y971" si="2737">Y914</f>
        <v>0</v>
      </c>
      <c r="Z971" s="43">
        <f t="shared" ref="Z971" si="2738">Z914</f>
        <v>0</v>
      </c>
      <c r="AA971" s="43">
        <f t="shared" ref="AA971" si="2739">AA914</f>
        <v>0</v>
      </c>
      <c r="AB971" s="43">
        <f t="shared" ref="AB971:AC971" si="2740">AB914</f>
        <v>0</v>
      </c>
      <c r="AC971" s="43">
        <f t="shared" si="2740"/>
        <v>0</v>
      </c>
      <c r="AE971" s="54">
        <f>SUM(F971:AC971)</f>
        <v>0</v>
      </c>
    </row>
    <row r="972" spans="1:31" outlineLevel="1" x14ac:dyDescent="0.2">
      <c r="B972" s="36" t="str">
        <f ca="1">Language!A$73</f>
        <v>Валюта</v>
      </c>
      <c r="D972">
        <v>1</v>
      </c>
      <c r="E972">
        <v>5</v>
      </c>
    </row>
    <row r="973" spans="1:31" outlineLevel="1" x14ac:dyDescent="0.2">
      <c r="A973" s="273" t="s">
        <v>2863</v>
      </c>
      <c r="B973" s="254">
        <v>1</v>
      </c>
      <c r="C973" s="17" t="str">
        <f ca="1">CHOOSE(B973,CUR_Main,CUR_Foreign)</f>
        <v>тыс. EUR</v>
      </c>
      <c r="D973" s="16" t="str">
        <f>TEXT(B973,"0")&amp;"_01"</f>
        <v>1_01</v>
      </c>
      <c r="F973" s="281">
        <f ca="1">F804*Расходы!$B$14</f>
        <v>0</v>
      </c>
      <c r="G973" s="281">
        <f ca="1">G804*Расходы!$B$14</f>
        <v>0</v>
      </c>
      <c r="H973" s="281">
        <f ca="1">H804*Расходы!$B$14</f>
        <v>0</v>
      </c>
      <c r="I973" s="281">
        <f ca="1">I804*Расходы!$B$14</f>
        <v>0</v>
      </c>
      <c r="J973" s="281">
        <f ca="1">J804*Расходы!$B$14</f>
        <v>0</v>
      </c>
      <c r="K973" s="281">
        <f ca="1">K804*Расходы!$B$14</f>
        <v>14.549782045313169</v>
      </c>
      <c r="L973" s="281">
        <f ca="1">L804*Расходы!$B$14</f>
        <v>56.797860517654136</v>
      </c>
      <c r="M973" s="281">
        <f ca="1">M804*Расходы!$B$14</f>
        <v>91.234926014499436</v>
      </c>
      <c r="N973" s="281">
        <f ca="1">N804*Расходы!$B$14</f>
        <v>130.25809804810973</v>
      </c>
      <c r="O973" s="281">
        <f ca="1">O804*Расходы!$B$14</f>
        <v>157.24734911023683</v>
      </c>
      <c r="P973" s="281">
        <f ca="1">P804*Расходы!$B$14</f>
        <v>157.24734911023683</v>
      </c>
      <c r="Q973" s="281">
        <f ca="1">Q804*Расходы!$B$14</f>
        <v>157.24734911023683</v>
      </c>
      <c r="R973" s="281">
        <f ca="1">R804*Расходы!$B$14</f>
        <v>157.24734911023683</v>
      </c>
      <c r="S973" s="281">
        <f ca="1">S804*Расходы!$B$14</f>
        <v>157.24734911023683</v>
      </c>
      <c r="T973" s="281">
        <f ca="1">T804*Расходы!$B$14</f>
        <v>157.24734911023683</v>
      </c>
      <c r="U973" s="281">
        <f ca="1">U804*Расходы!$B$14</f>
        <v>157.24734911023683</v>
      </c>
      <c r="V973" s="281">
        <f ca="1">V804*Расходы!$B$14</f>
        <v>157.24734911023683</v>
      </c>
      <c r="W973" s="281">
        <f ca="1">W804*Расходы!$B$14</f>
        <v>157.24734911023683</v>
      </c>
      <c r="X973" s="281">
        <f ca="1">X804*Расходы!$B$14</f>
        <v>157.24734911023683</v>
      </c>
      <c r="Y973" s="281">
        <f ca="1">Y804*Расходы!$B$14</f>
        <v>157.24734911023683</v>
      </c>
      <c r="Z973" s="281">
        <f ca="1">Z804*Расходы!$B$14</f>
        <v>157.24734911023683</v>
      </c>
      <c r="AA973" s="281">
        <f ca="1">AA804*Расходы!$B$14</f>
        <v>157.24734911023683</v>
      </c>
      <c r="AB973" s="281">
        <f ca="1">AB804*Расходы!$B$14</f>
        <v>157.24734911023683</v>
      </c>
      <c r="AC973" s="281">
        <f ca="1">AC804*Расходы!$B$14</f>
        <v>157.24734911023683</v>
      </c>
      <c r="AE973" s="54">
        <f ca="1">SUM(F973:AC973)</f>
        <v>2651.5509032791297</v>
      </c>
    </row>
    <row r="974" spans="1:31" outlineLevel="1" collapsed="1" x14ac:dyDescent="0.2">
      <c r="A974" s="48" t="str">
        <f ca="1">Language!A$605</f>
        <v>Коммерческие расходы как % от продаж</v>
      </c>
      <c r="B974" s="283">
        <v>0</v>
      </c>
      <c r="C974" s="5" t="str">
        <f ca="1">CUR_Main</f>
        <v>тыс. EUR</v>
      </c>
      <c r="D974" s="16" t="s">
        <v>2429</v>
      </c>
      <c r="F974" s="107">
        <f>B974</f>
        <v>0</v>
      </c>
      <c r="G974" s="107">
        <f t="shared" ref="G974:AC974" si="2741">F974</f>
        <v>0</v>
      </c>
      <c r="H974" s="107">
        <f t="shared" si="2741"/>
        <v>0</v>
      </c>
      <c r="I974" s="107">
        <f t="shared" si="2741"/>
        <v>0</v>
      </c>
      <c r="J974" s="107">
        <f t="shared" si="2741"/>
        <v>0</v>
      </c>
      <c r="K974" s="107">
        <f t="shared" si="2741"/>
        <v>0</v>
      </c>
      <c r="L974" s="107">
        <f t="shared" si="2741"/>
        <v>0</v>
      </c>
      <c r="M974" s="107">
        <f t="shared" si="2741"/>
        <v>0</v>
      </c>
      <c r="N974" s="107">
        <f t="shared" si="2741"/>
        <v>0</v>
      </c>
      <c r="O974" s="107">
        <f t="shared" si="2741"/>
        <v>0</v>
      </c>
      <c r="P974" s="107">
        <f t="shared" si="2741"/>
        <v>0</v>
      </c>
      <c r="Q974" s="107">
        <f t="shared" si="2741"/>
        <v>0</v>
      </c>
      <c r="R974" s="107">
        <f t="shared" si="2741"/>
        <v>0</v>
      </c>
      <c r="S974" s="107">
        <f t="shared" si="2741"/>
        <v>0</v>
      </c>
      <c r="T974" s="107">
        <f t="shared" si="2741"/>
        <v>0</v>
      </c>
      <c r="U974" s="107">
        <f t="shared" si="2741"/>
        <v>0</v>
      </c>
      <c r="V974" s="107">
        <f t="shared" si="2741"/>
        <v>0</v>
      </c>
      <c r="W974" s="107">
        <f t="shared" si="2741"/>
        <v>0</v>
      </c>
      <c r="X974" s="107">
        <f t="shared" si="2741"/>
        <v>0</v>
      </c>
      <c r="Y974" s="107">
        <f t="shared" si="2741"/>
        <v>0</v>
      </c>
      <c r="Z974" s="107">
        <f t="shared" si="2741"/>
        <v>0</v>
      </c>
      <c r="AA974" s="107">
        <f t="shared" si="2741"/>
        <v>0</v>
      </c>
      <c r="AB974" s="107">
        <f t="shared" si="2741"/>
        <v>0</v>
      </c>
      <c r="AC974" s="107">
        <f t="shared" si="2741"/>
        <v>0</v>
      </c>
      <c r="AE974" s="54"/>
    </row>
    <row r="975" spans="1:31" hidden="1" outlineLevel="2" x14ac:dyDescent="0.2">
      <c r="A975" t="str">
        <f ca="1">Language!A$104</f>
        <v>Предполагаемый темп годового роста цен</v>
      </c>
      <c r="C975" s="5" t="s">
        <v>2430</v>
      </c>
      <c r="D975" s="16" t="s">
        <v>2429</v>
      </c>
      <c r="F975" s="268">
        <f t="shared" ref="F975:T975" si="2742">CHOOSE($B973,F$80,F$91)</f>
        <v>0</v>
      </c>
      <c r="G975" s="268">
        <f t="shared" si="2742"/>
        <v>0</v>
      </c>
      <c r="H975" s="268">
        <f t="shared" si="2742"/>
        <v>0</v>
      </c>
      <c r="I975" s="268">
        <f t="shared" si="2742"/>
        <v>0</v>
      </c>
      <c r="J975" s="268">
        <f t="shared" si="2742"/>
        <v>0</v>
      </c>
      <c r="K975" s="268">
        <f t="shared" si="2742"/>
        <v>0</v>
      </c>
      <c r="L975" s="268">
        <f t="shared" si="2742"/>
        <v>0</v>
      </c>
      <c r="M975" s="268">
        <f t="shared" si="2742"/>
        <v>0</v>
      </c>
      <c r="N975" s="268">
        <f t="shared" si="2742"/>
        <v>0</v>
      </c>
      <c r="O975" s="268">
        <f t="shared" si="2742"/>
        <v>0</v>
      </c>
      <c r="P975" s="268">
        <f t="shared" si="2742"/>
        <v>0</v>
      </c>
      <c r="Q975" s="268">
        <f t="shared" si="2742"/>
        <v>0</v>
      </c>
      <c r="R975" s="268">
        <f t="shared" si="2742"/>
        <v>0</v>
      </c>
      <c r="S975" s="268">
        <f t="shared" si="2742"/>
        <v>0</v>
      </c>
      <c r="T975" s="268">
        <f t="shared" si="2742"/>
        <v>0</v>
      </c>
      <c r="U975" s="268">
        <f t="shared" ref="U975" si="2743">CHOOSE($B973,U$80,U$91)</f>
        <v>0</v>
      </c>
      <c r="V975" s="268">
        <f t="shared" ref="V975" si="2744">CHOOSE($B973,V$80,V$91)</f>
        <v>0</v>
      </c>
      <c r="W975" s="268">
        <f t="shared" ref="W975" si="2745">CHOOSE($B973,W$80,W$91)</f>
        <v>0</v>
      </c>
      <c r="X975" s="268">
        <f t="shared" ref="X975" si="2746">CHOOSE($B973,X$80,X$91)</f>
        <v>0</v>
      </c>
      <c r="Y975" s="268">
        <f t="shared" ref="Y975" si="2747">CHOOSE($B973,Y$80,Y$91)</f>
        <v>0</v>
      </c>
      <c r="Z975" s="268">
        <f t="shared" ref="Z975" si="2748">CHOOSE($B973,Z$80,Z$91)</f>
        <v>0</v>
      </c>
      <c r="AA975" s="268">
        <f t="shared" ref="AA975" si="2749">CHOOSE($B973,AA$80,AA$91)</f>
        <v>0</v>
      </c>
      <c r="AB975" s="268">
        <f t="shared" ref="AB975:AC975" si="2750">CHOOSE($B973,AB$80,AB$91)</f>
        <v>0</v>
      </c>
      <c r="AC975" s="268">
        <f t="shared" si="2750"/>
        <v>0</v>
      </c>
    </row>
    <row r="976" spans="1:31" hidden="1" outlineLevel="2" x14ac:dyDescent="0.2">
      <c r="A976" t="str">
        <f ca="1">Language!A$106</f>
        <v>То же, в пересчете на период, равный шагу проекта</v>
      </c>
      <c r="C976" s="5" t="s">
        <v>2430</v>
      </c>
      <c r="D976" s="16" t="s">
        <v>2429</v>
      </c>
      <c r="F976" s="30">
        <f t="shared" ref="F976:T976" si="2751">POWER(1+F975,PRJ_Step/360)-1</f>
        <v>0</v>
      </c>
      <c r="G976" s="30">
        <f t="shared" si="2751"/>
        <v>0</v>
      </c>
      <c r="H976" s="30">
        <f t="shared" si="2751"/>
        <v>0</v>
      </c>
      <c r="I976" s="30">
        <f t="shared" si="2751"/>
        <v>0</v>
      </c>
      <c r="J976" s="30">
        <f t="shared" si="2751"/>
        <v>0</v>
      </c>
      <c r="K976" s="30">
        <f t="shared" si="2751"/>
        <v>0</v>
      </c>
      <c r="L976" s="30">
        <f t="shared" si="2751"/>
        <v>0</v>
      </c>
      <c r="M976" s="30">
        <f t="shared" si="2751"/>
        <v>0</v>
      </c>
      <c r="N976" s="30">
        <f t="shared" si="2751"/>
        <v>0</v>
      </c>
      <c r="O976" s="30">
        <f t="shared" si="2751"/>
        <v>0</v>
      </c>
      <c r="P976" s="30">
        <f t="shared" si="2751"/>
        <v>0</v>
      </c>
      <c r="Q976" s="30">
        <f t="shared" si="2751"/>
        <v>0</v>
      </c>
      <c r="R976" s="30">
        <f t="shared" si="2751"/>
        <v>0</v>
      </c>
      <c r="S976" s="30">
        <f t="shared" si="2751"/>
        <v>0</v>
      </c>
      <c r="T976" s="30">
        <f t="shared" si="2751"/>
        <v>0</v>
      </c>
      <c r="U976" s="30">
        <f t="shared" ref="U976" si="2752">POWER(1+U975,PRJ_Step/360)-1</f>
        <v>0</v>
      </c>
      <c r="V976" s="30">
        <f t="shared" ref="V976" si="2753">POWER(1+V975,PRJ_Step/360)-1</f>
        <v>0</v>
      </c>
      <c r="W976" s="30">
        <f t="shared" ref="W976" si="2754">POWER(1+W975,PRJ_Step/360)-1</f>
        <v>0</v>
      </c>
      <c r="X976" s="30">
        <f t="shared" ref="X976" si="2755">POWER(1+X975,PRJ_Step/360)-1</f>
        <v>0</v>
      </c>
      <c r="Y976" s="30">
        <f t="shared" ref="Y976" si="2756">POWER(1+Y975,PRJ_Step/360)-1</f>
        <v>0</v>
      </c>
      <c r="Z976" s="30">
        <f t="shared" ref="Z976" si="2757">POWER(1+Z975,PRJ_Step/360)-1</f>
        <v>0</v>
      </c>
      <c r="AA976" s="30">
        <f t="shared" ref="AA976" si="2758">POWER(1+AA975,PRJ_Step/360)-1</f>
        <v>0</v>
      </c>
      <c r="AB976" s="30">
        <f t="shared" ref="AB976:AC976" si="2759">POWER(1+AB975,PRJ_Step/360)-1</f>
        <v>0</v>
      </c>
      <c r="AC976" s="30">
        <f t="shared" si="2759"/>
        <v>0</v>
      </c>
    </row>
    <row r="977" spans="1:31" hidden="1" outlineLevel="2" x14ac:dyDescent="0.2">
      <c r="A977" t="str">
        <f ca="1">Language!A$620</f>
        <v>в том числе НДС</v>
      </c>
      <c r="B977" s="283">
        <f>VAT</f>
        <v>0.23</v>
      </c>
      <c r="C977" s="5" t="str">
        <f ca="1">CHOOSE(B973,CUR_Main,CUR_Foreign)</f>
        <v>тыс. EUR</v>
      </c>
      <c r="D977" t="str">
        <f>TEXT(B973,"0")&amp;"_02"</f>
        <v>1_02</v>
      </c>
      <c r="F977" s="53">
        <f t="shared" ref="F977:T977" ca="1" si="2760">F973*$B977/(1+$B977)</f>
        <v>0</v>
      </c>
      <c r="G977" s="53">
        <f t="shared" ca="1" si="2760"/>
        <v>0</v>
      </c>
      <c r="H977" s="53">
        <f t="shared" ca="1" si="2760"/>
        <v>0</v>
      </c>
      <c r="I977" s="53">
        <f t="shared" ca="1" si="2760"/>
        <v>0</v>
      </c>
      <c r="J977" s="53">
        <f t="shared" ca="1" si="2760"/>
        <v>0</v>
      </c>
      <c r="K977" s="53">
        <f t="shared" ca="1" si="2760"/>
        <v>2.720690951562625</v>
      </c>
      <c r="L977" s="53">
        <f t="shared" ca="1" si="2760"/>
        <v>10.620738145577604</v>
      </c>
      <c r="M977" s="53">
        <f t="shared" ca="1" si="2760"/>
        <v>17.060189417345423</v>
      </c>
      <c r="N977" s="53">
        <f t="shared" ca="1" si="2760"/>
        <v>24.357205326069302</v>
      </c>
      <c r="O977" s="53">
        <f t="shared" ca="1" si="2760"/>
        <v>29.403975849881682</v>
      </c>
      <c r="P977" s="53">
        <f t="shared" ca="1" si="2760"/>
        <v>29.403975849881682</v>
      </c>
      <c r="Q977" s="53">
        <f t="shared" ca="1" si="2760"/>
        <v>29.403975849881682</v>
      </c>
      <c r="R977" s="53">
        <f t="shared" ca="1" si="2760"/>
        <v>29.403975849881682</v>
      </c>
      <c r="S977" s="53">
        <f t="shared" ca="1" si="2760"/>
        <v>29.403975849881682</v>
      </c>
      <c r="T977" s="53">
        <f t="shared" ca="1" si="2760"/>
        <v>29.403975849881682</v>
      </c>
      <c r="U977" s="53">
        <f t="shared" ref="U977" ca="1" si="2761">U973*$B977/(1+$B977)</f>
        <v>29.403975849881682</v>
      </c>
      <c r="V977" s="53">
        <f t="shared" ref="V977" ca="1" si="2762">V973*$B977/(1+$B977)</f>
        <v>29.403975849881682</v>
      </c>
      <c r="W977" s="53">
        <f t="shared" ref="W977" ca="1" si="2763">W973*$B977/(1+$B977)</f>
        <v>29.403975849881682</v>
      </c>
      <c r="X977" s="53">
        <f t="shared" ref="X977" ca="1" si="2764">X973*$B977/(1+$B977)</f>
        <v>29.403975849881682</v>
      </c>
      <c r="Y977" s="53">
        <f t="shared" ref="Y977" ca="1" si="2765">Y973*$B977/(1+$B977)</f>
        <v>29.403975849881682</v>
      </c>
      <c r="Z977" s="53">
        <f t="shared" ref="Z977" ca="1" si="2766">Z973*$B977/(1+$B977)</f>
        <v>29.403975849881682</v>
      </c>
      <c r="AA977" s="53">
        <f t="shared" ref="AA977" ca="1" si="2767">AA973*$B977/(1+$B977)</f>
        <v>29.403975849881682</v>
      </c>
      <c r="AB977" s="53">
        <f t="shared" ref="AB977:AC977" ca="1" si="2768">AB973*$B977/(1+$B977)</f>
        <v>29.403975849881682</v>
      </c>
      <c r="AC977" s="53">
        <f t="shared" ca="1" si="2768"/>
        <v>29.403975849881682</v>
      </c>
      <c r="AE977" s="54">
        <f ca="1">SUM(F977:AC977)</f>
        <v>495.81846158878034</v>
      </c>
    </row>
    <row r="978" spans="1:31" outlineLevel="1" x14ac:dyDescent="0.2"/>
    <row r="979" spans="1:31" outlineLevel="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4"/>
    </row>
    <row r="980" spans="1:31" collapsed="1" x14ac:dyDescent="0.2">
      <c r="A980" s="35" t="str">
        <f ca="1">Language!A623</f>
        <v xml:space="preserve"> = Итого: затраты в отчете о прибылях и убытках</v>
      </c>
      <c r="C980" s="5" t="str">
        <f t="shared" ref="C980:C1005" ca="1" si="2769">CUR_Main</f>
        <v>тыс. EUR</v>
      </c>
      <c r="F980" s="88">
        <f t="shared" ref="F980:T980" ca="1" si="2770">F981+F982+F983+F984+F985+F986+F987+F988+F989+F990</f>
        <v>0</v>
      </c>
      <c r="G980" s="88">
        <f t="shared" ca="1" si="2770"/>
        <v>0</v>
      </c>
      <c r="H980" s="88">
        <f t="shared" ca="1" si="2770"/>
        <v>0</v>
      </c>
      <c r="I980" s="88">
        <f t="shared" ca="1" si="2770"/>
        <v>0</v>
      </c>
      <c r="J980" s="88">
        <f t="shared" ca="1" si="2770"/>
        <v>309.35251270876392</v>
      </c>
      <c r="K980" s="88">
        <f t="shared" ca="1" si="2770"/>
        <v>1245.1359477922167</v>
      </c>
      <c r="L980" s="88">
        <f t="shared" ca="1" si="2770"/>
        <v>2682.2575764773765</v>
      </c>
      <c r="M980" s="88">
        <f t="shared" ca="1" si="2770"/>
        <v>3853.6777556546181</v>
      </c>
      <c r="N980" s="88">
        <f t="shared" ca="1" si="2770"/>
        <v>5181.1001279198645</v>
      </c>
      <c r="O980" s="88">
        <f t="shared" ca="1" si="2770"/>
        <v>6099.1735136429543</v>
      </c>
      <c r="P980" s="88">
        <f t="shared" ca="1" si="2770"/>
        <v>6099.1735136429543</v>
      </c>
      <c r="Q980" s="88">
        <f t="shared" ca="1" si="2770"/>
        <v>6099.1735136429543</v>
      </c>
      <c r="R980" s="88">
        <f t="shared" ca="1" si="2770"/>
        <v>6099.1735136429543</v>
      </c>
      <c r="S980" s="88">
        <f t="shared" ca="1" si="2770"/>
        <v>6099.1735136429543</v>
      </c>
      <c r="T980" s="88">
        <f t="shared" ca="1" si="2770"/>
        <v>6099.1735136429543</v>
      </c>
      <c r="U980" s="88">
        <f t="shared" ref="U980" ca="1" si="2771">U981+U982+U983+U984+U985+U986+U987+U988+U989+U990</f>
        <v>6099.1735136429543</v>
      </c>
      <c r="V980" s="88">
        <f t="shared" ref="V980" ca="1" si="2772">V981+V982+V983+V984+V985+V986+V987+V988+V989+V990</f>
        <v>6099.1735136429543</v>
      </c>
      <c r="W980" s="88">
        <f t="shared" ref="W980" ca="1" si="2773">W981+W982+W983+W984+W985+W986+W987+W988+W989+W990</f>
        <v>6099.1735136429543</v>
      </c>
      <c r="X980" s="88">
        <f t="shared" ref="X980" ca="1" si="2774">X981+X982+X983+X984+X985+X986+X987+X988+X989+X990</f>
        <v>6099.1735136429543</v>
      </c>
      <c r="Y980" s="88">
        <f t="shared" ref="Y980" ca="1" si="2775">Y981+Y982+Y983+Y984+Y985+Y986+Y987+Y988+Y989+Y990</f>
        <v>6099.1735136429543</v>
      </c>
      <c r="Z980" s="88">
        <f t="shared" ref="Z980" ca="1" si="2776">Z981+Z982+Z983+Z984+Z985+Z986+Z987+Z988+Z989+Z990</f>
        <v>6099.1735136429543</v>
      </c>
      <c r="AA980" s="88">
        <f t="shared" ref="AA980" ca="1" si="2777">AA981+AA982+AA983+AA984+AA985+AA986+AA987+AA988+AA989+AA990</f>
        <v>6099.1735136429543</v>
      </c>
      <c r="AB980" s="88">
        <f t="shared" ref="AB980:AC980" ca="1" si="2778">AB981+AB982+AB983+AB984+AB985+AB986+AB987+AB988+AB989+AB990</f>
        <v>6099.1735136429543</v>
      </c>
      <c r="AC980" s="88">
        <f t="shared" ca="1" si="2778"/>
        <v>6099.1735136429543</v>
      </c>
      <c r="AD980" s="58"/>
      <c r="AE980" s="57">
        <f t="shared" ref="AE980:AE987" ca="1" si="2779">SUM(F980:AC980)</f>
        <v>104759.12662519712</v>
      </c>
    </row>
    <row r="981" spans="1:31" hidden="1" outlineLevel="1" x14ac:dyDescent="0.2">
      <c r="A981" t="str">
        <f ca="1">Language!A624</f>
        <v xml:space="preserve">    материалы и комплектующие</v>
      </c>
      <c r="C981" s="5" t="str">
        <f t="shared" ca="1" si="2769"/>
        <v>тыс. EUR</v>
      </c>
      <c r="F981" s="43">
        <f t="shared" ref="F981:T981" ca="1" si="2780">F815</f>
        <v>0</v>
      </c>
      <c r="G981" s="43">
        <f t="shared" ca="1" si="2780"/>
        <v>0</v>
      </c>
      <c r="H981" s="43">
        <f t="shared" ca="1" si="2780"/>
        <v>0</v>
      </c>
      <c r="I981" s="43">
        <f t="shared" ca="1" si="2780"/>
        <v>0</v>
      </c>
      <c r="J981" s="43">
        <f t="shared" ca="1" si="2780"/>
        <v>0</v>
      </c>
      <c r="K981" s="43">
        <f t="shared" ca="1" si="2780"/>
        <v>473.16364375002166</v>
      </c>
      <c r="L981" s="43">
        <f t="shared" ca="1" si="2780"/>
        <v>1847.0848948830612</v>
      </c>
      <c r="M981" s="43">
        <f t="shared" ca="1" si="2780"/>
        <v>2966.9894638861606</v>
      </c>
      <c r="N981" s="43">
        <f t="shared" ca="1" si="2780"/>
        <v>4236.0357088816163</v>
      </c>
      <c r="O981" s="43">
        <f t="shared" ca="1" si="2780"/>
        <v>5113.7349304142062</v>
      </c>
      <c r="P981" s="43">
        <f t="shared" ca="1" si="2780"/>
        <v>5113.7349304142062</v>
      </c>
      <c r="Q981" s="43">
        <f t="shared" ca="1" si="2780"/>
        <v>5113.7349304142062</v>
      </c>
      <c r="R981" s="43">
        <f t="shared" ca="1" si="2780"/>
        <v>5113.7349304142062</v>
      </c>
      <c r="S981" s="43">
        <f t="shared" ca="1" si="2780"/>
        <v>5113.7349304142062</v>
      </c>
      <c r="T981" s="43">
        <f t="shared" ca="1" si="2780"/>
        <v>5113.7349304142062</v>
      </c>
      <c r="U981" s="43">
        <f t="shared" ref="U981" ca="1" si="2781">U815</f>
        <v>5113.7349304142062</v>
      </c>
      <c r="V981" s="43">
        <f t="shared" ref="V981" ca="1" si="2782">V815</f>
        <v>5113.7349304142062</v>
      </c>
      <c r="W981" s="43">
        <f t="shared" ref="W981" ca="1" si="2783">W815</f>
        <v>5113.7349304142062</v>
      </c>
      <c r="X981" s="43">
        <f t="shared" ref="X981" ca="1" si="2784">X815</f>
        <v>5113.7349304142062</v>
      </c>
      <c r="Y981" s="43">
        <f t="shared" ref="Y981" ca="1" si="2785">Y815</f>
        <v>5113.7349304142062</v>
      </c>
      <c r="Z981" s="43">
        <f t="shared" ref="Z981" ca="1" si="2786">Z815</f>
        <v>5113.7349304142062</v>
      </c>
      <c r="AA981" s="43">
        <f t="shared" ref="AA981" ca="1" si="2787">AA815</f>
        <v>5113.7349304142062</v>
      </c>
      <c r="AB981" s="43">
        <f t="shared" ref="AB981:AC981" ca="1" si="2788">AB815</f>
        <v>5113.7349304142062</v>
      </c>
      <c r="AC981" s="43">
        <f t="shared" ca="1" si="2788"/>
        <v>5113.7349304142062</v>
      </c>
      <c r="AD981" s="43"/>
      <c r="AE981" s="54">
        <f t="shared" ca="1" si="2779"/>
        <v>86229.297667613966</v>
      </c>
    </row>
    <row r="982" spans="1:31" hidden="1" outlineLevel="1" x14ac:dyDescent="0.2">
      <c r="A982" t="str">
        <f ca="1">Language!A625</f>
        <v xml:space="preserve">    прочие переменные затраты</v>
      </c>
      <c r="C982" s="5" t="str">
        <f t="shared" ca="1" si="2769"/>
        <v>тыс. EUR</v>
      </c>
      <c r="F982" s="43">
        <f t="shared" ref="F982:T982" ca="1" si="2789">F861</f>
        <v>0</v>
      </c>
      <c r="G982" s="43">
        <f t="shared" ca="1" si="2789"/>
        <v>0</v>
      </c>
      <c r="H982" s="43">
        <f t="shared" ca="1" si="2789"/>
        <v>0</v>
      </c>
      <c r="I982" s="43">
        <f t="shared" ca="1" si="2789"/>
        <v>0</v>
      </c>
      <c r="J982" s="43">
        <f t="shared" ca="1" si="2789"/>
        <v>0</v>
      </c>
      <c r="K982" s="43">
        <f t="shared" ca="1" si="2789"/>
        <v>0</v>
      </c>
      <c r="L982" s="43">
        <f t="shared" ca="1" si="2789"/>
        <v>0</v>
      </c>
      <c r="M982" s="43">
        <f t="shared" ca="1" si="2789"/>
        <v>0</v>
      </c>
      <c r="N982" s="43">
        <f t="shared" ca="1" si="2789"/>
        <v>0</v>
      </c>
      <c r="O982" s="43">
        <f t="shared" ca="1" si="2789"/>
        <v>0</v>
      </c>
      <c r="P982" s="43">
        <f t="shared" ca="1" si="2789"/>
        <v>0</v>
      </c>
      <c r="Q982" s="43">
        <f t="shared" ca="1" si="2789"/>
        <v>0</v>
      </c>
      <c r="R982" s="43">
        <f t="shared" ca="1" si="2789"/>
        <v>0</v>
      </c>
      <c r="S982" s="43">
        <f t="shared" ca="1" si="2789"/>
        <v>0</v>
      </c>
      <c r="T982" s="43">
        <f t="shared" ca="1" si="2789"/>
        <v>0</v>
      </c>
      <c r="U982" s="43">
        <f t="shared" ref="U982" ca="1" si="2790">U861</f>
        <v>0</v>
      </c>
      <c r="V982" s="43">
        <f t="shared" ref="V982" ca="1" si="2791">V861</f>
        <v>0</v>
      </c>
      <c r="W982" s="43">
        <f t="shared" ref="W982" ca="1" si="2792">W861</f>
        <v>0</v>
      </c>
      <c r="X982" s="43">
        <f t="shared" ref="X982" ca="1" si="2793">X861</f>
        <v>0</v>
      </c>
      <c r="Y982" s="43">
        <f t="shared" ref="Y982" ca="1" si="2794">Y861</f>
        <v>0</v>
      </c>
      <c r="Z982" s="43">
        <f t="shared" ref="Z982" ca="1" si="2795">Z861</f>
        <v>0</v>
      </c>
      <c r="AA982" s="43">
        <f t="shared" ref="AA982" ca="1" si="2796">AA861</f>
        <v>0</v>
      </c>
      <c r="AB982" s="43">
        <f t="shared" ref="AB982:AC982" ca="1" si="2797">AB861</f>
        <v>0</v>
      </c>
      <c r="AC982" s="43">
        <f t="shared" ca="1" si="2797"/>
        <v>0</v>
      </c>
      <c r="AD982" s="43"/>
      <c r="AE982" s="54">
        <f t="shared" ca="1" si="2779"/>
        <v>0</v>
      </c>
    </row>
    <row r="983" spans="1:31" hidden="1" outlineLevel="1" x14ac:dyDescent="0.2">
      <c r="A983" s="23" t="str">
        <f ca="1">Language!A$627</f>
        <v xml:space="preserve">    оплата производственного персонала</v>
      </c>
      <c r="C983" s="5" t="str">
        <f t="shared" ca="1" si="2769"/>
        <v>тыс. EUR</v>
      </c>
      <c r="F983" s="43">
        <f t="shared" ref="F983:T983" si="2798">F905+F906+F911+F912</f>
        <v>0</v>
      </c>
      <c r="G983" s="43">
        <f t="shared" si="2798"/>
        <v>0</v>
      </c>
      <c r="H983" s="43">
        <f t="shared" si="2798"/>
        <v>0</v>
      </c>
      <c r="I983" s="43">
        <f t="shared" si="2798"/>
        <v>0</v>
      </c>
      <c r="J983" s="43">
        <f t="shared" si="2798"/>
        <v>0</v>
      </c>
      <c r="K983" s="43">
        <f t="shared" si="2798"/>
        <v>322.269948</v>
      </c>
      <c r="L983" s="43">
        <f t="shared" si="2798"/>
        <v>322.269948</v>
      </c>
      <c r="M983" s="43">
        <f t="shared" si="2798"/>
        <v>322.269948</v>
      </c>
      <c r="N983" s="43">
        <f t="shared" si="2798"/>
        <v>322.269948</v>
      </c>
      <c r="O983" s="43">
        <f t="shared" si="2798"/>
        <v>322.269948</v>
      </c>
      <c r="P983" s="43">
        <f t="shared" si="2798"/>
        <v>322.269948</v>
      </c>
      <c r="Q983" s="43">
        <f t="shared" si="2798"/>
        <v>322.269948</v>
      </c>
      <c r="R983" s="43">
        <f t="shared" si="2798"/>
        <v>322.269948</v>
      </c>
      <c r="S983" s="43">
        <f t="shared" si="2798"/>
        <v>322.269948</v>
      </c>
      <c r="T983" s="43">
        <f t="shared" si="2798"/>
        <v>322.269948</v>
      </c>
      <c r="U983" s="43">
        <f t="shared" ref="U983" si="2799">U905+U906+U911+U912</f>
        <v>322.269948</v>
      </c>
      <c r="V983" s="43">
        <f t="shared" ref="V983" si="2800">V905+V906+V911+V912</f>
        <v>322.269948</v>
      </c>
      <c r="W983" s="43">
        <f t="shared" ref="W983" si="2801">W905+W906+W911+W912</f>
        <v>322.269948</v>
      </c>
      <c r="X983" s="43">
        <f t="shared" ref="X983" si="2802">X905+X906+X911+X912</f>
        <v>322.269948</v>
      </c>
      <c r="Y983" s="43">
        <f t="shared" ref="Y983" si="2803">Y905+Y906+Y911+Y912</f>
        <v>322.269948</v>
      </c>
      <c r="Z983" s="43">
        <f t="shared" ref="Z983" si="2804">Z905+Z906+Z911+Z912</f>
        <v>322.269948</v>
      </c>
      <c r="AA983" s="43">
        <f t="shared" ref="AA983" si="2805">AA905+AA906+AA911+AA912</f>
        <v>322.269948</v>
      </c>
      <c r="AB983" s="43">
        <f t="shared" ref="AB983:AC983" si="2806">AB905+AB906+AB911+AB912</f>
        <v>322.269948</v>
      </c>
      <c r="AC983" s="43">
        <f t="shared" si="2806"/>
        <v>322.269948</v>
      </c>
      <c r="AD983" s="43"/>
      <c r="AE983" s="54">
        <f t="shared" si="2779"/>
        <v>6123.1290120000012</v>
      </c>
    </row>
    <row r="984" spans="1:31" hidden="1" outlineLevel="1" x14ac:dyDescent="0.2">
      <c r="A984" s="23" t="str">
        <f ca="1">Language!A$628</f>
        <v xml:space="preserve">    оплата административного и коммерческого персонала</v>
      </c>
      <c r="C984" s="5" t="str">
        <f t="shared" ca="1" si="2769"/>
        <v>тыс. EUR</v>
      </c>
      <c r="F984" s="43">
        <f t="shared" ref="F984:T984" si="2807">F907+F908+F913+F914</f>
        <v>0</v>
      </c>
      <c r="G984" s="43">
        <f t="shared" si="2807"/>
        <v>0</v>
      </c>
      <c r="H984" s="43">
        <f t="shared" si="2807"/>
        <v>0</v>
      </c>
      <c r="I984" s="43">
        <f t="shared" si="2807"/>
        <v>0</v>
      </c>
      <c r="J984" s="43">
        <f t="shared" si="2807"/>
        <v>0</v>
      </c>
      <c r="K984" s="43">
        <f t="shared" si="2807"/>
        <v>117.54943199999998</v>
      </c>
      <c r="L984" s="43">
        <f t="shared" si="2807"/>
        <v>117.54943199999998</v>
      </c>
      <c r="M984" s="43">
        <f t="shared" si="2807"/>
        <v>117.54943199999998</v>
      </c>
      <c r="N984" s="43">
        <f t="shared" si="2807"/>
        <v>117.54943199999998</v>
      </c>
      <c r="O984" s="43">
        <f t="shared" si="2807"/>
        <v>117.54943199999998</v>
      </c>
      <c r="P984" s="43">
        <f t="shared" si="2807"/>
        <v>117.54943199999998</v>
      </c>
      <c r="Q984" s="43">
        <f t="shared" si="2807"/>
        <v>117.54943199999998</v>
      </c>
      <c r="R984" s="43">
        <f t="shared" si="2807"/>
        <v>117.54943199999998</v>
      </c>
      <c r="S984" s="43">
        <f t="shared" si="2807"/>
        <v>117.54943199999998</v>
      </c>
      <c r="T984" s="43">
        <f t="shared" si="2807"/>
        <v>117.54943199999998</v>
      </c>
      <c r="U984" s="43">
        <f t="shared" ref="U984" si="2808">U907+U908+U913+U914</f>
        <v>117.54943199999998</v>
      </c>
      <c r="V984" s="43">
        <f t="shared" ref="V984" si="2809">V907+V908+V913+V914</f>
        <v>117.54943199999998</v>
      </c>
      <c r="W984" s="43">
        <f t="shared" ref="W984" si="2810">W907+W908+W913+W914</f>
        <v>117.54943199999998</v>
      </c>
      <c r="X984" s="43">
        <f t="shared" ref="X984" si="2811">X907+X908+X913+X914</f>
        <v>117.54943199999998</v>
      </c>
      <c r="Y984" s="43">
        <f t="shared" ref="Y984" si="2812">Y907+Y908+Y913+Y914</f>
        <v>117.54943199999998</v>
      </c>
      <c r="Z984" s="43">
        <f t="shared" ref="Z984" si="2813">Z907+Z908+Z913+Z914</f>
        <v>117.54943199999998</v>
      </c>
      <c r="AA984" s="43">
        <f t="shared" ref="AA984" si="2814">AA907+AA908+AA913+AA914</f>
        <v>117.54943199999998</v>
      </c>
      <c r="AB984" s="43">
        <f t="shared" ref="AB984:AC984" si="2815">AB907+AB908+AB913+AB914</f>
        <v>117.54943199999998</v>
      </c>
      <c r="AC984" s="43">
        <f t="shared" si="2815"/>
        <v>117.54943199999998</v>
      </c>
      <c r="AD984" s="43"/>
      <c r="AE984" s="54">
        <f t="shared" si="2779"/>
        <v>2233.4392079999998</v>
      </c>
    </row>
    <row r="985" spans="1:31" hidden="1" outlineLevel="1" x14ac:dyDescent="0.2">
      <c r="A985" t="str">
        <f ca="1">Language!A629</f>
        <v xml:space="preserve">    налоги, относимые на текущие затраты</v>
      </c>
      <c r="C985" s="5" t="str">
        <f t="shared" ca="1" si="2769"/>
        <v>тыс. EUR</v>
      </c>
      <c r="F985" s="108">
        <f t="shared" ref="F985:X985" si="2816">F143+F147</f>
        <v>0</v>
      </c>
      <c r="G985" s="108">
        <f t="shared" si="2816"/>
        <v>0</v>
      </c>
      <c r="H985" s="108">
        <f t="shared" si="2816"/>
        <v>0</v>
      </c>
      <c r="I985" s="108">
        <f t="shared" si="2816"/>
        <v>0</v>
      </c>
      <c r="J985" s="108">
        <f t="shared" si="2816"/>
        <v>0</v>
      </c>
      <c r="K985" s="108">
        <f t="shared" si="2816"/>
        <v>1.0348837209302326</v>
      </c>
      <c r="L985" s="108">
        <f t="shared" si="2816"/>
        <v>1.0348837209302326</v>
      </c>
      <c r="M985" s="108">
        <f t="shared" si="2816"/>
        <v>1.0348837209302326</v>
      </c>
      <c r="N985" s="108">
        <f t="shared" si="2816"/>
        <v>1.0348837209302326</v>
      </c>
      <c r="O985" s="108">
        <f t="shared" si="2816"/>
        <v>1.0348837209302326</v>
      </c>
      <c r="P985" s="108">
        <f t="shared" si="2816"/>
        <v>1.0348837209302326</v>
      </c>
      <c r="Q985" s="108">
        <f t="shared" si="2816"/>
        <v>1.0348837209302326</v>
      </c>
      <c r="R985" s="108">
        <f t="shared" si="2816"/>
        <v>1.0348837209302326</v>
      </c>
      <c r="S985" s="108">
        <f t="shared" si="2816"/>
        <v>1.0348837209302326</v>
      </c>
      <c r="T985" s="108">
        <f t="shared" si="2816"/>
        <v>1.0348837209302326</v>
      </c>
      <c r="U985" s="108">
        <f t="shared" si="2816"/>
        <v>1.0348837209302326</v>
      </c>
      <c r="V985" s="108">
        <f t="shared" si="2816"/>
        <v>1.0348837209302326</v>
      </c>
      <c r="W985" s="108">
        <f t="shared" si="2816"/>
        <v>1.0348837209302326</v>
      </c>
      <c r="X985" s="108">
        <f t="shared" si="2816"/>
        <v>1.0348837209302326</v>
      </c>
      <c r="Y985" s="108">
        <f t="shared" ref="Y985" si="2817">Y143+Y147</f>
        <v>1.0348837209302326</v>
      </c>
      <c r="Z985" s="108">
        <f t="shared" ref="Z985" si="2818">Z143+Z147</f>
        <v>1.0348837209302326</v>
      </c>
      <c r="AA985" s="108">
        <f t="shared" ref="AA985" si="2819">AA143+AA147</f>
        <v>1.0348837209302326</v>
      </c>
      <c r="AB985" s="108">
        <f t="shared" ref="AB985:AC985" si="2820">AB143+AB147</f>
        <v>1.0348837209302326</v>
      </c>
      <c r="AC985" s="108">
        <f t="shared" si="2820"/>
        <v>1.0348837209302326</v>
      </c>
      <c r="AD985" s="43"/>
      <c r="AE985" s="54">
        <f t="shared" si="2779"/>
        <v>19.66279069767441</v>
      </c>
    </row>
    <row r="986" spans="1:31" hidden="1" outlineLevel="1" x14ac:dyDescent="0.2">
      <c r="A986" t="str">
        <f ca="1">Language!A630</f>
        <v xml:space="preserve">    производственные расходы</v>
      </c>
      <c r="C986" s="5" t="str">
        <f t="shared" ca="1" si="2769"/>
        <v>тыс. EUR</v>
      </c>
      <c r="F986" s="83">
        <f t="shared" ref="F986:T986" ca="1" si="2821">F998</f>
        <v>0</v>
      </c>
      <c r="G986" s="83">
        <f t="shared" ca="1" si="2821"/>
        <v>0</v>
      </c>
      <c r="H986" s="83">
        <f t="shared" ca="1" si="2821"/>
        <v>0</v>
      </c>
      <c r="I986" s="83">
        <f t="shared" ca="1" si="2821"/>
        <v>0</v>
      </c>
      <c r="J986" s="83">
        <f t="shared" ca="1" si="2821"/>
        <v>0</v>
      </c>
      <c r="K986" s="83">
        <f t="shared" ca="1" si="2821"/>
        <v>7.5706183000003486</v>
      </c>
      <c r="L986" s="83">
        <f t="shared" ca="1" si="2821"/>
        <v>29.553358318128979</v>
      </c>
      <c r="M986" s="83">
        <f t="shared" ca="1" si="2821"/>
        <v>47.471831422178568</v>
      </c>
      <c r="N986" s="83">
        <f t="shared" ca="1" si="2821"/>
        <v>67.776571342105868</v>
      </c>
      <c r="O986" s="83">
        <f t="shared" ca="1" si="2821"/>
        <v>81.819758886627284</v>
      </c>
      <c r="P986" s="83">
        <f t="shared" ca="1" si="2821"/>
        <v>81.819758886627284</v>
      </c>
      <c r="Q986" s="83">
        <f t="shared" ca="1" si="2821"/>
        <v>81.819758886627284</v>
      </c>
      <c r="R986" s="83">
        <f t="shared" ca="1" si="2821"/>
        <v>81.819758886627284</v>
      </c>
      <c r="S986" s="83">
        <f t="shared" ca="1" si="2821"/>
        <v>81.819758886627284</v>
      </c>
      <c r="T986" s="83">
        <f t="shared" ca="1" si="2821"/>
        <v>81.819758886627284</v>
      </c>
      <c r="U986" s="83">
        <f t="shared" ref="U986" ca="1" si="2822">U998</f>
        <v>81.819758886627284</v>
      </c>
      <c r="V986" s="83">
        <f t="shared" ref="V986" ca="1" si="2823">V998</f>
        <v>81.819758886627284</v>
      </c>
      <c r="W986" s="83">
        <f t="shared" ref="W986" ca="1" si="2824">W998</f>
        <v>81.819758886627284</v>
      </c>
      <c r="X986" s="83">
        <f t="shared" ref="X986" ca="1" si="2825">X998</f>
        <v>81.819758886627284</v>
      </c>
      <c r="Y986" s="83">
        <f t="shared" ref="Y986" ca="1" si="2826">Y998</f>
        <v>81.819758886627284</v>
      </c>
      <c r="Z986" s="83">
        <f t="shared" ref="Z986" ca="1" si="2827">Z998</f>
        <v>81.819758886627284</v>
      </c>
      <c r="AA986" s="83">
        <f t="shared" ref="AA986" ca="1" si="2828">AA998</f>
        <v>81.819758886627284</v>
      </c>
      <c r="AB986" s="83">
        <f t="shared" ref="AB986:AC986" ca="1" si="2829">AB998</f>
        <v>81.819758886627284</v>
      </c>
      <c r="AC986" s="83">
        <f t="shared" ca="1" si="2829"/>
        <v>81.819758886627284</v>
      </c>
      <c r="AD986" s="43"/>
      <c r="AE986" s="54">
        <f t="shared" ca="1" si="2779"/>
        <v>1379.6687626818232</v>
      </c>
    </row>
    <row r="987" spans="1:31" hidden="1" outlineLevel="1" x14ac:dyDescent="0.2">
      <c r="A987" t="str">
        <f ca="1">Language!A631</f>
        <v xml:space="preserve">    начисленные лизинговые платежи</v>
      </c>
      <c r="C987" s="5" t="str">
        <f t="shared" ca="1" si="2769"/>
        <v>тыс. EUR</v>
      </c>
      <c r="F987" s="108">
        <f t="shared" ref="F987:X987" ca="1" si="2830">F647</f>
        <v>0</v>
      </c>
      <c r="G987" s="108">
        <f t="shared" ca="1" si="2830"/>
        <v>0</v>
      </c>
      <c r="H987" s="108">
        <f t="shared" ca="1" si="2830"/>
        <v>0</v>
      </c>
      <c r="I987" s="108">
        <f t="shared" ca="1" si="2830"/>
        <v>0</v>
      </c>
      <c r="J987" s="108">
        <f t="shared" ca="1" si="2830"/>
        <v>0</v>
      </c>
      <c r="K987" s="108">
        <f t="shared" ca="1" si="2830"/>
        <v>0</v>
      </c>
      <c r="L987" s="108">
        <f t="shared" ca="1" si="2830"/>
        <v>0</v>
      </c>
      <c r="M987" s="108">
        <f t="shared" ca="1" si="2830"/>
        <v>0</v>
      </c>
      <c r="N987" s="108">
        <f t="shared" ca="1" si="2830"/>
        <v>0</v>
      </c>
      <c r="O987" s="108">
        <f t="shared" ca="1" si="2830"/>
        <v>0</v>
      </c>
      <c r="P987" s="108">
        <f t="shared" ca="1" si="2830"/>
        <v>0</v>
      </c>
      <c r="Q987" s="108">
        <f t="shared" ca="1" si="2830"/>
        <v>0</v>
      </c>
      <c r="R987" s="108">
        <f t="shared" ca="1" si="2830"/>
        <v>0</v>
      </c>
      <c r="S987" s="108">
        <f t="shared" ca="1" si="2830"/>
        <v>0</v>
      </c>
      <c r="T987" s="108">
        <f t="shared" ca="1" si="2830"/>
        <v>0</v>
      </c>
      <c r="U987" s="108">
        <f t="shared" ca="1" si="2830"/>
        <v>0</v>
      </c>
      <c r="V987" s="108">
        <f t="shared" ca="1" si="2830"/>
        <v>0</v>
      </c>
      <c r="W987" s="108">
        <f t="shared" ca="1" si="2830"/>
        <v>0</v>
      </c>
      <c r="X987" s="108">
        <f t="shared" ca="1" si="2830"/>
        <v>0</v>
      </c>
      <c r="Y987" s="108">
        <f t="shared" ref="Y987" ca="1" si="2831">Y647</f>
        <v>0</v>
      </c>
      <c r="Z987" s="108">
        <f t="shared" ref="Z987" ca="1" si="2832">Z647</f>
        <v>0</v>
      </c>
      <c r="AA987" s="108">
        <f t="shared" ref="AA987" ca="1" si="2833">AA647</f>
        <v>0</v>
      </c>
      <c r="AB987" s="108">
        <f t="shared" ref="AB987:AC987" ca="1" si="2834">AB647</f>
        <v>0</v>
      </c>
      <c r="AC987" s="108">
        <f t="shared" ca="1" si="2834"/>
        <v>0</v>
      </c>
      <c r="AD987" s="43"/>
      <c r="AE987" s="54">
        <f t="shared" ca="1" si="2779"/>
        <v>0</v>
      </c>
    </row>
    <row r="988" spans="1:31" hidden="1" outlineLevel="1" x14ac:dyDescent="0.2">
      <c r="A988" t="str">
        <f ca="1">Language!A632</f>
        <v xml:space="preserve">    амортизация</v>
      </c>
      <c r="C988" s="5" t="str">
        <f t="shared" ca="1" si="2769"/>
        <v>тыс. EUR</v>
      </c>
      <c r="F988" s="108">
        <f t="shared" ref="F988:T988" ca="1" si="2835">F944</f>
        <v>0</v>
      </c>
      <c r="G988" s="108">
        <f t="shared" ca="1" si="2835"/>
        <v>0</v>
      </c>
      <c r="H988" s="108">
        <f t="shared" ca="1" si="2835"/>
        <v>0</v>
      </c>
      <c r="I988" s="108">
        <f t="shared" ca="1" si="2835"/>
        <v>0</v>
      </c>
      <c r="J988" s="108">
        <f t="shared" ca="1" si="2835"/>
        <v>309.35251270876392</v>
      </c>
      <c r="K988" s="108">
        <f t="shared" ca="1" si="2835"/>
        <v>309.35251270876392</v>
      </c>
      <c r="L988" s="108">
        <f t="shared" ca="1" si="2835"/>
        <v>309.35251270876392</v>
      </c>
      <c r="M988" s="108">
        <f t="shared" ca="1" si="2835"/>
        <v>309.35251270876392</v>
      </c>
      <c r="N988" s="108">
        <f t="shared" ca="1" si="2835"/>
        <v>309.35251270876392</v>
      </c>
      <c r="O988" s="108">
        <f t="shared" ca="1" si="2835"/>
        <v>309.35251270876392</v>
      </c>
      <c r="P988" s="108">
        <f t="shared" ca="1" si="2835"/>
        <v>309.35251270876392</v>
      </c>
      <c r="Q988" s="108">
        <f t="shared" ca="1" si="2835"/>
        <v>309.35251270876392</v>
      </c>
      <c r="R988" s="108">
        <f t="shared" ca="1" si="2835"/>
        <v>309.35251270876392</v>
      </c>
      <c r="S988" s="108">
        <f t="shared" ca="1" si="2835"/>
        <v>309.35251270876392</v>
      </c>
      <c r="T988" s="108">
        <f t="shared" ca="1" si="2835"/>
        <v>309.35251270876392</v>
      </c>
      <c r="U988" s="108">
        <f t="shared" ref="U988" ca="1" si="2836">U944</f>
        <v>309.35251270876392</v>
      </c>
      <c r="V988" s="108">
        <f t="shared" ref="V988" ca="1" si="2837">V944</f>
        <v>309.35251270876392</v>
      </c>
      <c r="W988" s="108">
        <f t="shared" ref="W988" ca="1" si="2838">W944</f>
        <v>309.35251270876392</v>
      </c>
      <c r="X988" s="108">
        <f t="shared" ref="X988" ca="1" si="2839">X944</f>
        <v>309.35251270876392</v>
      </c>
      <c r="Y988" s="108">
        <f t="shared" ref="Y988" ca="1" si="2840">Y944</f>
        <v>309.35251270876392</v>
      </c>
      <c r="Z988" s="108">
        <f t="shared" ref="Z988" ca="1" si="2841">Z944</f>
        <v>309.35251270876392</v>
      </c>
      <c r="AA988" s="108">
        <f t="shared" ref="AA988" ca="1" si="2842">AA944</f>
        <v>309.35251270876392</v>
      </c>
      <c r="AB988" s="108">
        <f t="shared" ref="AB988:AC988" ca="1" si="2843">AB944</f>
        <v>309.35251270876392</v>
      </c>
      <c r="AC988" s="108">
        <f t="shared" ca="1" si="2843"/>
        <v>309.35251270876392</v>
      </c>
      <c r="AD988" s="43"/>
      <c r="AE988" s="54">
        <f ca="1">SUM(G988:AC988)</f>
        <v>6187.0502541752812</v>
      </c>
    </row>
    <row r="989" spans="1:31" hidden="1" outlineLevel="1" x14ac:dyDescent="0.2">
      <c r="A989" t="str">
        <f ca="1">Language!A633</f>
        <v xml:space="preserve">    коммерческие расходы</v>
      </c>
      <c r="C989" s="5" t="str">
        <f t="shared" ca="1" si="2769"/>
        <v>тыс. EUR</v>
      </c>
      <c r="F989" s="108">
        <f t="shared" ref="F989:T989" ca="1" si="2844">F1004</f>
        <v>0</v>
      </c>
      <c r="G989" s="108">
        <f t="shared" ca="1" si="2844"/>
        <v>0</v>
      </c>
      <c r="H989" s="108">
        <f t="shared" ca="1" si="2844"/>
        <v>0</v>
      </c>
      <c r="I989" s="108">
        <f t="shared" ca="1" si="2844"/>
        <v>0</v>
      </c>
      <c r="J989" s="108">
        <f t="shared" ca="1" si="2844"/>
        <v>0</v>
      </c>
      <c r="K989" s="108">
        <f t="shared" ca="1" si="2844"/>
        <v>11.829091093750543</v>
      </c>
      <c r="L989" s="108">
        <f t="shared" ca="1" si="2844"/>
        <v>46.177122372076532</v>
      </c>
      <c r="M989" s="108">
        <f t="shared" ca="1" si="2844"/>
        <v>74.174736597154009</v>
      </c>
      <c r="N989" s="108">
        <f t="shared" ca="1" si="2844"/>
        <v>105.90089272204042</v>
      </c>
      <c r="O989" s="108">
        <f t="shared" ca="1" si="2844"/>
        <v>127.84337326035515</v>
      </c>
      <c r="P989" s="108">
        <f t="shared" ca="1" si="2844"/>
        <v>127.84337326035515</v>
      </c>
      <c r="Q989" s="108">
        <f t="shared" ca="1" si="2844"/>
        <v>127.84337326035515</v>
      </c>
      <c r="R989" s="108">
        <f t="shared" ca="1" si="2844"/>
        <v>127.84337326035515</v>
      </c>
      <c r="S989" s="108">
        <f t="shared" ca="1" si="2844"/>
        <v>127.84337326035515</v>
      </c>
      <c r="T989" s="108">
        <f t="shared" ca="1" si="2844"/>
        <v>127.84337326035515</v>
      </c>
      <c r="U989" s="108">
        <f t="shared" ref="U989" ca="1" si="2845">U1004</f>
        <v>127.84337326035515</v>
      </c>
      <c r="V989" s="108">
        <f t="shared" ref="V989" ca="1" si="2846">V1004</f>
        <v>127.84337326035515</v>
      </c>
      <c r="W989" s="108">
        <f t="shared" ref="W989" ca="1" si="2847">W1004</f>
        <v>127.84337326035515</v>
      </c>
      <c r="X989" s="108">
        <f t="shared" ref="X989" ca="1" si="2848">X1004</f>
        <v>127.84337326035515</v>
      </c>
      <c r="Y989" s="108">
        <f t="shared" ref="Y989" ca="1" si="2849">Y1004</f>
        <v>127.84337326035515</v>
      </c>
      <c r="Z989" s="108">
        <f t="shared" ref="Z989" ca="1" si="2850">Z1004</f>
        <v>127.84337326035515</v>
      </c>
      <c r="AA989" s="108">
        <f t="shared" ref="AA989" ca="1" si="2851">AA1004</f>
        <v>127.84337326035515</v>
      </c>
      <c r="AB989" s="108">
        <f t="shared" ref="AB989:AC989" ca="1" si="2852">AB1004</f>
        <v>127.84337326035515</v>
      </c>
      <c r="AC989" s="108">
        <f t="shared" ca="1" si="2852"/>
        <v>127.84337326035515</v>
      </c>
      <c r="AD989" s="43"/>
      <c r="AE989" s="54">
        <f ca="1">SUM(F989:AC989)</f>
        <v>2155.7324416903484</v>
      </c>
    </row>
    <row r="990" spans="1:31" hidden="1" outlineLevel="1" x14ac:dyDescent="0.2">
      <c r="A990" t="str">
        <f ca="1">Language!A634</f>
        <v xml:space="preserve">    административные расходы</v>
      </c>
      <c r="C990" s="5" t="str">
        <f t="shared" ca="1" si="2769"/>
        <v>тыс. EUR</v>
      </c>
      <c r="F990" s="108">
        <f t="shared" ref="F990:T990" ca="1" si="2853">F1001</f>
        <v>0</v>
      </c>
      <c r="G990" s="108">
        <f t="shared" ca="1" si="2853"/>
        <v>0</v>
      </c>
      <c r="H990" s="108">
        <f t="shared" ca="1" si="2853"/>
        <v>0</v>
      </c>
      <c r="I990" s="108">
        <f t="shared" ca="1" si="2853"/>
        <v>0</v>
      </c>
      <c r="J990" s="108">
        <f t="shared" ca="1" si="2853"/>
        <v>0</v>
      </c>
      <c r="K990" s="108">
        <f t="shared" ca="1" si="2853"/>
        <v>2.3658182187501087</v>
      </c>
      <c r="L990" s="108">
        <f t="shared" ca="1" si="2853"/>
        <v>9.2354244744153071</v>
      </c>
      <c r="M990" s="108">
        <f t="shared" ca="1" si="2853"/>
        <v>14.834947319430801</v>
      </c>
      <c r="N990" s="108">
        <f t="shared" ca="1" si="2853"/>
        <v>21.180178544408086</v>
      </c>
      <c r="O990" s="108">
        <f t="shared" ca="1" si="2853"/>
        <v>25.568674652071024</v>
      </c>
      <c r="P990" s="108">
        <f t="shared" ca="1" si="2853"/>
        <v>25.568674652071024</v>
      </c>
      <c r="Q990" s="108">
        <f t="shared" ca="1" si="2853"/>
        <v>25.568674652071024</v>
      </c>
      <c r="R990" s="108">
        <f t="shared" ca="1" si="2853"/>
        <v>25.568674652071024</v>
      </c>
      <c r="S990" s="108">
        <f t="shared" ca="1" si="2853"/>
        <v>25.568674652071024</v>
      </c>
      <c r="T990" s="108">
        <f t="shared" ca="1" si="2853"/>
        <v>25.568674652071024</v>
      </c>
      <c r="U990" s="108">
        <f t="shared" ref="U990" ca="1" si="2854">U1001</f>
        <v>25.568674652071024</v>
      </c>
      <c r="V990" s="108">
        <f t="shared" ref="V990" ca="1" si="2855">V1001</f>
        <v>25.568674652071024</v>
      </c>
      <c r="W990" s="108">
        <f t="shared" ref="W990" ca="1" si="2856">W1001</f>
        <v>25.568674652071024</v>
      </c>
      <c r="X990" s="108">
        <f t="shared" ref="X990" ca="1" si="2857">X1001</f>
        <v>25.568674652071024</v>
      </c>
      <c r="Y990" s="108">
        <f t="shared" ref="Y990" ca="1" si="2858">Y1001</f>
        <v>25.568674652071024</v>
      </c>
      <c r="Z990" s="108">
        <f t="shared" ref="Z990" ca="1" si="2859">Z1001</f>
        <v>25.568674652071024</v>
      </c>
      <c r="AA990" s="108">
        <f t="shared" ref="AA990" ca="1" si="2860">AA1001</f>
        <v>25.568674652071024</v>
      </c>
      <c r="AB990" s="108">
        <f t="shared" ref="AB990:AC990" ca="1" si="2861">AB1001</f>
        <v>25.568674652071024</v>
      </c>
      <c r="AC990" s="108">
        <f t="shared" ca="1" si="2861"/>
        <v>25.568674652071024</v>
      </c>
      <c r="AD990" s="43"/>
      <c r="AE990" s="54">
        <f ca="1">SUM(F990:AC990)</f>
        <v>431.14648833806967</v>
      </c>
    </row>
    <row r="991" spans="1:31" collapsed="1" x14ac:dyDescent="0.2">
      <c r="A991" s="35" t="str">
        <f ca="1">Language!A635</f>
        <v xml:space="preserve"> = Итого: оплата текущих расходов</v>
      </c>
      <c r="C991" s="5" t="str">
        <f t="shared" ca="1" si="2769"/>
        <v>тыс. EUR</v>
      </c>
      <c r="F991" s="56">
        <f t="shared" ref="F991:T991" ca="1" si="2862">SUM(F992:F996)+F997+F1000+F1003</f>
        <v>0</v>
      </c>
      <c r="G991" s="56">
        <f t="shared" ca="1" si="2862"/>
        <v>0</v>
      </c>
      <c r="H991" s="56">
        <f t="shared" ca="1" si="2862"/>
        <v>0</v>
      </c>
      <c r="I991" s="56">
        <f t="shared" ca="1" si="2862"/>
        <v>0</v>
      </c>
      <c r="J991" s="56">
        <f t="shared" ca="1" si="2862"/>
        <v>0</v>
      </c>
      <c r="K991" s="56">
        <f t="shared" ca="1" si="2862"/>
        <v>1049.6171444968331</v>
      </c>
      <c r="L991" s="56">
        <f t="shared" ca="1" si="2862"/>
        <v>2817.2767477795792</v>
      </c>
      <c r="M991" s="56">
        <f t="shared" ca="1" si="2862"/>
        <v>4258.1235681675862</v>
      </c>
      <c r="N991" s="56">
        <f t="shared" ca="1" si="2862"/>
        <v>5890.8530860538403</v>
      </c>
      <c r="O991" s="56">
        <f t="shared" ca="1" si="2862"/>
        <v>7020.0833504932389</v>
      </c>
      <c r="P991" s="56">
        <f t="shared" ca="1" si="2862"/>
        <v>7020.0833504932389</v>
      </c>
      <c r="Q991" s="56">
        <f t="shared" ca="1" si="2862"/>
        <v>7020.0833504932389</v>
      </c>
      <c r="R991" s="56">
        <f t="shared" ca="1" si="2862"/>
        <v>7020.0833504932389</v>
      </c>
      <c r="S991" s="56">
        <f t="shared" ca="1" si="2862"/>
        <v>7020.0833504932389</v>
      </c>
      <c r="T991" s="56">
        <f t="shared" ca="1" si="2862"/>
        <v>7020.0833504932389</v>
      </c>
      <c r="U991" s="56">
        <f t="shared" ref="U991" ca="1" si="2863">SUM(U992:U996)+U997+U1000+U1003</f>
        <v>7020.0833504932389</v>
      </c>
      <c r="V991" s="56">
        <f t="shared" ref="V991" ca="1" si="2864">SUM(V992:V996)+V997+V1000+V1003</f>
        <v>7020.0833504932389</v>
      </c>
      <c r="W991" s="56">
        <f t="shared" ref="W991" ca="1" si="2865">SUM(W992:W996)+W997+W1000+W1003</f>
        <v>7020.0833504932389</v>
      </c>
      <c r="X991" s="56">
        <f t="shared" ref="X991" ca="1" si="2866">SUM(X992:X996)+X997+X1000+X1003</f>
        <v>7020.0833504932389</v>
      </c>
      <c r="Y991" s="56">
        <f t="shared" ref="Y991" ca="1" si="2867">SUM(Y992:Y996)+Y997+Y1000+Y1003</f>
        <v>7020.0833504932389</v>
      </c>
      <c r="Z991" s="56">
        <f t="shared" ref="Z991" ca="1" si="2868">SUM(Z992:Z996)+Z997+Z1000+Z1003</f>
        <v>7020.0833504932389</v>
      </c>
      <c r="AA991" s="56">
        <f t="shared" ref="AA991" ca="1" si="2869">SUM(AA992:AA996)+AA997+AA1000+AA1003</f>
        <v>7020.0833504932389</v>
      </c>
      <c r="AB991" s="56">
        <f t="shared" ref="AB991:AC991" ca="1" si="2870">SUM(AB992:AB996)+AB997+AB1000+AB1003</f>
        <v>7020.0833504932389</v>
      </c>
      <c r="AC991" s="56">
        <f t="shared" ca="1" si="2870"/>
        <v>7020.0833504932389</v>
      </c>
      <c r="AD991" s="58"/>
      <c r="AE991" s="57">
        <f t="shared" ref="AE991:AE1005" ca="1" si="2871">SUM(F991:AC991)</f>
        <v>119317.12080389641</v>
      </c>
    </row>
    <row r="992" spans="1:31" hidden="1" outlineLevel="2" x14ac:dyDescent="0.2">
      <c r="A992" t="str">
        <f ca="1">Language!A642</f>
        <v xml:space="preserve">    Материалы и комплектующие</v>
      </c>
      <c r="C992" s="5" t="str">
        <f t="shared" ca="1" si="2769"/>
        <v>тыс. EUR</v>
      </c>
      <c r="F992" s="43">
        <f t="shared" ref="F992:T992" ca="1" si="2872">F811+F812</f>
        <v>0</v>
      </c>
      <c r="G992" s="43">
        <f t="shared" ca="1" si="2872"/>
        <v>0</v>
      </c>
      <c r="H992" s="43">
        <f t="shared" ca="1" si="2872"/>
        <v>0</v>
      </c>
      <c r="I992" s="43">
        <f t="shared" ca="1" si="2872"/>
        <v>0</v>
      </c>
      <c r="J992" s="43">
        <f t="shared" ca="1" si="2872"/>
        <v>0</v>
      </c>
      <c r="K992" s="43">
        <f t="shared" ca="1" si="2872"/>
        <v>581.99128181252672</v>
      </c>
      <c r="L992" s="43">
        <f t="shared" ca="1" si="2872"/>
        <v>2271.9144207061654</v>
      </c>
      <c r="M992" s="43">
        <f t="shared" ca="1" si="2872"/>
        <v>3649.3970405799773</v>
      </c>
      <c r="N992" s="43">
        <f t="shared" ca="1" si="2872"/>
        <v>5210.3239219243878</v>
      </c>
      <c r="O992" s="43">
        <f t="shared" ca="1" si="2872"/>
        <v>6289.8939644094735</v>
      </c>
      <c r="P992" s="43">
        <f t="shared" ca="1" si="2872"/>
        <v>6289.8939644094735</v>
      </c>
      <c r="Q992" s="43">
        <f t="shared" ca="1" si="2872"/>
        <v>6289.8939644094735</v>
      </c>
      <c r="R992" s="43">
        <f t="shared" ca="1" si="2872"/>
        <v>6289.8939644094735</v>
      </c>
      <c r="S992" s="43">
        <f t="shared" ca="1" si="2872"/>
        <v>6289.8939644094735</v>
      </c>
      <c r="T992" s="43">
        <f t="shared" ca="1" si="2872"/>
        <v>6289.8939644094735</v>
      </c>
      <c r="U992" s="43">
        <f t="shared" ref="U992" ca="1" si="2873">U811+U812</f>
        <v>6289.8939644094735</v>
      </c>
      <c r="V992" s="43">
        <f t="shared" ref="V992" ca="1" si="2874">V811+V812</f>
        <v>6289.8939644094735</v>
      </c>
      <c r="W992" s="43">
        <f t="shared" ref="W992" ca="1" si="2875">W811+W812</f>
        <v>6289.8939644094735</v>
      </c>
      <c r="X992" s="43">
        <f t="shared" ref="X992" ca="1" si="2876">X811+X812</f>
        <v>6289.8939644094735</v>
      </c>
      <c r="Y992" s="43">
        <f t="shared" ref="Y992" ca="1" si="2877">Y811+Y812</f>
        <v>6289.8939644094735</v>
      </c>
      <c r="Z992" s="43">
        <f t="shared" ref="Z992" ca="1" si="2878">Z811+Z812</f>
        <v>6289.8939644094735</v>
      </c>
      <c r="AA992" s="43">
        <f t="shared" ref="AA992" ca="1" si="2879">AA811+AA812</f>
        <v>6289.8939644094735</v>
      </c>
      <c r="AB992" s="43">
        <f t="shared" ref="AB992:AC992" ca="1" si="2880">AB811+AB812</f>
        <v>6289.8939644094735</v>
      </c>
      <c r="AC992" s="43">
        <f t="shared" ca="1" si="2880"/>
        <v>6289.8939644094735</v>
      </c>
      <c r="AD992" s="43"/>
      <c r="AE992" s="54">
        <f t="shared" ca="1" si="2871"/>
        <v>106062.03613116518</v>
      </c>
    </row>
    <row r="993" spans="1:31" hidden="1" outlineLevel="2" x14ac:dyDescent="0.2">
      <c r="A993" t="str">
        <f ca="1">"    "&amp;Language!A600</f>
        <v xml:space="preserve">    Прочие переменные затраты</v>
      </c>
      <c r="C993" s="5" t="str">
        <f t="shared" ca="1" si="2769"/>
        <v>тыс. EUR</v>
      </c>
      <c r="F993" s="43">
        <f t="shared" ref="F993:T993" ca="1" si="2881">F857+F858</f>
        <v>0</v>
      </c>
      <c r="G993" s="43">
        <f t="shared" ca="1" si="2881"/>
        <v>0</v>
      </c>
      <c r="H993" s="43">
        <f t="shared" ca="1" si="2881"/>
        <v>0</v>
      </c>
      <c r="I993" s="43">
        <f t="shared" ca="1" si="2881"/>
        <v>0</v>
      </c>
      <c r="J993" s="43">
        <f t="shared" ca="1" si="2881"/>
        <v>0</v>
      </c>
      <c r="K993" s="43">
        <f t="shared" ca="1" si="2881"/>
        <v>0</v>
      </c>
      <c r="L993" s="43">
        <f t="shared" ca="1" si="2881"/>
        <v>0</v>
      </c>
      <c r="M993" s="43">
        <f t="shared" ca="1" si="2881"/>
        <v>0</v>
      </c>
      <c r="N993" s="43">
        <f t="shared" ca="1" si="2881"/>
        <v>0</v>
      </c>
      <c r="O993" s="43">
        <f t="shared" ca="1" si="2881"/>
        <v>0</v>
      </c>
      <c r="P993" s="43">
        <f t="shared" ca="1" si="2881"/>
        <v>0</v>
      </c>
      <c r="Q993" s="43">
        <f t="shared" ca="1" si="2881"/>
        <v>0</v>
      </c>
      <c r="R993" s="43">
        <f t="shared" ca="1" si="2881"/>
        <v>0</v>
      </c>
      <c r="S993" s="43">
        <f t="shared" ca="1" si="2881"/>
        <v>0</v>
      </c>
      <c r="T993" s="43">
        <f t="shared" ca="1" si="2881"/>
        <v>0</v>
      </c>
      <c r="U993" s="43">
        <f t="shared" ref="U993" ca="1" si="2882">U857+U858</f>
        <v>0</v>
      </c>
      <c r="V993" s="43">
        <f t="shared" ref="V993" ca="1" si="2883">V857+V858</f>
        <v>0</v>
      </c>
      <c r="W993" s="43">
        <f t="shared" ref="W993" ca="1" si="2884">W857+W858</f>
        <v>0</v>
      </c>
      <c r="X993" s="43">
        <f t="shared" ref="X993" ca="1" si="2885">X857+X858</f>
        <v>0</v>
      </c>
      <c r="Y993" s="43">
        <f t="shared" ref="Y993" ca="1" si="2886">Y857+Y858</f>
        <v>0</v>
      </c>
      <c r="Z993" s="43">
        <f t="shared" ref="Z993" ca="1" si="2887">Z857+Z858</f>
        <v>0</v>
      </c>
      <c r="AA993" s="43">
        <f t="shared" ref="AA993" ca="1" si="2888">AA857+AA858</f>
        <v>0</v>
      </c>
      <c r="AB993" s="43">
        <f t="shared" ref="AB993:AC993" ca="1" si="2889">AB857+AB858</f>
        <v>0</v>
      </c>
      <c r="AC993" s="43">
        <f t="shared" ca="1" si="2889"/>
        <v>0</v>
      </c>
      <c r="AD993" s="43"/>
      <c r="AE993" s="54">
        <f t="shared" ca="1" si="2871"/>
        <v>0</v>
      </c>
    </row>
    <row r="994" spans="1:31" hidden="1" outlineLevel="2" x14ac:dyDescent="0.2">
      <c r="A994" t="str">
        <f ca="1">Language!A643</f>
        <v xml:space="preserve">    Оплата труда</v>
      </c>
      <c r="C994" s="5" t="str">
        <f t="shared" ca="1" si="2769"/>
        <v>тыс. EUR</v>
      </c>
      <c r="F994" s="43">
        <f t="shared" ref="F994:T994" si="2890">F904</f>
        <v>0</v>
      </c>
      <c r="G994" s="43">
        <f t="shared" si="2890"/>
        <v>0</v>
      </c>
      <c r="H994" s="43">
        <f t="shared" si="2890"/>
        <v>0</v>
      </c>
      <c r="I994" s="43">
        <f t="shared" si="2890"/>
        <v>0</v>
      </c>
      <c r="J994" s="43">
        <f t="shared" si="2890"/>
        <v>0</v>
      </c>
      <c r="K994" s="43">
        <f t="shared" si="2890"/>
        <v>366.15</v>
      </c>
      <c r="L994" s="43">
        <f t="shared" si="2890"/>
        <v>366.15</v>
      </c>
      <c r="M994" s="43">
        <f t="shared" si="2890"/>
        <v>366.15</v>
      </c>
      <c r="N994" s="43">
        <f t="shared" si="2890"/>
        <v>366.15</v>
      </c>
      <c r="O994" s="43">
        <f t="shared" si="2890"/>
        <v>366.15</v>
      </c>
      <c r="P994" s="43">
        <f t="shared" si="2890"/>
        <v>366.15</v>
      </c>
      <c r="Q994" s="43">
        <f t="shared" si="2890"/>
        <v>366.15</v>
      </c>
      <c r="R994" s="43">
        <f t="shared" si="2890"/>
        <v>366.15</v>
      </c>
      <c r="S994" s="43">
        <f t="shared" si="2890"/>
        <v>366.15</v>
      </c>
      <c r="T994" s="43">
        <f t="shared" si="2890"/>
        <v>366.15</v>
      </c>
      <c r="U994" s="43">
        <f t="shared" ref="U994" si="2891">U904</f>
        <v>366.15</v>
      </c>
      <c r="V994" s="43">
        <f t="shared" ref="V994" si="2892">V904</f>
        <v>366.15</v>
      </c>
      <c r="W994" s="43">
        <f t="shared" ref="W994" si="2893">W904</f>
        <v>366.15</v>
      </c>
      <c r="X994" s="43">
        <f t="shared" ref="X994" si="2894">X904</f>
        <v>366.15</v>
      </c>
      <c r="Y994" s="43">
        <f t="shared" ref="Y994" si="2895">Y904</f>
        <v>366.15</v>
      </c>
      <c r="Z994" s="43">
        <f t="shared" ref="Z994" si="2896">Z904</f>
        <v>366.15</v>
      </c>
      <c r="AA994" s="43">
        <f t="shared" ref="AA994" si="2897">AA904</f>
        <v>366.15</v>
      </c>
      <c r="AB994" s="43">
        <f t="shared" ref="AB994:AC994" si="2898">AB904</f>
        <v>366.15</v>
      </c>
      <c r="AC994" s="43">
        <f t="shared" si="2898"/>
        <v>366.15</v>
      </c>
      <c r="AD994" s="43"/>
      <c r="AE994" s="54">
        <f t="shared" si="2871"/>
        <v>6956.8499999999976</v>
      </c>
    </row>
    <row r="995" spans="1:31" hidden="1" outlineLevel="2" x14ac:dyDescent="0.2">
      <c r="A995" s="23" t="str">
        <f ca="1">Language!A$636</f>
        <v xml:space="preserve">    Страховые взносы в социальные фонды</v>
      </c>
      <c r="C995" s="5" t="str">
        <f t="shared" ca="1" si="2769"/>
        <v>тыс. EUR</v>
      </c>
      <c r="F995" s="43">
        <f t="shared" ref="F995:T995" si="2899">F910</f>
        <v>0</v>
      </c>
      <c r="G995" s="43">
        <f t="shared" si="2899"/>
        <v>0</v>
      </c>
      <c r="H995" s="43">
        <f t="shared" si="2899"/>
        <v>0</v>
      </c>
      <c r="I995" s="43">
        <f t="shared" si="2899"/>
        <v>0</v>
      </c>
      <c r="J995" s="43">
        <f t="shared" si="2899"/>
        <v>0</v>
      </c>
      <c r="K995" s="43">
        <f t="shared" si="2899"/>
        <v>73.66937999999999</v>
      </c>
      <c r="L995" s="43">
        <f t="shared" si="2899"/>
        <v>73.66937999999999</v>
      </c>
      <c r="M995" s="43">
        <f t="shared" si="2899"/>
        <v>73.66937999999999</v>
      </c>
      <c r="N995" s="43">
        <f t="shared" si="2899"/>
        <v>73.66937999999999</v>
      </c>
      <c r="O995" s="43">
        <f t="shared" si="2899"/>
        <v>73.66937999999999</v>
      </c>
      <c r="P995" s="43">
        <f t="shared" si="2899"/>
        <v>73.66937999999999</v>
      </c>
      <c r="Q995" s="43">
        <f t="shared" si="2899"/>
        <v>73.66937999999999</v>
      </c>
      <c r="R995" s="43">
        <f t="shared" si="2899"/>
        <v>73.66937999999999</v>
      </c>
      <c r="S995" s="43">
        <f t="shared" si="2899"/>
        <v>73.66937999999999</v>
      </c>
      <c r="T995" s="43">
        <f t="shared" si="2899"/>
        <v>73.66937999999999</v>
      </c>
      <c r="U995" s="43">
        <f t="shared" ref="U995" si="2900">U910</f>
        <v>73.66937999999999</v>
      </c>
      <c r="V995" s="43">
        <f t="shared" ref="V995" si="2901">V910</f>
        <v>73.66937999999999</v>
      </c>
      <c r="W995" s="43">
        <f t="shared" ref="W995" si="2902">W910</f>
        <v>73.66937999999999</v>
      </c>
      <c r="X995" s="43">
        <f t="shared" ref="X995" si="2903">X910</f>
        <v>73.66937999999999</v>
      </c>
      <c r="Y995" s="43">
        <f t="shared" ref="Y995" si="2904">Y910</f>
        <v>73.66937999999999</v>
      </c>
      <c r="Z995" s="43">
        <f t="shared" ref="Z995" si="2905">Z910</f>
        <v>73.66937999999999</v>
      </c>
      <c r="AA995" s="43">
        <f t="shared" ref="AA995" si="2906">AA910</f>
        <v>73.66937999999999</v>
      </c>
      <c r="AB995" s="43">
        <f t="shared" ref="AB995:AC995" si="2907">AB910</f>
        <v>73.66937999999999</v>
      </c>
      <c r="AC995" s="43">
        <f t="shared" si="2907"/>
        <v>73.66937999999999</v>
      </c>
      <c r="AD995" s="43"/>
      <c r="AE995" s="54">
        <f t="shared" si="2871"/>
        <v>1399.7182200000004</v>
      </c>
    </row>
    <row r="996" spans="1:31" hidden="1" outlineLevel="2" x14ac:dyDescent="0.2">
      <c r="A996" t="str">
        <f ca="1">"    "&amp;Language!A622</f>
        <v xml:space="preserve">    Земельный и другие налоги, относимые на текущие затраты</v>
      </c>
      <c r="C996" s="5" t="str">
        <f t="shared" ca="1" si="2769"/>
        <v>тыс. EUR</v>
      </c>
      <c r="F996" s="43">
        <f t="shared" ref="F996:T996" si="2908">F945</f>
        <v>0</v>
      </c>
      <c r="G996" s="43">
        <f t="shared" si="2908"/>
        <v>0</v>
      </c>
      <c r="H996" s="43">
        <f t="shared" si="2908"/>
        <v>0</v>
      </c>
      <c r="I996" s="43">
        <f t="shared" si="2908"/>
        <v>0</v>
      </c>
      <c r="J996" s="43">
        <f t="shared" si="2908"/>
        <v>0</v>
      </c>
      <c r="K996" s="43">
        <f t="shared" si="2908"/>
        <v>1.0348837209302326</v>
      </c>
      <c r="L996" s="43">
        <f t="shared" si="2908"/>
        <v>1.0348837209302326</v>
      </c>
      <c r="M996" s="43">
        <f t="shared" si="2908"/>
        <v>1.0348837209302326</v>
      </c>
      <c r="N996" s="43">
        <f t="shared" si="2908"/>
        <v>1.0348837209302326</v>
      </c>
      <c r="O996" s="43">
        <f t="shared" si="2908"/>
        <v>1.0348837209302326</v>
      </c>
      <c r="P996" s="43">
        <f t="shared" si="2908"/>
        <v>1.0348837209302326</v>
      </c>
      <c r="Q996" s="43">
        <f t="shared" si="2908"/>
        <v>1.0348837209302326</v>
      </c>
      <c r="R996" s="43">
        <f t="shared" si="2908"/>
        <v>1.0348837209302326</v>
      </c>
      <c r="S996" s="43">
        <f t="shared" si="2908"/>
        <v>1.0348837209302326</v>
      </c>
      <c r="T996" s="43">
        <f t="shared" si="2908"/>
        <v>1.0348837209302326</v>
      </c>
      <c r="U996" s="43">
        <f t="shared" ref="U996" si="2909">U945</f>
        <v>1.0348837209302326</v>
      </c>
      <c r="V996" s="43">
        <f t="shared" ref="V996" si="2910">V945</f>
        <v>1.0348837209302326</v>
      </c>
      <c r="W996" s="43">
        <f t="shared" ref="W996" si="2911">W945</f>
        <v>1.0348837209302326</v>
      </c>
      <c r="X996" s="43">
        <f t="shared" ref="X996" si="2912">X945</f>
        <v>1.0348837209302326</v>
      </c>
      <c r="Y996" s="43">
        <f t="shared" ref="Y996" si="2913">Y945</f>
        <v>1.0348837209302326</v>
      </c>
      <c r="Z996" s="43">
        <f t="shared" ref="Z996" si="2914">Z945</f>
        <v>1.0348837209302326</v>
      </c>
      <c r="AA996" s="43">
        <f t="shared" ref="AA996" si="2915">AA945</f>
        <v>1.0348837209302326</v>
      </c>
      <c r="AB996" s="43">
        <f t="shared" ref="AB996:AC996" si="2916">AB945</f>
        <v>1.0348837209302326</v>
      </c>
      <c r="AC996" s="43">
        <f t="shared" si="2916"/>
        <v>1.0348837209302326</v>
      </c>
      <c r="AD996" s="43"/>
      <c r="AE996" s="54">
        <f t="shared" si="2871"/>
        <v>19.66279069767441</v>
      </c>
    </row>
    <row r="997" spans="1:31" hidden="1" outlineLevel="2" x14ac:dyDescent="0.2">
      <c r="A997" t="str">
        <f ca="1">Language!A637</f>
        <v xml:space="preserve">    Производственные расходы</v>
      </c>
      <c r="C997" s="5" t="str">
        <f t="shared" ca="1" si="2769"/>
        <v>тыс. EUR</v>
      </c>
      <c r="F997" s="53">
        <f t="shared" ref="F997:T997" ca="1" si="2917">SUMIF($D929:$D956,"*1_01*",F929:F956)+SUMIF($D929:$D956,"*2_01*",F929:F956)*F$88</f>
        <v>0</v>
      </c>
      <c r="G997" s="53">
        <f t="shared" ca="1" si="2917"/>
        <v>0</v>
      </c>
      <c r="H997" s="53">
        <f t="shared" ca="1" si="2917"/>
        <v>0</v>
      </c>
      <c r="I997" s="53">
        <f t="shared" ca="1" si="2917"/>
        <v>0</v>
      </c>
      <c r="J997" s="53">
        <f t="shared" ca="1" si="2917"/>
        <v>0</v>
      </c>
      <c r="K997" s="53">
        <f t="shared" ca="1" si="2917"/>
        <v>9.3118605090004287</v>
      </c>
      <c r="L997" s="53">
        <f t="shared" ca="1" si="2917"/>
        <v>36.350630731298644</v>
      </c>
      <c r="M997" s="53">
        <f t="shared" ca="1" si="2917"/>
        <v>58.390352649279635</v>
      </c>
      <c r="N997" s="53">
        <f t="shared" ca="1" si="2917"/>
        <v>83.365182750790225</v>
      </c>
      <c r="O997" s="53">
        <f t="shared" ca="1" si="2917"/>
        <v>100.63830343055156</v>
      </c>
      <c r="P997" s="53">
        <f t="shared" ca="1" si="2917"/>
        <v>100.63830343055156</v>
      </c>
      <c r="Q997" s="53">
        <f t="shared" ca="1" si="2917"/>
        <v>100.63830343055156</v>
      </c>
      <c r="R997" s="53">
        <f t="shared" ca="1" si="2917"/>
        <v>100.63830343055156</v>
      </c>
      <c r="S997" s="53">
        <f t="shared" ca="1" si="2917"/>
        <v>100.63830343055156</v>
      </c>
      <c r="T997" s="53">
        <f t="shared" ca="1" si="2917"/>
        <v>100.63830343055156</v>
      </c>
      <c r="U997" s="53">
        <f t="shared" ref="U997" ca="1" si="2918">SUMIF($D929:$D956,"*1_01*",U929:U956)+SUMIF($D929:$D956,"*2_01*",U929:U956)*U$88</f>
        <v>100.63830343055156</v>
      </c>
      <c r="V997" s="53">
        <f t="shared" ref="V997" ca="1" si="2919">SUMIF($D929:$D956,"*1_01*",V929:V956)+SUMIF($D929:$D956,"*2_01*",V929:V956)*V$88</f>
        <v>100.63830343055156</v>
      </c>
      <c r="W997" s="53">
        <f t="shared" ref="W997" ca="1" si="2920">SUMIF($D929:$D956,"*1_01*",W929:W956)+SUMIF($D929:$D956,"*2_01*",W929:W956)*W$88</f>
        <v>100.63830343055156</v>
      </c>
      <c r="X997" s="53">
        <f t="shared" ref="X997" ca="1" si="2921">SUMIF($D929:$D956,"*1_01*",X929:X956)+SUMIF($D929:$D956,"*2_01*",X929:X956)*X$88</f>
        <v>100.63830343055156</v>
      </c>
      <c r="Y997" s="53">
        <f t="shared" ref="Y997" ca="1" si="2922">SUMIF($D929:$D956,"*1_01*",Y929:Y956)+SUMIF($D929:$D956,"*2_01*",Y929:Y956)*Y$88</f>
        <v>100.63830343055156</v>
      </c>
      <c r="Z997" s="53">
        <f t="shared" ref="Z997" ca="1" si="2923">SUMIF($D929:$D956,"*1_01*",Z929:Z956)+SUMIF($D929:$D956,"*2_01*",Z929:Z956)*Z$88</f>
        <v>100.63830343055156</v>
      </c>
      <c r="AA997" s="53">
        <f t="shared" ref="AA997" ca="1" si="2924">SUMIF($D929:$D956,"*1_01*",AA929:AA956)+SUMIF($D929:$D956,"*2_01*",AA929:AA956)*AA$88</f>
        <v>100.63830343055156</v>
      </c>
      <c r="AB997" s="53">
        <f t="shared" ref="AB997:AC997" ca="1" si="2925">SUMIF($D929:$D956,"*1_01*",AB929:AB956)+SUMIF($D929:$D956,"*2_01*",AB929:AB956)*AB$88</f>
        <v>100.63830343055156</v>
      </c>
      <c r="AC997" s="53">
        <f t="shared" ca="1" si="2925"/>
        <v>100.63830343055156</v>
      </c>
      <c r="AD997" s="43"/>
      <c r="AE997" s="54">
        <f t="shared" ca="1" si="2871"/>
        <v>1696.9925780986423</v>
      </c>
    </row>
    <row r="998" spans="1:31" hidden="1" outlineLevel="2" x14ac:dyDescent="0.2">
      <c r="A998" t="str">
        <f ca="1">Language!A638</f>
        <v xml:space="preserve">        сумма без НДС</v>
      </c>
      <c r="C998" s="5" t="str">
        <f t="shared" ca="1" si="2769"/>
        <v>тыс. EUR</v>
      </c>
      <c r="F998" s="53">
        <f t="shared" ref="F998:T998" ca="1" si="2926">F997-F999</f>
        <v>0</v>
      </c>
      <c r="G998" s="53">
        <f t="shared" ca="1" si="2926"/>
        <v>0</v>
      </c>
      <c r="H998" s="53">
        <f t="shared" ca="1" si="2926"/>
        <v>0</v>
      </c>
      <c r="I998" s="53">
        <f t="shared" ca="1" si="2926"/>
        <v>0</v>
      </c>
      <c r="J998" s="53">
        <f t="shared" ca="1" si="2926"/>
        <v>0</v>
      </c>
      <c r="K998" s="53">
        <f t="shared" ca="1" si="2926"/>
        <v>7.5706183000003486</v>
      </c>
      <c r="L998" s="53">
        <f t="shared" ca="1" si="2926"/>
        <v>29.553358318128979</v>
      </c>
      <c r="M998" s="53">
        <f t="shared" ca="1" si="2926"/>
        <v>47.471831422178568</v>
      </c>
      <c r="N998" s="53">
        <f t="shared" ca="1" si="2926"/>
        <v>67.776571342105868</v>
      </c>
      <c r="O998" s="53">
        <f t="shared" ca="1" si="2926"/>
        <v>81.819758886627284</v>
      </c>
      <c r="P998" s="53">
        <f t="shared" ca="1" si="2926"/>
        <v>81.819758886627284</v>
      </c>
      <c r="Q998" s="53">
        <f t="shared" ca="1" si="2926"/>
        <v>81.819758886627284</v>
      </c>
      <c r="R998" s="53">
        <f t="shared" ca="1" si="2926"/>
        <v>81.819758886627284</v>
      </c>
      <c r="S998" s="53">
        <f t="shared" ca="1" si="2926"/>
        <v>81.819758886627284</v>
      </c>
      <c r="T998" s="53">
        <f t="shared" ca="1" si="2926"/>
        <v>81.819758886627284</v>
      </c>
      <c r="U998" s="53">
        <f t="shared" ref="U998" ca="1" si="2927">U997-U999</f>
        <v>81.819758886627284</v>
      </c>
      <c r="V998" s="53">
        <f t="shared" ref="V998" ca="1" si="2928">V997-V999</f>
        <v>81.819758886627284</v>
      </c>
      <c r="W998" s="53">
        <f t="shared" ref="W998" ca="1" si="2929">W997-W999</f>
        <v>81.819758886627284</v>
      </c>
      <c r="X998" s="53">
        <f t="shared" ref="X998" ca="1" si="2930">X997-X999</f>
        <v>81.819758886627284</v>
      </c>
      <c r="Y998" s="53">
        <f t="shared" ref="Y998" ca="1" si="2931">Y997-Y999</f>
        <v>81.819758886627284</v>
      </c>
      <c r="Z998" s="53">
        <f t="shared" ref="Z998" ca="1" si="2932">Z997-Z999</f>
        <v>81.819758886627284</v>
      </c>
      <c r="AA998" s="53">
        <f t="shared" ref="AA998" ca="1" si="2933">AA997-AA999</f>
        <v>81.819758886627284</v>
      </c>
      <c r="AB998" s="53">
        <f t="shared" ref="AB998:AC998" ca="1" si="2934">AB997-AB999</f>
        <v>81.819758886627284</v>
      </c>
      <c r="AC998" s="53">
        <f t="shared" ca="1" si="2934"/>
        <v>81.819758886627284</v>
      </c>
      <c r="AD998" s="43"/>
      <c r="AE998" s="54">
        <f t="shared" ca="1" si="2871"/>
        <v>1379.6687626818232</v>
      </c>
    </row>
    <row r="999" spans="1:31" hidden="1" outlineLevel="2" x14ac:dyDescent="0.2">
      <c r="A999" t="str">
        <f ca="1">Language!A639</f>
        <v xml:space="preserve">        НДС</v>
      </c>
      <c r="C999" s="5" t="str">
        <f t="shared" ca="1" si="2769"/>
        <v>тыс. EUR</v>
      </c>
      <c r="F999" s="43">
        <f t="shared" ref="F999:T999" ca="1" si="2935">SUMIF($D929:$D956,"*1_02*",F929:F956)+SUMIF($D929:$D956,"*2_02*",F929:F956)*F$88</f>
        <v>0</v>
      </c>
      <c r="G999" s="43">
        <f t="shared" ca="1" si="2935"/>
        <v>0</v>
      </c>
      <c r="H999" s="43">
        <f t="shared" ca="1" si="2935"/>
        <v>0</v>
      </c>
      <c r="I999" s="43">
        <f t="shared" ca="1" si="2935"/>
        <v>0</v>
      </c>
      <c r="J999" s="43">
        <f t="shared" ca="1" si="2935"/>
        <v>0</v>
      </c>
      <c r="K999" s="43">
        <f t="shared" ca="1" si="2935"/>
        <v>1.7412422090000801</v>
      </c>
      <c r="L999" s="43">
        <f t="shared" ca="1" si="2935"/>
        <v>6.7972724131696651</v>
      </c>
      <c r="M999" s="43">
        <f t="shared" ca="1" si="2935"/>
        <v>10.918521227101071</v>
      </c>
      <c r="N999" s="43">
        <f t="shared" ca="1" si="2935"/>
        <v>15.588611408684352</v>
      </c>
      <c r="O999" s="43">
        <f t="shared" ca="1" si="2935"/>
        <v>18.818544543924279</v>
      </c>
      <c r="P999" s="43">
        <f t="shared" ca="1" si="2935"/>
        <v>18.818544543924279</v>
      </c>
      <c r="Q999" s="43">
        <f t="shared" ca="1" si="2935"/>
        <v>18.818544543924279</v>
      </c>
      <c r="R999" s="43">
        <f t="shared" ca="1" si="2935"/>
        <v>18.818544543924279</v>
      </c>
      <c r="S999" s="43">
        <f t="shared" ca="1" si="2935"/>
        <v>18.818544543924279</v>
      </c>
      <c r="T999" s="43">
        <f t="shared" ca="1" si="2935"/>
        <v>18.818544543924279</v>
      </c>
      <c r="U999" s="43">
        <f t="shared" ref="U999" ca="1" si="2936">SUMIF($D929:$D956,"*1_02*",U929:U956)+SUMIF($D929:$D956,"*2_02*",U929:U956)*U$88</f>
        <v>18.818544543924279</v>
      </c>
      <c r="V999" s="43">
        <f t="shared" ref="V999" ca="1" si="2937">SUMIF($D929:$D956,"*1_02*",V929:V956)+SUMIF($D929:$D956,"*2_02*",V929:V956)*V$88</f>
        <v>18.818544543924279</v>
      </c>
      <c r="W999" s="43">
        <f t="shared" ref="W999" ca="1" si="2938">SUMIF($D929:$D956,"*1_02*",W929:W956)+SUMIF($D929:$D956,"*2_02*",W929:W956)*W$88</f>
        <v>18.818544543924279</v>
      </c>
      <c r="X999" s="43">
        <f t="shared" ref="X999" ca="1" si="2939">SUMIF($D929:$D956,"*1_02*",X929:X956)+SUMIF($D929:$D956,"*2_02*",X929:X956)*X$88</f>
        <v>18.818544543924279</v>
      </c>
      <c r="Y999" s="43">
        <f t="shared" ref="Y999" ca="1" si="2940">SUMIF($D929:$D956,"*1_02*",Y929:Y956)+SUMIF($D929:$D956,"*2_02*",Y929:Y956)*Y$88</f>
        <v>18.818544543924279</v>
      </c>
      <c r="Z999" s="43">
        <f t="shared" ref="Z999" ca="1" si="2941">SUMIF($D929:$D956,"*1_02*",Z929:Z956)+SUMIF($D929:$D956,"*2_02*",Z929:Z956)*Z$88</f>
        <v>18.818544543924279</v>
      </c>
      <c r="AA999" s="43">
        <f t="shared" ref="AA999" ca="1" si="2942">SUMIF($D929:$D956,"*1_02*",AA929:AA956)+SUMIF($D929:$D956,"*2_02*",AA929:AA956)*AA$88</f>
        <v>18.818544543924279</v>
      </c>
      <c r="AB999" s="43">
        <f t="shared" ref="AB999:AC999" ca="1" si="2943">SUMIF($D929:$D956,"*1_02*",AB929:AB956)+SUMIF($D929:$D956,"*2_02*",AB929:AB956)*AB$88</f>
        <v>18.818544543924279</v>
      </c>
      <c r="AC999" s="43">
        <f t="shared" ca="1" si="2943"/>
        <v>18.818544543924279</v>
      </c>
      <c r="AD999" s="43"/>
      <c r="AE999" s="54">
        <f t="shared" ca="1" si="2871"/>
        <v>317.3238154168194</v>
      </c>
    </row>
    <row r="1000" spans="1:31" hidden="1" outlineLevel="2" x14ac:dyDescent="0.2">
      <c r="A1000" t="str">
        <f ca="1">Language!A640</f>
        <v xml:space="preserve">    Административные расходы</v>
      </c>
      <c r="C1000" s="5" t="str">
        <f t="shared" ca="1" si="2769"/>
        <v>тыс. EUR</v>
      </c>
      <c r="F1000" s="43">
        <f t="shared" ref="F1000:T1000" ca="1" si="2944">SUMIF($D961:$D966,"*1_01*",F961:F966)+SUMIF($D961:$D966,"*2_01*",F961:F966)*F$88</f>
        <v>0</v>
      </c>
      <c r="G1000" s="43">
        <f t="shared" ca="1" si="2944"/>
        <v>0</v>
      </c>
      <c r="H1000" s="43">
        <f t="shared" ca="1" si="2944"/>
        <v>0</v>
      </c>
      <c r="I1000" s="43">
        <f t="shared" ca="1" si="2944"/>
        <v>0</v>
      </c>
      <c r="J1000" s="43">
        <f t="shared" ca="1" si="2944"/>
        <v>0</v>
      </c>
      <c r="K1000" s="43">
        <f t="shared" ca="1" si="2944"/>
        <v>2.9099564090626338</v>
      </c>
      <c r="L1000" s="43">
        <f t="shared" ca="1" si="2944"/>
        <v>11.359572103530827</v>
      </c>
      <c r="M1000" s="43">
        <f t="shared" ca="1" si="2944"/>
        <v>18.246985202899886</v>
      </c>
      <c r="N1000" s="43">
        <f t="shared" ca="1" si="2944"/>
        <v>26.051619609621945</v>
      </c>
      <c r="O1000" s="43">
        <f t="shared" ca="1" si="2944"/>
        <v>31.449469822047362</v>
      </c>
      <c r="P1000" s="43">
        <f t="shared" ca="1" si="2944"/>
        <v>31.449469822047362</v>
      </c>
      <c r="Q1000" s="43">
        <f t="shared" ca="1" si="2944"/>
        <v>31.449469822047362</v>
      </c>
      <c r="R1000" s="43">
        <f t="shared" ca="1" si="2944"/>
        <v>31.449469822047362</v>
      </c>
      <c r="S1000" s="43">
        <f t="shared" ca="1" si="2944"/>
        <v>31.449469822047362</v>
      </c>
      <c r="T1000" s="43">
        <f t="shared" ca="1" si="2944"/>
        <v>31.449469822047362</v>
      </c>
      <c r="U1000" s="43">
        <f t="shared" ref="U1000" ca="1" si="2945">SUMIF($D961:$D966,"*1_01*",U961:U966)+SUMIF($D961:$D966,"*2_01*",U961:U966)*U$88</f>
        <v>31.449469822047362</v>
      </c>
      <c r="V1000" s="43">
        <f t="shared" ref="V1000" ca="1" si="2946">SUMIF($D961:$D966,"*1_01*",V961:V966)+SUMIF($D961:$D966,"*2_01*",V961:V966)*V$88</f>
        <v>31.449469822047362</v>
      </c>
      <c r="W1000" s="43">
        <f t="shared" ref="W1000" ca="1" si="2947">SUMIF($D961:$D966,"*1_01*",W961:W966)+SUMIF($D961:$D966,"*2_01*",W961:W966)*W$88</f>
        <v>31.449469822047362</v>
      </c>
      <c r="X1000" s="43">
        <f t="shared" ref="X1000" ca="1" si="2948">SUMIF($D961:$D966,"*1_01*",X961:X966)+SUMIF($D961:$D966,"*2_01*",X961:X966)*X$88</f>
        <v>31.449469822047362</v>
      </c>
      <c r="Y1000" s="43">
        <f t="shared" ref="Y1000" ca="1" si="2949">SUMIF($D961:$D966,"*1_01*",Y961:Y966)+SUMIF($D961:$D966,"*2_01*",Y961:Y966)*Y$88</f>
        <v>31.449469822047362</v>
      </c>
      <c r="Z1000" s="43">
        <f t="shared" ref="Z1000" ca="1" si="2950">SUMIF($D961:$D966,"*1_01*",Z961:Z966)+SUMIF($D961:$D966,"*2_01*",Z961:Z966)*Z$88</f>
        <v>31.449469822047362</v>
      </c>
      <c r="AA1000" s="43">
        <f t="shared" ref="AA1000" ca="1" si="2951">SUMIF($D961:$D966,"*1_01*",AA961:AA966)+SUMIF($D961:$D966,"*2_01*",AA961:AA966)*AA$88</f>
        <v>31.449469822047362</v>
      </c>
      <c r="AB1000" s="43">
        <f t="shared" ref="AB1000:AC1000" ca="1" si="2952">SUMIF($D961:$D966,"*1_01*",AB961:AB966)+SUMIF($D961:$D966,"*2_01*",AB961:AB966)*AB$88</f>
        <v>31.449469822047362</v>
      </c>
      <c r="AC1000" s="43">
        <f t="shared" ca="1" si="2952"/>
        <v>31.449469822047362</v>
      </c>
      <c r="AD1000" s="43"/>
      <c r="AE1000" s="54">
        <f t="shared" ca="1" si="2871"/>
        <v>530.31018065582589</v>
      </c>
    </row>
    <row r="1001" spans="1:31" hidden="1" outlineLevel="2" x14ac:dyDescent="0.2">
      <c r="A1001" t="str">
        <f ca="1">Language!A638</f>
        <v xml:space="preserve">        сумма без НДС</v>
      </c>
      <c r="C1001" s="5" t="str">
        <f t="shared" ca="1" si="2769"/>
        <v>тыс. EUR</v>
      </c>
      <c r="F1001" s="53">
        <f t="shared" ref="F1001:T1001" ca="1" si="2953">F1000-F1002</f>
        <v>0</v>
      </c>
      <c r="G1001" s="53">
        <f t="shared" ca="1" si="2953"/>
        <v>0</v>
      </c>
      <c r="H1001" s="53">
        <f t="shared" ca="1" si="2953"/>
        <v>0</v>
      </c>
      <c r="I1001" s="53">
        <f t="shared" ca="1" si="2953"/>
        <v>0</v>
      </c>
      <c r="J1001" s="53">
        <f t="shared" ca="1" si="2953"/>
        <v>0</v>
      </c>
      <c r="K1001" s="53">
        <f t="shared" ca="1" si="2953"/>
        <v>2.3658182187501087</v>
      </c>
      <c r="L1001" s="53">
        <f t="shared" ca="1" si="2953"/>
        <v>9.2354244744153071</v>
      </c>
      <c r="M1001" s="53">
        <f t="shared" ca="1" si="2953"/>
        <v>14.834947319430801</v>
      </c>
      <c r="N1001" s="53">
        <f t="shared" ca="1" si="2953"/>
        <v>21.180178544408086</v>
      </c>
      <c r="O1001" s="53">
        <f t="shared" ca="1" si="2953"/>
        <v>25.568674652071024</v>
      </c>
      <c r="P1001" s="53">
        <f t="shared" ca="1" si="2953"/>
        <v>25.568674652071024</v>
      </c>
      <c r="Q1001" s="53">
        <f t="shared" ca="1" si="2953"/>
        <v>25.568674652071024</v>
      </c>
      <c r="R1001" s="53">
        <f t="shared" ca="1" si="2953"/>
        <v>25.568674652071024</v>
      </c>
      <c r="S1001" s="53">
        <f t="shared" ca="1" si="2953"/>
        <v>25.568674652071024</v>
      </c>
      <c r="T1001" s="53">
        <f t="shared" ca="1" si="2953"/>
        <v>25.568674652071024</v>
      </c>
      <c r="U1001" s="53">
        <f t="shared" ref="U1001" ca="1" si="2954">U1000-U1002</f>
        <v>25.568674652071024</v>
      </c>
      <c r="V1001" s="53">
        <f t="shared" ref="V1001" ca="1" si="2955">V1000-V1002</f>
        <v>25.568674652071024</v>
      </c>
      <c r="W1001" s="53">
        <f t="shared" ref="W1001" ca="1" si="2956">W1000-W1002</f>
        <v>25.568674652071024</v>
      </c>
      <c r="X1001" s="53">
        <f t="shared" ref="X1001" ca="1" si="2957">X1000-X1002</f>
        <v>25.568674652071024</v>
      </c>
      <c r="Y1001" s="53">
        <f t="shared" ref="Y1001" ca="1" si="2958">Y1000-Y1002</f>
        <v>25.568674652071024</v>
      </c>
      <c r="Z1001" s="53">
        <f t="shared" ref="Z1001" ca="1" si="2959">Z1000-Z1002</f>
        <v>25.568674652071024</v>
      </c>
      <c r="AA1001" s="53">
        <f t="shared" ref="AA1001" ca="1" si="2960">AA1000-AA1002</f>
        <v>25.568674652071024</v>
      </c>
      <c r="AB1001" s="53">
        <f t="shared" ref="AB1001:AC1001" ca="1" si="2961">AB1000-AB1002</f>
        <v>25.568674652071024</v>
      </c>
      <c r="AC1001" s="53">
        <f t="shared" ca="1" si="2961"/>
        <v>25.568674652071024</v>
      </c>
      <c r="AD1001" s="43"/>
      <c r="AE1001" s="54">
        <f t="shared" ca="1" si="2871"/>
        <v>431.14648833806967</v>
      </c>
    </row>
    <row r="1002" spans="1:31" hidden="1" outlineLevel="2" x14ac:dyDescent="0.2">
      <c r="A1002" t="str">
        <f ca="1">Language!A639</f>
        <v xml:space="preserve">        НДС</v>
      </c>
      <c r="C1002" s="5" t="str">
        <f t="shared" ca="1" si="2769"/>
        <v>тыс. EUR</v>
      </c>
      <c r="F1002" s="43">
        <f t="shared" ref="F1002:T1002" ca="1" si="2962">SUMIF($D961:$D966,"*1_02*",F961:F966)+SUMIF($D961:$D966,"*2_02*",F961:F966)*F$88</f>
        <v>0</v>
      </c>
      <c r="G1002" s="43">
        <f t="shared" ca="1" si="2962"/>
        <v>0</v>
      </c>
      <c r="H1002" s="43">
        <f t="shared" ca="1" si="2962"/>
        <v>0</v>
      </c>
      <c r="I1002" s="43">
        <f t="shared" ca="1" si="2962"/>
        <v>0</v>
      </c>
      <c r="J1002" s="43">
        <f t="shared" ca="1" si="2962"/>
        <v>0</v>
      </c>
      <c r="K1002" s="43">
        <f t="shared" ca="1" si="2962"/>
        <v>0.54413819031252508</v>
      </c>
      <c r="L1002" s="43">
        <f t="shared" ca="1" si="2962"/>
        <v>2.1241476291155204</v>
      </c>
      <c r="M1002" s="43">
        <f t="shared" ca="1" si="2962"/>
        <v>3.4120378834690848</v>
      </c>
      <c r="N1002" s="43">
        <f t="shared" ca="1" si="2962"/>
        <v>4.87144106521386</v>
      </c>
      <c r="O1002" s="43">
        <f t="shared" ca="1" si="2962"/>
        <v>5.880795169976337</v>
      </c>
      <c r="P1002" s="43">
        <f t="shared" ca="1" si="2962"/>
        <v>5.880795169976337</v>
      </c>
      <c r="Q1002" s="43">
        <f t="shared" ca="1" si="2962"/>
        <v>5.880795169976337</v>
      </c>
      <c r="R1002" s="43">
        <f t="shared" ca="1" si="2962"/>
        <v>5.880795169976337</v>
      </c>
      <c r="S1002" s="43">
        <f t="shared" ca="1" si="2962"/>
        <v>5.880795169976337</v>
      </c>
      <c r="T1002" s="43">
        <f t="shared" ca="1" si="2962"/>
        <v>5.880795169976337</v>
      </c>
      <c r="U1002" s="43">
        <f t="shared" ref="U1002" ca="1" si="2963">SUMIF($D961:$D966,"*1_02*",U961:U966)+SUMIF($D961:$D966,"*2_02*",U961:U966)*U$88</f>
        <v>5.880795169976337</v>
      </c>
      <c r="V1002" s="43">
        <f t="shared" ref="V1002" ca="1" si="2964">SUMIF($D961:$D966,"*1_02*",V961:V966)+SUMIF($D961:$D966,"*2_02*",V961:V966)*V$88</f>
        <v>5.880795169976337</v>
      </c>
      <c r="W1002" s="43">
        <f t="shared" ref="W1002" ca="1" si="2965">SUMIF($D961:$D966,"*1_02*",W961:W966)+SUMIF($D961:$D966,"*2_02*",W961:W966)*W$88</f>
        <v>5.880795169976337</v>
      </c>
      <c r="X1002" s="43">
        <f t="shared" ref="X1002" ca="1" si="2966">SUMIF($D961:$D966,"*1_02*",X961:X966)+SUMIF($D961:$D966,"*2_02*",X961:X966)*X$88</f>
        <v>5.880795169976337</v>
      </c>
      <c r="Y1002" s="43">
        <f t="shared" ref="Y1002" ca="1" si="2967">SUMIF($D961:$D966,"*1_02*",Y961:Y966)+SUMIF($D961:$D966,"*2_02*",Y961:Y966)*Y$88</f>
        <v>5.880795169976337</v>
      </c>
      <c r="Z1002" s="43">
        <f t="shared" ref="Z1002" ca="1" si="2968">SUMIF($D961:$D966,"*1_02*",Z961:Z966)+SUMIF($D961:$D966,"*2_02*",Z961:Z966)*Z$88</f>
        <v>5.880795169976337</v>
      </c>
      <c r="AA1002" s="43">
        <f t="shared" ref="AA1002" ca="1" si="2969">SUMIF($D961:$D966,"*1_02*",AA961:AA966)+SUMIF($D961:$D966,"*2_02*",AA961:AA966)*AA$88</f>
        <v>5.880795169976337</v>
      </c>
      <c r="AB1002" s="43">
        <f t="shared" ref="AB1002:AC1002" ca="1" si="2970">SUMIF($D961:$D966,"*1_02*",AB961:AB966)+SUMIF($D961:$D966,"*2_02*",AB961:AB966)*AB$88</f>
        <v>5.880795169976337</v>
      </c>
      <c r="AC1002" s="43">
        <f t="shared" ca="1" si="2970"/>
        <v>5.880795169976337</v>
      </c>
      <c r="AD1002" s="43"/>
      <c r="AE1002" s="54">
        <f t="shared" ca="1" si="2871"/>
        <v>99.163692317756059</v>
      </c>
    </row>
    <row r="1003" spans="1:31" hidden="1" outlineLevel="2" x14ac:dyDescent="0.2">
      <c r="A1003" t="str">
        <f ca="1">Language!A641</f>
        <v xml:space="preserve">    Коммерческие расходы</v>
      </c>
      <c r="C1003" s="5" t="str">
        <f t="shared" ca="1" si="2769"/>
        <v>тыс. EUR</v>
      </c>
      <c r="F1003" s="43">
        <f t="shared" ref="F1003:T1003" ca="1" si="2971">SUMIF($D972:$D978,"*1_01*",F972:F978)+SUMIF($D972:$D978,"*2_01*",F972:F978)*F$88</f>
        <v>0</v>
      </c>
      <c r="G1003" s="43">
        <f t="shared" ca="1" si="2971"/>
        <v>0</v>
      </c>
      <c r="H1003" s="43">
        <f t="shared" ca="1" si="2971"/>
        <v>0</v>
      </c>
      <c r="I1003" s="43">
        <f t="shared" ca="1" si="2971"/>
        <v>0</v>
      </c>
      <c r="J1003" s="43">
        <f t="shared" ca="1" si="2971"/>
        <v>0</v>
      </c>
      <c r="K1003" s="43">
        <f t="shared" ca="1" si="2971"/>
        <v>14.549782045313169</v>
      </c>
      <c r="L1003" s="43">
        <f t="shared" ca="1" si="2971"/>
        <v>56.797860517654136</v>
      </c>
      <c r="M1003" s="43">
        <f t="shared" ca="1" si="2971"/>
        <v>91.234926014499436</v>
      </c>
      <c r="N1003" s="43">
        <f t="shared" ca="1" si="2971"/>
        <v>130.25809804810973</v>
      </c>
      <c r="O1003" s="43">
        <f t="shared" ca="1" si="2971"/>
        <v>157.24734911023683</v>
      </c>
      <c r="P1003" s="43">
        <f t="shared" ca="1" si="2971"/>
        <v>157.24734911023683</v>
      </c>
      <c r="Q1003" s="43">
        <f t="shared" ca="1" si="2971"/>
        <v>157.24734911023683</v>
      </c>
      <c r="R1003" s="43">
        <f t="shared" ca="1" si="2971"/>
        <v>157.24734911023683</v>
      </c>
      <c r="S1003" s="43">
        <f t="shared" ca="1" si="2971"/>
        <v>157.24734911023683</v>
      </c>
      <c r="T1003" s="43">
        <f t="shared" ca="1" si="2971"/>
        <v>157.24734911023683</v>
      </c>
      <c r="U1003" s="43">
        <f t="shared" ref="U1003" ca="1" si="2972">SUMIF($D972:$D978,"*1_01*",U972:U978)+SUMIF($D972:$D978,"*2_01*",U972:U978)*U$88</f>
        <v>157.24734911023683</v>
      </c>
      <c r="V1003" s="43">
        <f t="shared" ref="V1003" ca="1" si="2973">SUMIF($D972:$D978,"*1_01*",V972:V978)+SUMIF($D972:$D978,"*2_01*",V972:V978)*V$88</f>
        <v>157.24734911023683</v>
      </c>
      <c r="W1003" s="43">
        <f t="shared" ref="W1003" ca="1" si="2974">SUMIF($D972:$D978,"*1_01*",W972:W978)+SUMIF($D972:$D978,"*2_01*",W972:W978)*W$88</f>
        <v>157.24734911023683</v>
      </c>
      <c r="X1003" s="43">
        <f t="shared" ref="X1003" ca="1" si="2975">SUMIF($D972:$D978,"*1_01*",X972:X978)+SUMIF($D972:$D978,"*2_01*",X972:X978)*X$88</f>
        <v>157.24734911023683</v>
      </c>
      <c r="Y1003" s="43">
        <f t="shared" ref="Y1003" ca="1" si="2976">SUMIF($D972:$D978,"*1_01*",Y972:Y978)+SUMIF($D972:$D978,"*2_01*",Y972:Y978)*Y$88</f>
        <v>157.24734911023683</v>
      </c>
      <c r="Z1003" s="43">
        <f t="shared" ref="Z1003" ca="1" si="2977">SUMIF($D972:$D978,"*1_01*",Z972:Z978)+SUMIF($D972:$D978,"*2_01*",Z972:Z978)*Z$88</f>
        <v>157.24734911023683</v>
      </c>
      <c r="AA1003" s="43">
        <f t="shared" ref="AA1003" ca="1" si="2978">SUMIF($D972:$D978,"*1_01*",AA972:AA978)+SUMIF($D972:$D978,"*2_01*",AA972:AA978)*AA$88</f>
        <v>157.24734911023683</v>
      </c>
      <c r="AB1003" s="43">
        <f t="shared" ref="AB1003:AC1003" ca="1" si="2979">SUMIF($D972:$D978,"*1_01*",AB972:AB978)+SUMIF($D972:$D978,"*2_01*",AB972:AB978)*AB$88</f>
        <v>157.24734911023683</v>
      </c>
      <c r="AC1003" s="43">
        <f t="shared" ca="1" si="2979"/>
        <v>157.24734911023683</v>
      </c>
      <c r="AD1003" s="43"/>
      <c r="AE1003" s="54">
        <f t="shared" ca="1" si="2871"/>
        <v>2651.5509032791297</v>
      </c>
    </row>
    <row r="1004" spans="1:31" hidden="1" outlineLevel="2" x14ac:dyDescent="0.2">
      <c r="A1004" t="str">
        <f ca="1">Language!A638</f>
        <v xml:space="preserve">        сумма без НДС</v>
      </c>
      <c r="C1004" s="5" t="str">
        <f t="shared" ca="1" si="2769"/>
        <v>тыс. EUR</v>
      </c>
      <c r="F1004" s="53">
        <f t="shared" ref="F1004:T1004" ca="1" si="2980">F1003-F1005</f>
        <v>0</v>
      </c>
      <c r="G1004" s="53">
        <f t="shared" ca="1" si="2980"/>
        <v>0</v>
      </c>
      <c r="H1004" s="53">
        <f t="shared" ca="1" si="2980"/>
        <v>0</v>
      </c>
      <c r="I1004" s="53">
        <f t="shared" ca="1" si="2980"/>
        <v>0</v>
      </c>
      <c r="J1004" s="53">
        <f t="shared" ca="1" si="2980"/>
        <v>0</v>
      </c>
      <c r="K1004" s="53">
        <f t="shared" ca="1" si="2980"/>
        <v>11.829091093750543</v>
      </c>
      <c r="L1004" s="53">
        <f t="shared" ca="1" si="2980"/>
        <v>46.177122372076532</v>
      </c>
      <c r="M1004" s="53">
        <f t="shared" ca="1" si="2980"/>
        <v>74.174736597154009</v>
      </c>
      <c r="N1004" s="53">
        <f t="shared" ca="1" si="2980"/>
        <v>105.90089272204042</v>
      </c>
      <c r="O1004" s="53">
        <f t="shared" ca="1" si="2980"/>
        <v>127.84337326035515</v>
      </c>
      <c r="P1004" s="53">
        <f t="shared" ca="1" si="2980"/>
        <v>127.84337326035515</v>
      </c>
      <c r="Q1004" s="53">
        <f t="shared" ca="1" si="2980"/>
        <v>127.84337326035515</v>
      </c>
      <c r="R1004" s="53">
        <f t="shared" ca="1" si="2980"/>
        <v>127.84337326035515</v>
      </c>
      <c r="S1004" s="53">
        <f t="shared" ca="1" si="2980"/>
        <v>127.84337326035515</v>
      </c>
      <c r="T1004" s="53">
        <f t="shared" ca="1" si="2980"/>
        <v>127.84337326035515</v>
      </c>
      <c r="U1004" s="53">
        <f t="shared" ref="U1004" ca="1" si="2981">U1003-U1005</f>
        <v>127.84337326035515</v>
      </c>
      <c r="V1004" s="53">
        <f t="shared" ref="V1004" ca="1" si="2982">V1003-V1005</f>
        <v>127.84337326035515</v>
      </c>
      <c r="W1004" s="53">
        <f t="shared" ref="W1004" ca="1" si="2983">W1003-W1005</f>
        <v>127.84337326035515</v>
      </c>
      <c r="X1004" s="53">
        <f t="shared" ref="X1004" ca="1" si="2984">X1003-X1005</f>
        <v>127.84337326035515</v>
      </c>
      <c r="Y1004" s="53">
        <f t="shared" ref="Y1004" ca="1" si="2985">Y1003-Y1005</f>
        <v>127.84337326035515</v>
      </c>
      <c r="Z1004" s="53">
        <f t="shared" ref="Z1004" ca="1" si="2986">Z1003-Z1005</f>
        <v>127.84337326035515</v>
      </c>
      <c r="AA1004" s="53">
        <f t="shared" ref="AA1004" ca="1" si="2987">AA1003-AA1005</f>
        <v>127.84337326035515</v>
      </c>
      <c r="AB1004" s="53">
        <f t="shared" ref="AB1004:AC1004" ca="1" si="2988">AB1003-AB1005</f>
        <v>127.84337326035515</v>
      </c>
      <c r="AC1004" s="53">
        <f t="shared" ca="1" si="2988"/>
        <v>127.84337326035515</v>
      </c>
      <c r="AD1004" s="43"/>
      <c r="AE1004" s="54">
        <f t="shared" ca="1" si="2871"/>
        <v>2155.7324416903484</v>
      </c>
    </row>
    <row r="1005" spans="1:31" hidden="1" outlineLevel="2" x14ac:dyDescent="0.2">
      <c r="A1005" t="str">
        <f ca="1">Language!A639</f>
        <v xml:space="preserve">        НДС</v>
      </c>
      <c r="C1005" s="5" t="str">
        <f t="shared" ca="1" si="2769"/>
        <v>тыс. EUR</v>
      </c>
      <c r="F1005" s="43">
        <f t="shared" ref="F1005:T1005" ca="1" si="2989">SUMIF($D972:$D978,"*1_02*",F972:F978)+SUMIF($D972:$D978,"*2_02*",F972:F978)*F$88</f>
        <v>0</v>
      </c>
      <c r="G1005" s="43">
        <f t="shared" ca="1" si="2989"/>
        <v>0</v>
      </c>
      <c r="H1005" s="43">
        <f t="shared" ca="1" si="2989"/>
        <v>0</v>
      </c>
      <c r="I1005" s="43">
        <f t="shared" ca="1" si="2989"/>
        <v>0</v>
      </c>
      <c r="J1005" s="43">
        <f t="shared" ca="1" si="2989"/>
        <v>0</v>
      </c>
      <c r="K1005" s="43">
        <f t="shared" ca="1" si="2989"/>
        <v>2.720690951562625</v>
      </c>
      <c r="L1005" s="43">
        <f t="shared" ca="1" si="2989"/>
        <v>10.620738145577604</v>
      </c>
      <c r="M1005" s="43">
        <f t="shared" ca="1" si="2989"/>
        <v>17.060189417345423</v>
      </c>
      <c r="N1005" s="43">
        <f t="shared" ca="1" si="2989"/>
        <v>24.357205326069302</v>
      </c>
      <c r="O1005" s="43">
        <f t="shared" ca="1" si="2989"/>
        <v>29.403975849881682</v>
      </c>
      <c r="P1005" s="43">
        <f t="shared" ca="1" si="2989"/>
        <v>29.403975849881682</v>
      </c>
      <c r="Q1005" s="43">
        <f t="shared" ca="1" si="2989"/>
        <v>29.403975849881682</v>
      </c>
      <c r="R1005" s="43">
        <f t="shared" ca="1" si="2989"/>
        <v>29.403975849881682</v>
      </c>
      <c r="S1005" s="43">
        <f t="shared" ca="1" si="2989"/>
        <v>29.403975849881682</v>
      </c>
      <c r="T1005" s="43">
        <f t="shared" ca="1" si="2989"/>
        <v>29.403975849881682</v>
      </c>
      <c r="U1005" s="43">
        <f t="shared" ref="U1005" ca="1" si="2990">SUMIF($D972:$D978,"*1_02*",U972:U978)+SUMIF($D972:$D978,"*2_02*",U972:U978)*U$88</f>
        <v>29.403975849881682</v>
      </c>
      <c r="V1005" s="43">
        <f t="shared" ref="V1005" ca="1" si="2991">SUMIF($D972:$D978,"*1_02*",V972:V978)+SUMIF($D972:$D978,"*2_02*",V972:V978)*V$88</f>
        <v>29.403975849881682</v>
      </c>
      <c r="W1005" s="43">
        <f t="shared" ref="W1005" ca="1" si="2992">SUMIF($D972:$D978,"*1_02*",W972:W978)+SUMIF($D972:$D978,"*2_02*",W972:W978)*W$88</f>
        <v>29.403975849881682</v>
      </c>
      <c r="X1005" s="43">
        <f t="shared" ref="X1005" ca="1" si="2993">SUMIF($D972:$D978,"*1_02*",X972:X978)+SUMIF($D972:$D978,"*2_02*",X972:X978)*X$88</f>
        <v>29.403975849881682</v>
      </c>
      <c r="Y1005" s="43">
        <f t="shared" ref="Y1005" ca="1" si="2994">SUMIF($D972:$D978,"*1_02*",Y972:Y978)+SUMIF($D972:$D978,"*2_02*",Y972:Y978)*Y$88</f>
        <v>29.403975849881682</v>
      </c>
      <c r="Z1005" s="43">
        <f t="shared" ref="Z1005" ca="1" si="2995">SUMIF($D972:$D978,"*1_02*",Z972:Z978)+SUMIF($D972:$D978,"*2_02*",Z972:Z978)*Z$88</f>
        <v>29.403975849881682</v>
      </c>
      <c r="AA1005" s="43">
        <f t="shared" ref="AA1005" ca="1" si="2996">SUMIF($D972:$D978,"*1_02*",AA972:AA978)+SUMIF($D972:$D978,"*2_02*",AA972:AA978)*AA$88</f>
        <v>29.403975849881682</v>
      </c>
      <c r="AB1005" s="43">
        <f t="shared" ref="AB1005:AC1005" ca="1" si="2997">SUMIF($D972:$D978,"*1_02*",AB972:AB978)+SUMIF($D972:$D978,"*2_02*",AB972:AB978)*AB$88</f>
        <v>29.403975849881682</v>
      </c>
      <c r="AC1005" s="43">
        <f t="shared" ca="1" si="2997"/>
        <v>29.403975849881682</v>
      </c>
      <c r="AD1005" s="43"/>
      <c r="AE1005" s="54">
        <f t="shared" ca="1" si="2871"/>
        <v>495.81846158878034</v>
      </c>
    </row>
    <row r="1006" spans="1:31" hidden="1" outlineLevel="1" x14ac:dyDescent="0.2">
      <c r="A1006" s="63"/>
      <c r="B1006" s="63"/>
      <c r="C1006" s="63"/>
      <c r="D1006" s="63"/>
      <c r="E1006" s="63"/>
      <c r="F1006" s="63"/>
      <c r="G1006" s="63"/>
      <c r="H1006" s="63"/>
      <c r="I1006" s="63"/>
      <c r="J1006" s="63"/>
      <c r="K1006" s="63"/>
      <c r="L1006" s="63"/>
      <c r="M1006" s="63"/>
      <c r="N1006" s="63"/>
      <c r="O1006" s="63"/>
      <c r="P1006" s="63"/>
      <c r="Q1006" s="63"/>
      <c r="R1006" s="63"/>
      <c r="S1006" s="63"/>
      <c r="T1006" s="63"/>
      <c r="U1006" s="63"/>
      <c r="V1006" s="63"/>
      <c r="W1006" s="63"/>
      <c r="X1006" s="63"/>
      <c r="Y1006" s="63"/>
      <c r="Z1006" s="63"/>
      <c r="AA1006" s="63"/>
      <c r="AB1006" s="63"/>
      <c r="AC1006" s="63"/>
      <c r="AD1006" s="63"/>
      <c r="AE1006" s="64"/>
    </row>
    <row r="1007" spans="1:31" hidden="1" outlineLevel="1" x14ac:dyDescent="0.2">
      <c r="A1007" s="19"/>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c r="AA1007" s="19"/>
      <c r="AB1007" s="19"/>
      <c r="AC1007" s="19"/>
      <c r="AD1007" s="19"/>
      <c r="AE1007" s="22"/>
    </row>
    <row r="1008" spans="1:31" s="4" customFormat="1" ht="15.95" customHeight="1" collapsed="1" thickBot="1" x14ac:dyDescent="0.25">
      <c r="A1008" s="165" t="str">
        <f ca="1">Language!A472</f>
        <v xml:space="preserve">         ОБОРОТНЫЙ КАПИТАЛ</v>
      </c>
      <c r="B1008" s="165"/>
      <c r="C1008" s="165"/>
      <c r="D1008" s="165"/>
      <c r="E1008" s="165"/>
      <c r="F1008" s="177" t="str">
        <f t="shared" ref="F1008:AC1008" ca="1" si="2998">PeriodTitle</f>
        <v>1 кв. 2016</v>
      </c>
      <c r="G1008" s="177" t="str">
        <f t="shared" ca="1" si="2998"/>
        <v>2 кв. 2016</v>
      </c>
      <c r="H1008" s="177" t="str">
        <f t="shared" ca="1" si="2998"/>
        <v>3 кв. 2016</v>
      </c>
      <c r="I1008" s="177" t="str">
        <f t="shared" ca="1" si="2998"/>
        <v>4 кв. 2016</v>
      </c>
      <c r="J1008" s="177" t="str">
        <f t="shared" ca="1" si="2998"/>
        <v>1 кв. 2017</v>
      </c>
      <c r="K1008" s="177" t="str">
        <f t="shared" ca="1" si="2998"/>
        <v>2 кв. 2017</v>
      </c>
      <c r="L1008" s="177" t="str">
        <f t="shared" ca="1" si="2998"/>
        <v>3 кв. 2017</v>
      </c>
      <c r="M1008" s="177" t="str">
        <f t="shared" ca="1" si="2998"/>
        <v>4 кв. 2017</v>
      </c>
      <c r="N1008" s="177" t="str">
        <f t="shared" ca="1" si="2998"/>
        <v>1 кв. 2018</v>
      </c>
      <c r="O1008" s="177" t="str">
        <f t="shared" ca="1" si="2998"/>
        <v>2 кв. 2018</v>
      </c>
      <c r="P1008" s="177" t="str">
        <f t="shared" ca="1" si="2998"/>
        <v>3 кв. 2018</v>
      </c>
      <c r="Q1008" s="177" t="str">
        <f t="shared" ca="1" si="2998"/>
        <v>4 кв. 2018</v>
      </c>
      <c r="R1008" s="177" t="str">
        <f t="shared" ca="1" si="2998"/>
        <v>1 кв. 2019</v>
      </c>
      <c r="S1008" s="177" t="str">
        <f t="shared" ca="1" si="2998"/>
        <v>2 кв. 2019</v>
      </c>
      <c r="T1008" s="177" t="str">
        <f t="shared" ca="1" si="2998"/>
        <v>3 кв. 2019</v>
      </c>
      <c r="U1008" s="177" t="str">
        <f t="shared" ca="1" si="2998"/>
        <v>4 кв. 2019</v>
      </c>
      <c r="V1008" s="177" t="str">
        <f t="shared" ca="1" si="2998"/>
        <v>1 кв. 2020</v>
      </c>
      <c r="W1008" s="177" t="str">
        <f t="shared" ca="1" si="2998"/>
        <v>2 кв. 2020</v>
      </c>
      <c r="X1008" s="177" t="str">
        <f t="shared" ca="1" si="2998"/>
        <v>3 кв. 2020</v>
      </c>
      <c r="Y1008" s="177" t="str">
        <f t="shared" ca="1" si="2998"/>
        <v>4 кв. 2020</v>
      </c>
      <c r="Z1008" s="177" t="str">
        <f t="shared" ca="1" si="2998"/>
        <v>1 кв. 2021</v>
      </c>
      <c r="AA1008" s="177" t="str">
        <f t="shared" ca="1" si="2998"/>
        <v>2 кв. 2021</v>
      </c>
      <c r="AB1008" s="177" t="str">
        <f t="shared" ca="1" si="2998"/>
        <v>3 кв. 2021</v>
      </c>
      <c r="AC1008" s="177" t="str">
        <f t="shared" ca="1" si="2998"/>
        <v>4 кв. 2021</v>
      </c>
      <c r="AD1008" s="177"/>
      <c r="AE1008" s="194" t="str">
        <f ca="1">Language!$A$372</f>
        <v>ИТОГО</v>
      </c>
    </row>
    <row r="1009" spans="1:31" ht="12" hidden="1" outlineLevel="1" thickTop="1" x14ac:dyDescent="0.2"/>
    <row r="1010" spans="1:31" hidden="1" outlineLevel="1" x14ac:dyDescent="0.2">
      <c r="A1010" s="35" t="str">
        <f ca="1">Language!A473</f>
        <v>ЗАПАСЫ</v>
      </c>
    </row>
    <row r="1011" spans="1:31" hidden="1" outlineLevel="1" x14ac:dyDescent="0.2">
      <c r="A1011" t="str">
        <f ca="1">Language!A474</f>
        <v>Запасы сырья и материалов</v>
      </c>
      <c r="C1011" s="5" t="str">
        <f ca="1">CUR_Main</f>
        <v>тыс. EUR</v>
      </c>
      <c r="D1011" s="16" t="s">
        <v>2594</v>
      </c>
      <c r="E1011" s="53">
        <f t="shared" ref="E1011:T1011" si="2999">E1013+E1014</f>
        <v>0</v>
      </c>
      <c r="F1011" s="53">
        <f t="shared" ca="1" si="2999"/>
        <v>0</v>
      </c>
      <c r="G1011" s="53">
        <f t="shared" ca="1" si="2999"/>
        <v>0</v>
      </c>
      <c r="H1011" s="53">
        <f t="shared" ca="1" si="2999"/>
        <v>0</v>
      </c>
      <c r="I1011" s="53">
        <f t="shared" ca="1" si="2999"/>
        <v>0</v>
      </c>
      <c r="J1011" s="53">
        <f t="shared" ca="1" si="2999"/>
        <v>0</v>
      </c>
      <c r="K1011" s="53">
        <f t="shared" ca="1" si="2999"/>
        <v>0</v>
      </c>
      <c r="L1011" s="53">
        <f t="shared" ca="1" si="2999"/>
        <v>0</v>
      </c>
      <c r="M1011" s="53">
        <f t="shared" ca="1" si="2999"/>
        <v>0</v>
      </c>
      <c r="N1011" s="53">
        <f t="shared" ca="1" si="2999"/>
        <v>0</v>
      </c>
      <c r="O1011" s="53">
        <f t="shared" ca="1" si="2999"/>
        <v>0</v>
      </c>
      <c r="P1011" s="53">
        <f t="shared" ca="1" si="2999"/>
        <v>0</v>
      </c>
      <c r="Q1011" s="53">
        <f t="shared" ca="1" si="2999"/>
        <v>0</v>
      </c>
      <c r="R1011" s="53">
        <f t="shared" ca="1" si="2999"/>
        <v>0</v>
      </c>
      <c r="S1011" s="53">
        <f t="shared" ca="1" si="2999"/>
        <v>0</v>
      </c>
      <c r="T1011" s="53">
        <f t="shared" ca="1" si="2999"/>
        <v>0</v>
      </c>
      <c r="U1011" s="53">
        <f t="shared" ref="U1011" ca="1" si="3000">U1013+U1014</f>
        <v>0</v>
      </c>
      <c r="V1011" s="53">
        <f t="shared" ref="V1011" ca="1" si="3001">V1013+V1014</f>
        <v>0</v>
      </c>
      <c r="W1011" s="53">
        <f t="shared" ref="W1011" ca="1" si="3002">W1013+W1014</f>
        <v>0</v>
      </c>
      <c r="X1011" s="53">
        <f t="shared" ref="X1011" ca="1" si="3003">X1013+X1014</f>
        <v>0</v>
      </c>
      <c r="Y1011" s="53">
        <f t="shared" ref="Y1011" ca="1" si="3004">Y1013+Y1014</f>
        <v>0</v>
      </c>
      <c r="Z1011" s="53">
        <f t="shared" ref="Z1011" ca="1" si="3005">Z1013+Z1014</f>
        <v>0</v>
      </c>
      <c r="AA1011" s="53">
        <f t="shared" ref="AA1011" ca="1" si="3006">AA1013+AA1014</f>
        <v>0</v>
      </c>
      <c r="AB1011" s="53">
        <f t="shared" ref="AB1011:AC1011" ca="1" si="3007">AB1013+AB1014</f>
        <v>0</v>
      </c>
      <c r="AC1011" s="53">
        <f t="shared" ca="1" si="3007"/>
        <v>0</v>
      </c>
    </row>
    <row r="1012" spans="1:31" hidden="1" outlineLevel="1" x14ac:dyDescent="0.2">
      <c r="A1012" t="str">
        <f ca="1">Language!A475</f>
        <v xml:space="preserve">    среднее время хранения</v>
      </c>
      <c r="B1012" s="258">
        <v>0</v>
      </c>
      <c r="C1012" s="5" t="str">
        <f ca="1">Language!A38</f>
        <v>дн.</v>
      </c>
      <c r="D1012" s="16"/>
    </row>
    <row r="1013" spans="1:31" hidden="1" outlineLevel="2" x14ac:dyDescent="0.2">
      <c r="A1013" t="str">
        <f ca="1">Language!A568</f>
        <v xml:space="preserve">    запасы на основе периодов оборота</v>
      </c>
      <c r="B1013" s="50"/>
      <c r="C1013" s="5" t="str">
        <f ca="1">CUR_Main</f>
        <v>тыс. EUR</v>
      </c>
      <c r="D1013" s="16" t="s">
        <v>2594</v>
      </c>
      <c r="E1013">
        <f>F50*CHOOSE($B$37,1,F$88)</f>
        <v>0</v>
      </c>
      <c r="F1013" s="43">
        <f t="shared" ref="F1013:T1013" ca="1" si="3008">F809</f>
        <v>0</v>
      </c>
      <c r="G1013" s="43">
        <f t="shared" ca="1" si="3008"/>
        <v>0</v>
      </c>
      <c r="H1013" s="43">
        <f t="shared" ca="1" si="3008"/>
        <v>0</v>
      </c>
      <c r="I1013" s="43">
        <f t="shared" ca="1" si="3008"/>
        <v>0</v>
      </c>
      <c r="J1013" s="43">
        <f t="shared" ca="1" si="3008"/>
        <v>0</v>
      </c>
      <c r="K1013" s="43">
        <f t="shared" ca="1" si="3008"/>
        <v>0</v>
      </c>
      <c r="L1013" s="43">
        <f t="shared" ca="1" si="3008"/>
        <v>0</v>
      </c>
      <c r="M1013" s="43">
        <f t="shared" ca="1" si="3008"/>
        <v>0</v>
      </c>
      <c r="N1013" s="43">
        <f t="shared" ca="1" si="3008"/>
        <v>0</v>
      </c>
      <c r="O1013" s="43">
        <f t="shared" ca="1" si="3008"/>
        <v>0</v>
      </c>
      <c r="P1013" s="43">
        <f t="shared" ca="1" si="3008"/>
        <v>0</v>
      </c>
      <c r="Q1013" s="43">
        <f t="shared" ca="1" si="3008"/>
        <v>0</v>
      </c>
      <c r="R1013" s="43">
        <f t="shared" ca="1" si="3008"/>
        <v>0</v>
      </c>
      <c r="S1013" s="43">
        <f t="shared" ca="1" si="3008"/>
        <v>0</v>
      </c>
      <c r="T1013" s="43">
        <f t="shared" ca="1" si="3008"/>
        <v>0</v>
      </c>
      <c r="U1013" s="43">
        <f t="shared" ref="U1013" ca="1" si="3009">U809</f>
        <v>0</v>
      </c>
      <c r="V1013" s="43">
        <f t="shared" ref="V1013" ca="1" si="3010">V809</f>
        <v>0</v>
      </c>
      <c r="W1013" s="43">
        <f t="shared" ref="W1013" ca="1" si="3011">W809</f>
        <v>0</v>
      </c>
      <c r="X1013" s="43">
        <f t="shared" ref="X1013" ca="1" si="3012">X809</f>
        <v>0</v>
      </c>
      <c r="Y1013" s="43">
        <f t="shared" ref="Y1013" ca="1" si="3013">Y809</f>
        <v>0</v>
      </c>
      <c r="Z1013" s="43">
        <f t="shared" ref="Z1013" ca="1" si="3014">Z809</f>
        <v>0</v>
      </c>
      <c r="AA1013" s="43">
        <f t="shared" ref="AA1013" ca="1" si="3015">AA809</f>
        <v>0</v>
      </c>
      <c r="AB1013" s="43">
        <f t="shared" ref="AB1013:AC1013" ca="1" si="3016">AB809</f>
        <v>0</v>
      </c>
      <c r="AC1013" s="43">
        <f t="shared" ca="1" si="3016"/>
        <v>0</v>
      </c>
    </row>
    <row r="1014" spans="1:31" hidden="1" outlineLevel="2" x14ac:dyDescent="0.2">
      <c r="A1014" t="str">
        <f ca="1">Language!A569</f>
        <v xml:space="preserve">    запасы на основе графика оплаты</v>
      </c>
      <c r="B1014" s="50"/>
      <c r="C1014" s="5" t="str">
        <f ca="1">CUR_Main</f>
        <v>тыс. EUR</v>
      </c>
      <c r="D1014" s="16" t="s">
        <v>2594</v>
      </c>
      <c r="F1014" s="43">
        <f t="shared" ref="F1014:T1014" ca="1" si="3017">F810</f>
        <v>0</v>
      </c>
      <c r="G1014" s="43">
        <f t="shared" ca="1" si="3017"/>
        <v>0</v>
      </c>
      <c r="H1014" s="43">
        <f t="shared" ca="1" si="3017"/>
        <v>0</v>
      </c>
      <c r="I1014" s="43">
        <f t="shared" ca="1" si="3017"/>
        <v>0</v>
      </c>
      <c r="J1014" s="43">
        <f t="shared" ca="1" si="3017"/>
        <v>0</v>
      </c>
      <c r="K1014" s="43">
        <f t="shared" ca="1" si="3017"/>
        <v>0</v>
      </c>
      <c r="L1014" s="43">
        <f t="shared" ca="1" si="3017"/>
        <v>0</v>
      </c>
      <c r="M1014" s="43">
        <f t="shared" ca="1" si="3017"/>
        <v>0</v>
      </c>
      <c r="N1014" s="43">
        <f t="shared" ca="1" si="3017"/>
        <v>0</v>
      </c>
      <c r="O1014" s="43">
        <f t="shared" ca="1" si="3017"/>
        <v>0</v>
      </c>
      <c r="P1014" s="43">
        <f t="shared" ca="1" si="3017"/>
        <v>0</v>
      </c>
      <c r="Q1014" s="43">
        <f t="shared" ca="1" si="3017"/>
        <v>0</v>
      </c>
      <c r="R1014" s="43">
        <f t="shared" ca="1" si="3017"/>
        <v>0</v>
      </c>
      <c r="S1014" s="43">
        <f t="shared" ca="1" si="3017"/>
        <v>0</v>
      </c>
      <c r="T1014" s="43">
        <f t="shared" ca="1" si="3017"/>
        <v>0</v>
      </c>
      <c r="U1014" s="43">
        <f t="shared" ref="U1014" ca="1" si="3018">U810</f>
        <v>0</v>
      </c>
      <c r="V1014" s="43">
        <f t="shared" ref="V1014" ca="1" si="3019">V810</f>
        <v>0</v>
      </c>
      <c r="W1014" s="43">
        <f t="shared" ref="W1014" ca="1" si="3020">W810</f>
        <v>0</v>
      </c>
      <c r="X1014" s="43">
        <f t="shared" ref="X1014" ca="1" si="3021">X810</f>
        <v>0</v>
      </c>
      <c r="Y1014" s="43">
        <f t="shared" ref="Y1014" ca="1" si="3022">Y810</f>
        <v>0</v>
      </c>
      <c r="Z1014" s="43">
        <f t="shared" ref="Z1014" ca="1" si="3023">Z810</f>
        <v>0</v>
      </c>
      <c r="AA1014" s="43">
        <f t="shared" ref="AA1014" ca="1" si="3024">AA810</f>
        <v>0</v>
      </c>
      <c r="AB1014" s="43">
        <f t="shared" ref="AB1014:AC1014" ca="1" si="3025">AB810</f>
        <v>0</v>
      </c>
      <c r="AC1014" s="43">
        <f t="shared" ca="1" si="3025"/>
        <v>0</v>
      </c>
    </row>
    <row r="1015" spans="1:31" hidden="1" outlineLevel="1" x14ac:dyDescent="0.2">
      <c r="A1015" t="str">
        <f ca="1">Language!A476</f>
        <v>Незавершенное производство</v>
      </c>
      <c r="B1015" s="17"/>
      <c r="C1015" s="5" t="str">
        <f ca="1">CUR_Main</f>
        <v>тыс. EUR</v>
      </c>
      <c r="D1015" s="16" t="s">
        <v>2594</v>
      </c>
      <c r="E1015" s="84">
        <f t="shared" ref="E1015:T1015" si="3026">E1017+E1018</f>
        <v>0</v>
      </c>
      <c r="F1015" s="84">
        <f t="shared" ca="1" si="3026"/>
        <v>0</v>
      </c>
      <c r="G1015" s="84">
        <f t="shared" ca="1" si="3026"/>
        <v>0</v>
      </c>
      <c r="H1015" s="84">
        <f t="shared" ca="1" si="3026"/>
        <v>0</v>
      </c>
      <c r="I1015" s="84">
        <f t="shared" ca="1" si="3026"/>
        <v>0</v>
      </c>
      <c r="J1015" s="84">
        <f t="shared" ca="1" si="3026"/>
        <v>0</v>
      </c>
      <c r="K1015" s="84">
        <f t="shared" ca="1" si="3026"/>
        <v>0</v>
      </c>
      <c r="L1015" s="84">
        <f t="shared" ca="1" si="3026"/>
        <v>0</v>
      </c>
      <c r="M1015" s="84">
        <f t="shared" ca="1" si="3026"/>
        <v>0</v>
      </c>
      <c r="N1015" s="84">
        <f t="shared" ca="1" si="3026"/>
        <v>0</v>
      </c>
      <c r="O1015" s="84">
        <f t="shared" ca="1" si="3026"/>
        <v>0</v>
      </c>
      <c r="P1015" s="84">
        <f t="shared" ca="1" si="3026"/>
        <v>0</v>
      </c>
      <c r="Q1015" s="84">
        <f t="shared" ca="1" si="3026"/>
        <v>0</v>
      </c>
      <c r="R1015" s="84">
        <f t="shared" ca="1" si="3026"/>
        <v>0</v>
      </c>
      <c r="S1015" s="84">
        <f t="shared" ca="1" si="3026"/>
        <v>0</v>
      </c>
      <c r="T1015" s="84">
        <f t="shared" ca="1" si="3026"/>
        <v>0</v>
      </c>
      <c r="U1015" s="84">
        <f t="shared" ref="U1015" ca="1" si="3027">U1017+U1018</f>
        <v>0</v>
      </c>
      <c r="V1015" s="84">
        <f t="shared" ref="V1015" ca="1" si="3028">V1017+V1018</f>
        <v>0</v>
      </c>
      <c r="W1015" s="84">
        <f t="shared" ref="W1015" ca="1" si="3029">W1017+W1018</f>
        <v>0</v>
      </c>
      <c r="X1015" s="84">
        <f t="shared" ref="X1015" ca="1" si="3030">X1017+X1018</f>
        <v>0</v>
      </c>
      <c r="Y1015" s="84">
        <f t="shared" ref="Y1015" ca="1" si="3031">Y1017+Y1018</f>
        <v>0</v>
      </c>
      <c r="Z1015" s="84">
        <f t="shared" ref="Z1015" ca="1" si="3032">Z1017+Z1018</f>
        <v>0</v>
      </c>
      <c r="AA1015" s="84">
        <f t="shared" ref="AA1015" ca="1" si="3033">AA1017+AA1018</f>
        <v>0</v>
      </c>
      <c r="AB1015" s="84">
        <f t="shared" ref="AB1015:AC1015" ca="1" si="3034">AB1017+AB1018</f>
        <v>0</v>
      </c>
      <c r="AC1015" s="84">
        <f t="shared" ca="1" si="3034"/>
        <v>0</v>
      </c>
    </row>
    <row r="1016" spans="1:31" hidden="1" outlineLevel="1" collapsed="1" x14ac:dyDescent="0.2">
      <c r="A1016" t="str">
        <f ca="1">Language!A477</f>
        <v xml:space="preserve">    длительность производственного цикла</v>
      </c>
      <c r="B1016" s="258">
        <v>0</v>
      </c>
      <c r="C1016" s="5" t="str">
        <f ca="1">Language!A38</f>
        <v>дн.</v>
      </c>
      <c r="D1016" s="16"/>
    </row>
    <row r="1017" spans="1:31" hidden="1" outlineLevel="2" x14ac:dyDescent="0.2">
      <c r="A1017" t="str">
        <f ca="1">Language!A568</f>
        <v xml:space="preserve">    запасы на основе периодов оборота</v>
      </c>
      <c r="B1017" s="50"/>
      <c r="C1017" s="5" t="str">
        <f ca="1">CUR_Main</f>
        <v>тыс. EUR</v>
      </c>
      <c r="D1017" s="16" t="s">
        <v>2594</v>
      </c>
      <c r="E1017">
        <f>F51*CHOOSE($B$37,1,F$88)</f>
        <v>0</v>
      </c>
      <c r="F1017" s="43">
        <f t="shared" ref="F1017:T1017" ca="1" si="3035">F817+F863</f>
        <v>0</v>
      </c>
      <c r="G1017" s="43">
        <f t="shared" ca="1" si="3035"/>
        <v>0</v>
      </c>
      <c r="H1017" s="43">
        <f t="shared" ca="1" si="3035"/>
        <v>0</v>
      </c>
      <c r="I1017" s="43">
        <f t="shared" ca="1" si="3035"/>
        <v>0</v>
      </c>
      <c r="J1017" s="43">
        <f t="shared" ca="1" si="3035"/>
        <v>0</v>
      </c>
      <c r="K1017" s="43">
        <f t="shared" ca="1" si="3035"/>
        <v>0</v>
      </c>
      <c r="L1017" s="43">
        <f t="shared" ca="1" si="3035"/>
        <v>0</v>
      </c>
      <c r="M1017" s="43">
        <f t="shared" ca="1" si="3035"/>
        <v>0</v>
      </c>
      <c r="N1017" s="43">
        <f t="shared" ca="1" si="3035"/>
        <v>0</v>
      </c>
      <c r="O1017" s="43">
        <f t="shared" ca="1" si="3035"/>
        <v>0</v>
      </c>
      <c r="P1017" s="43">
        <f t="shared" ca="1" si="3035"/>
        <v>0</v>
      </c>
      <c r="Q1017" s="43">
        <f t="shared" ca="1" si="3035"/>
        <v>0</v>
      </c>
      <c r="R1017" s="43">
        <f t="shared" ca="1" si="3035"/>
        <v>0</v>
      </c>
      <c r="S1017" s="43">
        <f t="shared" ca="1" si="3035"/>
        <v>0</v>
      </c>
      <c r="T1017" s="43">
        <f t="shared" ca="1" si="3035"/>
        <v>0</v>
      </c>
      <c r="U1017" s="43">
        <f t="shared" ref="U1017" ca="1" si="3036">U817+U863</f>
        <v>0</v>
      </c>
      <c r="V1017" s="43">
        <f t="shared" ref="V1017" ca="1" si="3037">V817+V863</f>
        <v>0</v>
      </c>
      <c r="W1017" s="43">
        <f t="shared" ref="W1017" ca="1" si="3038">W817+W863</f>
        <v>0</v>
      </c>
      <c r="X1017" s="43">
        <f t="shared" ref="X1017" ca="1" si="3039">X817+X863</f>
        <v>0</v>
      </c>
      <c r="Y1017" s="43">
        <f t="shared" ref="Y1017" ca="1" si="3040">Y817+Y863</f>
        <v>0</v>
      </c>
      <c r="Z1017" s="43">
        <f t="shared" ref="Z1017" ca="1" si="3041">Z817+Z863</f>
        <v>0</v>
      </c>
      <c r="AA1017" s="43">
        <f t="shared" ref="AA1017" ca="1" si="3042">AA817+AA863</f>
        <v>0</v>
      </c>
      <c r="AB1017" s="43">
        <f t="shared" ref="AB1017:AC1017" ca="1" si="3043">AB817+AB863</f>
        <v>0</v>
      </c>
      <c r="AC1017" s="43">
        <f t="shared" ca="1" si="3043"/>
        <v>0</v>
      </c>
    </row>
    <row r="1018" spans="1:31" hidden="1" outlineLevel="2" x14ac:dyDescent="0.2">
      <c r="A1018" t="str">
        <f ca="1">Language!A569</f>
        <v xml:space="preserve">    запасы на основе графика оплаты</v>
      </c>
      <c r="B1018" s="50"/>
      <c r="C1018" s="5" t="str">
        <f ca="1">CUR_Main</f>
        <v>тыс. EUR</v>
      </c>
      <c r="D1018" s="16" t="s">
        <v>2594</v>
      </c>
      <c r="F1018" s="43">
        <f>0</f>
        <v>0</v>
      </c>
      <c r="G1018" s="43">
        <f>0</f>
        <v>0</v>
      </c>
      <c r="H1018" s="43">
        <f>0</f>
        <v>0</v>
      </c>
      <c r="I1018" s="43">
        <f>0</f>
        <v>0</v>
      </c>
      <c r="J1018" s="43">
        <f>0</f>
        <v>0</v>
      </c>
      <c r="K1018" s="43">
        <f>0</f>
        <v>0</v>
      </c>
      <c r="L1018" s="43">
        <f>0</f>
        <v>0</v>
      </c>
      <c r="M1018" s="43">
        <f>0</f>
        <v>0</v>
      </c>
      <c r="N1018" s="43">
        <f>0</f>
        <v>0</v>
      </c>
      <c r="O1018" s="43">
        <f>0</f>
        <v>0</v>
      </c>
      <c r="P1018" s="43">
        <f>0</f>
        <v>0</v>
      </c>
      <c r="Q1018" s="43">
        <f>0</f>
        <v>0</v>
      </c>
      <c r="R1018" s="43">
        <f>0</f>
        <v>0</v>
      </c>
      <c r="S1018" s="43">
        <f>0</f>
        <v>0</v>
      </c>
      <c r="T1018" s="43">
        <f>0</f>
        <v>0</v>
      </c>
      <c r="U1018" s="43">
        <f>0</f>
        <v>0</v>
      </c>
      <c r="V1018" s="43">
        <f>0</f>
        <v>0</v>
      </c>
      <c r="W1018" s="43">
        <f>0</f>
        <v>0</v>
      </c>
      <c r="X1018" s="43">
        <f>0</f>
        <v>0</v>
      </c>
      <c r="Y1018" s="43">
        <f>0</f>
        <v>0</v>
      </c>
      <c r="Z1018" s="43">
        <f>0</f>
        <v>0</v>
      </c>
      <c r="AA1018" s="43">
        <f>0</f>
        <v>0</v>
      </c>
      <c r="AB1018" s="43">
        <f>0</f>
        <v>0</v>
      </c>
      <c r="AC1018" s="43">
        <f>0</f>
        <v>0</v>
      </c>
    </row>
    <row r="1019" spans="1:31" hidden="1" outlineLevel="1" x14ac:dyDescent="0.2">
      <c r="A1019" t="str">
        <f ca="1">Language!A478</f>
        <v>Запасы готовой продукции</v>
      </c>
      <c r="B1019" s="17"/>
      <c r="C1019" s="5" t="str">
        <f ca="1">CUR_Main</f>
        <v>тыс. EUR</v>
      </c>
      <c r="D1019" s="16" t="s">
        <v>2594</v>
      </c>
      <c r="E1019" s="84">
        <f t="shared" ref="E1019:T1019" si="3044">E1021+E1022</f>
        <v>0</v>
      </c>
      <c r="F1019" s="84">
        <f t="shared" ca="1" si="3044"/>
        <v>0</v>
      </c>
      <c r="G1019" s="84">
        <f t="shared" ca="1" si="3044"/>
        <v>0</v>
      </c>
      <c r="H1019" s="84">
        <f t="shared" ca="1" si="3044"/>
        <v>0</v>
      </c>
      <c r="I1019" s="84">
        <f t="shared" ca="1" si="3044"/>
        <v>0</v>
      </c>
      <c r="J1019" s="84">
        <f t="shared" ca="1" si="3044"/>
        <v>0</v>
      </c>
      <c r="K1019" s="84">
        <f t="shared" ca="1" si="3044"/>
        <v>5.6843418860808015E-14</v>
      </c>
      <c r="L1019" s="84">
        <f t="shared" ca="1" si="3044"/>
        <v>0</v>
      </c>
      <c r="M1019" s="84">
        <f t="shared" ca="1" si="3044"/>
        <v>0</v>
      </c>
      <c r="N1019" s="84">
        <f t="shared" ca="1" si="3044"/>
        <v>0</v>
      </c>
      <c r="O1019" s="84">
        <f t="shared" ca="1" si="3044"/>
        <v>0</v>
      </c>
      <c r="P1019" s="84">
        <f t="shared" ca="1" si="3044"/>
        <v>0</v>
      </c>
      <c r="Q1019" s="84">
        <f t="shared" ca="1" si="3044"/>
        <v>0</v>
      </c>
      <c r="R1019" s="84">
        <f t="shared" ca="1" si="3044"/>
        <v>0</v>
      </c>
      <c r="S1019" s="84">
        <f t="shared" ca="1" si="3044"/>
        <v>0</v>
      </c>
      <c r="T1019" s="84">
        <f t="shared" ca="1" si="3044"/>
        <v>0</v>
      </c>
      <c r="U1019" s="84">
        <f t="shared" ref="U1019" ca="1" si="3045">U1021+U1022</f>
        <v>0</v>
      </c>
      <c r="V1019" s="84">
        <f t="shared" ref="V1019" ca="1" si="3046">V1021+V1022</f>
        <v>0</v>
      </c>
      <c r="W1019" s="84">
        <f t="shared" ref="W1019" ca="1" si="3047">W1021+W1022</f>
        <v>0</v>
      </c>
      <c r="X1019" s="84">
        <f t="shared" ref="X1019" ca="1" si="3048">X1021+X1022</f>
        <v>0</v>
      </c>
      <c r="Y1019" s="84">
        <f t="shared" ref="Y1019" ca="1" si="3049">Y1021+Y1022</f>
        <v>0</v>
      </c>
      <c r="Z1019" s="84">
        <f t="shared" ref="Z1019" ca="1" si="3050">Z1021+Z1022</f>
        <v>0</v>
      </c>
      <c r="AA1019" s="84">
        <f t="shared" ref="AA1019" ca="1" si="3051">AA1021+AA1022</f>
        <v>0</v>
      </c>
      <c r="AB1019" s="84">
        <f t="shared" ref="AB1019:AC1019" ca="1" si="3052">AB1021+AB1022</f>
        <v>0</v>
      </c>
      <c r="AC1019" s="84">
        <f t="shared" ca="1" si="3052"/>
        <v>0</v>
      </c>
    </row>
    <row r="1020" spans="1:31" hidden="1" outlineLevel="1" x14ac:dyDescent="0.2">
      <c r="A1020" s="19" t="str">
        <f ca="1">Language!A481</f>
        <v xml:space="preserve">    среднее время хранения</v>
      </c>
      <c r="B1020" s="290">
        <v>0</v>
      </c>
      <c r="C1020" s="26" t="str">
        <f ca="1">Language!A38</f>
        <v>дн.</v>
      </c>
      <c r="D1020" s="46"/>
      <c r="E1020" s="19"/>
      <c r="F1020" s="65"/>
      <c r="G1020" s="65"/>
      <c r="H1020" s="65"/>
      <c r="I1020" s="65"/>
      <c r="J1020" s="65"/>
      <c r="K1020" s="65"/>
      <c r="L1020" s="65"/>
      <c r="M1020" s="65"/>
      <c r="N1020" s="65"/>
      <c r="O1020" s="65"/>
      <c r="P1020" s="65"/>
      <c r="Q1020" s="65"/>
      <c r="R1020" s="65"/>
      <c r="S1020" s="65"/>
      <c r="T1020" s="65"/>
      <c r="U1020" s="65"/>
      <c r="V1020" s="65"/>
      <c r="W1020" s="65"/>
      <c r="X1020" s="65"/>
      <c r="Y1020" s="65"/>
      <c r="Z1020" s="65"/>
      <c r="AA1020" s="65"/>
      <c r="AB1020" s="65"/>
      <c r="AC1020" s="65"/>
      <c r="AD1020" s="19"/>
      <c r="AE1020" s="22"/>
    </row>
    <row r="1021" spans="1:31" hidden="1" outlineLevel="2" x14ac:dyDescent="0.2">
      <c r="A1021" s="19" t="str">
        <f ca="1">Language!A568</f>
        <v xml:space="preserve">    запасы на основе периодов оборота</v>
      </c>
      <c r="B1021" s="147"/>
      <c r="C1021" s="5" t="str">
        <f ca="1">CUR_Main</f>
        <v>тыс. EUR</v>
      </c>
      <c r="D1021" s="16" t="s">
        <v>2594</v>
      </c>
      <c r="E1021" s="19">
        <f>F52*CHOOSE($B$37,1,F$88)</f>
        <v>0</v>
      </c>
      <c r="F1021" s="65">
        <f t="shared" ref="F1021:T1021" ca="1" si="3053">(F805+F855)*NWC_T_Goods/PRJ_Step</f>
        <v>0</v>
      </c>
      <c r="G1021" s="65">
        <f t="shared" ca="1" si="3053"/>
        <v>0</v>
      </c>
      <c r="H1021" s="65">
        <f t="shared" ca="1" si="3053"/>
        <v>0</v>
      </c>
      <c r="I1021" s="65">
        <f t="shared" ca="1" si="3053"/>
        <v>0</v>
      </c>
      <c r="J1021" s="65">
        <f t="shared" ca="1" si="3053"/>
        <v>0</v>
      </c>
      <c r="K1021" s="65">
        <f t="shared" ca="1" si="3053"/>
        <v>0</v>
      </c>
      <c r="L1021" s="65">
        <f t="shared" ca="1" si="3053"/>
        <v>0</v>
      </c>
      <c r="M1021" s="65">
        <f t="shared" ca="1" si="3053"/>
        <v>0</v>
      </c>
      <c r="N1021" s="65">
        <f t="shared" ca="1" si="3053"/>
        <v>0</v>
      </c>
      <c r="O1021" s="65">
        <f t="shared" ca="1" si="3053"/>
        <v>0</v>
      </c>
      <c r="P1021" s="65">
        <f t="shared" ca="1" si="3053"/>
        <v>0</v>
      </c>
      <c r="Q1021" s="65">
        <f t="shared" ca="1" si="3053"/>
        <v>0</v>
      </c>
      <c r="R1021" s="65">
        <f t="shared" ca="1" si="3053"/>
        <v>0</v>
      </c>
      <c r="S1021" s="65">
        <f t="shared" ca="1" si="3053"/>
        <v>0</v>
      </c>
      <c r="T1021" s="65">
        <f t="shared" ca="1" si="3053"/>
        <v>0</v>
      </c>
      <c r="U1021" s="65">
        <f t="shared" ref="U1021" ca="1" si="3054">(U805+U855)*NWC_T_Goods/PRJ_Step</f>
        <v>0</v>
      </c>
      <c r="V1021" s="65">
        <f t="shared" ref="V1021" ca="1" si="3055">(V805+V855)*NWC_T_Goods/PRJ_Step</f>
        <v>0</v>
      </c>
      <c r="W1021" s="65">
        <f t="shared" ref="W1021" ca="1" si="3056">(W805+W855)*NWC_T_Goods/PRJ_Step</f>
        <v>0</v>
      </c>
      <c r="X1021" s="65">
        <f t="shared" ref="X1021" ca="1" si="3057">(X805+X855)*NWC_T_Goods/PRJ_Step</f>
        <v>0</v>
      </c>
      <c r="Y1021" s="65">
        <f t="shared" ref="Y1021" ca="1" si="3058">(Y805+Y855)*NWC_T_Goods/PRJ_Step</f>
        <v>0</v>
      </c>
      <c r="Z1021" s="65">
        <f t="shared" ref="Z1021" ca="1" si="3059">(Z805+Z855)*NWC_T_Goods/PRJ_Step</f>
        <v>0</v>
      </c>
      <c r="AA1021" s="65">
        <f t="shared" ref="AA1021" ca="1" si="3060">(AA805+AA855)*NWC_T_Goods/PRJ_Step</f>
        <v>0</v>
      </c>
      <c r="AB1021" s="65">
        <f t="shared" ref="AB1021:AC1021" ca="1" si="3061">(AB805+AB855)*NWC_T_Goods/PRJ_Step</f>
        <v>0</v>
      </c>
      <c r="AC1021" s="65">
        <f t="shared" ca="1" si="3061"/>
        <v>0</v>
      </c>
      <c r="AD1021" s="19"/>
      <c r="AE1021" s="22"/>
    </row>
    <row r="1022" spans="1:31" hidden="1" outlineLevel="2" x14ac:dyDescent="0.2">
      <c r="A1022" s="19" t="str">
        <f ca="1">Language!A569</f>
        <v xml:space="preserve">    запасы на основе графика оплаты</v>
      </c>
      <c r="B1022" s="50"/>
      <c r="C1022" s="5" t="str">
        <f ca="1">CUR_Main</f>
        <v>тыс. EUR</v>
      </c>
      <c r="D1022" s="16" t="s">
        <v>2594</v>
      </c>
      <c r="E1022" s="19"/>
      <c r="F1022" s="65">
        <f t="shared" ref="F1022:T1022" ca="1" si="3062">F862+F816</f>
        <v>0</v>
      </c>
      <c r="G1022" s="65">
        <f t="shared" ca="1" si="3062"/>
        <v>0</v>
      </c>
      <c r="H1022" s="65">
        <f t="shared" ca="1" si="3062"/>
        <v>0</v>
      </c>
      <c r="I1022" s="65">
        <f t="shared" ca="1" si="3062"/>
        <v>0</v>
      </c>
      <c r="J1022" s="65">
        <f t="shared" ca="1" si="3062"/>
        <v>0</v>
      </c>
      <c r="K1022" s="65">
        <f t="shared" ca="1" si="3062"/>
        <v>5.6843418860808015E-14</v>
      </c>
      <c r="L1022" s="65">
        <f t="shared" ca="1" si="3062"/>
        <v>0</v>
      </c>
      <c r="M1022" s="65">
        <f t="shared" ca="1" si="3062"/>
        <v>0</v>
      </c>
      <c r="N1022" s="65">
        <f t="shared" ca="1" si="3062"/>
        <v>0</v>
      </c>
      <c r="O1022" s="65">
        <f t="shared" ca="1" si="3062"/>
        <v>0</v>
      </c>
      <c r="P1022" s="65">
        <f t="shared" ca="1" si="3062"/>
        <v>0</v>
      </c>
      <c r="Q1022" s="65">
        <f t="shared" ca="1" si="3062"/>
        <v>0</v>
      </c>
      <c r="R1022" s="65">
        <f t="shared" ca="1" si="3062"/>
        <v>0</v>
      </c>
      <c r="S1022" s="65">
        <f t="shared" ca="1" si="3062"/>
        <v>0</v>
      </c>
      <c r="T1022" s="65">
        <f t="shared" ca="1" si="3062"/>
        <v>0</v>
      </c>
      <c r="U1022" s="65">
        <f t="shared" ref="U1022" ca="1" si="3063">U862+U816</f>
        <v>0</v>
      </c>
      <c r="V1022" s="65">
        <f t="shared" ref="V1022" ca="1" si="3064">V862+V816</f>
        <v>0</v>
      </c>
      <c r="W1022" s="65">
        <f t="shared" ref="W1022" ca="1" si="3065">W862+W816</f>
        <v>0</v>
      </c>
      <c r="X1022" s="65">
        <f t="shared" ref="X1022" ca="1" si="3066">X862+X816</f>
        <v>0</v>
      </c>
      <c r="Y1022" s="65">
        <f t="shared" ref="Y1022" ca="1" si="3067">Y862+Y816</f>
        <v>0</v>
      </c>
      <c r="Z1022" s="65">
        <f t="shared" ref="Z1022" ca="1" si="3068">Z862+Z816</f>
        <v>0</v>
      </c>
      <c r="AA1022" s="65">
        <f t="shared" ref="AA1022" ca="1" si="3069">AA862+AA816</f>
        <v>0</v>
      </c>
      <c r="AB1022" s="65">
        <f t="shared" ref="AB1022:AC1022" ca="1" si="3070">AB862+AB816</f>
        <v>0</v>
      </c>
      <c r="AC1022" s="65">
        <f t="shared" ca="1" si="3070"/>
        <v>0</v>
      </c>
      <c r="AD1022" s="19"/>
      <c r="AE1022" s="22"/>
    </row>
    <row r="1023" spans="1:31" hidden="1" outlineLevel="1" x14ac:dyDescent="0.2">
      <c r="A1023" s="63"/>
      <c r="B1023" s="63"/>
      <c r="C1023" s="63"/>
      <c r="D1023" s="60"/>
      <c r="E1023" s="63"/>
      <c r="F1023" s="120"/>
      <c r="G1023" s="120"/>
      <c r="H1023" s="120"/>
      <c r="I1023" s="120"/>
      <c r="J1023" s="120"/>
      <c r="K1023" s="120"/>
      <c r="L1023" s="120"/>
      <c r="M1023" s="120"/>
      <c r="N1023" s="120"/>
      <c r="O1023" s="120"/>
      <c r="P1023" s="120"/>
      <c r="Q1023" s="120"/>
      <c r="R1023" s="120"/>
      <c r="S1023" s="120"/>
      <c r="T1023" s="120"/>
      <c r="U1023" s="120"/>
      <c r="V1023" s="120"/>
      <c r="W1023" s="120"/>
      <c r="X1023" s="120"/>
      <c r="Y1023" s="120"/>
      <c r="Z1023" s="120"/>
      <c r="AA1023" s="120"/>
      <c r="AB1023" s="120"/>
      <c r="AC1023" s="120"/>
      <c r="AD1023" s="63"/>
      <c r="AE1023" s="64"/>
    </row>
    <row r="1024" spans="1:31" hidden="1" outlineLevel="1" x14ac:dyDescent="0.2">
      <c r="A1024" s="62" t="str">
        <f ca="1">Language!A482</f>
        <v>РАСЧЕТЫ С ПОКУПАТЕЛЯМИ</v>
      </c>
      <c r="B1024" s="19"/>
      <c r="C1024" s="19"/>
      <c r="D1024" s="46"/>
      <c r="E1024" s="19"/>
      <c r="F1024" s="65"/>
      <c r="G1024" s="65"/>
      <c r="H1024" s="65"/>
      <c r="I1024" s="65"/>
      <c r="J1024" s="65"/>
      <c r="K1024" s="65"/>
      <c r="L1024" s="65"/>
      <c r="M1024" s="65"/>
      <c r="N1024" s="65"/>
      <c r="O1024" s="65"/>
      <c r="P1024" s="65"/>
      <c r="Q1024" s="65"/>
      <c r="R1024" s="65"/>
      <c r="S1024" s="65"/>
      <c r="T1024" s="65"/>
      <c r="U1024" s="65"/>
      <c r="V1024" s="65"/>
      <c r="W1024" s="65"/>
      <c r="X1024" s="65"/>
      <c r="Y1024" s="65"/>
      <c r="Z1024" s="65"/>
      <c r="AA1024" s="65"/>
      <c r="AB1024" s="65"/>
      <c r="AC1024" s="65"/>
      <c r="AD1024" s="19"/>
      <c r="AE1024" s="22"/>
    </row>
    <row r="1025" spans="1:31" hidden="1" outlineLevel="1" x14ac:dyDescent="0.2">
      <c r="A1025" t="str">
        <f ca="1">Language!A483</f>
        <v>Поступления денег от продаж:</v>
      </c>
      <c r="B1025" s="36" t="str">
        <f ca="1">Language!A523</f>
        <v>доля</v>
      </c>
      <c r="C1025" s="36" t="str">
        <f ca="1">Language!A524</f>
        <v>срок, дн.</v>
      </c>
      <c r="D1025" s="16"/>
      <c r="F1025" s="43"/>
      <c r="G1025" s="43"/>
      <c r="H1025" s="43"/>
      <c r="I1025" s="43"/>
      <c r="J1025" s="43"/>
      <c r="K1025" s="43"/>
      <c r="L1025" s="43"/>
      <c r="M1025" s="43"/>
      <c r="N1025" s="43"/>
      <c r="O1025" s="43"/>
      <c r="P1025" s="43"/>
      <c r="Q1025" s="43"/>
      <c r="R1025" s="43"/>
      <c r="S1025" s="43"/>
      <c r="T1025" s="43"/>
      <c r="U1025" s="43"/>
      <c r="V1025" s="43"/>
      <c r="W1025" s="43"/>
      <c r="X1025" s="43"/>
      <c r="Y1025" s="43"/>
      <c r="Z1025" s="43"/>
      <c r="AA1025" s="43"/>
      <c r="AB1025" s="43"/>
      <c r="AC1025" s="43"/>
    </row>
    <row r="1026" spans="1:31" hidden="1" outlineLevel="1" x14ac:dyDescent="0.2">
      <c r="A1026" t="str">
        <f ca="1">Language!A484</f>
        <v xml:space="preserve">    немедленная оплата</v>
      </c>
      <c r="B1026" s="61">
        <f>1-NWC_T_Db_AdvK-NWC_T_Db_CrdK</f>
        <v>1</v>
      </c>
      <c r="C1026" s="17" t="s">
        <v>2592</v>
      </c>
      <c r="D1026" s="16"/>
      <c r="F1026" s="43"/>
      <c r="G1026" s="43"/>
      <c r="H1026" s="43"/>
      <c r="I1026" s="43"/>
      <c r="J1026" s="43"/>
      <c r="K1026" s="43"/>
      <c r="L1026" s="43"/>
      <c r="M1026" s="43"/>
      <c r="N1026" s="43"/>
      <c r="O1026" s="43"/>
      <c r="P1026" s="43"/>
      <c r="Q1026" s="43"/>
      <c r="R1026" s="43"/>
      <c r="S1026" s="43"/>
      <c r="T1026" s="43"/>
      <c r="U1026" s="43"/>
      <c r="V1026" s="43"/>
      <c r="W1026" s="43"/>
      <c r="X1026" s="43"/>
      <c r="Y1026" s="43"/>
      <c r="Z1026" s="43"/>
      <c r="AA1026" s="43"/>
      <c r="AB1026" s="43"/>
      <c r="AC1026" s="43"/>
    </row>
    <row r="1027" spans="1:31" hidden="1" outlineLevel="1" x14ac:dyDescent="0.2">
      <c r="A1027" t="str">
        <f ca="1">Language!A485</f>
        <v xml:space="preserve">    продажи с предоплатой</v>
      </c>
      <c r="B1027" s="283">
        <v>0</v>
      </c>
      <c r="C1027" s="258">
        <v>0</v>
      </c>
      <c r="D1027" s="16"/>
      <c r="F1027" s="43"/>
      <c r="G1027" s="43"/>
      <c r="H1027" s="43"/>
      <c r="I1027" s="43"/>
      <c r="J1027" s="43"/>
      <c r="K1027" s="43"/>
      <c r="L1027" s="43"/>
      <c r="M1027" s="43"/>
      <c r="N1027" s="43"/>
      <c r="O1027" s="43"/>
      <c r="P1027" s="43"/>
      <c r="Q1027" s="43"/>
      <c r="R1027" s="43"/>
      <c r="S1027" s="43"/>
      <c r="T1027" s="43"/>
      <c r="U1027" s="43"/>
      <c r="V1027" s="43"/>
      <c r="W1027" s="43"/>
      <c r="X1027" s="43"/>
      <c r="Y1027" s="43"/>
      <c r="Z1027" s="43"/>
      <c r="AA1027" s="43"/>
      <c r="AB1027" s="43"/>
      <c r="AC1027" s="43"/>
    </row>
    <row r="1028" spans="1:31" hidden="1" outlineLevel="1" x14ac:dyDescent="0.2">
      <c r="A1028" t="str">
        <f ca="1">Language!A486</f>
        <v xml:space="preserve">    продажи в кредит</v>
      </c>
      <c r="B1028" s="283">
        <v>0</v>
      </c>
      <c r="C1028" s="258">
        <v>0</v>
      </c>
      <c r="D1028" s="16"/>
      <c r="F1028" s="43"/>
      <c r="G1028" s="43"/>
      <c r="H1028" s="43"/>
      <c r="I1028" s="43"/>
      <c r="J1028" s="43"/>
      <c r="K1028" s="43"/>
      <c r="L1028" s="43"/>
      <c r="M1028" s="43"/>
      <c r="N1028" s="43"/>
      <c r="O1028" s="43"/>
      <c r="P1028" s="43"/>
      <c r="Q1028" s="43"/>
      <c r="R1028" s="43"/>
      <c r="S1028" s="43"/>
      <c r="T1028" s="43"/>
      <c r="U1028" s="43"/>
      <c r="V1028" s="43"/>
      <c r="W1028" s="43"/>
      <c r="X1028" s="43"/>
      <c r="Y1028" s="43"/>
      <c r="Z1028" s="43"/>
      <c r="AA1028" s="43"/>
      <c r="AB1028" s="43"/>
      <c r="AC1028" s="43"/>
    </row>
    <row r="1029" spans="1:31" hidden="1" outlineLevel="1" collapsed="1" x14ac:dyDescent="0.2">
      <c r="A1029" t="str">
        <f ca="1">Language!A487</f>
        <v>Сумма счетов к получению</v>
      </c>
      <c r="C1029" s="5" t="str">
        <f t="shared" ref="C1029:C1034" ca="1" si="3071">CUR_Main</f>
        <v>тыс. EUR</v>
      </c>
      <c r="D1029" s="16" t="s">
        <v>2594</v>
      </c>
      <c r="E1029" s="43">
        <f t="shared" ref="E1029:T1029" si="3072">E1030+E1031</f>
        <v>0</v>
      </c>
      <c r="F1029" s="43">
        <f t="shared" si="3072"/>
        <v>0</v>
      </c>
      <c r="G1029" s="43">
        <f t="shared" si="3072"/>
        <v>0</v>
      </c>
      <c r="H1029" s="43">
        <f t="shared" si="3072"/>
        <v>0</v>
      </c>
      <c r="I1029" s="43">
        <f t="shared" si="3072"/>
        <v>0</v>
      </c>
      <c r="J1029" s="43">
        <f t="shared" si="3072"/>
        <v>0</v>
      </c>
      <c r="K1029" s="43">
        <f t="shared" si="3072"/>
        <v>0</v>
      </c>
      <c r="L1029" s="43">
        <f t="shared" si="3072"/>
        <v>0</v>
      </c>
      <c r="M1029" s="43">
        <f t="shared" si="3072"/>
        <v>0</v>
      </c>
      <c r="N1029" s="43">
        <f t="shared" si="3072"/>
        <v>0</v>
      </c>
      <c r="O1029" s="43">
        <f t="shared" si="3072"/>
        <v>0</v>
      </c>
      <c r="P1029" s="43">
        <f t="shared" si="3072"/>
        <v>0</v>
      </c>
      <c r="Q1029" s="43">
        <f t="shared" si="3072"/>
        <v>0</v>
      </c>
      <c r="R1029" s="43">
        <f t="shared" si="3072"/>
        <v>0</v>
      </c>
      <c r="S1029" s="43">
        <f t="shared" si="3072"/>
        <v>0</v>
      </c>
      <c r="T1029" s="43">
        <f t="shared" si="3072"/>
        <v>0</v>
      </c>
      <c r="U1029" s="43">
        <f t="shared" ref="U1029" si="3073">U1030+U1031</f>
        <v>0</v>
      </c>
      <c r="V1029" s="43">
        <f t="shared" ref="V1029" si="3074">V1030+V1031</f>
        <v>0</v>
      </c>
      <c r="W1029" s="43">
        <f t="shared" ref="W1029" si="3075">W1030+W1031</f>
        <v>0</v>
      </c>
      <c r="X1029" s="43">
        <f t="shared" ref="X1029" si="3076">X1030+X1031</f>
        <v>0</v>
      </c>
      <c r="Y1029" s="43">
        <f t="shared" ref="Y1029" si="3077">Y1030+Y1031</f>
        <v>0</v>
      </c>
      <c r="Z1029" s="43">
        <f t="shared" ref="Z1029" si="3078">Z1030+Z1031</f>
        <v>0</v>
      </c>
      <c r="AA1029" s="43">
        <f t="shared" ref="AA1029" si="3079">AA1030+AA1031</f>
        <v>0</v>
      </c>
      <c r="AB1029" s="43">
        <f t="shared" ref="AB1029:AC1029" si="3080">AB1030+AB1031</f>
        <v>0</v>
      </c>
      <c r="AC1029" s="43">
        <f t="shared" si="3080"/>
        <v>0</v>
      </c>
    </row>
    <row r="1030" spans="1:31" hidden="1" outlineLevel="2" x14ac:dyDescent="0.2">
      <c r="A1030" t="str">
        <f ca="1">Language!A488</f>
        <v xml:space="preserve">    на основе циклов оборачиваемости</v>
      </c>
      <c r="C1030" s="5" t="str">
        <f t="shared" ca="1" si="3071"/>
        <v>тыс. EUR</v>
      </c>
      <c r="D1030" s="16" t="s">
        <v>2594</v>
      </c>
      <c r="E1030">
        <f>F53*CHOOSE($B$37,1,F$88)</f>
        <v>0</v>
      </c>
      <c r="F1030" s="43">
        <f t="shared" ref="F1030:X1030" si="3081">F714*NWC_T_Db_CrdK*NWC_T_Db_CrdT/PRJ_Step</f>
        <v>0</v>
      </c>
      <c r="G1030" s="43">
        <f t="shared" si="3081"/>
        <v>0</v>
      </c>
      <c r="H1030" s="43">
        <f t="shared" si="3081"/>
        <v>0</v>
      </c>
      <c r="I1030" s="43">
        <f t="shared" si="3081"/>
        <v>0</v>
      </c>
      <c r="J1030" s="43">
        <f t="shared" si="3081"/>
        <v>0</v>
      </c>
      <c r="K1030" s="43">
        <f t="shared" si="3081"/>
        <v>0</v>
      </c>
      <c r="L1030" s="43">
        <f t="shared" si="3081"/>
        <v>0</v>
      </c>
      <c r="M1030" s="43">
        <f t="shared" si="3081"/>
        <v>0</v>
      </c>
      <c r="N1030" s="43">
        <f t="shared" si="3081"/>
        <v>0</v>
      </c>
      <c r="O1030" s="43">
        <f t="shared" si="3081"/>
        <v>0</v>
      </c>
      <c r="P1030" s="43">
        <f t="shared" si="3081"/>
        <v>0</v>
      </c>
      <c r="Q1030" s="43">
        <f t="shared" si="3081"/>
        <v>0</v>
      </c>
      <c r="R1030" s="43">
        <f t="shared" si="3081"/>
        <v>0</v>
      </c>
      <c r="S1030" s="43">
        <f t="shared" si="3081"/>
        <v>0</v>
      </c>
      <c r="T1030" s="43">
        <f t="shared" si="3081"/>
        <v>0</v>
      </c>
      <c r="U1030" s="43">
        <f t="shared" si="3081"/>
        <v>0</v>
      </c>
      <c r="V1030" s="43">
        <f t="shared" si="3081"/>
        <v>0</v>
      </c>
      <c r="W1030" s="43">
        <f t="shared" si="3081"/>
        <v>0</v>
      </c>
      <c r="X1030" s="43">
        <f t="shared" si="3081"/>
        <v>0</v>
      </c>
      <c r="Y1030" s="43">
        <f t="shared" ref="Y1030" si="3082">Y714*NWC_T_Db_CrdK*NWC_T_Db_CrdT/PRJ_Step</f>
        <v>0</v>
      </c>
      <c r="Z1030" s="43">
        <f t="shared" ref="Z1030" si="3083">Z714*NWC_T_Db_CrdK*NWC_T_Db_CrdT/PRJ_Step</f>
        <v>0</v>
      </c>
      <c r="AA1030" s="43">
        <f t="shared" ref="AA1030" si="3084">AA714*NWC_T_Db_CrdK*NWC_T_Db_CrdT/PRJ_Step</f>
        <v>0</v>
      </c>
      <c r="AB1030" s="43">
        <f t="shared" ref="AB1030:AC1030" si="3085">AB714*NWC_T_Db_CrdK*NWC_T_Db_CrdT/PRJ_Step</f>
        <v>0</v>
      </c>
      <c r="AC1030" s="43">
        <f t="shared" si="3085"/>
        <v>0</v>
      </c>
    </row>
    <row r="1031" spans="1:31" hidden="1" outlineLevel="2" x14ac:dyDescent="0.2">
      <c r="A1031" t="str">
        <f ca="1">Language!A489</f>
        <v xml:space="preserve">    в соответствии с графиком оплаты продукции</v>
      </c>
      <c r="C1031" s="5" t="str">
        <f t="shared" ca="1" si="3071"/>
        <v>тыс. EUR</v>
      </c>
      <c r="D1031" s="16" t="s">
        <v>2594</v>
      </c>
      <c r="F1031" s="43">
        <f t="shared" ref="F1031:X1031" si="3086">F720</f>
        <v>0</v>
      </c>
      <c r="G1031" s="43">
        <f t="shared" si="3086"/>
        <v>0</v>
      </c>
      <c r="H1031" s="43">
        <f t="shared" si="3086"/>
        <v>0</v>
      </c>
      <c r="I1031" s="43">
        <f t="shared" si="3086"/>
        <v>0</v>
      </c>
      <c r="J1031" s="43">
        <f t="shared" si="3086"/>
        <v>0</v>
      </c>
      <c r="K1031" s="43">
        <f t="shared" si="3086"/>
        <v>0</v>
      </c>
      <c r="L1031" s="43">
        <f t="shared" si="3086"/>
        <v>0</v>
      </c>
      <c r="M1031" s="43">
        <f t="shared" si="3086"/>
        <v>0</v>
      </c>
      <c r="N1031" s="43">
        <f t="shared" si="3086"/>
        <v>0</v>
      </c>
      <c r="O1031" s="43">
        <f t="shared" si="3086"/>
        <v>0</v>
      </c>
      <c r="P1031" s="43">
        <f t="shared" si="3086"/>
        <v>0</v>
      </c>
      <c r="Q1031" s="43">
        <f t="shared" si="3086"/>
        <v>0</v>
      </c>
      <c r="R1031" s="43">
        <f t="shared" si="3086"/>
        <v>0</v>
      </c>
      <c r="S1031" s="43">
        <f t="shared" si="3086"/>
        <v>0</v>
      </c>
      <c r="T1031" s="43">
        <f t="shared" si="3086"/>
        <v>0</v>
      </c>
      <c r="U1031" s="43">
        <f t="shared" si="3086"/>
        <v>0</v>
      </c>
      <c r="V1031" s="43">
        <f t="shared" si="3086"/>
        <v>0</v>
      </c>
      <c r="W1031" s="43">
        <f t="shared" si="3086"/>
        <v>0</v>
      </c>
      <c r="X1031" s="43">
        <f t="shared" si="3086"/>
        <v>0</v>
      </c>
      <c r="Y1031" s="43">
        <f t="shared" ref="Y1031" si="3087">Y720</f>
        <v>0</v>
      </c>
      <c r="Z1031" s="43">
        <f t="shared" ref="Z1031" si="3088">Z720</f>
        <v>0</v>
      </c>
      <c r="AA1031" s="43">
        <f t="shared" ref="AA1031" si="3089">AA720</f>
        <v>0</v>
      </c>
      <c r="AB1031" s="43">
        <f t="shared" ref="AB1031:AC1031" si="3090">AB720</f>
        <v>0</v>
      </c>
      <c r="AC1031" s="43">
        <f t="shared" si="3090"/>
        <v>0</v>
      </c>
    </row>
    <row r="1032" spans="1:31" hidden="1" outlineLevel="1" collapsed="1" x14ac:dyDescent="0.2">
      <c r="A1032" t="str">
        <f ca="1">Language!A490</f>
        <v>Сумма полученных авансов</v>
      </c>
      <c r="C1032" s="5" t="str">
        <f t="shared" ca="1" si="3071"/>
        <v>тыс. EUR</v>
      </c>
      <c r="D1032" s="46" t="s">
        <v>2594</v>
      </c>
      <c r="E1032" s="43">
        <f t="shared" ref="E1032:T1032" si="3091">E1033+E1034</f>
        <v>0</v>
      </c>
      <c r="F1032" s="43">
        <f t="shared" si="3091"/>
        <v>0</v>
      </c>
      <c r="G1032" s="43">
        <f t="shared" si="3091"/>
        <v>0</v>
      </c>
      <c r="H1032" s="43">
        <f t="shared" si="3091"/>
        <v>0</v>
      </c>
      <c r="I1032" s="43">
        <f t="shared" si="3091"/>
        <v>0</v>
      </c>
      <c r="J1032" s="43">
        <f t="shared" si="3091"/>
        <v>0</v>
      </c>
      <c r="K1032" s="43">
        <f t="shared" si="3091"/>
        <v>0</v>
      </c>
      <c r="L1032" s="43">
        <f t="shared" si="3091"/>
        <v>0</v>
      </c>
      <c r="M1032" s="43">
        <f t="shared" si="3091"/>
        <v>0</v>
      </c>
      <c r="N1032" s="43">
        <f t="shared" si="3091"/>
        <v>0</v>
      </c>
      <c r="O1032" s="43">
        <f t="shared" si="3091"/>
        <v>0</v>
      </c>
      <c r="P1032" s="43">
        <f t="shared" si="3091"/>
        <v>0</v>
      </c>
      <c r="Q1032" s="43">
        <f t="shared" si="3091"/>
        <v>0</v>
      </c>
      <c r="R1032" s="43">
        <f t="shared" si="3091"/>
        <v>0</v>
      </c>
      <c r="S1032" s="43">
        <f t="shared" si="3091"/>
        <v>0</v>
      </c>
      <c r="T1032" s="43">
        <f t="shared" si="3091"/>
        <v>0</v>
      </c>
      <c r="U1032" s="43">
        <f t="shared" ref="U1032" si="3092">U1033+U1034</f>
        <v>0</v>
      </c>
      <c r="V1032" s="43">
        <f t="shared" ref="V1032" si="3093">V1033+V1034</f>
        <v>0</v>
      </c>
      <c r="W1032" s="43">
        <f t="shared" ref="W1032" si="3094">W1033+W1034</f>
        <v>0</v>
      </c>
      <c r="X1032" s="43">
        <f t="shared" ref="X1032" si="3095">X1033+X1034</f>
        <v>0</v>
      </c>
      <c r="Y1032" s="43">
        <f t="shared" ref="Y1032" si="3096">Y1033+Y1034</f>
        <v>0</v>
      </c>
      <c r="Z1032" s="43">
        <f t="shared" ref="Z1032" si="3097">Z1033+Z1034</f>
        <v>0</v>
      </c>
      <c r="AA1032" s="43">
        <f t="shared" ref="AA1032" si="3098">AA1033+AA1034</f>
        <v>0</v>
      </c>
      <c r="AB1032" s="43">
        <f t="shared" ref="AB1032:AC1032" si="3099">AB1033+AB1034</f>
        <v>0</v>
      </c>
      <c r="AC1032" s="43">
        <f t="shared" si="3099"/>
        <v>0</v>
      </c>
    </row>
    <row r="1033" spans="1:31" hidden="1" outlineLevel="2" x14ac:dyDescent="0.2">
      <c r="A1033" t="str">
        <f ca="1">Language!A491</f>
        <v xml:space="preserve">    на основе циклов оборачиваемости (c НДС на аванс)</v>
      </c>
      <c r="C1033" s="5" t="str">
        <f t="shared" ca="1" si="3071"/>
        <v>тыс. EUR</v>
      </c>
      <c r="D1033" s="16" t="s">
        <v>2594</v>
      </c>
      <c r="E1033">
        <f>F68*CHOOSE($B$37,1,F$88)</f>
        <v>0</v>
      </c>
      <c r="F1033" s="43">
        <f t="shared" ref="F1033:X1033" si="3100">F714*NWC_T_Db_AdvK*NWC_T_Db_AdvT/PRJ_Step</f>
        <v>0</v>
      </c>
      <c r="G1033" s="43">
        <f t="shared" si="3100"/>
        <v>0</v>
      </c>
      <c r="H1033" s="43">
        <f t="shared" si="3100"/>
        <v>0</v>
      </c>
      <c r="I1033" s="43">
        <f t="shared" si="3100"/>
        <v>0</v>
      </c>
      <c r="J1033" s="43">
        <f t="shared" si="3100"/>
        <v>0</v>
      </c>
      <c r="K1033" s="43">
        <f t="shared" si="3100"/>
        <v>0</v>
      </c>
      <c r="L1033" s="43">
        <f t="shared" si="3100"/>
        <v>0</v>
      </c>
      <c r="M1033" s="43">
        <f t="shared" si="3100"/>
        <v>0</v>
      </c>
      <c r="N1033" s="43">
        <f t="shared" si="3100"/>
        <v>0</v>
      </c>
      <c r="O1033" s="43">
        <f t="shared" si="3100"/>
        <v>0</v>
      </c>
      <c r="P1033" s="43">
        <f t="shared" si="3100"/>
        <v>0</v>
      </c>
      <c r="Q1033" s="43">
        <f t="shared" si="3100"/>
        <v>0</v>
      </c>
      <c r="R1033" s="43">
        <f t="shared" si="3100"/>
        <v>0</v>
      </c>
      <c r="S1033" s="43">
        <f t="shared" si="3100"/>
        <v>0</v>
      </c>
      <c r="T1033" s="43">
        <f t="shared" si="3100"/>
        <v>0</v>
      </c>
      <c r="U1033" s="43">
        <f t="shared" si="3100"/>
        <v>0</v>
      </c>
      <c r="V1033" s="43">
        <f t="shared" si="3100"/>
        <v>0</v>
      </c>
      <c r="W1033" s="43">
        <f t="shared" si="3100"/>
        <v>0</v>
      </c>
      <c r="X1033" s="43">
        <f t="shared" si="3100"/>
        <v>0</v>
      </c>
      <c r="Y1033" s="43">
        <f t="shared" ref="Y1033" si="3101">Y714*NWC_T_Db_AdvK*NWC_T_Db_AdvT/PRJ_Step</f>
        <v>0</v>
      </c>
      <c r="Z1033" s="43">
        <f t="shared" ref="Z1033" si="3102">Z714*NWC_T_Db_AdvK*NWC_T_Db_AdvT/PRJ_Step</f>
        <v>0</v>
      </c>
      <c r="AA1033" s="43">
        <f t="shared" ref="AA1033" si="3103">AA714*NWC_T_Db_AdvK*NWC_T_Db_AdvT/PRJ_Step</f>
        <v>0</v>
      </c>
      <c r="AB1033" s="43">
        <f t="shared" ref="AB1033:AC1033" si="3104">AB714*NWC_T_Db_AdvK*NWC_T_Db_AdvT/PRJ_Step</f>
        <v>0</v>
      </c>
      <c r="AC1033" s="43">
        <f t="shared" si="3104"/>
        <v>0</v>
      </c>
    </row>
    <row r="1034" spans="1:31" hidden="1" outlineLevel="2" x14ac:dyDescent="0.2">
      <c r="A1034" s="19" t="str">
        <f ca="1">Language!A492</f>
        <v xml:space="preserve">    в соответствии с графиком оплаты продукции</v>
      </c>
      <c r="B1034" s="19"/>
      <c r="C1034" s="26" t="str">
        <f t="shared" ca="1" si="3071"/>
        <v>тыс. EUR</v>
      </c>
      <c r="D1034" s="46" t="s">
        <v>2594</v>
      </c>
      <c r="E1034" s="19"/>
      <c r="F1034" s="65">
        <f t="shared" ref="F1034:X1034" si="3105">F721</f>
        <v>0</v>
      </c>
      <c r="G1034" s="65">
        <f t="shared" si="3105"/>
        <v>0</v>
      </c>
      <c r="H1034" s="65">
        <f t="shared" si="3105"/>
        <v>0</v>
      </c>
      <c r="I1034" s="65">
        <f t="shared" si="3105"/>
        <v>0</v>
      </c>
      <c r="J1034" s="65">
        <f t="shared" si="3105"/>
        <v>0</v>
      </c>
      <c r="K1034" s="65">
        <f t="shared" si="3105"/>
        <v>0</v>
      </c>
      <c r="L1034" s="65">
        <f t="shared" si="3105"/>
        <v>0</v>
      </c>
      <c r="M1034" s="65">
        <f t="shared" si="3105"/>
        <v>0</v>
      </c>
      <c r="N1034" s="65">
        <f t="shared" si="3105"/>
        <v>0</v>
      </c>
      <c r="O1034" s="65">
        <f t="shared" si="3105"/>
        <v>0</v>
      </c>
      <c r="P1034" s="65">
        <f t="shared" si="3105"/>
        <v>0</v>
      </c>
      <c r="Q1034" s="65">
        <f t="shared" si="3105"/>
        <v>0</v>
      </c>
      <c r="R1034" s="65">
        <f t="shared" si="3105"/>
        <v>0</v>
      </c>
      <c r="S1034" s="65">
        <f t="shared" si="3105"/>
        <v>0</v>
      </c>
      <c r="T1034" s="65">
        <f t="shared" si="3105"/>
        <v>0</v>
      </c>
      <c r="U1034" s="65">
        <f t="shared" si="3105"/>
        <v>0</v>
      </c>
      <c r="V1034" s="65">
        <f t="shared" si="3105"/>
        <v>0</v>
      </c>
      <c r="W1034" s="65">
        <f t="shared" si="3105"/>
        <v>0</v>
      </c>
      <c r="X1034" s="65">
        <f t="shared" si="3105"/>
        <v>0</v>
      </c>
      <c r="Y1034" s="65">
        <f t="shared" ref="Y1034" si="3106">Y721</f>
        <v>0</v>
      </c>
      <c r="Z1034" s="65">
        <f t="shared" ref="Z1034" si="3107">Z721</f>
        <v>0</v>
      </c>
      <c r="AA1034" s="65">
        <f t="shared" ref="AA1034" si="3108">AA721</f>
        <v>0</v>
      </c>
      <c r="AB1034" s="65">
        <f t="shared" ref="AB1034:AC1034" si="3109">AB721</f>
        <v>0</v>
      </c>
      <c r="AC1034" s="65">
        <f t="shared" si="3109"/>
        <v>0</v>
      </c>
      <c r="AD1034" s="19"/>
      <c r="AE1034" s="22"/>
    </row>
    <row r="1035" spans="1:31" hidden="1" outlineLevel="1" x14ac:dyDescent="0.2">
      <c r="A1035" s="63"/>
      <c r="B1035" s="63"/>
      <c r="C1035" s="63"/>
      <c r="D1035" s="60"/>
      <c r="E1035" s="63"/>
      <c r="F1035" s="63"/>
      <c r="G1035" s="63"/>
      <c r="H1035" s="63"/>
      <c r="I1035" s="63"/>
      <c r="J1035" s="63"/>
      <c r="K1035" s="63"/>
      <c r="L1035" s="63"/>
      <c r="M1035" s="63"/>
      <c r="N1035" s="63"/>
      <c r="O1035" s="63"/>
      <c r="P1035" s="63"/>
      <c r="Q1035" s="63"/>
      <c r="R1035" s="63"/>
      <c r="S1035" s="63"/>
      <c r="T1035" s="63"/>
      <c r="U1035" s="63"/>
      <c r="V1035" s="63"/>
      <c r="W1035" s="63"/>
      <c r="X1035" s="63"/>
      <c r="Y1035" s="63"/>
      <c r="Z1035" s="63"/>
      <c r="AA1035" s="63"/>
      <c r="AB1035" s="63"/>
      <c r="AC1035" s="63"/>
      <c r="AD1035" s="63"/>
      <c r="AE1035" s="64"/>
    </row>
    <row r="1036" spans="1:31" hidden="1" outlineLevel="1" x14ac:dyDescent="0.2">
      <c r="A1036" s="35" t="str">
        <f ca="1">Language!A493</f>
        <v>РАСЧЕТЫ С ПОСТАВЩИКАМИ</v>
      </c>
      <c r="D1036" s="16"/>
    </row>
    <row r="1037" spans="1:31" hidden="1" outlineLevel="1" x14ac:dyDescent="0.2">
      <c r="A1037" t="str">
        <f ca="1">Language!A494</f>
        <v>Оплата материалов и комплектующих:</v>
      </c>
      <c r="B1037" s="36" t="str">
        <f ca="1">Language!A523</f>
        <v>доля</v>
      </c>
      <c r="C1037" s="36" t="str">
        <f ca="1">Language!A524</f>
        <v>срок, дн.</v>
      </c>
      <c r="D1037" s="16"/>
    </row>
    <row r="1038" spans="1:31" hidden="1" outlineLevel="1" x14ac:dyDescent="0.2">
      <c r="A1038" t="str">
        <f ca="1">Language!A495</f>
        <v xml:space="preserve">    немедленная оплата</v>
      </c>
      <c r="B1038" s="61">
        <f>1-NWC_T_Cr_AdvK-NWC_T_Cr_CrdK</f>
        <v>1</v>
      </c>
      <c r="C1038" s="17" t="s">
        <v>2592</v>
      </c>
      <c r="D1038" s="16"/>
    </row>
    <row r="1039" spans="1:31" hidden="1" outlineLevel="1" x14ac:dyDescent="0.2">
      <c r="A1039" t="str">
        <f ca="1">Language!A496</f>
        <v xml:space="preserve">    авансовая оплата</v>
      </c>
      <c r="B1039" s="283">
        <v>0</v>
      </c>
      <c r="C1039" s="258">
        <v>0</v>
      </c>
      <c r="D1039" s="16"/>
    </row>
    <row r="1040" spans="1:31" hidden="1" outlineLevel="1" x14ac:dyDescent="0.2">
      <c r="A1040" t="str">
        <f ca="1">Language!A497</f>
        <v xml:space="preserve">    оплата в кредит</v>
      </c>
      <c r="B1040" s="283">
        <v>0</v>
      </c>
      <c r="C1040" s="258">
        <v>0</v>
      </c>
      <c r="D1040" s="16"/>
    </row>
    <row r="1041" spans="1:31" hidden="1" outlineLevel="1" collapsed="1" x14ac:dyDescent="0.2">
      <c r="A1041" t="str">
        <f ca="1">Language!A498</f>
        <v>Сумма счетов к оплате</v>
      </c>
      <c r="C1041" s="5" t="str">
        <f t="shared" ref="C1041:C1046" ca="1" si="3110">CUR_Main</f>
        <v>тыс. EUR</v>
      </c>
      <c r="D1041" s="16" t="s">
        <v>2594</v>
      </c>
      <c r="E1041" s="43">
        <f t="shared" ref="E1041:T1041" si="3111">E1042+E1043</f>
        <v>0</v>
      </c>
      <c r="F1041" s="43">
        <f t="shared" ca="1" si="3111"/>
        <v>0</v>
      </c>
      <c r="G1041" s="43">
        <f t="shared" ca="1" si="3111"/>
        <v>0</v>
      </c>
      <c r="H1041" s="43">
        <f t="shared" ca="1" si="3111"/>
        <v>0</v>
      </c>
      <c r="I1041" s="43">
        <f t="shared" ca="1" si="3111"/>
        <v>0</v>
      </c>
      <c r="J1041" s="43">
        <f t="shared" ca="1" si="3111"/>
        <v>0</v>
      </c>
      <c r="K1041" s="43">
        <f t="shared" ca="1" si="3111"/>
        <v>0</v>
      </c>
      <c r="L1041" s="43">
        <f t="shared" ca="1" si="3111"/>
        <v>0</v>
      </c>
      <c r="M1041" s="43">
        <f t="shared" ca="1" si="3111"/>
        <v>0</v>
      </c>
      <c r="N1041" s="43">
        <f t="shared" ca="1" si="3111"/>
        <v>0</v>
      </c>
      <c r="O1041" s="43">
        <f t="shared" ca="1" si="3111"/>
        <v>1.3642420526593924E-12</v>
      </c>
      <c r="P1041" s="43">
        <f t="shared" ca="1" si="3111"/>
        <v>0</v>
      </c>
      <c r="Q1041" s="43">
        <f t="shared" ca="1" si="3111"/>
        <v>0</v>
      </c>
      <c r="R1041" s="43">
        <f t="shared" ca="1" si="3111"/>
        <v>0</v>
      </c>
      <c r="S1041" s="43">
        <f t="shared" ca="1" si="3111"/>
        <v>0</v>
      </c>
      <c r="T1041" s="43">
        <f t="shared" ca="1" si="3111"/>
        <v>0</v>
      </c>
      <c r="U1041" s="43">
        <f t="shared" ref="U1041" ca="1" si="3112">U1042+U1043</f>
        <v>0</v>
      </c>
      <c r="V1041" s="43">
        <f t="shared" ref="V1041" ca="1" si="3113">V1042+V1043</f>
        <v>0</v>
      </c>
      <c r="W1041" s="43">
        <f t="shared" ref="W1041" ca="1" si="3114">W1042+W1043</f>
        <v>0</v>
      </c>
      <c r="X1041" s="43">
        <f t="shared" ref="X1041" ca="1" si="3115">X1042+X1043</f>
        <v>0</v>
      </c>
      <c r="Y1041" s="43">
        <f t="shared" ref="Y1041" ca="1" si="3116">Y1042+Y1043</f>
        <v>0</v>
      </c>
      <c r="Z1041" s="43">
        <f t="shared" ref="Z1041" ca="1" si="3117">Z1042+Z1043</f>
        <v>0</v>
      </c>
      <c r="AA1041" s="43">
        <f t="shared" ref="AA1041" ca="1" si="3118">AA1042+AA1043</f>
        <v>0</v>
      </c>
      <c r="AB1041" s="43">
        <f t="shared" ref="AB1041:AC1041" ca="1" si="3119">AB1042+AB1043</f>
        <v>0</v>
      </c>
      <c r="AC1041" s="43">
        <f t="shared" ca="1" si="3119"/>
        <v>0</v>
      </c>
    </row>
    <row r="1042" spans="1:31" hidden="1" outlineLevel="2" x14ac:dyDescent="0.2">
      <c r="A1042" t="str">
        <f ca="1">Language!A499</f>
        <v xml:space="preserve">    на основе циклов оборачиваемости</v>
      </c>
      <c r="C1042" s="5" t="str">
        <f t="shared" ca="1" si="3110"/>
        <v>тыс. EUR</v>
      </c>
      <c r="D1042" s="16" t="s">
        <v>2594</v>
      </c>
      <c r="E1042">
        <f>F65*CHOOSE($B$37,1,F$88)</f>
        <v>0</v>
      </c>
      <c r="F1042" s="43">
        <f t="shared" ref="F1042:T1042" ca="1" si="3120">(F804+F854+F997+F1000+F1003)*NWC_T_Cr_CrdK*NWC_T_Cr_CrdT/PRJ_Step</f>
        <v>0</v>
      </c>
      <c r="G1042" s="43">
        <f t="shared" ca="1" si="3120"/>
        <v>0</v>
      </c>
      <c r="H1042" s="43">
        <f t="shared" ca="1" si="3120"/>
        <v>0</v>
      </c>
      <c r="I1042" s="43">
        <f t="shared" ca="1" si="3120"/>
        <v>0</v>
      </c>
      <c r="J1042" s="43">
        <f t="shared" ca="1" si="3120"/>
        <v>0</v>
      </c>
      <c r="K1042" s="43">
        <f t="shared" ca="1" si="3120"/>
        <v>0</v>
      </c>
      <c r="L1042" s="43">
        <f t="shared" ca="1" si="3120"/>
        <v>0</v>
      </c>
      <c r="M1042" s="43">
        <f t="shared" ca="1" si="3120"/>
        <v>0</v>
      </c>
      <c r="N1042" s="43">
        <f t="shared" ca="1" si="3120"/>
        <v>0</v>
      </c>
      <c r="O1042" s="43">
        <f t="shared" ca="1" si="3120"/>
        <v>0</v>
      </c>
      <c r="P1042" s="43">
        <f t="shared" ca="1" si="3120"/>
        <v>0</v>
      </c>
      <c r="Q1042" s="43">
        <f t="shared" ca="1" si="3120"/>
        <v>0</v>
      </c>
      <c r="R1042" s="43">
        <f t="shared" ca="1" si="3120"/>
        <v>0</v>
      </c>
      <c r="S1042" s="43">
        <f t="shared" ca="1" si="3120"/>
        <v>0</v>
      </c>
      <c r="T1042" s="43">
        <f t="shared" ca="1" si="3120"/>
        <v>0</v>
      </c>
      <c r="U1042" s="43">
        <f t="shared" ref="U1042" ca="1" si="3121">(U804+U854+U997+U1000+U1003)*NWC_T_Cr_CrdK*NWC_T_Cr_CrdT/PRJ_Step</f>
        <v>0</v>
      </c>
      <c r="V1042" s="43">
        <f t="shared" ref="V1042" ca="1" si="3122">(V804+V854+V997+V1000+V1003)*NWC_T_Cr_CrdK*NWC_T_Cr_CrdT/PRJ_Step</f>
        <v>0</v>
      </c>
      <c r="W1042" s="43">
        <f t="shared" ref="W1042" ca="1" si="3123">(W804+W854+W997+W1000+W1003)*NWC_T_Cr_CrdK*NWC_T_Cr_CrdT/PRJ_Step</f>
        <v>0</v>
      </c>
      <c r="X1042" s="43">
        <f t="shared" ref="X1042" ca="1" si="3124">(X804+X854+X997+X1000+X1003)*NWC_T_Cr_CrdK*NWC_T_Cr_CrdT/PRJ_Step</f>
        <v>0</v>
      </c>
      <c r="Y1042" s="43">
        <f t="shared" ref="Y1042" ca="1" si="3125">(Y804+Y854+Y997+Y1000+Y1003)*NWC_T_Cr_CrdK*NWC_T_Cr_CrdT/PRJ_Step</f>
        <v>0</v>
      </c>
      <c r="Z1042" s="43">
        <f t="shared" ref="Z1042" ca="1" si="3126">(Z804+Z854+Z997+Z1000+Z1003)*NWC_T_Cr_CrdK*NWC_T_Cr_CrdT/PRJ_Step</f>
        <v>0</v>
      </c>
      <c r="AA1042" s="43">
        <f t="shared" ref="AA1042" ca="1" si="3127">(AA804+AA854+AA997+AA1000+AA1003)*NWC_T_Cr_CrdK*NWC_T_Cr_CrdT/PRJ_Step</f>
        <v>0</v>
      </c>
      <c r="AB1042" s="43">
        <f t="shared" ref="AB1042:AC1042" ca="1" si="3128">(AB804+AB854+AB997+AB1000+AB1003)*NWC_T_Cr_CrdK*NWC_T_Cr_CrdT/PRJ_Step</f>
        <v>0</v>
      </c>
      <c r="AC1042" s="43">
        <f t="shared" ca="1" si="3128"/>
        <v>0</v>
      </c>
    </row>
    <row r="1043" spans="1:31" hidden="1" outlineLevel="2" x14ac:dyDescent="0.2">
      <c r="A1043" t="str">
        <f ca="1">Language!A500</f>
        <v xml:space="preserve">    в соответствии с графиком оплаты затрат</v>
      </c>
      <c r="C1043" s="5" t="str">
        <f t="shared" ca="1" si="3110"/>
        <v>тыс. EUR</v>
      </c>
      <c r="D1043" s="16" t="s">
        <v>2594</v>
      </c>
      <c r="F1043" s="105">
        <f t="shared" ref="F1043:T1043" ca="1" si="3129">F813+F859</f>
        <v>0</v>
      </c>
      <c r="G1043" s="105">
        <f t="shared" ca="1" si="3129"/>
        <v>0</v>
      </c>
      <c r="H1043" s="105">
        <f t="shared" ca="1" si="3129"/>
        <v>0</v>
      </c>
      <c r="I1043" s="105">
        <f t="shared" ca="1" si="3129"/>
        <v>0</v>
      </c>
      <c r="J1043" s="105">
        <f t="shared" ca="1" si="3129"/>
        <v>0</v>
      </c>
      <c r="K1043" s="105">
        <f t="shared" ca="1" si="3129"/>
        <v>0</v>
      </c>
      <c r="L1043" s="105">
        <f t="shared" ca="1" si="3129"/>
        <v>0</v>
      </c>
      <c r="M1043" s="105">
        <f t="shared" ca="1" si="3129"/>
        <v>0</v>
      </c>
      <c r="N1043" s="105">
        <f t="shared" ca="1" si="3129"/>
        <v>0</v>
      </c>
      <c r="O1043" s="105">
        <f t="shared" ca="1" si="3129"/>
        <v>1.3642420526593924E-12</v>
      </c>
      <c r="P1043" s="105">
        <f t="shared" ca="1" si="3129"/>
        <v>0</v>
      </c>
      <c r="Q1043" s="105">
        <f t="shared" ca="1" si="3129"/>
        <v>0</v>
      </c>
      <c r="R1043" s="105">
        <f t="shared" ca="1" si="3129"/>
        <v>0</v>
      </c>
      <c r="S1043" s="105">
        <f t="shared" ca="1" si="3129"/>
        <v>0</v>
      </c>
      <c r="T1043" s="105">
        <f t="shared" ca="1" si="3129"/>
        <v>0</v>
      </c>
      <c r="U1043" s="105">
        <f t="shared" ref="U1043" ca="1" si="3130">U813+U859</f>
        <v>0</v>
      </c>
      <c r="V1043" s="105">
        <f t="shared" ref="V1043" ca="1" si="3131">V813+V859</f>
        <v>0</v>
      </c>
      <c r="W1043" s="105">
        <f t="shared" ref="W1043" ca="1" si="3132">W813+W859</f>
        <v>0</v>
      </c>
      <c r="X1043" s="105">
        <f t="shared" ref="X1043" ca="1" si="3133">X813+X859</f>
        <v>0</v>
      </c>
      <c r="Y1043" s="105">
        <f t="shared" ref="Y1043" ca="1" si="3134">Y813+Y859</f>
        <v>0</v>
      </c>
      <c r="Z1043" s="105">
        <f t="shared" ref="Z1043" ca="1" si="3135">Z813+Z859</f>
        <v>0</v>
      </c>
      <c r="AA1043" s="105">
        <f t="shared" ref="AA1043" ca="1" si="3136">AA813+AA859</f>
        <v>0</v>
      </c>
      <c r="AB1043" s="105">
        <f t="shared" ref="AB1043:AC1043" ca="1" si="3137">AB813+AB859</f>
        <v>0</v>
      </c>
      <c r="AC1043" s="105">
        <f t="shared" ca="1" si="3137"/>
        <v>0</v>
      </c>
    </row>
    <row r="1044" spans="1:31" hidden="1" outlineLevel="1" collapsed="1" x14ac:dyDescent="0.2">
      <c r="A1044" t="str">
        <f ca="1">Language!A501</f>
        <v>Сумма уплаченных авансов</v>
      </c>
      <c r="C1044" s="5" t="str">
        <f t="shared" ca="1" si="3110"/>
        <v>тыс. EUR</v>
      </c>
      <c r="D1044" s="16" t="s">
        <v>2594</v>
      </c>
      <c r="E1044" s="105">
        <f t="shared" ref="E1044:T1044" si="3138">E1045+E1046</f>
        <v>0</v>
      </c>
      <c r="F1044" s="105">
        <f t="shared" ca="1" si="3138"/>
        <v>0</v>
      </c>
      <c r="G1044" s="105">
        <f t="shared" ca="1" si="3138"/>
        <v>0</v>
      </c>
      <c r="H1044" s="105">
        <f t="shared" ca="1" si="3138"/>
        <v>0</v>
      </c>
      <c r="I1044" s="105">
        <f t="shared" ca="1" si="3138"/>
        <v>0</v>
      </c>
      <c r="J1044" s="105">
        <f t="shared" ca="1" si="3138"/>
        <v>0</v>
      </c>
      <c r="K1044" s="105">
        <f t="shared" ca="1" si="3138"/>
        <v>0</v>
      </c>
      <c r="L1044" s="105">
        <f t="shared" ca="1" si="3138"/>
        <v>0</v>
      </c>
      <c r="M1044" s="105">
        <f t="shared" ca="1" si="3138"/>
        <v>0</v>
      </c>
      <c r="N1044" s="105">
        <f t="shared" ca="1" si="3138"/>
        <v>0</v>
      </c>
      <c r="O1044" s="105">
        <f t="shared" ca="1" si="3138"/>
        <v>1.3642420526593924E-12</v>
      </c>
      <c r="P1044" s="105">
        <f t="shared" ca="1" si="3138"/>
        <v>0</v>
      </c>
      <c r="Q1044" s="105">
        <f t="shared" ca="1" si="3138"/>
        <v>0</v>
      </c>
      <c r="R1044" s="105">
        <f t="shared" ca="1" si="3138"/>
        <v>0</v>
      </c>
      <c r="S1044" s="105">
        <f t="shared" ca="1" si="3138"/>
        <v>0</v>
      </c>
      <c r="T1044" s="105">
        <f t="shared" ca="1" si="3138"/>
        <v>0</v>
      </c>
      <c r="U1044" s="105">
        <f t="shared" ref="U1044" ca="1" si="3139">U1045+U1046</f>
        <v>0</v>
      </c>
      <c r="V1044" s="105">
        <f t="shared" ref="V1044" ca="1" si="3140">V1045+V1046</f>
        <v>0</v>
      </c>
      <c r="W1044" s="105">
        <f t="shared" ref="W1044" ca="1" si="3141">W1045+W1046</f>
        <v>0</v>
      </c>
      <c r="X1044" s="105">
        <f t="shared" ref="X1044" ca="1" si="3142">X1045+X1046</f>
        <v>0</v>
      </c>
      <c r="Y1044" s="105">
        <f t="shared" ref="Y1044" ca="1" si="3143">Y1045+Y1046</f>
        <v>0</v>
      </c>
      <c r="Z1044" s="105">
        <f t="shared" ref="Z1044" ca="1" si="3144">Z1045+Z1046</f>
        <v>0</v>
      </c>
      <c r="AA1044" s="105">
        <f t="shared" ref="AA1044" ca="1" si="3145">AA1045+AA1046</f>
        <v>0</v>
      </c>
      <c r="AB1044" s="105">
        <f t="shared" ref="AB1044:AC1044" ca="1" si="3146">AB1045+AB1046</f>
        <v>0</v>
      </c>
      <c r="AC1044" s="105">
        <f t="shared" ca="1" si="3146"/>
        <v>0</v>
      </c>
    </row>
    <row r="1045" spans="1:31" hidden="1" outlineLevel="2" x14ac:dyDescent="0.2">
      <c r="A1045" t="str">
        <f ca="1">Language!A502</f>
        <v xml:space="preserve">    на основе циклов оборачиваемости</v>
      </c>
      <c r="C1045" s="5" t="str">
        <f t="shared" ca="1" si="3110"/>
        <v>тыс. EUR</v>
      </c>
      <c r="D1045" s="16" t="s">
        <v>2594</v>
      </c>
      <c r="E1045">
        <f>F54*CHOOSE($B$37,1,F$88)</f>
        <v>0</v>
      </c>
      <c r="F1045" s="43">
        <f t="shared" ref="F1045:T1045" ca="1" si="3147">(F804+F854+F997+F1000+F1003)*NWC_T_Cr_AdvK*NWC_T_Cr_AdvT/PRJ_Step</f>
        <v>0</v>
      </c>
      <c r="G1045" s="43">
        <f t="shared" ca="1" si="3147"/>
        <v>0</v>
      </c>
      <c r="H1045" s="43">
        <f t="shared" ca="1" si="3147"/>
        <v>0</v>
      </c>
      <c r="I1045" s="43">
        <f t="shared" ca="1" si="3147"/>
        <v>0</v>
      </c>
      <c r="J1045" s="43">
        <f t="shared" ca="1" si="3147"/>
        <v>0</v>
      </c>
      <c r="K1045" s="43">
        <f t="shared" ca="1" si="3147"/>
        <v>0</v>
      </c>
      <c r="L1045" s="43">
        <f t="shared" ca="1" si="3147"/>
        <v>0</v>
      </c>
      <c r="M1045" s="43">
        <f t="shared" ca="1" si="3147"/>
        <v>0</v>
      </c>
      <c r="N1045" s="43">
        <f t="shared" ca="1" si="3147"/>
        <v>0</v>
      </c>
      <c r="O1045" s="43">
        <f t="shared" ca="1" si="3147"/>
        <v>0</v>
      </c>
      <c r="P1045" s="43">
        <f t="shared" ca="1" si="3147"/>
        <v>0</v>
      </c>
      <c r="Q1045" s="43">
        <f t="shared" ca="1" si="3147"/>
        <v>0</v>
      </c>
      <c r="R1045" s="43">
        <f t="shared" ca="1" si="3147"/>
        <v>0</v>
      </c>
      <c r="S1045" s="43">
        <f t="shared" ca="1" si="3147"/>
        <v>0</v>
      </c>
      <c r="T1045" s="43">
        <f t="shared" ca="1" si="3147"/>
        <v>0</v>
      </c>
      <c r="U1045" s="43">
        <f t="shared" ref="U1045" ca="1" si="3148">(U804+U854+U997+U1000+U1003)*NWC_T_Cr_AdvK*NWC_T_Cr_AdvT/PRJ_Step</f>
        <v>0</v>
      </c>
      <c r="V1045" s="43">
        <f t="shared" ref="V1045" ca="1" si="3149">(V804+V854+V997+V1000+V1003)*NWC_T_Cr_AdvK*NWC_T_Cr_AdvT/PRJ_Step</f>
        <v>0</v>
      </c>
      <c r="W1045" s="43">
        <f t="shared" ref="W1045" ca="1" si="3150">(W804+W854+W997+W1000+W1003)*NWC_T_Cr_AdvK*NWC_T_Cr_AdvT/PRJ_Step</f>
        <v>0</v>
      </c>
      <c r="X1045" s="43">
        <f t="shared" ref="X1045" ca="1" si="3151">(X804+X854+X997+X1000+X1003)*NWC_T_Cr_AdvK*NWC_T_Cr_AdvT/PRJ_Step</f>
        <v>0</v>
      </c>
      <c r="Y1045" s="43">
        <f t="shared" ref="Y1045" ca="1" si="3152">(Y804+Y854+Y997+Y1000+Y1003)*NWC_T_Cr_AdvK*NWC_T_Cr_AdvT/PRJ_Step</f>
        <v>0</v>
      </c>
      <c r="Z1045" s="43">
        <f t="shared" ref="Z1045" ca="1" si="3153">(Z804+Z854+Z997+Z1000+Z1003)*NWC_T_Cr_AdvK*NWC_T_Cr_AdvT/PRJ_Step</f>
        <v>0</v>
      </c>
      <c r="AA1045" s="43">
        <f t="shared" ref="AA1045" ca="1" si="3154">(AA804+AA854+AA997+AA1000+AA1003)*NWC_T_Cr_AdvK*NWC_T_Cr_AdvT/PRJ_Step</f>
        <v>0</v>
      </c>
      <c r="AB1045" s="43">
        <f t="shared" ref="AB1045:AC1045" ca="1" si="3155">(AB804+AB854+AB997+AB1000+AB1003)*NWC_T_Cr_AdvK*NWC_T_Cr_AdvT/PRJ_Step</f>
        <v>0</v>
      </c>
      <c r="AC1045" s="43">
        <f t="shared" ca="1" si="3155"/>
        <v>0</v>
      </c>
    </row>
    <row r="1046" spans="1:31" hidden="1" outlineLevel="2" x14ac:dyDescent="0.2">
      <c r="A1046" s="27" t="str">
        <f ca="1">Language!A500</f>
        <v xml:space="preserve">    в соответствии с графиком оплаты затрат</v>
      </c>
      <c r="B1046" s="27"/>
      <c r="C1046" s="29" t="str">
        <f t="shared" ca="1" si="3110"/>
        <v>тыс. EUR</v>
      </c>
      <c r="D1046" s="16" t="s">
        <v>2594</v>
      </c>
      <c r="E1046" s="27"/>
      <c r="F1046" s="141">
        <f t="shared" ref="F1046:T1046" ca="1" si="3156">F814+F860</f>
        <v>0</v>
      </c>
      <c r="G1046" s="141">
        <f t="shared" ca="1" si="3156"/>
        <v>0</v>
      </c>
      <c r="H1046" s="141">
        <f t="shared" ca="1" si="3156"/>
        <v>0</v>
      </c>
      <c r="I1046" s="141">
        <f t="shared" ca="1" si="3156"/>
        <v>0</v>
      </c>
      <c r="J1046" s="141">
        <f t="shared" ca="1" si="3156"/>
        <v>0</v>
      </c>
      <c r="K1046" s="141">
        <f t="shared" ca="1" si="3156"/>
        <v>0</v>
      </c>
      <c r="L1046" s="141">
        <f t="shared" ca="1" si="3156"/>
        <v>0</v>
      </c>
      <c r="M1046" s="141">
        <f t="shared" ca="1" si="3156"/>
        <v>0</v>
      </c>
      <c r="N1046" s="141">
        <f t="shared" ca="1" si="3156"/>
        <v>0</v>
      </c>
      <c r="O1046" s="141">
        <f t="shared" ca="1" si="3156"/>
        <v>1.3642420526593924E-12</v>
      </c>
      <c r="P1046" s="141">
        <f t="shared" ca="1" si="3156"/>
        <v>0</v>
      </c>
      <c r="Q1046" s="141">
        <f t="shared" ca="1" si="3156"/>
        <v>0</v>
      </c>
      <c r="R1046" s="141">
        <f t="shared" ca="1" si="3156"/>
        <v>0</v>
      </c>
      <c r="S1046" s="141">
        <f t="shared" ca="1" si="3156"/>
        <v>0</v>
      </c>
      <c r="T1046" s="141">
        <f t="shared" ca="1" si="3156"/>
        <v>0</v>
      </c>
      <c r="U1046" s="141">
        <f t="shared" ref="U1046" ca="1" si="3157">U814+U860</f>
        <v>0</v>
      </c>
      <c r="V1046" s="141">
        <f t="shared" ref="V1046" ca="1" si="3158">V814+V860</f>
        <v>0</v>
      </c>
      <c r="W1046" s="141">
        <f t="shared" ref="W1046" ca="1" si="3159">W814+W860</f>
        <v>0</v>
      </c>
      <c r="X1046" s="141">
        <f t="shared" ref="X1046" ca="1" si="3160">X814+X860</f>
        <v>0</v>
      </c>
      <c r="Y1046" s="141">
        <f t="shared" ref="Y1046" ca="1" si="3161">Y814+Y860</f>
        <v>0</v>
      </c>
      <c r="Z1046" s="141">
        <f t="shared" ref="Z1046" ca="1" si="3162">Z814+Z860</f>
        <v>0</v>
      </c>
      <c r="AA1046" s="141">
        <f t="shared" ref="AA1046" ca="1" si="3163">AA814+AA860</f>
        <v>0</v>
      </c>
      <c r="AB1046" s="141">
        <f t="shared" ref="AB1046:AC1046" ca="1" si="3164">AB814+AB860</f>
        <v>0</v>
      </c>
      <c r="AC1046" s="141">
        <f t="shared" ca="1" si="3164"/>
        <v>0</v>
      </c>
      <c r="AD1046" s="27"/>
      <c r="AE1046" s="20"/>
    </row>
    <row r="1047" spans="1:31" hidden="1" outlineLevel="1" x14ac:dyDescent="0.2">
      <c r="A1047" s="63"/>
      <c r="B1047" s="63"/>
      <c r="C1047" s="63"/>
      <c r="D1047" s="60"/>
      <c r="E1047" s="63"/>
      <c r="F1047" s="63"/>
      <c r="G1047" s="63"/>
      <c r="H1047" s="63"/>
      <c r="I1047" s="63"/>
      <c r="J1047" s="63"/>
      <c r="K1047" s="63"/>
      <c r="L1047" s="63"/>
      <c r="M1047" s="63"/>
      <c r="N1047" s="63"/>
      <c r="O1047" s="63"/>
      <c r="P1047" s="63"/>
      <c r="Q1047" s="63"/>
      <c r="R1047" s="63"/>
      <c r="S1047" s="63"/>
      <c r="T1047" s="63"/>
      <c r="U1047" s="63"/>
      <c r="V1047" s="63"/>
      <c r="W1047" s="63"/>
      <c r="X1047" s="63"/>
      <c r="Y1047" s="63"/>
      <c r="Z1047" s="63"/>
      <c r="AA1047" s="63"/>
      <c r="AB1047" s="63"/>
      <c r="AC1047" s="63"/>
      <c r="AD1047" s="63"/>
      <c r="AE1047" s="64"/>
    </row>
    <row r="1048" spans="1:31" hidden="1" outlineLevel="1" x14ac:dyDescent="0.2">
      <c r="A1048" s="35" t="str">
        <f ca="1">Language!A504</f>
        <v>РАСЧЕТЫ С БЮДЖЕТОМ</v>
      </c>
      <c r="C1048" s="5" t="str">
        <f t="shared" ref="C1048:C1053" ca="1" si="3165">CUR_Main</f>
        <v>тыс. EUR</v>
      </c>
      <c r="D1048" s="16" t="s">
        <v>2594</v>
      </c>
      <c r="E1048">
        <f>F66*CHOOSE($B$37,1,F$88)</f>
        <v>0</v>
      </c>
      <c r="F1048" s="43">
        <f t="shared" ref="F1048:T1048" ca="1" si="3166">SUM(F1049:F1053)</f>
        <v>0</v>
      </c>
      <c r="G1048" s="43">
        <f t="shared" ca="1" si="3166"/>
        <v>0</v>
      </c>
      <c r="H1048" s="43">
        <f t="shared" ca="1" si="3166"/>
        <v>0</v>
      </c>
      <c r="I1048" s="43">
        <f t="shared" ca="1" si="3166"/>
        <v>0</v>
      </c>
      <c r="J1048" s="43">
        <f t="shared" ca="1" si="3166"/>
        <v>0</v>
      </c>
      <c r="K1048" s="43">
        <f t="shared" ca="1" si="3166"/>
        <v>37.738329767441854</v>
      </c>
      <c r="L1048" s="43">
        <f t="shared" ca="1" si="3166"/>
        <v>37.738329767441854</v>
      </c>
      <c r="M1048" s="43">
        <f t="shared" ca="1" si="3166"/>
        <v>37.738329767441854</v>
      </c>
      <c r="N1048" s="43">
        <f t="shared" ca="1" si="3166"/>
        <v>85.642633855300929</v>
      </c>
      <c r="O1048" s="43">
        <f t="shared" ca="1" si="3166"/>
        <v>127.2980884376674</v>
      </c>
      <c r="P1048" s="43">
        <f t="shared" ca="1" si="3166"/>
        <v>127.2980884376674</v>
      </c>
      <c r="Q1048" s="43">
        <f t="shared" ca="1" si="3166"/>
        <v>127.2980884376674</v>
      </c>
      <c r="R1048" s="43">
        <f t="shared" ca="1" si="3166"/>
        <v>127.2980884376674</v>
      </c>
      <c r="S1048" s="43">
        <f t="shared" ca="1" si="3166"/>
        <v>127.2980884376674</v>
      </c>
      <c r="T1048" s="43">
        <f t="shared" ca="1" si="3166"/>
        <v>127.2980884376674</v>
      </c>
      <c r="U1048" s="43">
        <f t="shared" ref="U1048" ca="1" si="3167">SUM(U1049:U1053)</f>
        <v>127.2980884376674</v>
      </c>
      <c r="V1048" s="43">
        <f t="shared" ref="V1048" ca="1" si="3168">SUM(V1049:V1053)</f>
        <v>127.2980884376674</v>
      </c>
      <c r="W1048" s="43">
        <f t="shared" ref="W1048" ca="1" si="3169">SUM(W1049:W1053)</f>
        <v>127.2980884376674</v>
      </c>
      <c r="X1048" s="43">
        <f t="shared" ref="X1048" ca="1" si="3170">SUM(X1049:X1053)</f>
        <v>127.2980884376674</v>
      </c>
      <c r="Y1048" s="43">
        <f t="shared" ref="Y1048" ca="1" si="3171">SUM(Y1049:Y1053)</f>
        <v>127.2980884376674</v>
      </c>
      <c r="Z1048" s="43">
        <f t="shared" ref="Z1048" ca="1" si="3172">SUM(Z1049:Z1053)</f>
        <v>127.2980884376674</v>
      </c>
      <c r="AA1048" s="43">
        <f t="shared" ref="AA1048" ca="1" si="3173">SUM(AA1049:AA1053)</f>
        <v>127.2980884376674</v>
      </c>
      <c r="AB1048" s="43">
        <f t="shared" ref="AB1048:AC1048" ca="1" si="3174">SUM(AB1049:AB1053)</f>
        <v>127.2980884376674</v>
      </c>
      <c r="AC1048" s="43">
        <f t="shared" ca="1" si="3174"/>
        <v>127.2980884376674</v>
      </c>
    </row>
    <row r="1049" spans="1:31" hidden="1" outlineLevel="1" x14ac:dyDescent="0.2">
      <c r="A1049" t="str">
        <f ca="1">Language!A505</f>
        <v>По НДС</v>
      </c>
      <c r="C1049" s="5" t="str">
        <f t="shared" ca="1" si="3165"/>
        <v>тыс. EUR</v>
      </c>
      <c r="D1049" s="16" t="s">
        <v>2594</v>
      </c>
      <c r="F1049" s="53">
        <f t="shared" ref="F1049:X1049" si="3175">IF(VAT_Repay=1,F126*VAT_Period/PRJ_Step,0)</f>
        <v>0</v>
      </c>
      <c r="G1049" s="53">
        <f t="shared" si="3175"/>
        <v>0</v>
      </c>
      <c r="H1049" s="53">
        <f t="shared" si="3175"/>
        <v>0</v>
      </c>
      <c r="I1049" s="53">
        <f t="shared" si="3175"/>
        <v>0</v>
      </c>
      <c r="J1049" s="53">
        <f t="shared" si="3175"/>
        <v>0</v>
      </c>
      <c r="K1049" s="53">
        <f t="shared" si="3175"/>
        <v>0</v>
      </c>
      <c r="L1049" s="53">
        <f t="shared" si="3175"/>
        <v>0</v>
      </c>
      <c r="M1049" s="53">
        <f t="shared" si="3175"/>
        <v>0</v>
      </c>
      <c r="N1049" s="53">
        <f t="shared" si="3175"/>
        <v>0</v>
      </c>
      <c r="O1049" s="53">
        <f t="shared" si="3175"/>
        <v>0</v>
      </c>
      <c r="P1049" s="53">
        <f t="shared" si="3175"/>
        <v>0</v>
      </c>
      <c r="Q1049" s="53">
        <f t="shared" si="3175"/>
        <v>0</v>
      </c>
      <c r="R1049" s="53">
        <f t="shared" si="3175"/>
        <v>0</v>
      </c>
      <c r="S1049" s="53">
        <f t="shared" si="3175"/>
        <v>0</v>
      </c>
      <c r="T1049" s="53">
        <f t="shared" si="3175"/>
        <v>0</v>
      </c>
      <c r="U1049" s="53">
        <f t="shared" si="3175"/>
        <v>0</v>
      </c>
      <c r="V1049" s="53">
        <f t="shared" si="3175"/>
        <v>0</v>
      </c>
      <c r="W1049" s="53">
        <f t="shared" si="3175"/>
        <v>0</v>
      </c>
      <c r="X1049" s="53">
        <f t="shared" si="3175"/>
        <v>0</v>
      </c>
      <c r="Y1049" s="53">
        <f t="shared" ref="Y1049" si="3176">IF(VAT_Repay=1,Y126*VAT_Period/PRJ_Step,0)</f>
        <v>0</v>
      </c>
      <c r="Z1049" s="53">
        <f t="shared" ref="Z1049" si="3177">IF(VAT_Repay=1,Z126*VAT_Period/PRJ_Step,0)</f>
        <v>0</v>
      </c>
      <c r="AA1049" s="53">
        <f t="shared" ref="AA1049" si="3178">IF(VAT_Repay=1,AA126*VAT_Period/PRJ_Step,0)</f>
        <v>0</v>
      </c>
      <c r="AB1049" s="53">
        <f t="shared" ref="AB1049:AC1049" si="3179">IF(VAT_Repay=1,AB126*VAT_Period/PRJ_Step,0)</f>
        <v>0</v>
      </c>
      <c r="AC1049" s="53">
        <f t="shared" si="3179"/>
        <v>0</v>
      </c>
    </row>
    <row r="1050" spans="1:31" hidden="1" outlineLevel="1" x14ac:dyDescent="0.2">
      <c r="A1050" t="str">
        <f ca="1">Language!A506</f>
        <v>По акцизам и экспортным пошлинам</v>
      </c>
      <c r="C1050" s="5" t="str">
        <f t="shared" ca="1" si="3165"/>
        <v>тыс. EUR</v>
      </c>
      <c r="D1050" s="16" t="s">
        <v>2594</v>
      </c>
      <c r="F1050" s="53">
        <f t="shared" ref="F1050:X1050" si="3180">F107*$B107/PRJ_Step</f>
        <v>0</v>
      </c>
      <c r="G1050" s="53">
        <f t="shared" si="3180"/>
        <v>0</v>
      </c>
      <c r="H1050" s="53">
        <f t="shared" si="3180"/>
        <v>0</v>
      </c>
      <c r="I1050" s="53">
        <f t="shared" si="3180"/>
        <v>0</v>
      </c>
      <c r="J1050" s="53">
        <f t="shared" si="3180"/>
        <v>0</v>
      </c>
      <c r="K1050" s="53">
        <f t="shared" si="3180"/>
        <v>0</v>
      </c>
      <c r="L1050" s="53">
        <f t="shared" si="3180"/>
        <v>0</v>
      </c>
      <c r="M1050" s="53">
        <f t="shared" si="3180"/>
        <v>0</v>
      </c>
      <c r="N1050" s="53">
        <f t="shared" si="3180"/>
        <v>0</v>
      </c>
      <c r="O1050" s="53">
        <f t="shared" si="3180"/>
        <v>0</v>
      </c>
      <c r="P1050" s="53">
        <f t="shared" si="3180"/>
        <v>0</v>
      </c>
      <c r="Q1050" s="53">
        <f t="shared" si="3180"/>
        <v>0</v>
      </c>
      <c r="R1050" s="53">
        <f t="shared" si="3180"/>
        <v>0</v>
      </c>
      <c r="S1050" s="53">
        <f t="shared" si="3180"/>
        <v>0</v>
      </c>
      <c r="T1050" s="53">
        <f t="shared" si="3180"/>
        <v>0</v>
      </c>
      <c r="U1050" s="53">
        <f t="shared" si="3180"/>
        <v>0</v>
      </c>
      <c r="V1050" s="53">
        <f t="shared" si="3180"/>
        <v>0</v>
      </c>
      <c r="W1050" s="53">
        <f t="shared" si="3180"/>
        <v>0</v>
      </c>
      <c r="X1050" s="53">
        <f t="shared" si="3180"/>
        <v>0</v>
      </c>
      <c r="Y1050" s="53">
        <f t="shared" ref="Y1050" si="3181">Y107*$B107/PRJ_Step</f>
        <v>0</v>
      </c>
      <c r="Z1050" s="53">
        <f t="shared" ref="Z1050" si="3182">Z107*$B107/PRJ_Step</f>
        <v>0</v>
      </c>
      <c r="AA1050" s="53">
        <f t="shared" ref="AA1050" si="3183">AA107*$B107/PRJ_Step</f>
        <v>0</v>
      </c>
      <c r="AB1050" s="53">
        <f t="shared" ref="AB1050:AC1050" si="3184">AB107*$B107/PRJ_Step</f>
        <v>0</v>
      </c>
      <c r="AC1050" s="53">
        <f t="shared" si="3184"/>
        <v>0</v>
      </c>
    </row>
    <row r="1051" spans="1:31" hidden="1" outlineLevel="1" x14ac:dyDescent="0.2">
      <c r="A1051" t="str">
        <f ca="1">Language!A507</f>
        <v>По импортным пошлинам</v>
      </c>
      <c r="C1051" s="5" t="str">
        <f t="shared" ca="1" si="3165"/>
        <v>тыс. EUR</v>
      </c>
      <c r="D1051" s="16" t="s">
        <v>2594</v>
      </c>
      <c r="F1051" s="53">
        <f t="shared" ref="F1051:X1051" ca="1" si="3185">F108*$B108/PRJ_Step</f>
        <v>0</v>
      </c>
      <c r="G1051" s="53">
        <f t="shared" ca="1" si="3185"/>
        <v>0</v>
      </c>
      <c r="H1051" s="53">
        <f t="shared" ca="1" si="3185"/>
        <v>0</v>
      </c>
      <c r="I1051" s="53">
        <f t="shared" ca="1" si="3185"/>
        <v>0</v>
      </c>
      <c r="J1051" s="53">
        <f t="shared" ca="1" si="3185"/>
        <v>0</v>
      </c>
      <c r="K1051" s="53">
        <f t="shared" ca="1" si="3185"/>
        <v>0</v>
      </c>
      <c r="L1051" s="53">
        <f t="shared" ca="1" si="3185"/>
        <v>0</v>
      </c>
      <c r="M1051" s="53">
        <f t="shared" ca="1" si="3185"/>
        <v>0</v>
      </c>
      <c r="N1051" s="53">
        <f t="shared" ca="1" si="3185"/>
        <v>0</v>
      </c>
      <c r="O1051" s="53">
        <f t="shared" ca="1" si="3185"/>
        <v>0</v>
      </c>
      <c r="P1051" s="53">
        <f t="shared" ca="1" si="3185"/>
        <v>0</v>
      </c>
      <c r="Q1051" s="53">
        <f t="shared" ca="1" si="3185"/>
        <v>0</v>
      </c>
      <c r="R1051" s="53">
        <f t="shared" ca="1" si="3185"/>
        <v>0</v>
      </c>
      <c r="S1051" s="53">
        <f t="shared" ca="1" si="3185"/>
        <v>0</v>
      </c>
      <c r="T1051" s="53">
        <f t="shared" ca="1" si="3185"/>
        <v>0</v>
      </c>
      <c r="U1051" s="53">
        <f t="shared" ca="1" si="3185"/>
        <v>0</v>
      </c>
      <c r="V1051" s="53">
        <f t="shared" ca="1" si="3185"/>
        <v>0</v>
      </c>
      <c r="W1051" s="53">
        <f t="shared" ca="1" si="3185"/>
        <v>0</v>
      </c>
      <c r="X1051" s="53">
        <f t="shared" ca="1" si="3185"/>
        <v>0</v>
      </c>
      <c r="Y1051" s="53">
        <f t="shared" ref="Y1051" ca="1" si="3186">Y108*$B108/PRJ_Step</f>
        <v>0</v>
      </c>
      <c r="Z1051" s="53">
        <f t="shared" ref="Z1051" ca="1" si="3187">Z108*$B108/PRJ_Step</f>
        <v>0</v>
      </c>
      <c r="AA1051" s="53">
        <f t="shared" ref="AA1051" ca="1" si="3188">AA108*$B108/PRJ_Step</f>
        <v>0</v>
      </c>
      <c r="AB1051" s="53">
        <f t="shared" ref="AB1051:AC1051" ca="1" si="3189">AB108*$B108/PRJ_Step</f>
        <v>0</v>
      </c>
      <c r="AC1051" s="53">
        <f t="shared" ca="1" si="3189"/>
        <v>0</v>
      </c>
    </row>
    <row r="1052" spans="1:31" hidden="1" outlineLevel="1" x14ac:dyDescent="0.2">
      <c r="A1052" t="str">
        <f ca="1">Language!A508</f>
        <v>По налогу на прибыль</v>
      </c>
      <c r="C1052" s="5" t="str">
        <f t="shared" ca="1" si="3165"/>
        <v>тыс. EUR</v>
      </c>
      <c r="D1052" s="16" t="s">
        <v>2594</v>
      </c>
      <c r="F1052" s="53">
        <f t="shared" ref="F1052:X1052" ca="1" si="3190">F173*$B172/PRJ_Step+F200*$B195/PRJ_Step+F214*$B213/PRJ_Step</f>
        <v>0</v>
      </c>
      <c r="G1052" s="53">
        <f t="shared" ca="1" si="3190"/>
        <v>0</v>
      </c>
      <c r="H1052" s="53">
        <f t="shared" ca="1" si="3190"/>
        <v>0</v>
      </c>
      <c r="I1052" s="53">
        <f t="shared" ca="1" si="3190"/>
        <v>0</v>
      </c>
      <c r="J1052" s="53">
        <f t="shared" ca="1" si="3190"/>
        <v>0</v>
      </c>
      <c r="K1052" s="53">
        <f t="shared" ca="1" si="3190"/>
        <v>0</v>
      </c>
      <c r="L1052" s="53">
        <f t="shared" ca="1" si="3190"/>
        <v>0</v>
      </c>
      <c r="M1052" s="53">
        <f t="shared" ca="1" si="3190"/>
        <v>0</v>
      </c>
      <c r="N1052" s="53">
        <f t="shared" ca="1" si="3190"/>
        <v>47.904304087859074</v>
      </c>
      <c r="O1052" s="53">
        <f t="shared" ca="1" si="3190"/>
        <v>89.559758670225548</v>
      </c>
      <c r="P1052" s="53">
        <f t="shared" ca="1" si="3190"/>
        <v>89.559758670225548</v>
      </c>
      <c r="Q1052" s="53">
        <f t="shared" ca="1" si="3190"/>
        <v>89.559758670225548</v>
      </c>
      <c r="R1052" s="53">
        <f t="shared" ca="1" si="3190"/>
        <v>89.559758670225548</v>
      </c>
      <c r="S1052" s="53">
        <f t="shared" ca="1" si="3190"/>
        <v>89.559758670225548</v>
      </c>
      <c r="T1052" s="53">
        <f t="shared" ca="1" si="3190"/>
        <v>89.559758670225548</v>
      </c>
      <c r="U1052" s="53">
        <f t="shared" ca="1" si="3190"/>
        <v>89.559758670225548</v>
      </c>
      <c r="V1052" s="53">
        <f t="shared" ca="1" si="3190"/>
        <v>89.559758670225548</v>
      </c>
      <c r="W1052" s="53">
        <f t="shared" ca="1" si="3190"/>
        <v>89.559758670225548</v>
      </c>
      <c r="X1052" s="53">
        <f t="shared" ca="1" si="3190"/>
        <v>89.559758670225548</v>
      </c>
      <c r="Y1052" s="53">
        <f t="shared" ref="Y1052" ca="1" si="3191">Y173*$B172/PRJ_Step+Y200*$B195/PRJ_Step+Y214*$B213/PRJ_Step</f>
        <v>89.559758670225548</v>
      </c>
      <c r="Z1052" s="53">
        <f t="shared" ref="Z1052" ca="1" si="3192">Z173*$B172/PRJ_Step+Z200*$B195/PRJ_Step+Z214*$B213/PRJ_Step</f>
        <v>89.559758670225548</v>
      </c>
      <c r="AA1052" s="53">
        <f t="shared" ref="AA1052" ca="1" si="3193">AA173*$B172/PRJ_Step+AA200*$B195/PRJ_Step+AA214*$B213/PRJ_Step</f>
        <v>89.559758670225548</v>
      </c>
      <c r="AB1052" s="53">
        <f t="shared" ref="AB1052:AC1052" ca="1" si="3194">AB173*$B172/PRJ_Step+AB200*$B195/PRJ_Step+AB214*$B213/PRJ_Step</f>
        <v>89.559758670225548</v>
      </c>
      <c r="AC1052" s="53">
        <f t="shared" ca="1" si="3194"/>
        <v>89.559758670225548</v>
      </c>
    </row>
    <row r="1053" spans="1:31" hidden="1" outlineLevel="1" x14ac:dyDescent="0.2">
      <c r="A1053" s="27" t="str">
        <f ca="1">Language!A509</f>
        <v>По прочим налогам и платежам</v>
      </c>
      <c r="B1053" s="27"/>
      <c r="C1053" s="29" t="str">
        <f t="shared" ca="1" si="3165"/>
        <v>тыс. EUR</v>
      </c>
      <c r="D1053" s="16" t="s">
        <v>2594</v>
      </c>
      <c r="E1053" s="27"/>
      <c r="F1053" s="53">
        <f t="shared" ref="F1053:X1053" si="3195">(F136*IF(($B138+$B141)&gt;0,($B138*$B139+$B141*$B142)/($B138+$B141),0)+F143*$B146+F148*$B150+F157*$B161+F203*$B205+F222*$B224)/PRJ_Step+SUMIF($D134:$D170,"*1_02*",F134:F170)</f>
        <v>0</v>
      </c>
      <c r="G1053" s="53">
        <f t="shared" si="3195"/>
        <v>0</v>
      </c>
      <c r="H1053" s="53">
        <f t="shared" si="3195"/>
        <v>0</v>
      </c>
      <c r="I1053" s="53">
        <f t="shared" si="3195"/>
        <v>0</v>
      </c>
      <c r="J1053" s="53">
        <f t="shared" si="3195"/>
        <v>0</v>
      </c>
      <c r="K1053" s="53">
        <f t="shared" si="3195"/>
        <v>37.738329767441854</v>
      </c>
      <c r="L1053" s="53">
        <f t="shared" si="3195"/>
        <v>37.738329767441854</v>
      </c>
      <c r="M1053" s="53">
        <f t="shared" si="3195"/>
        <v>37.738329767441854</v>
      </c>
      <c r="N1053" s="53">
        <f t="shared" si="3195"/>
        <v>37.738329767441854</v>
      </c>
      <c r="O1053" s="53">
        <f t="shared" si="3195"/>
        <v>37.738329767441854</v>
      </c>
      <c r="P1053" s="53">
        <f t="shared" si="3195"/>
        <v>37.738329767441854</v>
      </c>
      <c r="Q1053" s="53">
        <f t="shared" si="3195"/>
        <v>37.738329767441854</v>
      </c>
      <c r="R1053" s="53">
        <f t="shared" si="3195"/>
        <v>37.738329767441854</v>
      </c>
      <c r="S1053" s="53">
        <f t="shared" si="3195"/>
        <v>37.738329767441854</v>
      </c>
      <c r="T1053" s="53">
        <f t="shared" si="3195"/>
        <v>37.738329767441854</v>
      </c>
      <c r="U1053" s="53">
        <f t="shared" si="3195"/>
        <v>37.738329767441854</v>
      </c>
      <c r="V1053" s="53">
        <f t="shared" si="3195"/>
        <v>37.738329767441854</v>
      </c>
      <c r="W1053" s="53">
        <f t="shared" si="3195"/>
        <v>37.738329767441854</v>
      </c>
      <c r="X1053" s="53">
        <f t="shared" si="3195"/>
        <v>37.738329767441854</v>
      </c>
      <c r="Y1053" s="53">
        <f t="shared" ref="Y1053" si="3196">(Y136*IF(($B138+$B141)&gt;0,($B138*$B139+$B141*$B142)/($B138+$B141),0)+Y143*$B146+Y148*$B150+Y157*$B161+Y203*$B205+Y222*$B224)/PRJ_Step+SUMIF($D134:$D170,"*1_02*",Y134:Y170)</f>
        <v>37.738329767441854</v>
      </c>
      <c r="Z1053" s="53">
        <f t="shared" ref="Z1053" si="3197">(Z136*IF(($B138+$B141)&gt;0,($B138*$B139+$B141*$B142)/($B138+$B141),0)+Z143*$B146+Z148*$B150+Z157*$B161+Z203*$B205+Z222*$B224)/PRJ_Step+SUMIF($D134:$D170,"*1_02*",Z134:Z170)</f>
        <v>37.738329767441854</v>
      </c>
      <c r="AA1053" s="53">
        <f t="shared" ref="AA1053" si="3198">(AA136*IF(($B138+$B141)&gt;0,($B138*$B139+$B141*$B142)/($B138+$B141),0)+AA143*$B146+AA148*$B150+AA157*$B161+AA203*$B205+AA222*$B224)/PRJ_Step+SUMIF($D134:$D170,"*1_02*",AA134:AA170)</f>
        <v>37.738329767441854</v>
      </c>
      <c r="AB1053" s="53">
        <f t="shared" ref="AB1053:AC1053" si="3199">(AB136*IF(($B138+$B141)&gt;0,($B138*$B139+$B141*$B142)/($B138+$B141),0)+AB143*$B146+AB148*$B150+AB157*$B161+AB203*$B205+AB222*$B224)/PRJ_Step+SUMIF($D134:$D170,"*1_02*",AB134:AB170)</f>
        <v>37.738329767441854</v>
      </c>
      <c r="AC1053" s="53">
        <f t="shared" si="3199"/>
        <v>37.738329767441854</v>
      </c>
      <c r="AD1053" s="27"/>
      <c r="AE1053" s="20"/>
    </row>
    <row r="1054" spans="1:31" hidden="1" outlineLevel="1" x14ac:dyDescent="0.2">
      <c r="D1054" s="60"/>
      <c r="F1054" s="63"/>
      <c r="G1054" s="63"/>
      <c r="H1054" s="63"/>
      <c r="I1054" s="63"/>
      <c r="J1054" s="63"/>
      <c r="K1054" s="63"/>
      <c r="L1054" s="63"/>
      <c r="M1054" s="63"/>
      <c r="N1054" s="63"/>
      <c r="O1054" s="63"/>
      <c r="P1054" s="63"/>
      <c r="Q1054" s="63"/>
      <c r="R1054" s="63"/>
      <c r="S1054" s="63"/>
      <c r="T1054" s="63"/>
      <c r="U1054" s="63"/>
      <c r="V1054" s="63"/>
      <c r="W1054" s="63"/>
      <c r="X1054" s="63"/>
      <c r="Y1054" s="63"/>
      <c r="Z1054" s="63"/>
      <c r="AA1054" s="63"/>
      <c r="AB1054" s="63"/>
      <c r="AC1054" s="63"/>
    </row>
    <row r="1055" spans="1:31" hidden="1" outlineLevel="1" x14ac:dyDescent="0.2">
      <c r="A1055" s="35" t="str">
        <f ca="1">Language!A510</f>
        <v>РАСЧЕТЫ С ПЕРСОНАЛОМ</v>
      </c>
      <c r="D1055" s="16"/>
      <c r="F1055" s="19"/>
      <c r="G1055" s="19"/>
      <c r="H1055" s="19"/>
      <c r="I1055" s="19"/>
      <c r="J1055" s="19"/>
      <c r="K1055" s="19"/>
      <c r="L1055" s="19"/>
      <c r="M1055" s="19"/>
      <c r="N1055" s="19"/>
      <c r="O1055" s="19"/>
      <c r="P1055" s="19"/>
      <c r="Q1055" s="19"/>
      <c r="R1055" s="19"/>
      <c r="S1055" s="19"/>
      <c r="T1055" s="19"/>
      <c r="U1055" s="19"/>
      <c r="V1055" s="19"/>
      <c r="W1055" s="19"/>
      <c r="X1055" s="19"/>
      <c r="Y1055" s="19"/>
      <c r="Z1055" s="19"/>
      <c r="AA1055" s="19"/>
      <c r="AB1055" s="19"/>
      <c r="AC1055" s="19"/>
    </row>
    <row r="1056" spans="1:31" hidden="1" outlineLevel="1" x14ac:dyDescent="0.2">
      <c r="A1056" t="str">
        <f ca="1">Language!A511</f>
        <v>Текущая задолженность по заработной плате</v>
      </c>
      <c r="C1056" s="5" t="str">
        <f ca="1">CUR_Main</f>
        <v>тыс. EUR</v>
      </c>
      <c r="D1056" s="16" t="s">
        <v>2594</v>
      </c>
      <c r="E1056" s="43">
        <f>F67*CHOOSE($B$37,1,F$88)</f>
        <v>0</v>
      </c>
      <c r="F1056" s="43">
        <f t="shared" ref="F1056:T1056" si="3200">F994*$B1057/PRJ_Step</f>
        <v>0</v>
      </c>
      <c r="G1056" s="43">
        <f t="shared" si="3200"/>
        <v>0</v>
      </c>
      <c r="H1056" s="43">
        <f t="shared" si="3200"/>
        <v>0</v>
      </c>
      <c r="I1056" s="43">
        <f t="shared" si="3200"/>
        <v>0</v>
      </c>
      <c r="J1056" s="43">
        <f t="shared" si="3200"/>
        <v>0</v>
      </c>
      <c r="K1056" s="43">
        <f t="shared" si="3200"/>
        <v>61.024999999999999</v>
      </c>
      <c r="L1056" s="43">
        <f t="shared" si="3200"/>
        <v>61.024999999999999</v>
      </c>
      <c r="M1056" s="43">
        <f t="shared" si="3200"/>
        <v>61.024999999999999</v>
      </c>
      <c r="N1056" s="43">
        <f t="shared" si="3200"/>
        <v>61.024999999999999</v>
      </c>
      <c r="O1056" s="43">
        <f t="shared" si="3200"/>
        <v>61.024999999999999</v>
      </c>
      <c r="P1056" s="43">
        <f t="shared" si="3200"/>
        <v>61.024999999999999</v>
      </c>
      <c r="Q1056" s="43">
        <f t="shared" si="3200"/>
        <v>61.024999999999999</v>
      </c>
      <c r="R1056" s="43">
        <f t="shared" si="3200"/>
        <v>61.024999999999999</v>
      </c>
      <c r="S1056" s="43">
        <f t="shared" si="3200"/>
        <v>61.024999999999999</v>
      </c>
      <c r="T1056" s="43">
        <f t="shared" si="3200"/>
        <v>61.024999999999999</v>
      </c>
      <c r="U1056" s="43">
        <f t="shared" ref="U1056" si="3201">U994*$B1057/PRJ_Step</f>
        <v>61.024999999999999</v>
      </c>
      <c r="V1056" s="43">
        <f t="shared" ref="V1056" si="3202">V994*$B1057/PRJ_Step</f>
        <v>61.024999999999999</v>
      </c>
      <c r="W1056" s="43">
        <f t="shared" ref="W1056" si="3203">W994*$B1057/PRJ_Step</f>
        <v>61.024999999999999</v>
      </c>
      <c r="X1056" s="43">
        <f t="shared" ref="X1056" si="3204">X994*$B1057/PRJ_Step</f>
        <v>61.024999999999999</v>
      </c>
      <c r="Y1056" s="43">
        <f t="shared" ref="Y1056" si="3205">Y994*$B1057/PRJ_Step</f>
        <v>61.024999999999999</v>
      </c>
      <c r="Z1056" s="43">
        <f t="shared" ref="Z1056" si="3206">Z994*$B1057/PRJ_Step</f>
        <v>61.024999999999999</v>
      </c>
      <c r="AA1056" s="43">
        <f t="shared" ref="AA1056" si="3207">AA994*$B1057/PRJ_Step</f>
        <v>61.024999999999999</v>
      </c>
      <c r="AB1056" s="43">
        <f t="shared" ref="AB1056:AC1056" si="3208">AB994*$B1057/PRJ_Step</f>
        <v>61.024999999999999</v>
      </c>
      <c r="AC1056" s="43">
        <f t="shared" si="3208"/>
        <v>61.024999999999999</v>
      </c>
    </row>
    <row r="1057" spans="1:31" hidden="1" outlineLevel="1" x14ac:dyDescent="0.2">
      <c r="A1057" s="27" t="str">
        <f ca="1">Language!A512</f>
        <v xml:space="preserve">    частота выплаты заработной платы</v>
      </c>
      <c r="B1057" s="291">
        <v>15</v>
      </c>
      <c r="C1057" s="29" t="str">
        <f ca="1">Language!A38</f>
        <v>дн.</v>
      </c>
      <c r="D1057" s="16"/>
      <c r="E1057" s="27"/>
      <c r="F1057" s="27"/>
      <c r="G1057" s="27"/>
      <c r="H1057" s="27"/>
      <c r="I1057" s="27"/>
      <c r="J1057" s="27"/>
      <c r="K1057" s="27"/>
      <c r="L1057" s="27"/>
      <c r="M1057" s="27"/>
      <c r="N1057" s="27"/>
      <c r="O1057" s="27"/>
      <c r="P1057" s="27"/>
      <c r="Q1057" s="27"/>
      <c r="R1057" s="27"/>
      <c r="S1057" s="27"/>
      <c r="T1057" s="27"/>
      <c r="U1057" s="27"/>
      <c r="V1057" s="27"/>
      <c r="W1057" s="27"/>
      <c r="X1057" s="27"/>
      <c r="Y1057" s="27"/>
      <c r="Z1057" s="27"/>
      <c r="AA1057" s="27"/>
      <c r="AB1057" s="27"/>
      <c r="AC1057" s="27"/>
      <c r="AD1057" s="27"/>
      <c r="AE1057" s="20"/>
    </row>
    <row r="1058" spans="1:31" hidden="1" outlineLevel="1" x14ac:dyDescent="0.2">
      <c r="D1058" s="60"/>
    </row>
    <row r="1059" spans="1:31" hidden="1" outlineLevel="1" x14ac:dyDescent="0.2">
      <c r="A1059" s="35" t="str">
        <f ca="1">Language!A513</f>
        <v>РЕЗЕРВ ДЕНЕЖНЫХ СРЕДСТВ</v>
      </c>
      <c r="D1059" s="16"/>
    </row>
    <row r="1060" spans="1:31" hidden="1" outlineLevel="1" x14ac:dyDescent="0.2">
      <c r="A1060" t="str">
        <f ca="1">Language!A514</f>
        <v>Резерв средств на обеспечение текущих расчетов</v>
      </c>
      <c r="C1060" s="5" t="str">
        <f ca="1">CUR_Main</f>
        <v>тыс. EUR</v>
      </c>
      <c r="D1060" s="16" t="s">
        <v>2594</v>
      </c>
      <c r="F1060" s="53">
        <f t="shared" ref="F1060:T1060" si="3209">IF($B1061=1,F991*$B1062/PRJ_Step,0)</f>
        <v>0</v>
      </c>
      <c r="G1060" s="53">
        <f t="shared" si="3209"/>
        <v>0</v>
      </c>
      <c r="H1060" s="53">
        <f t="shared" si="3209"/>
        <v>0</v>
      </c>
      <c r="I1060" s="53">
        <f t="shared" si="3209"/>
        <v>0</v>
      </c>
      <c r="J1060" s="53">
        <f t="shared" si="3209"/>
        <v>0</v>
      </c>
      <c r="K1060" s="53">
        <f t="shared" si="3209"/>
        <v>0</v>
      </c>
      <c r="L1060" s="53">
        <f t="shared" si="3209"/>
        <v>0</v>
      </c>
      <c r="M1060" s="53">
        <f t="shared" si="3209"/>
        <v>0</v>
      </c>
      <c r="N1060" s="53">
        <f t="shared" si="3209"/>
        <v>0</v>
      </c>
      <c r="O1060" s="53">
        <f t="shared" si="3209"/>
        <v>0</v>
      </c>
      <c r="P1060" s="53">
        <f t="shared" si="3209"/>
        <v>0</v>
      </c>
      <c r="Q1060" s="53">
        <f t="shared" si="3209"/>
        <v>0</v>
      </c>
      <c r="R1060" s="53">
        <f t="shared" si="3209"/>
        <v>0</v>
      </c>
      <c r="S1060" s="53">
        <f t="shared" si="3209"/>
        <v>0</v>
      </c>
      <c r="T1060" s="53">
        <f t="shared" si="3209"/>
        <v>0</v>
      </c>
      <c r="U1060" s="53">
        <f t="shared" ref="U1060" si="3210">IF($B1061=1,U991*$B1062/PRJ_Step,0)</f>
        <v>0</v>
      </c>
      <c r="V1060" s="53">
        <f t="shared" ref="V1060" si="3211">IF($B1061=1,V991*$B1062/PRJ_Step,0)</f>
        <v>0</v>
      </c>
      <c r="W1060" s="53">
        <f t="shared" ref="W1060" si="3212">IF($B1061=1,W991*$B1062/PRJ_Step,0)</f>
        <v>0</v>
      </c>
      <c r="X1060" s="53">
        <f t="shared" ref="X1060" si="3213">IF($B1061=1,X991*$B1062/PRJ_Step,0)</f>
        <v>0</v>
      </c>
      <c r="Y1060" s="53">
        <f t="shared" ref="Y1060" si="3214">IF($B1061=1,Y991*$B1062/PRJ_Step,0)</f>
        <v>0</v>
      </c>
      <c r="Z1060" s="53">
        <f t="shared" ref="Z1060" si="3215">IF($B1061=1,Z991*$B1062/PRJ_Step,0)</f>
        <v>0</v>
      </c>
      <c r="AA1060" s="53">
        <f t="shared" ref="AA1060" si="3216">IF($B1061=1,AA991*$B1062/PRJ_Step,0)</f>
        <v>0</v>
      </c>
      <c r="AB1060" s="53">
        <f t="shared" ref="AB1060:AC1060" si="3217">IF($B1061=1,AB991*$B1062/PRJ_Step,0)</f>
        <v>0</v>
      </c>
      <c r="AC1060" s="53">
        <f t="shared" si="3217"/>
        <v>0</v>
      </c>
    </row>
    <row r="1061" spans="1:31" hidden="1" outlineLevel="1" x14ac:dyDescent="0.2">
      <c r="A1061" t="str">
        <f ca="1">Language!A515</f>
        <v xml:space="preserve">    создавать?</v>
      </c>
      <c r="B1061" s="254">
        <v>2</v>
      </c>
      <c r="C1061" s="11" t="str">
        <f ca="1">CHOOSE(B1061,Language!A525,Language!A526)</f>
        <v>Не создавать резерв</v>
      </c>
      <c r="D1061" s="16"/>
    </row>
    <row r="1062" spans="1:31" hidden="1" outlineLevel="1" collapsed="1" x14ac:dyDescent="0.2">
      <c r="A1062" s="19" t="str">
        <f ca="1">Language!A516</f>
        <v xml:space="preserve">    покрытие потребности</v>
      </c>
      <c r="B1062" s="290">
        <v>0</v>
      </c>
      <c r="C1062" s="26" t="str">
        <f ca="1">Language!A38</f>
        <v>дн.</v>
      </c>
      <c r="D1062" s="46"/>
      <c r="E1062" s="19"/>
      <c r="F1062" s="19"/>
      <c r="G1062" s="19"/>
      <c r="H1062" s="19"/>
      <c r="I1062" s="19"/>
      <c r="J1062" s="19"/>
      <c r="K1062" s="19"/>
      <c r="L1062" s="19"/>
      <c r="M1062" s="19"/>
      <c r="N1062" s="19"/>
      <c r="O1062" s="19"/>
      <c r="P1062" s="19"/>
      <c r="Q1062" s="19"/>
      <c r="R1062" s="19"/>
      <c r="S1062" s="19"/>
      <c r="T1062" s="19"/>
      <c r="U1062" s="19"/>
      <c r="V1062" s="19"/>
      <c r="W1062" s="19"/>
      <c r="X1062" s="19"/>
      <c r="Y1062" s="19"/>
      <c r="Z1062" s="19"/>
      <c r="AA1062" s="19"/>
      <c r="AB1062" s="19"/>
      <c r="AC1062" s="19"/>
      <c r="AD1062" s="19"/>
      <c r="AE1062" s="22"/>
    </row>
    <row r="1063" spans="1:31" hidden="1" outlineLevel="2" x14ac:dyDescent="0.2">
      <c r="A1063" s="24" t="str">
        <f ca="1">Language!A$188</f>
        <v xml:space="preserve">         то же, в итоговой валюте</v>
      </c>
      <c r="B1063" s="19"/>
      <c r="C1063" s="5" t="str">
        <f ca="1">CUR_Report</f>
        <v>тыс. EUR</v>
      </c>
      <c r="D1063" s="16" t="s">
        <v>2594</v>
      </c>
      <c r="E1063" s="19"/>
      <c r="F1063" s="53">
        <f t="shared" ref="F1063:T1063" si="3218">F1060/IF(CUR_I_Report=2,F$88,1)</f>
        <v>0</v>
      </c>
      <c r="G1063" s="53">
        <f t="shared" si="3218"/>
        <v>0</v>
      </c>
      <c r="H1063" s="53">
        <f t="shared" si="3218"/>
        <v>0</v>
      </c>
      <c r="I1063" s="53">
        <f t="shared" si="3218"/>
        <v>0</v>
      </c>
      <c r="J1063" s="53">
        <f t="shared" si="3218"/>
        <v>0</v>
      </c>
      <c r="K1063" s="53">
        <f t="shared" si="3218"/>
        <v>0</v>
      </c>
      <c r="L1063" s="53">
        <f t="shared" si="3218"/>
        <v>0</v>
      </c>
      <c r="M1063" s="53">
        <f t="shared" si="3218"/>
        <v>0</v>
      </c>
      <c r="N1063" s="53">
        <f t="shared" si="3218"/>
        <v>0</v>
      </c>
      <c r="O1063" s="53">
        <f t="shared" si="3218"/>
        <v>0</v>
      </c>
      <c r="P1063" s="53">
        <f t="shared" si="3218"/>
        <v>0</v>
      </c>
      <c r="Q1063" s="53">
        <f t="shared" si="3218"/>
        <v>0</v>
      </c>
      <c r="R1063" s="53">
        <f t="shared" si="3218"/>
        <v>0</v>
      </c>
      <c r="S1063" s="53">
        <f t="shared" si="3218"/>
        <v>0</v>
      </c>
      <c r="T1063" s="53">
        <f t="shared" si="3218"/>
        <v>0</v>
      </c>
      <c r="U1063" s="53">
        <f t="shared" ref="U1063" si="3219">U1060/IF(CUR_I_Report=2,U$88,1)</f>
        <v>0</v>
      </c>
      <c r="V1063" s="53">
        <f t="shared" ref="V1063" si="3220">V1060/IF(CUR_I_Report=2,V$88,1)</f>
        <v>0</v>
      </c>
      <c r="W1063" s="53">
        <f t="shared" ref="W1063" si="3221">W1060/IF(CUR_I_Report=2,W$88,1)</f>
        <v>0</v>
      </c>
      <c r="X1063" s="53">
        <f t="shared" ref="X1063" si="3222">X1060/IF(CUR_I_Report=2,X$88,1)</f>
        <v>0</v>
      </c>
      <c r="Y1063" s="53">
        <f t="shared" ref="Y1063" si="3223">Y1060/IF(CUR_I_Report=2,Y$88,1)</f>
        <v>0</v>
      </c>
      <c r="Z1063" s="53">
        <f t="shared" ref="Z1063" si="3224">Z1060/IF(CUR_I_Report=2,Z$88,1)</f>
        <v>0</v>
      </c>
      <c r="AA1063" s="53">
        <f t="shared" ref="AA1063" si="3225">AA1060/IF(CUR_I_Report=2,AA$88,1)</f>
        <v>0</v>
      </c>
      <c r="AB1063" s="53">
        <f t="shared" ref="AB1063:AC1063" si="3226">AB1060/IF(CUR_I_Report=2,AB$88,1)</f>
        <v>0</v>
      </c>
      <c r="AC1063" s="53">
        <f t="shared" si="3226"/>
        <v>0</v>
      </c>
      <c r="AD1063" s="19"/>
      <c r="AE1063" s="66"/>
    </row>
    <row r="1064" spans="1:31" hidden="1" outlineLevel="1" x14ac:dyDescent="0.2">
      <c r="A1064" s="63"/>
      <c r="B1064" s="63"/>
      <c r="C1064" s="63"/>
      <c r="D1064" s="60"/>
      <c r="E1064" s="63"/>
      <c r="F1064" s="63"/>
      <c r="G1064" s="63"/>
      <c r="H1064" s="63"/>
      <c r="I1064" s="63"/>
      <c r="J1064" s="63"/>
      <c r="K1064" s="63"/>
      <c r="L1064" s="63"/>
      <c r="M1064" s="63"/>
      <c r="N1064" s="63"/>
      <c r="O1064" s="63"/>
      <c r="P1064" s="63"/>
      <c r="Q1064" s="63"/>
      <c r="R1064" s="63"/>
      <c r="S1064" s="63"/>
      <c r="T1064" s="63"/>
      <c r="U1064" s="63"/>
      <c r="V1064" s="63"/>
      <c r="W1064" s="63"/>
      <c r="X1064" s="63"/>
      <c r="Y1064" s="63"/>
      <c r="Z1064" s="63"/>
      <c r="AA1064" s="63"/>
      <c r="AB1064" s="63"/>
      <c r="AC1064" s="63"/>
      <c r="AD1064" s="63"/>
      <c r="AE1064" s="64"/>
    </row>
    <row r="1065" spans="1:31" hidden="1" outlineLevel="1" x14ac:dyDescent="0.2">
      <c r="A1065" s="19" t="str">
        <f ca="1">Language!A517</f>
        <v>Итого текущих активов</v>
      </c>
      <c r="B1065" s="19"/>
      <c r="C1065" s="26" t="str">
        <f t="shared" ref="C1065:C1070" ca="1" si="3227">CUR_Main</f>
        <v>тыс. EUR</v>
      </c>
      <c r="D1065" s="46" t="s">
        <v>2594</v>
      </c>
      <c r="E1065" s="110">
        <f t="shared" ref="E1065:T1065" si="3228">E1011+E1015+E1019+E1029+E1060+E1044</f>
        <v>0</v>
      </c>
      <c r="F1065" s="110">
        <f t="shared" ca="1" si="3228"/>
        <v>0</v>
      </c>
      <c r="G1065" s="110">
        <f t="shared" ca="1" si="3228"/>
        <v>0</v>
      </c>
      <c r="H1065" s="110">
        <f t="shared" ca="1" si="3228"/>
        <v>0</v>
      </c>
      <c r="I1065" s="110">
        <f t="shared" ca="1" si="3228"/>
        <v>0</v>
      </c>
      <c r="J1065" s="110">
        <f t="shared" ca="1" si="3228"/>
        <v>0</v>
      </c>
      <c r="K1065" s="110">
        <f t="shared" ca="1" si="3228"/>
        <v>5.6843418860808015E-14</v>
      </c>
      <c r="L1065" s="110">
        <f t="shared" ca="1" si="3228"/>
        <v>0</v>
      </c>
      <c r="M1065" s="110">
        <f t="shared" ca="1" si="3228"/>
        <v>0</v>
      </c>
      <c r="N1065" s="110">
        <f t="shared" ca="1" si="3228"/>
        <v>0</v>
      </c>
      <c r="O1065" s="110">
        <f t="shared" ca="1" si="3228"/>
        <v>1.3642420526593924E-12</v>
      </c>
      <c r="P1065" s="110">
        <f t="shared" ca="1" si="3228"/>
        <v>0</v>
      </c>
      <c r="Q1065" s="110">
        <f t="shared" ca="1" si="3228"/>
        <v>0</v>
      </c>
      <c r="R1065" s="110">
        <f t="shared" ca="1" si="3228"/>
        <v>0</v>
      </c>
      <c r="S1065" s="110">
        <f t="shared" ca="1" si="3228"/>
        <v>0</v>
      </c>
      <c r="T1065" s="110">
        <f t="shared" ca="1" si="3228"/>
        <v>0</v>
      </c>
      <c r="U1065" s="110">
        <f t="shared" ref="U1065" ca="1" si="3229">U1011+U1015+U1019+U1029+U1060+U1044</f>
        <v>0</v>
      </c>
      <c r="V1065" s="110">
        <f t="shared" ref="V1065" ca="1" si="3230">V1011+V1015+V1019+V1029+V1060+V1044</f>
        <v>0</v>
      </c>
      <c r="W1065" s="110">
        <f t="shared" ref="W1065" ca="1" si="3231">W1011+W1015+W1019+W1029+W1060+W1044</f>
        <v>0</v>
      </c>
      <c r="X1065" s="110">
        <f t="shared" ref="X1065" ca="1" si="3232">X1011+X1015+X1019+X1029+X1060+X1044</f>
        <v>0</v>
      </c>
      <c r="Y1065" s="110">
        <f t="shared" ref="Y1065" ca="1" si="3233">Y1011+Y1015+Y1019+Y1029+Y1060+Y1044</f>
        <v>0</v>
      </c>
      <c r="Z1065" s="110">
        <f t="shared" ref="Z1065" ca="1" si="3234">Z1011+Z1015+Z1019+Z1029+Z1060+Z1044</f>
        <v>0</v>
      </c>
      <c r="AA1065" s="110">
        <f t="shared" ref="AA1065" ca="1" si="3235">AA1011+AA1015+AA1019+AA1029+AA1060+AA1044</f>
        <v>0</v>
      </c>
      <c r="AB1065" s="110">
        <f t="shared" ref="AB1065:AC1065" ca="1" si="3236">AB1011+AB1015+AB1019+AB1029+AB1060+AB1044</f>
        <v>0</v>
      </c>
      <c r="AC1065" s="110">
        <f t="shared" ca="1" si="3236"/>
        <v>0</v>
      </c>
      <c r="AD1065" s="19"/>
      <c r="AE1065" s="22"/>
    </row>
    <row r="1066" spans="1:31" hidden="1" outlineLevel="1" x14ac:dyDescent="0.2">
      <c r="A1066" s="19" t="str">
        <f ca="1">Language!A518</f>
        <v>Итого текущих обязательств</v>
      </c>
      <c r="B1066" s="19"/>
      <c r="C1066" s="26" t="str">
        <f t="shared" ca="1" si="3227"/>
        <v>тыс. EUR</v>
      </c>
      <c r="D1066" s="46" t="s">
        <v>2594</v>
      </c>
      <c r="E1066" s="110">
        <f t="shared" ref="E1066:T1066" si="3237">E1041+E1048+E1056+E1032</f>
        <v>0</v>
      </c>
      <c r="F1066" s="110">
        <f t="shared" ca="1" si="3237"/>
        <v>0</v>
      </c>
      <c r="G1066" s="110">
        <f t="shared" ca="1" si="3237"/>
        <v>0</v>
      </c>
      <c r="H1066" s="110">
        <f t="shared" ca="1" si="3237"/>
        <v>0</v>
      </c>
      <c r="I1066" s="110">
        <f t="shared" ca="1" si="3237"/>
        <v>0</v>
      </c>
      <c r="J1066" s="110">
        <f t="shared" ca="1" si="3237"/>
        <v>0</v>
      </c>
      <c r="K1066" s="110">
        <f t="shared" ca="1" si="3237"/>
        <v>98.76332976744186</v>
      </c>
      <c r="L1066" s="110">
        <f t="shared" ca="1" si="3237"/>
        <v>98.76332976744186</v>
      </c>
      <c r="M1066" s="110">
        <f t="shared" ca="1" si="3237"/>
        <v>98.76332976744186</v>
      </c>
      <c r="N1066" s="110">
        <f t="shared" ca="1" si="3237"/>
        <v>146.66763385530092</v>
      </c>
      <c r="O1066" s="110">
        <f t="shared" ca="1" si="3237"/>
        <v>188.32308843766876</v>
      </c>
      <c r="P1066" s="110">
        <f t="shared" ca="1" si="3237"/>
        <v>188.32308843766739</v>
      </c>
      <c r="Q1066" s="110">
        <f t="shared" ca="1" si="3237"/>
        <v>188.32308843766739</v>
      </c>
      <c r="R1066" s="110">
        <f t="shared" ca="1" si="3237"/>
        <v>188.32308843766739</v>
      </c>
      <c r="S1066" s="110">
        <f t="shared" ca="1" si="3237"/>
        <v>188.32308843766739</v>
      </c>
      <c r="T1066" s="110">
        <f t="shared" ca="1" si="3237"/>
        <v>188.32308843766739</v>
      </c>
      <c r="U1066" s="110">
        <f t="shared" ref="U1066" ca="1" si="3238">U1041+U1048+U1056+U1032</f>
        <v>188.32308843766739</v>
      </c>
      <c r="V1066" s="110">
        <f t="shared" ref="V1066" ca="1" si="3239">V1041+V1048+V1056+V1032</f>
        <v>188.32308843766739</v>
      </c>
      <c r="W1066" s="110">
        <f t="shared" ref="W1066" ca="1" si="3240">W1041+W1048+W1056+W1032</f>
        <v>188.32308843766739</v>
      </c>
      <c r="X1066" s="110">
        <f t="shared" ref="X1066" ca="1" si="3241">X1041+X1048+X1056+X1032</f>
        <v>188.32308843766739</v>
      </c>
      <c r="Y1066" s="110">
        <f t="shared" ref="Y1066" ca="1" si="3242">Y1041+Y1048+Y1056+Y1032</f>
        <v>188.32308843766739</v>
      </c>
      <c r="Z1066" s="110">
        <f t="shared" ref="Z1066" ca="1" si="3243">Z1041+Z1048+Z1056+Z1032</f>
        <v>188.32308843766739</v>
      </c>
      <c r="AA1066" s="110">
        <f t="shared" ref="AA1066" ca="1" si="3244">AA1041+AA1048+AA1056+AA1032</f>
        <v>188.32308843766739</v>
      </c>
      <c r="AB1066" s="110">
        <f t="shared" ref="AB1066:AC1066" ca="1" si="3245">AB1041+AB1048+AB1056+AB1032</f>
        <v>188.32308843766739</v>
      </c>
      <c r="AC1066" s="110">
        <f t="shared" ca="1" si="3245"/>
        <v>188.32308843766739</v>
      </c>
      <c r="AD1066" s="19"/>
      <c r="AE1066" s="22"/>
    </row>
    <row r="1067" spans="1:31" hidden="1" outlineLevel="1" x14ac:dyDescent="0.2">
      <c r="A1067" t="str">
        <f ca="1">Language!A519</f>
        <v>Оборотный капитал компании</v>
      </c>
      <c r="C1067" s="5" t="str">
        <f t="shared" ca="1" si="3227"/>
        <v>тыс. EUR</v>
      </c>
      <c r="D1067" s="16" t="s">
        <v>2594</v>
      </c>
      <c r="E1067" s="53">
        <f t="shared" ref="E1067:T1067" si="3246">E1065-E1066</f>
        <v>0</v>
      </c>
      <c r="F1067" s="53">
        <f t="shared" ca="1" si="3246"/>
        <v>0</v>
      </c>
      <c r="G1067" s="53">
        <f t="shared" ca="1" si="3246"/>
        <v>0</v>
      </c>
      <c r="H1067" s="53">
        <f t="shared" ca="1" si="3246"/>
        <v>0</v>
      </c>
      <c r="I1067" s="53">
        <f t="shared" ca="1" si="3246"/>
        <v>0</v>
      </c>
      <c r="J1067" s="53">
        <f t="shared" ca="1" si="3246"/>
        <v>0</v>
      </c>
      <c r="K1067" s="53">
        <f t="shared" ca="1" si="3246"/>
        <v>-98.763329767441803</v>
      </c>
      <c r="L1067" s="53">
        <f t="shared" ca="1" si="3246"/>
        <v>-98.76332976744186</v>
      </c>
      <c r="M1067" s="53">
        <f t="shared" ca="1" si="3246"/>
        <v>-98.76332976744186</v>
      </c>
      <c r="N1067" s="53">
        <f t="shared" ca="1" si="3246"/>
        <v>-146.66763385530092</v>
      </c>
      <c r="O1067" s="53">
        <f t="shared" ca="1" si="3246"/>
        <v>-188.32308843766739</v>
      </c>
      <c r="P1067" s="53">
        <f t="shared" ca="1" si="3246"/>
        <v>-188.32308843766739</v>
      </c>
      <c r="Q1067" s="53">
        <f t="shared" ca="1" si="3246"/>
        <v>-188.32308843766739</v>
      </c>
      <c r="R1067" s="53">
        <f t="shared" ca="1" si="3246"/>
        <v>-188.32308843766739</v>
      </c>
      <c r="S1067" s="53">
        <f t="shared" ca="1" si="3246"/>
        <v>-188.32308843766739</v>
      </c>
      <c r="T1067" s="53">
        <f t="shared" ca="1" si="3246"/>
        <v>-188.32308843766739</v>
      </c>
      <c r="U1067" s="53">
        <f t="shared" ref="U1067" ca="1" si="3247">U1065-U1066</f>
        <v>-188.32308843766739</v>
      </c>
      <c r="V1067" s="53">
        <f t="shared" ref="V1067" ca="1" si="3248">V1065-V1066</f>
        <v>-188.32308843766739</v>
      </c>
      <c r="W1067" s="53">
        <f t="shared" ref="W1067" ca="1" si="3249">W1065-W1066</f>
        <v>-188.32308843766739</v>
      </c>
      <c r="X1067" s="53">
        <f t="shared" ref="X1067" ca="1" si="3250">X1065-X1066</f>
        <v>-188.32308843766739</v>
      </c>
      <c r="Y1067" s="53">
        <f t="shared" ref="Y1067" ca="1" si="3251">Y1065-Y1066</f>
        <v>-188.32308843766739</v>
      </c>
      <c r="Z1067" s="53">
        <f t="shared" ref="Z1067" ca="1" si="3252">Z1065-Z1066</f>
        <v>-188.32308843766739</v>
      </c>
      <c r="AA1067" s="53">
        <f t="shared" ref="AA1067" ca="1" si="3253">AA1065-AA1066</f>
        <v>-188.32308843766739</v>
      </c>
      <c r="AB1067" s="53">
        <f t="shared" ref="AB1067:AC1067" ca="1" si="3254">AB1065-AB1066</f>
        <v>-188.32308843766739</v>
      </c>
      <c r="AC1067" s="53">
        <f t="shared" ca="1" si="3254"/>
        <v>-188.32308843766739</v>
      </c>
    </row>
    <row r="1068" spans="1:31" hidden="1" outlineLevel="1" x14ac:dyDescent="0.2">
      <c r="A1068" s="35" t="str">
        <f ca="1">Language!A520</f>
        <v>Изменение чистого оборотного капитала</v>
      </c>
      <c r="C1068" s="5" t="str">
        <f t="shared" ca="1" si="3227"/>
        <v>тыс. EUR</v>
      </c>
      <c r="D1068" s="59"/>
      <c r="F1068" s="56">
        <f t="shared" ref="F1068:AC1068" ca="1" si="3255">F1067-E1067</f>
        <v>0</v>
      </c>
      <c r="G1068" s="56">
        <f t="shared" ca="1" si="3255"/>
        <v>0</v>
      </c>
      <c r="H1068" s="56">
        <f t="shared" ca="1" si="3255"/>
        <v>0</v>
      </c>
      <c r="I1068" s="56">
        <f t="shared" ca="1" si="3255"/>
        <v>0</v>
      </c>
      <c r="J1068" s="56">
        <f t="shared" ca="1" si="3255"/>
        <v>0</v>
      </c>
      <c r="K1068" s="56">
        <f t="shared" ca="1" si="3255"/>
        <v>-98.763329767441803</v>
      </c>
      <c r="L1068" s="56">
        <f t="shared" ca="1" si="3255"/>
        <v>0</v>
      </c>
      <c r="M1068" s="56">
        <f t="shared" ca="1" si="3255"/>
        <v>0</v>
      </c>
      <c r="N1068" s="56">
        <f t="shared" ca="1" si="3255"/>
        <v>-47.90430408785906</v>
      </c>
      <c r="O1068" s="56">
        <f t="shared" ca="1" si="3255"/>
        <v>-41.655454582366474</v>
      </c>
      <c r="P1068" s="56">
        <f t="shared" ca="1" si="3255"/>
        <v>0</v>
      </c>
      <c r="Q1068" s="56">
        <f t="shared" ca="1" si="3255"/>
        <v>0</v>
      </c>
      <c r="R1068" s="56">
        <f t="shared" ca="1" si="3255"/>
        <v>0</v>
      </c>
      <c r="S1068" s="56">
        <f t="shared" ca="1" si="3255"/>
        <v>0</v>
      </c>
      <c r="T1068" s="56">
        <f t="shared" ca="1" si="3255"/>
        <v>0</v>
      </c>
      <c r="U1068" s="56">
        <f t="shared" ca="1" si="3255"/>
        <v>0</v>
      </c>
      <c r="V1068" s="56">
        <f t="shared" ca="1" si="3255"/>
        <v>0</v>
      </c>
      <c r="W1068" s="56">
        <f t="shared" ca="1" si="3255"/>
        <v>0</v>
      </c>
      <c r="X1068" s="56">
        <f t="shared" ca="1" si="3255"/>
        <v>0</v>
      </c>
      <c r="Y1068" s="56">
        <f t="shared" ca="1" si="3255"/>
        <v>0</v>
      </c>
      <c r="Z1068" s="56">
        <f t="shared" ca="1" si="3255"/>
        <v>0</v>
      </c>
      <c r="AA1068" s="56">
        <f t="shared" ca="1" si="3255"/>
        <v>0</v>
      </c>
      <c r="AB1068" s="56">
        <f t="shared" ca="1" si="3255"/>
        <v>0</v>
      </c>
      <c r="AC1068" s="56">
        <f t="shared" ca="1" si="3255"/>
        <v>0</v>
      </c>
    </row>
    <row r="1069" spans="1:31" hidden="1" outlineLevel="1" x14ac:dyDescent="0.2">
      <c r="A1069" s="23" t="str">
        <f ca="1">Language!A521</f>
        <v>Прирост, учтенный в операционных денежных потоках</v>
      </c>
      <c r="C1069" s="5" t="str">
        <f t="shared" ca="1" si="3227"/>
        <v>тыс. EUR</v>
      </c>
      <c r="D1069" s="16"/>
      <c r="F1069" s="84">
        <f t="shared" ref="F1069:AC1069" ca="1" si="3256">(F1031+F1014+F1022+F1018+F1046-F1034-F1043)-(E1031+E1014+E1022+E1018+E1046-E1034-E1043)</f>
        <v>0</v>
      </c>
      <c r="G1069" s="84">
        <f t="shared" ca="1" si="3256"/>
        <v>0</v>
      </c>
      <c r="H1069" s="84">
        <f t="shared" ca="1" si="3256"/>
        <v>0</v>
      </c>
      <c r="I1069" s="84">
        <f t="shared" ca="1" si="3256"/>
        <v>0</v>
      </c>
      <c r="J1069" s="84">
        <f t="shared" ca="1" si="3256"/>
        <v>0</v>
      </c>
      <c r="K1069" s="84">
        <f t="shared" ca="1" si="3256"/>
        <v>5.6843418860808015E-14</v>
      </c>
      <c r="L1069" s="84">
        <f t="shared" ca="1" si="3256"/>
        <v>-5.6843418860808015E-14</v>
      </c>
      <c r="M1069" s="84">
        <f t="shared" ca="1" si="3256"/>
        <v>0</v>
      </c>
      <c r="N1069" s="84">
        <f t="shared" ca="1" si="3256"/>
        <v>0</v>
      </c>
      <c r="O1069" s="84">
        <f t="shared" ca="1" si="3256"/>
        <v>0</v>
      </c>
      <c r="P1069" s="84">
        <f t="shared" ca="1" si="3256"/>
        <v>0</v>
      </c>
      <c r="Q1069" s="84">
        <f t="shared" ca="1" si="3256"/>
        <v>0</v>
      </c>
      <c r="R1069" s="84">
        <f t="shared" ca="1" si="3256"/>
        <v>0</v>
      </c>
      <c r="S1069" s="84">
        <f t="shared" ca="1" si="3256"/>
        <v>0</v>
      </c>
      <c r="T1069" s="84">
        <f t="shared" ca="1" si="3256"/>
        <v>0</v>
      </c>
      <c r="U1069" s="84">
        <f t="shared" ca="1" si="3256"/>
        <v>0</v>
      </c>
      <c r="V1069" s="84">
        <f t="shared" ca="1" si="3256"/>
        <v>0</v>
      </c>
      <c r="W1069" s="84">
        <f t="shared" ca="1" si="3256"/>
        <v>0</v>
      </c>
      <c r="X1069" s="84">
        <f t="shared" ca="1" si="3256"/>
        <v>0</v>
      </c>
      <c r="Y1069" s="84">
        <f t="shared" ca="1" si="3256"/>
        <v>0</v>
      </c>
      <c r="Z1069" s="84">
        <f t="shared" ca="1" si="3256"/>
        <v>0</v>
      </c>
      <c r="AA1069" s="84">
        <f t="shared" ca="1" si="3256"/>
        <v>0</v>
      </c>
      <c r="AB1069" s="84">
        <f t="shared" ca="1" si="3256"/>
        <v>0</v>
      </c>
      <c r="AC1069" s="84">
        <f t="shared" ca="1" si="3256"/>
        <v>0</v>
      </c>
    </row>
    <row r="1070" spans="1:31" hidden="1" outlineLevel="1" x14ac:dyDescent="0.2">
      <c r="A1070" s="23" t="str">
        <f ca="1">Language!A522</f>
        <v>Инвестиции в чистый оборотный капитал</v>
      </c>
      <c r="C1070" s="5" t="str">
        <f t="shared" ca="1" si="3227"/>
        <v>тыс. EUR</v>
      </c>
      <c r="D1070" s="16"/>
      <c r="F1070" s="84">
        <f t="shared" ref="F1070:T1070" ca="1" si="3257">F1068-F1069</f>
        <v>0</v>
      </c>
      <c r="G1070" s="84">
        <f t="shared" ca="1" si="3257"/>
        <v>0</v>
      </c>
      <c r="H1070" s="84">
        <f t="shared" ca="1" si="3257"/>
        <v>0</v>
      </c>
      <c r="I1070" s="84">
        <f t="shared" ca="1" si="3257"/>
        <v>0</v>
      </c>
      <c r="J1070" s="84">
        <f t="shared" ca="1" si="3257"/>
        <v>0</v>
      </c>
      <c r="K1070" s="84">
        <f t="shared" ca="1" si="3257"/>
        <v>-98.76332976744186</v>
      </c>
      <c r="L1070" s="84">
        <f t="shared" ca="1" si="3257"/>
        <v>5.6843418860808015E-14</v>
      </c>
      <c r="M1070" s="84">
        <f t="shared" ca="1" si="3257"/>
        <v>0</v>
      </c>
      <c r="N1070" s="84">
        <f t="shared" ca="1" si="3257"/>
        <v>-47.90430408785906</v>
      </c>
      <c r="O1070" s="84">
        <f t="shared" ca="1" si="3257"/>
        <v>-41.655454582366474</v>
      </c>
      <c r="P1070" s="84">
        <f t="shared" ca="1" si="3257"/>
        <v>0</v>
      </c>
      <c r="Q1070" s="84">
        <f t="shared" ca="1" si="3257"/>
        <v>0</v>
      </c>
      <c r="R1070" s="84">
        <f t="shared" ca="1" si="3257"/>
        <v>0</v>
      </c>
      <c r="S1070" s="84">
        <f t="shared" ca="1" si="3257"/>
        <v>0</v>
      </c>
      <c r="T1070" s="84">
        <f t="shared" ca="1" si="3257"/>
        <v>0</v>
      </c>
      <c r="U1070" s="84">
        <f t="shared" ref="U1070" ca="1" si="3258">U1068-U1069</f>
        <v>0</v>
      </c>
      <c r="V1070" s="84">
        <f t="shared" ref="V1070" ca="1" si="3259">V1068-V1069</f>
        <v>0</v>
      </c>
      <c r="W1070" s="84">
        <f t="shared" ref="W1070" ca="1" si="3260">W1068-W1069</f>
        <v>0</v>
      </c>
      <c r="X1070" s="84">
        <f t="shared" ref="X1070" ca="1" si="3261">X1068-X1069</f>
        <v>0</v>
      </c>
      <c r="Y1070" s="84">
        <f t="shared" ref="Y1070" ca="1" si="3262">Y1068-Y1069</f>
        <v>0</v>
      </c>
      <c r="Z1070" s="84">
        <f t="shared" ref="Z1070" ca="1" si="3263">Z1068-Z1069</f>
        <v>0</v>
      </c>
      <c r="AA1070" s="84">
        <f t="shared" ref="AA1070" ca="1" si="3264">AA1068-AA1069</f>
        <v>0</v>
      </c>
      <c r="AB1070" s="84">
        <f t="shared" ref="AB1070:AC1070" ca="1" si="3265">AB1068-AB1069</f>
        <v>0</v>
      </c>
      <c r="AC1070" s="84">
        <f t="shared" ca="1" si="3265"/>
        <v>0</v>
      </c>
    </row>
    <row r="1071" spans="1:31" hidden="1" outlineLevel="1" x14ac:dyDescent="0.2">
      <c r="A1071" s="63"/>
      <c r="B1071" s="63"/>
      <c r="C1071" s="63"/>
      <c r="D1071" s="63"/>
      <c r="E1071" s="63"/>
      <c r="F1071" s="63"/>
      <c r="G1071" s="63"/>
      <c r="H1071" s="63"/>
      <c r="I1071" s="63"/>
      <c r="J1071" s="63"/>
      <c r="K1071" s="63"/>
      <c r="L1071" s="63"/>
      <c r="M1071" s="63"/>
      <c r="N1071" s="63"/>
      <c r="O1071" s="63"/>
      <c r="P1071" s="63"/>
      <c r="Q1071" s="63"/>
      <c r="R1071" s="63"/>
      <c r="S1071" s="63"/>
      <c r="T1071" s="63"/>
      <c r="U1071" s="63"/>
      <c r="V1071" s="63"/>
      <c r="W1071" s="63"/>
      <c r="X1071" s="63"/>
      <c r="Y1071" s="63"/>
      <c r="Z1071" s="63"/>
      <c r="AA1071" s="63"/>
      <c r="AB1071" s="63"/>
      <c r="AC1071" s="63"/>
      <c r="AD1071" s="63"/>
      <c r="AE1071" s="64"/>
    </row>
    <row r="1072" spans="1:31" hidden="1" outlineLevel="1" x14ac:dyDescent="0.2">
      <c r="A1072" s="19"/>
      <c r="B1072" s="19"/>
      <c r="C1072" s="19"/>
      <c r="D1072" s="19"/>
      <c r="E1072" s="19"/>
      <c r="F1072" s="19"/>
      <c r="G1072" s="19"/>
      <c r="H1072" s="19"/>
      <c r="I1072" s="19"/>
      <c r="J1072" s="19"/>
      <c r="K1072" s="19"/>
      <c r="L1072" s="19"/>
      <c r="M1072" s="19"/>
      <c r="N1072" s="19"/>
      <c r="O1072" s="19"/>
      <c r="P1072" s="19"/>
      <c r="Q1072" s="19"/>
      <c r="R1072" s="19"/>
      <c r="S1072" s="19"/>
      <c r="T1072" s="19"/>
      <c r="U1072" s="19"/>
      <c r="V1072" s="19"/>
      <c r="W1072" s="19"/>
      <c r="X1072" s="19"/>
      <c r="Y1072" s="19"/>
      <c r="Z1072" s="19"/>
      <c r="AA1072" s="19"/>
      <c r="AB1072" s="19"/>
      <c r="AC1072" s="19"/>
      <c r="AD1072" s="19"/>
      <c r="AE1072" s="22"/>
    </row>
    <row r="1073" spans="1:31" s="4" customFormat="1" ht="15.95" customHeight="1" thickTop="1" thickBot="1" x14ac:dyDescent="0.25">
      <c r="A1073" s="165" t="str">
        <f ca="1">Language!A644</f>
        <v xml:space="preserve">         СОБСТВЕННЫЙ КАПИТАЛ</v>
      </c>
      <c r="B1073" s="165"/>
      <c r="C1073" s="165"/>
      <c r="D1073" s="165"/>
      <c r="E1073" s="165"/>
      <c r="F1073" s="177" t="str">
        <f t="shared" ref="F1073:AC1073" ca="1" si="3266">PeriodTitle</f>
        <v>1 кв. 2016</v>
      </c>
      <c r="G1073" s="177" t="str">
        <f t="shared" ca="1" si="3266"/>
        <v>2 кв. 2016</v>
      </c>
      <c r="H1073" s="177" t="str">
        <f t="shared" ca="1" si="3266"/>
        <v>3 кв. 2016</v>
      </c>
      <c r="I1073" s="177" t="str">
        <f t="shared" ca="1" si="3266"/>
        <v>4 кв. 2016</v>
      </c>
      <c r="J1073" s="177" t="str">
        <f t="shared" ca="1" si="3266"/>
        <v>1 кв. 2017</v>
      </c>
      <c r="K1073" s="177" t="str">
        <f t="shared" ca="1" si="3266"/>
        <v>2 кв. 2017</v>
      </c>
      <c r="L1073" s="177" t="str">
        <f t="shared" ca="1" si="3266"/>
        <v>3 кв. 2017</v>
      </c>
      <c r="M1073" s="177" t="str">
        <f t="shared" ca="1" si="3266"/>
        <v>4 кв. 2017</v>
      </c>
      <c r="N1073" s="177" t="str">
        <f t="shared" ca="1" si="3266"/>
        <v>1 кв. 2018</v>
      </c>
      <c r="O1073" s="177" t="str">
        <f t="shared" ca="1" si="3266"/>
        <v>2 кв. 2018</v>
      </c>
      <c r="P1073" s="177" t="str">
        <f t="shared" ca="1" si="3266"/>
        <v>3 кв. 2018</v>
      </c>
      <c r="Q1073" s="177" t="str">
        <f t="shared" ca="1" si="3266"/>
        <v>4 кв. 2018</v>
      </c>
      <c r="R1073" s="177" t="str">
        <f t="shared" ca="1" si="3266"/>
        <v>1 кв. 2019</v>
      </c>
      <c r="S1073" s="177" t="str">
        <f t="shared" ca="1" si="3266"/>
        <v>2 кв. 2019</v>
      </c>
      <c r="T1073" s="177" t="str">
        <f t="shared" ca="1" si="3266"/>
        <v>3 кв. 2019</v>
      </c>
      <c r="U1073" s="177" t="str">
        <f t="shared" ca="1" si="3266"/>
        <v>4 кв. 2019</v>
      </c>
      <c r="V1073" s="177" t="str">
        <f t="shared" ca="1" si="3266"/>
        <v>1 кв. 2020</v>
      </c>
      <c r="W1073" s="177" t="str">
        <f t="shared" ca="1" si="3266"/>
        <v>2 кв. 2020</v>
      </c>
      <c r="X1073" s="177" t="str">
        <f t="shared" ca="1" si="3266"/>
        <v>3 кв. 2020</v>
      </c>
      <c r="Y1073" s="177" t="str">
        <f t="shared" ca="1" si="3266"/>
        <v>4 кв. 2020</v>
      </c>
      <c r="Z1073" s="177" t="str">
        <f t="shared" ca="1" si="3266"/>
        <v>1 кв. 2021</v>
      </c>
      <c r="AA1073" s="177" t="str">
        <f t="shared" ca="1" si="3266"/>
        <v>2 кв. 2021</v>
      </c>
      <c r="AB1073" s="177" t="str">
        <f t="shared" ca="1" si="3266"/>
        <v>3 кв. 2021</v>
      </c>
      <c r="AC1073" s="177" t="str">
        <f t="shared" ca="1" si="3266"/>
        <v>4 кв. 2021</v>
      </c>
      <c r="AD1073" s="165"/>
      <c r="AE1073" s="194" t="str">
        <f ca="1">Language!A372</f>
        <v>ИТОГО</v>
      </c>
    </row>
    <row r="1074" spans="1:31" ht="12" outlineLevel="1" thickTop="1" x14ac:dyDescent="0.2"/>
    <row r="1075" spans="1:31" outlineLevel="1" collapsed="1" x14ac:dyDescent="0.2">
      <c r="A1075" t="str">
        <f ca="1">Language!A645</f>
        <v>Средства собственников</v>
      </c>
      <c r="C1075" s="5" t="str">
        <f ca="1">CUR_Main</f>
        <v>тыс. EUR</v>
      </c>
      <c r="F1075" s="269">
        <v>0</v>
      </c>
      <c r="G1075" s="269">
        <f t="shared" ref="G1075:T1075" si="3267">SUMIF($D1077:$D1081,"*1_01*",G1077:G1081)+SUMIF($D1077:$D1081,"*2_01*",G1077:G1081)*G$88</f>
        <v>0</v>
      </c>
      <c r="H1075" s="269">
        <f t="shared" si="3267"/>
        <v>0</v>
      </c>
      <c r="I1075" s="269">
        <f t="shared" si="3267"/>
        <v>0</v>
      </c>
      <c r="J1075" s="269">
        <f t="shared" si="3267"/>
        <v>0</v>
      </c>
      <c r="K1075" s="269">
        <f t="shared" si="3267"/>
        <v>0</v>
      </c>
      <c r="L1075" s="269">
        <f t="shared" si="3267"/>
        <v>0</v>
      </c>
      <c r="M1075" s="269">
        <f t="shared" si="3267"/>
        <v>0</v>
      </c>
      <c r="N1075" s="269">
        <f t="shared" si="3267"/>
        <v>0</v>
      </c>
      <c r="O1075" s="269">
        <f t="shared" si="3267"/>
        <v>0</v>
      </c>
      <c r="P1075" s="269">
        <f t="shared" si="3267"/>
        <v>0</v>
      </c>
      <c r="Q1075" s="269">
        <f t="shared" si="3267"/>
        <v>0</v>
      </c>
      <c r="R1075" s="269">
        <f t="shared" si="3267"/>
        <v>0</v>
      </c>
      <c r="S1075" s="269">
        <f t="shared" si="3267"/>
        <v>0</v>
      </c>
      <c r="T1075" s="269">
        <f t="shared" si="3267"/>
        <v>0</v>
      </c>
      <c r="U1075" s="269">
        <f t="shared" ref="U1075" si="3268">SUMIF($D1077:$D1081,"*1_01*",U1077:U1081)+SUMIF($D1077:$D1081,"*2_01*",U1077:U1081)*U$88</f>
        <v>0</v>
      </c>
      <c r="V1075" s="269">
        <f t="shared" ref="V1075" si="3269">SUMIF($D1077:$D1081,"*1_01*",V1077:V1081)+SUMIF($D1077:$D1081,"*2_01*",V1077:V1081)*V$88</f>
        <v>0</v>
      </c>
      <c r="W1075" s="269">
        <f t="shared" ref="W1075" si="3270">SUMIF($D1077:$D1081,"*1_01*",W1077:W1081)+SUMIF($D1077:$D1081,"*2_01*",W1077:W1081)*W$88</f>
        <v>0</v>
      </c>
      <c r="X1075" s="269">
        <f t="shared" ref="X1075" si="3271">SUMIF($D1077:$D1081,"*1_01*",X1077:X1081)+SUMIF($D1077:$D1081,"*2_01*",X1077:X1081)*X$88</f>
        <v>0</v>
      </c>
      <c r="Y1075" s="269">
        <f t="shared" ref="Y1075" si="3272">SUMIF($D1077:$D1081,"*1_01*",Y1077:Y1081)+SUMIF($D1077:$D1081,"*2_01*",Y1077:Y1081)*Y$88</f>
        <v>0</v>
      </c>
      <c r="Z1075" s="269">
        <f t="shared" ref="Z1075" si="3273">SUMIF($D1077:$D1081,"*1_01*",Z1077:Z1081)+SUMIF($D1077:$D1081,"*2_01*",Z1077:Z1081)*Z$88</f>
        <v>0</v>
      </c>
      <c r="AA1075" s="269">
        <f t="shared" ref="AA1075" si="3274">SUMIF($D1077:$D1081,"*1_01*",AA1077:AA1081)+SUMIF($D1077:$D1081,"*2_01*",AA1077:AA1081)*AA$88</f>
        <v>0</v>
      </c>
      <c r="AB1075" s="269">
        <f t="shared" ref="AB1075:AC1075" si="3275">SUMIF($D1077:$D1081,"*1_01*",AB1077:AB1081)+SUMIF($D1077:$D1081,"*2_01*",AB1077:AB1081)*AB$88</f>
        <v>0</v>
      </c>
      <c r="AC1075" s="269">
        <f t="shared" si="3275"/>
        <v>0</v>
      </c>
      <c r="AE1075" s="54">
        <f>SUM(F1075:AC1075)</f>
        <v>0</v>
      </c>
    </row>
    <row r="1076" spans="1:31" s="48" customFormat="1" hidden="1" outlineLevel="2" x14ac:dyDescent="0.2">
      <c r="B1076" s="36" t="str">
        <f ca="1">Language!A$73</f>
        <v>Валюта</v>
      </c>
      <c r="C1076" s="73"/>
      <c r="F1076" s="84"/>
      <c r="G1076" s="84"/>
      <c r="H1076" s="84"/>
      <c r="I1076" s="84"/>
      <c r="J1076" s="84"/>
      <c r="K1076" s="84"/>
      <c r="L1076" s="84"/>
      <c r="M1076" s="84"/>
      <c r="N1076" s="84"/>
      <c r="O1076" s="84"/>
      <c r="P1076" s="84"/>
      <c r="Q1076" s="84"/>
      <c r="R1076" s="84"/>
      <c r="S1076" s="84"/>
      <c r="T1076" s="84"/>
      <c r="U1076" s="84"/>
      <c r="V1076" s="84"/>
      <c r="W1076" s="84"/>
      <c r="X1076" s="84"/>
      <c r="Y1076" s="84"/>
      <c r="Z1076" s="84"/>
      <c r="AA1076" s="84"/>
      <c r="AB1076" s="84"/>
      <c r="AC1076" s="84"/>
      <c r="AE1076" s="93"/>
    </row>
    <row r="1077" spans="1:31" hidden="1" outlineLevel="2" x14ac:dyDescent="0.2">
      <c r="A1077" s="273" t="str">
        <f ca="1">Language!A646</f>
        <v>Собственник 1</v>
      </c>
      <c r="B1077" s="254">
        <v>1</v>
      </c>
      <c r="C1077" s="17" t="str">
        <f ca="1">CHOOSE(B1077,CUR_Main,CUR_Foreign)</f>
        <v>тыс. EUR</v>
      </c>
      <c r="D1077" s="16" t="str">
        <f>TEXT(B1077,"0")&amp;"_01"</f>
        <v>1_01</v>
      </c>
      <c r="F1077" s="271">
        <v>0</v>
      </c>
      <c r="G1077" s="271">
        <v>0</v>
      </c>
      <c r="H1077" s="271">
        <v>0</v>
      </c>
      <c r="I1077" s="271">
        <v>0</v>
      </c>
      <c r="J1077" s="271">
        <v>0</v>
      </c>
      <c r="K1077" s="271">
        <v>0</v>
      </c>
      <c r="L1077" s="271">
        <v>0</v>
      </c>
      <c r="M1077" s="271">
        <v>0</v>
      </c>
      <c r="N1077" s="271">
        <v>0</v>
      </c>
      <c r="O1077" s="271">
        <v>0</v>
      </c>
      <c r="P1077" s="271">
        <v>0</v>
      </c>
      <c r="Q1077" s="271">
        <v>0</v>
      </c>
      <c r="R1077" s="271">
        <v>0</v>
      </c>
      <c r="S1077" s="271">
        <v>0</v>
      </c>
      <c r="T1077" s="271">
        <v>0</v>
      </c>
      <c r="U1077" s="271">
        <v>0</v>
      </c>
      <c r="V1077" s="271">
        <v>0</v>
      </c>
      <c r="W1077" s="271">
        <v>0</v>
      </c>
      <c r="X1077" s="271">
        <v>0</v>
      </c>
      <c r="Y1077" s="271">
        <v>0</v>
      </c>
      <c r="Z1077" s="271">
        <v>0</v>
      </c>
      <c r="AA1077" s="271">
        <v>0</v>
      </c>
      <c r="AB1077" s="271">
        <v>0</v>
      </c>
      <c r="AC1077" s="271">
        <v>0</v>
      </c>
      <c r="AE1077" s="54">
        <f>SUM(F1077:AC1077)</f>
        <v>0</v>
      </c>
    </row>
    <row r="1078" spans="1:31" hidden="1" outlineLevel="2" x14ac:dyDescent="0.2">
      <c r="A1078" s="273" t="str">
        <f ca="1">Language!A647</f>
        <v>Собственник 2</v>
      </c>
      <c r="B1078" s="254">
        <v>1</v>
      </c>
      <c r="C1078" s="17" t="str">
        <f ca="1">CHOOSE(B1078,CUR_Main,CUR_Foreign)</f>
        <v>тыс. EUR</v>
      </c>
      <c r="D1078" s="16" t="str">
        <f>TEXT(B1078,"0")&amp;"_01"</f>
        <v>1_01</v>
      </c>
      <c r="F1078" s="271">
        <v>0</v>
      </c>
      <c r="G1078" s="271">
        <v>0</v>
      </c>
      <c r="H1078" s="271">
        <v>0</v>
      </c>
      <c r="I1078" s="271">
        <v>0</v>
      </c>
      <c r="J1078" s="271">
        <v>0</v>
      </c>
      <c r="K1078" s="271">
        <v>0</v>
      </c>
      <c r="L1078" s="271">
        <v>0</v>
      </c>
      <c r="M1078" s="271">
        <v>0</v>
      </c>
      <c r="N1078" s="271">
        <v>0</v>
      </c>
      <c r="O1078" s="271">
        <v>0</v>
      </c>
      <c r="P1078" s="271">
        <v>0</v>
      </c>
      <c r="Q1078" s="271">
        <v>0</v>
      </c>
      <c r="R1078" s="271">
        <v>0</v>
      </c>
      <c r="S1078" s="271">
        <v>0</v>
      </c>
      <c r="T1078" s="271">
        <v>0</v>
      </c>
      <c r="U1078" s="271">
        <v>0</v>
      </c>
      <c r="V1078" s="271">
        <v>0</v>
      </c>
      <c r="W1078" s="271">
        <v>0</v>
      </c>
      <c r="X1078" s="271">
        <v>0</v>
      </c>
      <c r="Y1078" s="271">
        <v>0</v>
      </c>
      <c r="Z1078" s="271">
        <v>0</v>
      </c>
      <c r="AA1078" s="271">
        <v>0</v>
      </c>
      <c r="AB1078" s="271">
        <v>0</v>
      </c>
      <c r="AC1078" s="271">
        <v>0</v>
      </c>
      <c r="AE1078" s="54">
        <f>SUM(F1078:AC1078)</f>
        <v>0</v>
      </c>
    </row>
    <row r="1079" spans="1:31" hidden="1" outlineLevel="2" x14ac:dyDescent="0.2">
      <c r="A1079" s="273" t="str">
        <f ca="1">Language!A648</f>
        <v>Собственник 3</v>
      </c>
      <c r="B1079" s="254">
        <v>1</v>
      </c>
      <c r="C1079" s="17" t="str">
        <f ca="1">CHOOSE(B1079,CUR_Main,CUR_Foreign)</f>
        <v>тыс. EUR</v>
      </c>
      <c r="D1079" s="16" t="str">
        <f>TEXT(B1079,"0")&amp;"_01"</f>
        <v>1_01</v>
      </c>
      <c r="F1079" s="271">
        <v>0</v>
      </c>
      <c r="G1079" s="271">
        <v>0</v>
      </c>
      <c r="H1079" s="271">
        <v>0</v>
      </c>
      <c r="I1079" s="271">
        <v>0</v>
      </c>
      <c r="J1079" s="271">
        <v>0</v>
      </c>
      <c r="K1079" s="271">
        <v>0</v>
      </c>
      <c r="L1079" s="271">
        <v>0</v>
      </c>
      <c r="M1079" s="271">
        <v>0</v>
      </c>
      <c r="N1079" s="271">
        <v>0</v>
      </c>
      <c r="O1079" s="271">
        <v>0</v>
      </c>
      <c r="P1079" s="271">
        <v>0</v>
      </c>
      <c r="Q1079" s="271">
        <v>0</v>
      </c>
      <c r="R1079" s="271">
        <v>0</v>
      </c>
      <c r="S1079" s="271">
        <v>0</v>
      </c>
      <c r="T1079" s="271">
        <v>0</v>
      </c>
      <c r="U1079" s="271">
        <v>0</v>
      </c>
      <c r="V1079" s="271">
        <v>0</v>
      </c>
      <c r="W1079" s="271">
        <v>0</v>
      </c>
      <c r="X1079" s="271">
        <v>0</v>
      </c>
      <c r="Y1079" s="271">
        <v>0</v>
      </c>
      <c r="Z1079" s="271">
        <v>0</v>
      </c>
      <c r="AA1079" s="271">
        <v>0</v>
      </c>
      <c r="AB1079" s="271">
        <v>0</v>
      </c>
      <c r="AC1079" s="271">
        <v>0</v>
      </c>
      <c r="AE1079" s="54">
        <f>SUM(F1079:AC1079)</f>
        <v>0</v>
      </c>
    </row>
    <row r="1080" spans="1:31" hidden="1" outlineLevel="2" x14ac:dyDescent="0.2">
      <c r="A1080" s="273" t="str">
        <f ca="1">Language!A649</f>
        <v>Собственник 4</v>
      </c>
      <c r="B1080" s="254">
        <v>1</v>
      </c>
      <c r="C1080" s="17" t="str">
        <f ca="1">CHOOSE(B1080,CUR_Main,CUR_Foreign)</f>
        <v>тыс. EUR</v>
      </c>
      <c r="D1080" s="16" t="str">
        <f>TEXT(B1080,"0")&amp;"_01"</f>
        <v>1_01</v>
      </c>
      <c r="F1080" s="271">
        <v>0</v>
      </c>
      <c r="G1080" s="271">
        <v>0</v>
      </c>
      <c r="H1080" s="271">
        <v>0</v>
      </c>
      <c r="I1080" s="271">
        <v>0</v>
      </c>
      <c r="J1080" s="271">
        <v>0</v>
      </c>
      <c r="K1080" s="271">
        <v>0</v>
      </c>
      <c r="L1080" s="271">
        <v>0</v>
      </c>
      <c r="M1080" s="271">
        <v>0</v>
      </c>
      <c r="N1080" s="271">
        <v>0</v>
      </c>
      <c r="O1080" s="271">
        <v>0</v>
      </c>
      <c r="P1080" s="271">
        <v>0</v>
      </c>
      <c r="Q1080" s="271">
        <v>0</v>
      </c>
      <c r="R1080" s="271">
        <v>0</v>
      </c>
      <c r="S1080" s="271">
        <v>0</v>
      </c>
      <c r="T1080" s="271">
        <v>0</v>
      </c>
      <c r="U1080" s="271">
        <v>0</v>
      </c>
      <c r="V1080" s="271">
        <v>0</v>
      </c>
      <c r="W1080" s="271">
        <v>0</v>
      </c>
      <c r="X1080" s="271">
        <v>0</v>
      </c>
      <c r="Y1080" s="271">
        <v>0</v>
      </c>
      <c r="Z1080" s="271">
        <v>0</v>
      </c>
      <c r="AA1080" s="271">
        <v>0</v>
      </c>
      <c r="AB1080" s="271">
        <v>0</v>
      </c>
      <c r="AC1080" s="271">
        <v>0</v>
      </c>
      <c r="AE1080" s="54">
        <f>SUM(F1080:AC1080)</f>
        <v>0</v>
      </c>
    </row>
    <row r="1081" spans="1:31" hidden="1" outlineLevel="2" x14ac:dyDescent="0.2">
      <c r="A1081" s="273" t="str">
        <f ca="1">Language!A650</f>
        <v>Собственник 5</v>
      </c>
      <c r="B1081" s="254">
        <v>1</v>
      </c>
      <c r="C1081" s="17" t="str">
        <f ca="1">CHOOSE(B1081,CUR_Main,CUR_Foreign)</f>
        <v>тыс. EUR</v>
      </c>
      <c r="D1081" s="16" t="str">
        <f>TEXT(B1081,"0")&amp;"_01"</f>
        <v>1_01</v>
      </c>
      <c r="F1081" s="271">
        <v>0</v>
      </c>
      <c r="G1081" s="271">
        <v>0</v>
      </c>
      <c r="H1081" s="271">
        <v>0</v>
      </c>
      <c r="I1081" s="271">
        <v>0</v>
      </c>
      <c r="J1081" s="271">
        <v>0</v>
      </c>
      <c r="K1081" s="271">
        <v>0</v>
      </c>
      <c r="L1081" s="271">
        <v>0</v>
      </c>
      <c r="M1081" s="271">
        <v>0</v>
      </c>
      <c r="N1081" s="271">
        <v>0</v>
      </c>
      <c r="O1081" s="271">
        <v>0</v>
      </c>
      <c r="P1081" s="271">
        <v>0</v>
      </c>
      <c r="Q1081" s="271">
        <v>0</v>
      </c>
      <c r="R1081" s="271">
        <v>0</v>
      </c>
      <c r="S1081" s="271">
        <v>0</v>
      </c>
      <c r="T1081" s="271">
        <v>0</v>
      </c>
      <c r="U1081" s="271">
        <v>0</v>
      </c>
      <c r="V1081" s="271">
        <v>0</v>
      </c>
      <c r="W1081" s="271">
        <v>0</v>
      </c>
      <c r="X1081" s="271">
        <v>0</v>
      </c>
      <c r="Y1081" s="271">
        <v>0</v>
      </c>
      <c r="Z1081" s="271">
        <v>0</v>
      </c>
      <c r="AA1081" s="271">
        <v>0</v>
      </c>
      <c r="AB1081" s="271">
        <v>0</v>
      </c>
      <c r="AC1081" s="271">
        <v>0</v>
      </c>
      <c r="AE1081" s="54">
        <f>SUM(F1081:AC1081)</f>
        <v>0</v>
      </c>
    </row>
    <row r="1082" spans="1:31" outlineLevel="1" x14ac:dyDescent="0.2">
      <c r="B1082" s="36" t="str">
        <f ca="1">Language!A$73</f>
        <v>Валюта</v>
      </c>
    </row>
    <row r="1083" spans="1:31" outlineLevel="1" collapsed="1" x14ac:dyDescent="0.2">
      <c r="A1083" t="str">
        <f ca="1">Language!A651</f>
        <v>Средства от текущей деятельности</v>
      </c>
      <c r="B1083" s="254">
        <v>1</v>
      </c>
      <c r="C1083" s="17" t="str">
        <f ca="1">CHOOSE(B1083,CUR_Main,CUR_Foreign)</f>
        <v>тыс. EUR</v>
      </c>
      <c r="D1083" s="16"/>
      <c r="F1083" s="271">
        <v>0</v>
      </c>
      <c r="G1083" s="271">
        <v>0</v>
      </c>
      <c r="H1083" s="271">
        <v>0</v>
      </c>
      <c r="I1083" s="271">
        <v>0</v>
      </c>
      <c r="J1083" s="271">
        <v>0</v>
      </c>
      <c r="K1083" s="271">
        <v>0</v>
      </c>
      <c r="L1083" s="271">
        <v>0</v>
      </c>
      <c r="M1083" s="271">
        <v>0</v>
      </c>
      <c r="N1083" s="271">
        <v>0</v>
      </c>
      <c r="O1083" s="271">
        <v>0</v>
      </c>
      <c r="P1083" s="271">
        <v>0</v>
      </c>
      <c r="Q1083" s="271">
        <v>0</v>
      </c>
      <c r="R1083" s="271">
        <v>0</v>
      </c>
      <c r="S1083" s="271">
        <v>0</v>
      </c>
      <c r="T1083" s="271">
        <v>0</v>
      </c>
      <c r="U1083" s="271">
        <v>0</v>
      </c>
      <c r="V1083" s="271">
        <v>0</v>
      </c>
      <c r="W1083" s="271">
        <v>0</v>
      </c>
      <c r="X1083" s="271">
        <v>0</v>
      </c>
      <c r="Y1083" s="271">
        <v>0</v>
      </c>
      <c r="Z1083" s="271">
        <v>0</v>
      </c>
      <c r="AA1083" s="271">
        <v>0</v>
      </c>
      <c r="AB1083" s="271">
        <v>0</v>
      </c>
      <c r="AC1083" s="271">
        <v>0</v>
      </c>
      <c r="AE1083" s="54">
        <f>SUM(F1083:AC1083)</f>
        <v>0</v>
      </c>
    </row>
    <row r="1084" spans="1:31" s="48" customFormat="1" hidden="1" outlineLevel="2" x14ac:dyDescent="0.2">
      <c r="A1084" t="str">
        <f ca="1">Language!A652</f>
        <v xml:space="preserve">    то же, в основной валюте</v>
      </c>
      <c r="B1084" s="73"/>
      <c r="C1084" s="5" t="str">
        <f ca="1">CUR_Main</f>
        <v>тыс. EUR</v>
      </c>
      <c r="D1084" s="100"/>
      <c r="F1084" s="105">
        <f t="shared" ref="F1084:T1084" si="3276">F1083*IF($B1083=1,1,F$88)</f>
        <v>0</v>
      </c>
      <c r="G1084" s="105">
        <f t="shared" si="3276"/>
        <v>0</v>
      </c>
      <c r="H1084" s="105">
        <f t="shared" si="3276"/>
        <v>0</v>
      </c>
      <c r="I1084" s="105">
        <f t="shared" si="3276"/>
        <v>0</v>
      </c>
      <c r="J1084" s="105">
        <f t="shared" si="3276"/>
        <v>0</v>
      </c>
      <c r="K1084" s="105">
        <f t="shared" si="3276"/>
        <v>0</v>
      </c>
      <c r="L1084" s="105">
        <f t="shared" si="3276"/>
        <v>0</v>
      </c>
      <c r="M1084" s="105">
        <f t="shared" si="3276"/>
        <v>0</v>
      </c>
      <c r="N1084" s="105">
        <f t="shared" si="3276"/>
        <v>0</v>
      </c>
      <c r="O1084" s="105">
        <f t="shared" si="3276"/>
        <v>0</v>
      </c>
      <c r="P1084" s="105">
        <f t="shared" si="3276"/>
        <v>0</v>
      </c>
      <c r="Q1084" s="105">
        <f t="shared" si="3276"/>
        <v>0</v>
      </c>
      <c r="R1084" s="105">
        <f t="shared" si="3276"/>
        <v>0</v>
      </c>
      <c r="S1084" s="105">
        <f t="shared" si="3276"/>
        <v>0</v>
      </c>
      <c r="T1084" s="105">
        <f t="shared" si="3276"/>
        <v>0</v>
      </c>
      <c r="U1084" s="105">
        <f t="shared" ref="U1084" si="3277">U1083*IF($B1083=1,1,U$88)</f>
        <v>0</v>
      </c>
      <c r="V1084" s="105">
        <f t="shared" ref="V1084" si="3278">V1083*IF($B1083=1,1,V$88)</f>
        <v>0</v>
      </c>
      <c r="W1084" s="105">
        <f t="shared" ref="W1084" si="3279">W1083*IF($B1083=1,1,W$88)</f>
        <v>0</v>
      </c>
      <c r="X1084" s="105">
        <f t="shared" ref="X1084" si="3280">X1083*IF($B1083=1,1,X$88)</f>
        <v>0</v>
      </c>
      <c r="Y1084" s="105">
        <f t="shared" ref="Y1084" si="3281">Y1083*IF($B1083=1,1,Y$88)</f>
        <v>0</v>
      </c>
      <c r="Z1084" s="105">
        <f t="shared" ref="Z1084" si="3282">Z1083*IF($B1083=1,1,Z$88)</f>
        <v>0</v>
      </c>
      <c r="AA1084" s="105">
        <f t="shared" ref="AA1084" si="3283">AA1083*IF($B1083=1,1,AA$88)</f>
        <v>0</v>
      </c>
      <c r="AB1084" s="105">
        <f t="shared" ref="AB1084:AC1084" si="3284">AB1083*IF($B1083=1,1,AB$88)</f>
        <v>0</v>
      </c>
      <c r="AC1084" s="105">
        <f t="shared" si="3284"/>
        <v>0</v>
      </c>
      <c r="AE1084" s="54">
        <f>SUM(F1084:AC1084)</f>
        <v>0</v>
      </c>
    </row>
    <row r="1085" spans="1:31" outlineLevel="1" x14ac:dyDescent="0.2">
      <c r="B1085" s="36" t="str">
        <f ca="1">Language!A$73</f>
        <v>Валюта</v>
      </c>
    </row>
    <row r="1086" spans="1:31" outlineLevel="1" collapsed="1" x14ac:dyDescent="0.2">
      <c r="A1086" s="52" t="str">
        <f ca="1">Language!A653</f>
        <v>Целевое финансирование</v>
      </c>
      <c r="B1086" s="254">
        <v>1</v>
      </c>
      <c r="C1086" s="17" t="str">
        <f ca="1">CHOOSE(B1086,CUR_Main,CUR_Foreign)</f>
        <v>тыс. EUR</v>
      </c>
      <c r="D1086" s="16"/>
      <c r="F1086" s="271">
        <f>F618</f>
        <v>0</v>
      </c>
      <c r="G1086" s="271">
        <f>G618</f>
        <v>0</v>
      </c>
      <c r="H1086" s="271">
        <f>H618</f>
        <v>5695.3855543220343</v>
      </c>
      <c r="I1086" s="271">
        <f>I618</f>
        <v>1519.56</v>
      </c>
      <c r="J1086" s="271">
        <f t="shared" ref="J1086:K1086" ca="1" si="3285">J618</f>
        <v>7024.8891971793519</v>
      </c>
      <c r="K1086" s="271">
        <f t="shared" si="3285"/>
        <v>2982.5256975335087</v>
      </c>
      <c r="L1086" s="271">
        <v>0</v>
      </c>
      <c r="M1086" s="271">
        <v>0</v>
      </c>
      <c r="N1086" s="271">
        <v>0</v>
      </c>
      <c r="O1086" s="271">
        <v>0</v>
      </c>
      <c r="P1086" s="271">
        <v>0</v>
      </c>
      <c r="Q1086" s="271">
        <v>0</v>
      </c>
      <c r="R1086" s="271">
        <v>0</v>
      </c>
      <c r="S1086" s="271">
        <v>0</v>
      </c>
      <c r="T1086" s="271">
        <v>0</v>
      </c>
      <c r="U1086" s="271">
        <v>0</v>
      </c>
      <c r="V1086" s="271">
        <v>0</v>
      </c>
      <c r="W1086" s="271">
        <v>0</v>
      </c>
      <c r="X1086" s="271">
        <v>0</v>
      </c>
      <c r="Y1086" s="271">
        <v>0</v>
      </c>
      <c r="Z1086" s="271">
        <v>0</v>
      </c>
      <c r="AA1086" s="271">
        <v>0</v>
      </c>
      <c r="AB1086" s="271">
        <v>0</v>
      </c>
      <c r="AC1086" s="271">
        <v>0</v>
      </c>
      <c r="AE1086" s="54">
        <f ca="1">SUM(F1086:AC1086)</f>
        <v>17222.360449034895</v>
      </c>
    </row>
    <row r="1087" spans="1:31" s="48" customFormat="1" hidden="1" outlineLevel="2" x14ac:dyDescent="0.2">
      <c r="A1087" s="52" t="str">
        <f ca="1">Language!A652</f>
        <v xml:space="preserve">    то же, в основной валюте</v>
      </c>
      <c r="B1087" s="73"/>
      <c r="C1087" s="5" t="str">
        <f ca="1">CUR_Main</f>
        <v>тыс. EUR</v>
      </c>
      <c r="D1087" s="100"/>
      <c r="F1087" s="105">
        <f t="shared" ref="F1087:T1087" si="3286">F1086*IF($B1086=1,1,F$88)</f>
        <v>0</v>
      </c>
      <c r="G1087" s="105">
        <f t="shared" si="3286"/>
        <v>0</v>
      </c>
      <c r="H1087" s="105">
        <f t="shared" si="3286"/>
        <v>5695.3855543220343</v>
      </c>
      <c r="I1087" s="105">
        <f t="shared" si="3286"/>
        <v>1519.56</v>
      </c>
      <c r="J1087" s="105">
        <f t="shared" ca="1" si="3286"/>
        <v>7024.8891971793519</v>
      </c>
      <c r="K1087" s="105">
        <f t="shared" si="3286"/>
        <v>2982.5256975335087</v>
      </c>
      <c r="L1087" s="105">
        <f t="shared" si="3286"/>
        <v>0</v>
      </c>
      <c r="M1087" s="105">
        <f t="shared" si="3286"/>
        <v>0</v>
      </c>
      <c r="N1087" s="105">
        <f t="shared" si="3286"/>
        <v>0</v>
      </c>
      <c r="O1087" s="105">
        <f t="shared" si="3286"/>
        <v>0</v>
      </c>
      <c r="P1087" s="105">
        <f t="shared" si="3286"/>
        <v>0</v>
      </c>
      <c r="Q1087" s="105">
        <f t="shared" si="3286"/>
        <v>0</v>
      </c>
      <c r="R1087" s="105">
        <f t="shared" si="3286"/>
        <v>0</v>
      </c>
      <c r="S1087" s="105">
        <f t="shared" si="3286"/>
        <v>0</v>
      </c>
      <c r="T1087" s="105">
        <f t="shared" si="3286"/>
        <v>0</v>
      </c>
      <c r="U1087" s="105">
        <f t="shared" ref="U1087" si="3287">U1086*IF($B1086=1,1,U$88)</f>
        <v>0</v>
      </c>
      <c r="V1087" s="105">
        <f t="shared" ref="V1087" si="3288">V1086*IF($B1086=1,1,V$88)</f>
        <v>0</v>
      </c>
      <c r="W1087" s="105">
        <f t="shared" ref="W1087" si="3289">W1086*IF($B1086=1,1,W$88)</f>
        <v>0</v>
      </c>
      <c r="X1087" s="105">
        <f t="shared" ref="X1087" si="3290">X1086*IF($B1086=1,1,X$88)</f>
        <v>0</v>
      </c>
      <c r="Y1087" s="105">
        <f t="shared" ref="Y1087" si="3291">Y1086*IF($B1086=1,1,Y$88)</f>
        <v>0</v>
      </c>
      <c r="Z1087" s="105">
        <f t="shared" ref="Z1087" si="3292">Z1086*IF($B1086=1,1,Z$88)</f>
        <v>0</v>
      </c>
      <c r="AA1087" s="105">
        <f t="shared" ref="AA1087" si="3293">AA1086*IF($B1086=1,1,AA$88)</f>
        <v>0</v>
      </c>
      <c r="AB1087" s="105">
        <f t="shared" ref="AB1087:AC1087" si="3294">AB1086*IF($B1086=1,1,AB$88)</f>
        <v>0</v>
      </c>
      <c r="AC1087" s="105">
        <f t="shared" si="3294"/>
        <v>0</v>
      </c>
      <c r="AE1087" s="54">
        <f ca="1">SUM(F1087:AC1087)</f>
        <v>17222.360449034895</v>
      </c>
    </row>
    <row r="1088" spans="1:31" outlineLevel="1" x14ac:dyDescent="0.2"/>
    <row r="1089" spans="1:31" outlineLevel="1" x14ac:dyDescent="0.2">
      <c r="A1089" t="str">
        <f ca="1">Language!A654</f>
        <v>Средства от инвесторов строительства</v>
      </c>
      <c r="C1089" s="5" t="str">
        <f ca="1">CUR_Main</f>
        <v>тыс. EUR</v>
      </c>
      <c r="D1089" t="s">
        <v>2441</v>
      </c>
      <c r="F1089" s="105">
        <f>0</f>
        <v>0</v>
      </c>
      <c r="G1089" s="105">
        <f>0</f>
        <v>0</v>
      </c>
      <c r="H1089" s="105">
        <f>0</f>
        <v>0</v>
      </c>
      <c r="I1089" s="105">
        <f>0</f>
        <v>0</v>
      </c>
      <c r="J1089" s="105">
        <f>0</f>
        <v>0</v>
      </c>
      <c r="K1089" s="105">
        <f>0</f>
        <v>0</v>
      </c>
      <c r="L1089" s="105">
        <f>0</f>
        <v>0</v>
      </c>
      <c r="M1089" s="105">
        <f>0</f>
        <v>0</v>
      </c>
      <c r="N1089" s="105">
        <f>0</f>
        <v>0</v>
      </c>
      <c r="O1089" s="105">
        <f>0</f>
        <v>0</v>
      </c>
      <c r="P1089" s="105">
        <f>0</f>
        <v>0</v>
      </c>
      <c r="Q1089" s="105">
        <f>0</f>
        <v>0</v>
      </c>
      <c r="R1089" s="105">
        <f>0</f>
        <v>0</v>
      </c>
      <c r="S1089" s="105">
        <f>0</f>
        <v>0</v>
      </c>
      <c r="T1089" s="105">
        <f>0</f>
        <v>0</v>
      </c>
      <c r="U1089" s="105">
        <f>0</f>
        <v>0</v>
      </c>
      <c r="V1089" s="105">
        <f>0</f>
        <v>0</v>
      </c>
      <c r="W1089" s="105">
        <f>0</f>
        <v>0</v>
      </c>
      <c r="X1089" s="105">
        <f>0</f>
        <v>0</v>
      </c>
      <c r="Y1089" s="105">
        <f>0</f>
        <v>0</v>
      </c>
      <c r="Z1089" s="105">
        <f>0</f>
        <v>0</v>
      </c>
      <c r="AA1089" s="105">
        <f>0</f>
        <v>0</v>
      </c>
      <c r="AB1089" s="105">
        <f>0</f>
        <v>0</v>
      </c>
      <c r="AC1089" s="105">
        <f>0</f>
        <v>0</v>
      </c>
      <c r="AE1089" s="54">
        <f>SUM(F1089:AC1089)</f>
        <v>0</v>
      </c>
    </row>
    <row r="1090" spans="1:31" outlineLevel="1" x14ac:dyDescent="0.2"/>
    <row r="1091" spans="1:31" s="11" customFormat="1" outlineLevel="1" x14ac:dyDescent="0.2">
      <c r="A1091" s="11" t="str">
        <f ca="1">Language!A655</f>
        <v>Справка: Остаток средств на счете (текущий проект)</v>
      </c>
      <c r="C1091" s="36" t="str">
        <f ca="1">CUR_Main</f>
        <v>тыс. EUR</v>
      </c>
      <c r="D1091" s="89" t="s">
        <v>2594</v>
      </c>
      <c r="F1091" s="93">
        <f t="shared" ref="F1091:T1091" ca="1" si="3295">F1356*IF(CUR_I_Report=2,F$88,1)</f>
        <v>0</v>
      </c>
      <c r="G1091" s="93">
        <f t="shared" ca="1" si="3295"/>
        <v>0</v>
      </c>
      <c r="H1091" s="93">
        <f t="shared" ca="1" si="3295"/>
        <v>0</v>
      </c>
      <c r="I1091" s="93">
        <f t="shared" ca="1" si="3295"/>
        <v>0</v>
      </c>
      <c r="J1091" s="93">
        <f t="shared" ca="1" si="3295"/>
        <v>0</v>
      </c>
      <c r="K1091" s="93">
        <f t="shared" ca="1" si="3295"/>
        <v>2827.4120312836421</v>
      </c>
      <c r="L1091" s="93">
        <f t="shared" ca="1" si="3295"/>
        <v>2843.035293184585</v>
      </c>
      <c r="M1091" s="93">
        <f t="shared" ca="1" si="3295"/>
        <v>3506.0283310907325</v>
      </c>
      <c r="N1091" s="93">
        <f t="shared" ca="1" si="3295"/>
        <v>4470.038573843618</v>
      </c>
      <c r="O1091" s="93">
        <f t="shared" ca="1" si="3295"/>
        <v>5755.3118390955333</v>
      </c>
      <c r="P1091" s="93">
        <f t="shared" ca="1" si="3295"/>
        <v>7210.0865284813926</v>
      </c>
      <c r="Q1091" s="93">
        <f t="shared" ca="1" si="3295"/>
        <v>8664.861217867252</v>
      </c>
      <c r="R1091" s="93">
        <f t="shared" ca="1" si="3295"/>
        <v>10119.63590725311</v>
      </c>
      <c r="S1091" s="93">
        <f t="shared" ca="1" si="3295"/>
        <v>11574.410596638969</v>
      </c>
      <c r="T1091" s="93">
        <f t="shared" ca="1" si="3295"/>
        <v>13029.185286024827</v>
      </c>
      <c r="U1091" s="93">
        <f t="shared" ref="U1091" ca="1" si="3296">U1356*IF(CUR_I_Report=2,U$88,1)</f>
        <v>14483.959975410686</v>
      </c>
      <c r="V1091" s="93">
        <f t="shared" ref="V1091" ca="1" si="3297">V1356*IF(CUR_I_Report=2,V$88,1)</f>
        <v>15938.734664796544</v>
      </c>
      <c r="W1091" s="93">
        <f t="shared" ref="W1091" ca="1" si="3298">W1356*IF(CUR_I_Report=2,W$88,1)</f>
        <v>17393.509354182403</v>
      </c>
      <c r="X1091" s="93">
        <f t="shared" ref="X1091" ca="1" si="3299">X1356*IF(CUR_I_Report=2,X$88,1)</f>
        <v>18848.284043568263</v>
      </c>
      <c r="Y1091" s="93">
        <f t="shared" ref="Y1091" ca="1" si="3300">Y1356*IF(CUR_I_Report=2,Y$88,1)</f>
        <v>20303.058732954123</v>
      </c>
      <c r="Z1091" s="93">
        <f t="shared" ref="Z1091" ca="1" si="3301">Z1356*IF(CUR_I_Report=2,Z$88,1)</f>
        <v>21757.833422339983</v>
      </c>
      <c r="AA1091" s="93">
        <f t="shared" ref="AA1091" ca="1" si="3302">AA1356*IF(CUR_I_Report=2,AA$88,1)</f>
        <v>23212.608111725844</v>
      </c>
      <c r="AB1091" s="93">
        <f t="shared" ref="AB1091:AC1091" ca="1" si="3303">AB1356*IF(CUR_I_Report=2,AB$88,1)</f>
        <v>24667.382801111704</v>
      </c>
      <c r="AC1091" s="93">
        <f t="shared" ca="1" si="3303"/>
        <v>26122.157490497564</v>
      </c>
    </row>
    <row r="1092" spans="1:31" s="11" customFormat="1" outlineLevel="1" collapsed="1" x14ac:dyDescent="0.2">
      <c r="A1092" s="11" t="str">
        <f ca="1">Language!A657</f>
        <v>Справка: Остаток средств на счете (портфель проектов)</v>
      </c>
      <c r="C1092" s="5" t="str">
        <f ca="1">CUR_Main</f>
        <v>тыс. EUR</v>
      </c>
      <c r="D1092" s="16" t="s">
        <v>2594</v>
      </c>
      <c r="F1092" s="93">
        <f ca="1">OFFSET(Портфель!$F334,0,MATCH(F$32,Портфель!$F$36:$Y$36,0)-1)*IF(CUR_I_Report=2,F$88,1)</f>
        <v>0</v>
      </c>
      <c r="G1092" s="93">
        <f ca="1">OFFSET(Портфель!$F334,0,MATCH(G$32,Портфель!$F$36:$Y$36,0)-1)*IF(CUR_I_Report=2,G$88,1)</f>
        <v>0</v>
      </c>
      <c r="H1092" s="93">
        <f ca="1">OFFSET(Портфель!$F334,0,MATCH(H$32,Портфель!$F$36:$Y$36,0)-1)*IF(CUR_I_Report=2,H$88,1)</f>
        <v>0</v>
      </c>
      <c r="I1092" s="93">
        <f ca="1">OFFSET(Портфель!$F334,0,MATCH(I$32,Портфель!$F$36:$Y$36,0)-1)*IF(CUR_I_Report=2,I$88,1)</f>
        <v>0</v>
      </c>
      <c r="J1092" s="93">
        <f ca="1">OFFSET(Портфель!$F334,0,MATCH(J$32,Портфель!$F$36:$Y$36,0)-1)*IF(CUR_I_Report=2,J$88,1)</f>
        <v>0</v>
      </c>
      <c r="K1092" s="93">
        <f ca="1">OFFSET(Портфель!$F334,0,MATCH(K$32,Портфель!$F$36:$Y$36,0)-1)*IF(CUR_I_Report=2,K$88,1)</f>
        <v>2827.4120312836421</v>
      </c>
      <c r="L1092" s="93">
        <f ca="1">OFFSET(Портфель!$F334,0,MATCH(L$32,Портфель!$F$36:$Y$36,0)-1)*IF(CUR_I_Report=2,L$88,1)</f>
        <v>2843.035293184585</v>
      </c>
      <c r="M1092" s="93">
        <f ca="1">OFFSET(Портфель!$F334,0,MATCH(M$32,Портфель!$F$36:$Y$36,0)-1)*IF(CUR_I_Report=2,M$88,1)</f>
        <v>3506.0283310907325</v>
      </c>
      <c r="N1092" s="93">
        <f ca="1">OFFSET(Портфель!$F334,0,MATCH(N$32,Портфель!$F$36:$Y$36,0)-1)*IF(CUR_I_Report=2,N$88,1)</f>
        <v>4470.038573843618</v>
      </c>
      <c r="O1092" s="93">
        <f ca="1">OFFSET(Портфель!$F334,0,MATCH(O$32,Портфель!$F$36:$Y$36,0)-1)*IF(CUR_I_Report=2,O$88,1)</f>
        <v>5755.3118390955333</v>
      </c>
      <c r="P1092" s="93">
        <f ca="1">OFFSET(Портфель!$F334,0,MATCH(P$32,Портфель!$F$36:$Y$36,0)-1)*IF(CUR_I_Report=2,P$88,1)</f>
        <v>7210.0865284813926</v>
      </c>
      <c r="Q1092" s="93">
        <f ca="1">OFFSET(Портфель!$F334,0,MATCH(Q$32,Портфель!$F$36:$Y$36,0)-1)*IF(CUR_I_Report=2,Q$88,1)</f>
        <v>8664.861217867252</v>
      </c>
      <c r="R1092" s="93">
        <f ca="1">OFFSET(Портфель!$F334,0,MATCH(R$32,Портфель!$F$36:$Y$36,0)-1)*IF(CUR_I_Report=2,R$88,1)</f>
        <v>10119.63590725311</v>
      </c>
      <c r="S1092" s="93">
        <f ca="1">OFFSET(Портфель!$F334,0,MATCH(S$32,Портфель!$F$36:$Y$36,0)-1)*IF(CUR_I_Report=2,S$88,1)</f>
        <v>11574.410596638969</v>
      </c>
      <c r="T1092" s="93">
        <f ca="1">OFFSET(Портфель!$F334,0,MATCH(T$32,Портфель!$F$36:$Y$36,0)-1)*IF(CUR_I_Report=2,T$88,1)</f>
        <v>13029.185286024827</v>
      </c>
      <c r="U1092" s="93">
        <f ca="1">OFFSET(Портфель!$F334,0,MATCH(U$32,Портфель!$F$36:$Y$36,0)-1)*IF(CUR_I_Report=2,U$88,1)</f>
        <v>14483.959975410686</v>
      </c>
      <c r="V1092" s="93">
        <f ca="1">OFFSET(Портфель!$F334,0,MATCH(V$32,Портфель!$F$36:$Y$36,0)-1)*IF(CUR_I_Report=2,V$88,1)</f>
        <v>15938.734664796546</v>
      </c>
      <c r="W1092" s="93">
        <f ca="1">OFFSET(Портфель!$F334,0,MATCH(W$32,Портфель!$F$36:$Y$36,0)-1)*IF(CUR_I_Report=2,W$88,1)</f>
        <v>17393.509354182403</v>
      </c>
      <c r="X1092" s="93">
        <f ca="1">OFFSET(Портфель!$F334,0,MATCH(X$32,Портфель!$F$36:$Y$36,0)-1)*IF(CUR_I_Report=2,X$88,1)</f>
        <v>18848.284043568263</v>
      </c>
      <c r="Y1092" s="93">
        <f ca="1">OFFSET(Портфель!$F334,0,MATCH(Y$32,Портфель!$F$36:$Y$36,0)-1)*IF(CUR_I_Report=2,Y$88,1)</f>
        <v>27196.87459454027</v>
      </c>
      <c r="Z1092" s="93" t="e">
        <f ca="1">OFFSET(Портфель!$F334,0,MATCH(Z$32,Портфель!$F$36:$Y$36,0)-1)*IF(CUR_I_Report=2,Z$88,1)</f>
        <v>#N/A</v>
      </c>
      <c r="AA1092" s="93" t="e">
        <f ca="1">OFFSET(Портфель!$F334,0,MATCH(AA$32,Портфель!$F$36:$Y$36,0)-1)*IF(CUR_I_Report=2,AA$88,1)</f>
        <v>#N/A</v>
      </c>
      <c r="AB1092" s="93" t="e">
        <f ca="1">OFFSET(Портфель!$F334,0,MATCH(AB$32,Портфель!$F$36:$Y$36,0)-1)*IF(CUR_I_Report=2,AB$88,1)</f>
        <v>#N/A</v>
      </c>
      <c r="AC1092" s="93" t="e">
        <f ca="1">OFFSET(Портфель!$F334,0,MATCH(AC$32,Портфель!$F$36:$Y$36,0)-1)*IF(CUR_I_Report=2,AC$88,1)</f>
        <v>#N/A</v>
      </c>
    </row>
    <row r="1093" spans="1:31" s="11" customFormat="1" hidden="1" outlineLevel="2" x14ac:dyDescent="0.2">
      <c r="A1093" s="11" t="str">
        <f ca="1">Language!A656</f>
        <v>Справка: Остаток средств на счете (без учета операционной деятельности)</v>
      </c>
      <c r="C1093" s="36" t="str">
        <f ca="1">CUR_Main</f>
        <v>тыс. EUR</v>
      </c>
      <c r="D1093" s="89" t="s">
        <v>2594</v>
      </c>
      <c r="F1093" s="93">
        <f t="shared" ref="F1093:T1093" ca="1" si="3304">(F1356-F1331)*IF(CUR_I_Report=2,F$88,1)</f>
        <v>0</v>
      </c>
      <c r="G1093" s="93">
        <f t="shared" ca="1" si="3304"/>
        <v>0</v>
      </c>
      <c r="H1093" s="93">
        <f t="shared" ca="1" si="3304"/>
        <v>0</v>
      </c>
      <c r="I1093" s="93">
        <f t="shared" ca="1" si="3304"/>
        <v>0</v>
      </c>
      <c r="J1093" s="93">
        <f t="shared" ca="1" si="3304"/>
        <v>0</v>
      </c>
      <c r="K1093" s="93">
        <f t="shared" ca="1" si="3304"/>
        <v>98.763329767441974</v>
      </c>
      <c r="L1093" s="93">
        <f t="shared" ca="1" si="3304"/>
        <v>2827.4120312836421</v>
      </c>
      <c r="M1093" s="93">
        <f t="shared" ca="1" si="3304"/>
        <v>2843.035293184585</v>
      </c>
      <c r="N1093" s="93">
        <f t="shared" ca="1" si="3304"/>
        <v>3553.9326351785917</v>
      </c>
      <c r="O1093" s="93">
        <f t="shared" ca="1" si="3304"/>
        <v>4511.6940284259845</v>
      </c>
      <c r="P1093" s="93">
        <f t="shared" ca="1" si="3304"/>
        <v>5755.3118390955333</v>
      </c>
      <c r="Q1093" s="93">
        <f t="shared" ca="1" si="3304"/>
        <v>7210.0865284813926</v>
      </c>
      <c r="R1093" s="93">
        <f t="shared" ca="1" si="3304"/>
        <v>8664.861217867252</v>
      </c>
      <c r="S1093" s="93">
        <f t="shared" ca="1" si="3304"/>
        <v>10119.63590725311</v>
      </c>
      <c r="T1093" s="93">
        <f t="shared" ca="1" si="3304"/>
        <v>11574.410596638969</v>
      </c>
      <c r="U1093" s="93">
        <f t="shared" ref="U1093" ca="1" si="3305">(U1356-U1331)*IF(CUR_I_Report=2,U$88,1)</f>
        <v>13029.185286024827</v>
      </c>
      <c r="V1093" s="93">
        <f t="shared" ref="V1093" ca="1" si="3306">(V1356-V1331)*IF(CUR_I_Report=2,V$88,1)</f>
        <v>14483.959975410686</v>
      </c>
      <c r="W1093" s="93">
        <f t="shared" ref="W1093" ca="1" si="3307">(W1356-W1331)*IF(CUR_I_Report=2,W$88,1)</f>
        <v>15938.734664796544</v>
      </c>
      <c r="X1093" s="93">
        <f t="shared" ref="X1093" ca="1" si="3308">(X1356-X1331)*IF(CUR_I_Report=2,X$88,1)</f>
        <v>17393.509354182403</v>
      </c>
      <c r="Y1093" s="93">
        <f t="shared" ref="Y1093" ca="1" si="3309">(Y1356-Y1331)*IF(CUR_I_Report=2,Y$88,1)</f>
        <v>18848.284043568263</v>
      </c>
      <c r="Z1093" s="93">
        <f t="shared" ref="Z1093" ca="1" si="3310">(Z1356-Z1331)*IF(CUR_I_Report=2,Z$88,1)</f>
        <v>20303.058732954123</v>
      </c>
      <c r="AA1093" s="93">
        <f t="shared" ref="AA1093" ca="1" si="3311">(AA1356-AA1331)*IF(CUR_I_Report=2,AA$88,1)</f>
        <v>21757.833422339983</v>
      </c>
      <c r="AB1093" s="93">
        <f t="shared" ref="AB1093:AC1093" ca="1" si="3312">(AB1356-AB1331)*IF(CUR_I_Report=2,AB$88,1)</f>
        <v>23212.608111725844</v>
      </c>
      <c r="AC1093" s="93">
        <f t="shared" ca="1" si="3312"/>
        <v>24667.382801111704</v>
      </c>
    </row>
    <row r="1094" spans="1:31" outlineLevel="1" x14ac:dyDescent="0.2">
      <c r="A1094" s="63"/>
      <c r="B1094" s="63"/>
      <c r="C1094" s="63"/>
      <c r="D1094" s="63"/>
      <c r="E1094" s="63"/>
      <c r="F1094" s="63"/>
      <c r="G1094" s="63"/>
      <c r="H1094" s="63"/>
      <c r="I1094" s="63"/>
      <c r="J1094" s="63"/>
      <c r="K1094" s="63"/>
      <c r="L1094" s="63"/>
      <c r="M1094" s="63"/>
      <c r="N1094" s="63"/>
      <c r="O1094" s="63"/>
      <c r="P1094" s="63"/>
      <c r="Q1094" s="63"/>
      <c r="R1094" s="63"/>
      <c r="S1094" s="63"/>
      <c r="T1094" s="63"/>
      <c r="U1094" s="63"/>
      <c r="V1094" s="63"/>
      <c r="W1094" s="63"/>
      <c r="X1094" s="63"/>
      <c r="Y1094" s="63"/>
      <c r="Z1094" s="63"/>
      <c r="AA1094" s="63"/>
      <c r="AB1094" s="63"/>
      <c r="AC1094" s="63"/>
      <c r="AD1094" s="63"/>
      <c r="AE1094" s="64"/>
    </row>
    <row r="1095" spans="1:31" outlineLevel="1" x14ac:dyDescent="0.2">
      <c r="A1095" s="19"/>
      <c r="B1095" s="19"/>
      <c r="C1095" s="19"/>
      <c r="D1095" s="19"/>
      <c r="E1095" s="19"/>
      <c r="F1095" s="19"/>
      <c r="G1095" s="19"/>
      <c r="H1095" s="19"/>
      <c r="I1095" s="19"/>
      <c r="J1095" s="19"/>
      <c r="K1095" s="19"/>
      <c r="L1095" s="19"/>
      <c r="M1095" s="19"/>
      <c r="N1095" s="19"/>
      <c r="O1095" s="19"/>
      <c r="P1095" s="19"/>
      <c r="Q1095" s="19"/>
      <c r="R1095" s="19"/>
      <c r="S1095" s="19"/>
      <c r="T1095" s="19"/>
      <c r="U1095" s="19"/>
      <c r="V1095" s="19"/>
      <c r="W1095" s="19"/>
      <c r="X1095" s="19"/>
      <c r="Y1095" s="19"/>
      <c r="Z1095" s="19"/>
      <c r="AA1095" s="19"/>
      <c r="AB1095" s="19"/>
      <c r="AC1095" s="19"/>
      <c r="AD1095" s="19"/>
      <c r="AE1095" s="22"/>
    </row>
    <row r="1096" spans="1:31" s="4" customFormat="1" ht="15.95" customHeight="1" collapsed="1" thickBot="1" x14ac:dyDescent="0.25">
      <c r="A1096" s="165" t="str">
        <f ca="1">Language!A658</f>
        <v xml:space="preserve">         КРЕДИТЫ</v>
      </c>
      <c r="B1096" s="165"/>
      <c r="C1096" s="165"/>
      <c r="D1096" s="165"/>
      <c r="E1096" s="165"/>
      <c r="F1096" s="177" t="str">
        <f t="shared" ref="F1096:AC1096" ca="1" si="3313">PeriodTitle</f>
        <v>1 кв. 2016</v>
      </c>
      <c r="G1096" s="177" t="str">
        <f t="shared" ca="1" si="3313"/>
        <v>2 кв. 2016</v>
      </c>
      <c r="H1096" s="177" t="str">
        <f t="shared" ca="1" si="3313"/>
        <v>3 кв. 2016</v>
      </c>
      <c r="I1096" s="177" t="str">
        <f t="shared" ca="1" si="3313"/>
        <v>4 кв. 2016</v>
      </c>
      <c r="J1096" s="177" t="str">
        <f t="shared" ca="1" si="3313"/>
        <v>1 кв. 2017</v>
      </c>
      <c r="K1096" s="177" t="str">
        <f t="shared" ca="1" si="3313"/>
        <v>2 кв. 2017</v>
      </c>
      <c r="L1096" s="177" t="str">
        <f t="shared" ca="1" si="3313"/>
        <v>3 кв. 2017</v>
      </c>
      <c r="M1096" s="177" t="str">
        <f t="shared" ca="1" si="3313"/>
        <v>4 кв. 2017</v>
      </c>
      <c r="N1096" s="177" t="str">
        <f t="shared" ca="1" si="3313"/>
        <v>1 кв. 2018</v>
      </c>
      <c r="O1096" s="177" t="str">
        <f t="shared" ca="1" si="3313"/>
        <v>2 кв. 2018</v>
      </c>
      <c r="P1096" s="177" t="str">
        <f t="shared" ca="1" si="3313"/>
        <v>3 кв. 2018</v>
      </c>
      <c r="Q1096" s="177" t="str">
        <f t="shared" ca="1" si="3313"/>
        <v>4 кв. 2018</v>
      </c>
      <c r="R1096" s="177" t="str">
        <f t="shared" ca="1" si="3313"/>
        <v>1 кв. 2019</v>
      </c>
      <c r="S1096" s="177" t="str">
        <f t="shared" ca="1" si="3313"/>
        <v>2 кв. 2019</v>
      </c>
      <c r="T1096" s="177" t="str">
        <f t="shared" ca="1" si="3313"/>
        <v>3 кв. 2019</v>
      </c>
      <c r="U1096" s="177" t="str">
        <f t="shared" ca="1" si="3313"/>
        <v>4 кв. 2019</v>
      </c>
      <c r="V1096" s="177" t="str">
        <f t="shared" ca="1" si="3313"/>
        <v>1 кв. 2020</v>
      </c>
      <c r="W1096" s="177" t="str">
        <f t="shared" ca="1" si="3313"/>
        <v>2 кв. 2020</v>
      </c>
      <c r="X1096" s="177" t="str">
        <f t="shared" ca="1" si="3313"/>
        <v>3 кв. 2020</v>
      </c>
      <c r="Y1096" s="177" t="str">
        <f t="shared" ca="1" si="3313"/>
        <v>4 кв. 2020</v>
      </c>
      <c r="Z1096" s="177" t="str">
        <f t="shared" ca="1" si="3313"/>
        <v>1 кв. 2021</v>
      </c>
      <c r="AA1096" s="177" t="str">
        <f t="shared" ca="1" si="3313"/>
        <v>2 кв. 2021</v>
      </c>
      <c r="AB1096" s="177" t="str">
        <f t="shared" ca="1" si="3313"/>
        <v>3 кв. 2021</v>
      </c>
      <c r="AC1096" s="177" t="str">
        <f t="shared" ca="1" si="3313"/>
        <v>4 кв. 2021</v>
      </c>
      <c r="AD1096" s="165"/>
      <c r="AE1096" s="194" t="str">
        <f ca="1">Language!A372</f>
        <v>ИТОГО</v>
      </c>
    </row>
    <row r="1097" spans="1:31" ht="12" hidden="1" outlineLevel="1" thickTop="1" x14ac:dyDescent="0.2"/>
    <row r="1098" spans="1:31" hidden="1" outlineLevel="1" x14ac:dyDescent="0.2">
      <c r="A1098" s="35" t="str">
        <f ca="1">Language!A688</f>
        <v>Существующие кредиты</v>
      </c>
    </row>
    <row r="1099" spans="1:31" hidden="1" outlineLevel="1" x14ac:dyDescent="0.2">
      <c r="A1099" t="str">
        <f ca="1">Language!A$661</f>
        <v>Годовая процентная ставка</v>
      </c>
      <c r="B1099" s="272"/>
      <c r="D1099" s="16" t="s">
        <v>967</v>
      </c>
      <c r="F1099" s="107">
        <f>B1099</f>
        <v>0</v>
      </c>
      <c r="G1099" s="107">
        <f t="shared" ref="G1099:AC1099" si="3314">F1099</f>
        <v>0</v>
      </c>
      <c r="H1099" s="107">
        <f t="shared" si="3314"/>
        <v>0</v>
      </c>
      <c r="I1099" s="107">
        <f t="shared" si="3314"/>
        <v>0</v>
      </c>
      <c r="J1099" s="107">
        <f t="shared" si="3314"/>
        <v>0</v>
      </c>
      <c r="K1099" s="107">
        <f t="shared" si="3314"/>
        <v>0</v>
      </c>
      <c r="L1099" s="107">
        <f t="shared" si="3314"/>
        <v>0</v>
      </c>
      <c r="M1099" s="107">
        <f t="shared" si="3314"/>
        <v>0</v>
      </c>
      <c r="N1099" s="107">
        <f t="shared" si="3314"/>
        <v>0</v>
      </c>
      <c r="O1099" s="107">
        <f t="shared" si="3314"/>
        <v>0</v>
      </c>
      <c r="P1099" s="107">
        <f t="shared" si="3314"/>
        <v>0</v>
      </c>
      <c r="Q1099" s="107">
        <f t="shared" si="3314"/>
        <v>0</v>
      </c>
      <c r="R1099" s="107">
        <f t="shared" si="3314"/>
        <v>0</v>
      </c>
      <c r="S1099" s="107">
        <f t="shared" si="3314"/>
        <v>0</v>
      </c>
      <c r="T1099" s="107">
        <f t="shared" si="3314"/>
        <v>0</v>
      </c>
      <c r="U1099" s="107">
        <f t="shared" si="3314"/>
        <v>0</v>
      </c>
      <c r="V1099" s="107">
        <f t="shared" si="3314"/>
        <v>0</v>
      </c>
      <c r="W1099" s="107">
        <f t="shared" si="3314"/>
        <v>0</v>
      </c>
      <c r="X1099" s="107">
        <f t="shared" si="3314"/>
        <v>0</v>
      </c>
      <c r="Y1099" s="107">
        <f t="shared" si="3314"/>
        <v>0</v>
      </c>
      <c r="Z1099" s="107">
        <f t="shared" si="3314"/>
        <v>0</v>
      </c>
      <c r="AA1099" s="107">
        <f t="shared" si="3314"/>
        <v>0</v>
      </c>
      <c r="AB1099" s="107">
        <f t="shared" si="3314"/>
        <v>0</v>
      </c>
      <c r="AC1099" s="107">
        <f t="shared" si="3314"/>
        <v>0</v>
      </c>
    </row>
    <row r="1100" spans="1:31" hidden="1" outlineLevel="1" x14ac:dyDescent="0.2">
      <c r="A1100" t="str">
        <f ca="1">Language!A$664</f>
        <v>Погашение основного долга</v>
      </c>
      <c r="C1100" s="5" t="str">
        <f ca="1">CUR_Main</f>
        <v>тыс. EUR</v>
      </c>
      <c r="D1100" s="16" t="s">
        <v>1040</v>
      </c>
      <c r="F1100" s="271">
        <v>0</v>
      </c>
      <c r="G1100" s="271">
        <v>0</v>
      </c>
      <c r="H1100" s="271">
        <v>0</v>
      </c>
      <c r="I1100" s="271">
        <v>0</v>
      </c>
      <c r="J1100" s="271">
        <v>0</v>
      </c>
      <c r="K1100" s="271">
        <v>0</v>
      </c>
      <c r="L1100" s="271">
        <v>0</v>
      </c>
      <c r="M1100" s="271">
        <v>0</v>
      </c>
      <c r="N1100" s="271">
        <v>0</v>
      </c>
      <c r="O1100" s="271">
        <v>0</v>
      </c>
      <c r="P1100" s="271">
        <v>0</v>
      </c>
      <c r="Q1100" s="271">
        <v>0</v>
      </c>
      <c r="R1100" s="271">
        <v>0</v>
      </c>
      <c r="S1100" s="271">
        <v>0</v>
      </c>
      <c r="T1100" s="271">
        <v>0</v>
      </c>
      <c r="U1100" s="271">
        <v>0</v>
      </c>
      <c r="V1100" s="271">
        <v>0</v>
      </c>
      <c r="W1100" s="271">
        <v>0</v>
      </c>
      <c r="X1100" s="271">
        <v>0</v>
      </c>
      <c r="Y1100" s="271">
        <v>0</v>
      </c>
      <c r="Z1100" s="271">
        <v>0</v>
      </c>
      <c r="AA1100" s="271">
        <v>0</v>
      </c>
      <c r="AB1100" s="271">
        <v>0</v>
      </c>
      <c r="AC1100" s="271">
        <v>0</v>
      </c>
      <c r="AE1100" s="54">
        <f>SUM(F1100:AC1100)</f>
        <v>0</v>
      </c>
    </row>
    <row r="1101" spans="1:31" hidden="1" outlineLevel="1" x14ac:dyDescent="0.2">
      <c r="A1101" t="str">
        <f ca="1">Language!A$666</f>
        <v>Выплаченные проценты</v>
      </c>
      <c r="C1101" s="5" t="str">
        <f ca="1">CUR_Main</f>
        <v>тыс. EUR</v>
      </c>
      <c r="D1101" s="16" t="s">
        <v>1041</v>
      </c>
      <c r="F1101" s="53">
        <f t="shared" ref="F1101:T1101" si="3315">F1104</f>
        <v>0</v>
      </c>
      <c r="G1101" s="53">
        <f t="shared" si="3315"/>
        <v>0</v>
      </c>
      <c r="H1101" s="53">
        <f t="shared" si="3315"/>
        <v>0</v>
      </c>
      <c r="I1101" s="53">
        <f t="shared" si="3315"/>
        <v>0</v>
      </c>
      <c r="J1101" s="53">
        <f t="shared" si="3315"/>
        <v>0</v>
      </c>
      <c r="K1101" s="53">
        <f t="shared" si="3315"/>
        <v>0</v>
      </c>
      <c r="L1101" s="53">
        <f t="shared" si="3315"/>
        <v>0</v>
      </c>
      <c r="M1101" s="53">
        <f t="shared" si="3315"/>
        <v>0</v>
      </c>
      <c r="N1101" s="53">
        <f t="shared" si="3315"/>
        <v>0</v>
      </c>
      <c r="O1101" s="53">
        <f t="shared" si="3315"/>
        <v>0</v>
      </c>
      <c r="P1101" s="53">
        <f t="shared" si="3315"/>
        <v>0</v>
      </c>
      <c r="Q1101" s="53">
        <f t="shared" si="3315"/>
        <v>0</v>
      </c>
      <c r="R1101" s="53">
        <f t="shared" si="3315"/>
        <v>0</v>
      </c>
      <c r="S1101" s="53">
        <f t="shared" si="3315"/>
        <v>0</v>
      </c>
      <c r="T1101" s="53">
        <f t="shared" si="3315"/>
        <v>0</v>
      </c>
      <c r="U1101" s="53">
        <f t="shared" ref="U1101" si="3316">U1104</f>
        <v>0</v>
      </c>
      <c r="V1101" s="53">
        <f t="shared" ref="V1101" si="3317">V1104</f>
        <v>0</v>
      </c>
      <c r="W1101" s="53">
        <f t="shared" ref="W1101" si="3318">W1104</f>
        <v>0</v>
      </c>
      <c r="X1101" s="53">
        <f t="shared" ref="X1101" si="3319">X1104</f>
        <v>0</v>
      </c>
      <c r="Y1101" s="53">
        <f t="shared" ref="Y1101" si="3320">Y1104</f>
        <v>0</v>
      </c>
      <c r="Z1101" s="53">
        <f t="shared" ref="Z1101" si="3321">Z1104</f>
        <v>0</v>
      </c>
      <c r="AA1101" s="53">
        <f t="shared" ref="AA1101" si="3322">AA1104</f>
        <v>0</v>
      </c>
      <c r="AB1101" s="53">
        <f t="shared" ref="AB1101:AC1101" si="3323">AB1104</f>
        <v>0</v>
      </c>
      <c r="AC1101" s="53">
        <f t="shared" si="3323"/>
        <v>0</v>
      </c>
      <c r="AE1101" s="54">
        <f>SUM(F1101:AC1101)</f>
        <v>0</v>
      </c>
    </row>
    <row r="1102" spans="1:31" hidden="1" outlineLevel="1" collapsed="1" x14ac:dyDescent="0.2">
      <c r="A1102" t="str">
        <f ca="1">Language!A$668</f>
        <v>Задолженность на конец текущего периода</v>
      </c>
      <c r="C1102" s="5" t="str">
        <f ca="1">CUR_Main</f>
        <v>тыс. EUR</v>
      </c>
      <c r="D1102" s="16" t="s">
        <v>1042</v>
      </c>
      <c r="F1102" s="53">
        <f>E1102-F1100+IF(D64="1_19",F64,F64*F88)</f>
        <v>0</v>
      </c>
      <c r="G1102" s="53">
        <f t="shared" ref="G1102:AD1102" si="3324">F1102-G1100</f>
        <v>0</v>
      </c>
      <c r="H1102" s="53">
        <f t="shared" si="3324"/>
        <v>0</v>
      </c>
      <c r="I1102" s="53">
        <f t="shared" si="3324"/>
        <v>0</v>
      </c>
      <c r="J1102" s="53">
        <f t="shared" si="3324"/>
        <v>0</v>
      </c>
      <c r="K1102" s="53">
        <f t="shared" si="3324"/>
        <v>0</v>
      </c>
      <c r="L1102" s="53">
        <f t="shared" si="3324"/>
        <v>0</v>
      </c>
      <c r="M1102" s="53">
        <f t="shared" si="3324"/>
        <v>0</v>
      </c>
      <c r="N1102" s="53">
        <f t="shared" si="3324"/>
        <v>0</v>
      </c>
      <c r="O1102" s="53">
        <f t="shared" si="3324"/>
        <v>0</v>
      </c>
      <c r="P1102" s="53">
        <f t="shared" si="3324"/>
        <v>0</v>
      </c>
      <c r="Q1102" s="53">
        <f t="shared" si="3324"/>
        <v>0</v>
      </c>
      <c r="R1102" s="53">
        <f t="shared" si="3324"/>
        <v>0</v>
      </c>
      <c r="S1102" s="53">
        <f t="shared" si="3324"/>
        <v>0</v>
      </c>
      <c r="T1102" s="53">
        <f t="shared" si="3324"/>
        <v>0</v>
      </c>
      <c r="U1102" s="53">
        <f t="shared" si="3324"/>
        <v>0</v>
      </c>
      <c r="V1102" s="53">
        <f t="shared" si="3324"/>
        <v>0</v>
      </c>
      <c r="W1102" s="53">
        <f t="shared" si="3324"/>
        <v>0</v>
      </c>
      <c r="X1102" s="53">
        <f t="shared" si="3324"/>
        <v>0</v>
      </c>
      <c r="Y1102" s="53">
        <f t="shared" si="3324"/>
        <v>0</v>
      </c>
      <c r="Z1102" s="53">
        <f t="shared" si="3324"/>
        <v>0</v>
      </c>
      <c r="AA1102" s="53">
        <f t="shared" si="3324"/>
        <v>0</v>
      </c>
      <c r="AB1102" s="53">
        <f t="shared" si="3324"/>
        <v>0</v>
      </c>
      <c r="AC1102" s="53">
        <f t="shared" si="3324"/>
        <v>0</v>
      </c>
      <c r="AD1102" s="242">
        <f t="shared" si="3324"/>
        <v>0</v>
      </c>
    </row>
    <row r="1103" spans="1:31" hidden="1" outlineLevel="2" x14ac:dyDescent="0.2">
      <c r="A1103" t="str">
        <f ca="1">Language!A$671</f>
        <v xml:space="preserve">    проценты, выплачиваемые из прибыли</v>
      </c>
      <c r="C1103" s="5" t="str">
        <f ca="1">CUR_Main</f>
        <v>тыс. EUR</v>
      </c>
      <c r="D1103" s="16" t="s">
        <v>1043</v>
      </c>
      <c r="F1103" s="84">
        <f t="shared" ref="F1103:T1103" si="3325">F1102*MAX((F1099-F$98)*PRJ_Step/360,0)</f>
        <v>0</v>
      </c>
      <c r="G1103" s="84">
        <f t="shared" si="3325"/>
        <v>0</v>
      </c>
      <c r="H1103" s="84">
        <f t="shared" si="3325"/>
        <v>0</v>
      </c>
      <c r="I1103" s="84">
        <f t="shared" si="3325"/>
        <v>0</v>
      </c>
      <c r="J1103" s="84">
        <f t="shared" si="3325"/>
        <v>0</v>
      </c>
      <c r="K1103" s="84">
        <f t="shared" si="3325"/>
        <v>0</v>
      </c>
      <c r="L1103" s="84">
        <f t="shared" si="3325"/>
        <v>0</v>
      </c>
      <c r="M1103" s="84">
        <f t="shared" si="3325"/>
        <v>0</v>
      </c>
      <c r="N1103" s="84">
        <f t="shared" si="3325"/>
        <v>0</v>
      </c>
      <c r="O1103" s="84">
        <f t="shared" si="3325"/>
        <v>0</v>
      </c>
      <c r="P1103" s="84">
        <f t="shared" si="3325"/>
        <v>0</v>
      </c>
      <c r="Q1103" s="84">
        <f t="shared" si="3325"/>
        <v>0</v>
      </c>
      <c r="R1103" s="84">
        <f t="shared" si="3325"/>
        <v>0</v>
      </c>
      <c r="S1103" s="84">
        <f t="shared" si="3325"/>
        <v>0</v>
      </c>
      <c r="T1103" s="84">
        <f t="shared" si="3325"/>
        <v>0</v>
      </c>
      <c r="U1103" s="84">
        <f t="shared" ref="U1103" si="3326">U1102*MAX((U1099-U$98)*PRJ_Step/360,0)</f>
        <v>0</v>
      </c>
      <c r="V1103" s="84">
        <f t="shared" ref="V1103" si="3327">V1102*MAX((V1099-V$98)*PRJ_Step/360,0)</f>
        <v>0</v>
      </c>
      <c r="W1103" s="84">
        <f t="shared" ref="W1103" si="3328">W1102*MAX((W1099-W$98)*PRJ_Step/360,0)</f>
        <v>0</v>
      </c>
      <c r="X1103" s="84">
        <f t="shared" ref="X1103" si="3329">X1102*MAX((X1099-X$98)*PRJ_Step/360,0)</f>
        <v>0</v>
      </c>
      <c r="Y1103" s="84">
        <f t="shared" ref="Y1103" si="3330">Y1102*MAX((Y1099-Y$98)*PRJ_Step/360,0)</f>
        <v>0</v>
      </c>
      <c r="Z1103" s="84">
        <f t="shared" ref="Z1103" si="3331">Z1102*MAX((Z1099-Z$98)*PRJ_Step/360,0)</f>
        <v>0</v>
      </c>
      <c r="AA1103" s="84">
        <f t="shared" ref="AA1103" si="3332">AA1102*MAX((AA1099-AA$98)*PRJ_Step/360,0)</f>
        <v>0</v>
      </c>
      <c r="AB1103" s="84">
        <f t="shared" ref="AB1103:AC1103" si="3333">AB1102*MAX((AB1099-AB$98)*PRJ_Step/360,0)</f>
        <v>0</v>
      </c>
      <c r="AC1103" s="84">
        <f t="shared" si="3333"/>
        <v>0</v>
      </c>
      <c r="AD1103" s="243"/>
      <c r="AE1103" s="54">
        <f>SUM(F1103:AC1103)</f>
        <v>0</v>
      </c>
    </row>
    <row r="1104" spans="1:31" hidden="1" outlineLevel="2" x14ac:dyDescent="0.2">
      <c r="A1104" t="str">
        <f ca="1">Language!A$665</f>
        <v>Начисленные проценты</v>
      </c>
      <c r="C1104" s="5" t="str">
        <f ca="1">CUR_Main</f>
        <v>тыс. EUR</v>
      </c>
      <c r="D1104" s="16" t="s">
        <v>1044</v>
      </c>
      <c r="F1104" s="43">
        <f t="shared" ref="F1104:T1104" si="3334">F1102*F1099*PRJ_Step/360</f>
        <v>0</v>
      </c>
      <c r="G1104" s="43">
        <f t="shared" si="3334"/>
        <v>0</v>
      </c>
      <c r="H1104" s="43">
        <f t="shared" si="3334"/>
        <v>0</v>
      </c>
      <c r="I1104" s="43">
        <f t="shared" si="3334"/>
        <v>0</v>
      </c>
      <c r="J1104" s="43">
        <f t="shared" si="3334"/>
        <v>0</v>
      </c>
      <c r="K1104" s="43">
        <f t="shared" si="3334"/>
        <v>0</v>
      </c>
      <c r="L1104" s="43">
        <f t="shared" si="3334"/>
        <v>0</v>
      </c>
      <c r="M1104" s="43">
        <f t="shared" si="3334"/>
        <v>0</v>
      </c>
      <c r="N1104" s="43">
        <f t="shared" si="3334"/>
        <v>0</v>
      </c>
      <c r="O1104" s="43">
        <f t="shared" si="3334"/>
        <v>0</v>
      </c>
      <c r="P1104" s="43">
        <f t="shared" si="3334"/>
        <v>0</v>
      </c>
      <c r="Q1104" s="43">
        <f t="shared" si="3334"/>
        <v>0</v>
      </c>
      <c r="R1104" s="43">
        <f t="shared" si="3334"/>
        <v>0</v>
      </c>
      <c r="S1104" s="43">
        <f t="shared" si="3334"/>
        <v>0</v>
      </c>
      <c r="T1104" s="43">
        <f t="shared" si="3334"/>
        <v>0</v>
      </c>
      <c r="U1104" s="43">
        <f t="shared" ref="U1104" si="3335">U1102*U1099*PRJ_Step/360</f>
        <v>0</v>
      </c>
      <c r="V1104" s="43">
        <f t="shared" ref="V1104" si="3336">V1102*V1099*PRJ_Step/360</f>
        <v>0</v>
      </c>
      <c r="W1104" s="43">
        <f t="shared" ref="W1104" si="3337">W1102*W1099*PRJ_Step/360</f>
        <v>0</v>
      </c>
      <c r="X1104" s="43">
        <f t="shared" ref="X1104" si="3338">X1102*X1099*PRJ_Step/360</f>
        <v>0</v>
      </c>
      <c r="Y1104" s="43">
        <f t="shared" ref="Y1104" si="3339">Y1102*Y1099*PRJ_Step/360</f>
        <v>0</v>
      </c>
      <c r="Z1104" s="43">
        <f t="shared" ref="Z1104" si="3340">Z1102*Z1099*PRJ_Step/360</f>
        <v>0</v>
      </c>
      <c r="AA1104" s="43">
        <f t="shared" ref="AA1104" si="3341">AA1102*AA1099*PRJ_Step/360</f>
        <v>0</v>
      </c>
      <c r="AB1104" s="43">
        <f t="shared" ref="AB1104:AC1104" si="3342">AB1102*AB1099*PRJ_Step/360</f>
        <v>0</v>
      </c>
      <c r="AC1104" s="43">
        <f t="shared" si="3342"/>
        <v>0</v>
      </c>
      <c r="AE1104" s="54">
        <f>SUM(F1104:AC1104)</f>
        <v>0</v>
      </c>
    </row>
    <row r="1105" spans="1:32" hidden="1" outlineLevel="1" x14ac:dyDescent="0.2">
      <c r="A1105" s="63"/>
      <c r="B1105" s="63"/>
      <c r="C1105" s="63"/>
      <c r="D1105" s="63"/>
      <c r="E1105" s="63"/>
      <c r="F1105" s="63"/>
      <c r="G1105" s="63"/>
      <c r="H1105" s="63"/>
      <c r="I1105" s="63"/>
      <c r="J1105" s="63"/>
      <c r="K1105" s="63"/>
      <c r="L1105" s="63"/>
      <c r="M1105" s="63"/>
      <c r="N1105" s="63"/>
      <c r="O1105" s="63"/>
      <c r="P1105" s="63"/>
      <c r="Q1105" s="63"/>
      <c r="R1105" s="63"/>
      <c r="S1105" s="63"/>
      <c r="T1105" s="63"/>
      <c r="U1105" s="63"/>
      <c r="V1105" s="63"/>
      <c r="W1105" s="63"/>
      <c r="X1105" s="63"/>
      <c r="Y1105" s="63"/>
      <c r="Z1105" s="63"/>
      <c r="AA1105" s="63"/>
      <c r="AB1105" s="63"/>
      <c r="AC1105" s="63"/>
      <c r="AD1105" s="305"/>
      <c r="AE1105" s="64"/>
    </row>
    <row r="1106" spans="1:32" hidden="1" outlineLevel="1" x14ac:dyDescent="0.2">
      <c r="A1106" s="62" t="str">
        <f ca="1">Language!A689</f>
        <v>Новые кредиты</v>
      </c>
      <c r="B1106" s="19"/>
      <c r="C1106" s="19"/>
      <c r="D1106" s="19">
        <v>1</v>
      </c>
      <c r="E1106" s="19">
        <v>14</v>
      </c>
      <c r="F1106" s="19"/>
      <c r="G1106" s="19"/>
      <c r="H1106" s="19"/>
      <c r="I1106" s="19"/>
      <c r="J1106" s="19"/>
      <c r="K1106" s="19"/>
      <c r="L1106" s="19"/>
      <c r="M1106" s="19"/>
      <c r="N1106" s="19"/>
      <c r="O1106" s="19"/>
      <c r="P1106" s="19"/>
      <c r="Q1106" s="19"/>
      <c r="R1106" s="19"/>
      <c r="S1106" s="19"/>
      <c r="T1106" s="19"/>
      <c r="U1106" s="19"/>
      <c r="V1106" s="19"/>
      <c r="W1106" s="19"/>
      <c r="X1106" s="19"/>
      <c r="Y1106" s="19"/>
      <c r="Z1106" s="19"/>
      <c r="AA1106" s="19"/>
      <c r="AB1106" s="19"/>
      <c r="AC1106" s="19"/>
      <c r="AD1106" s="306"/>
      <c r="AE1106" s="22"/>
    </row>
    <row r="1107" spans="1:32" hidden="1" outlineLevel="1" x14ac:dyDescent="0.2">
      <c r="A1107" s="262" t="str">
        <f ca="1">Language!A$431</f>
        <v>Наименование</v>
      </c>
      <c r="B1107" s="19"/>
      <c r="C1107" s="19"/>
      <c r="D1107" s="19"/>
      <c r="E1107" s="19"/>
      <c r="F1107" s="19"/>
      <c r="G1107" s="19"/>
      <c r="H1107" s="19"/>
      <c r="I1107" s="19"/>
      <c r="J1107" s="19"/>
      <c r="K1107" s="19"/>
      <c r="L1107" s="19"/>
      <c r="M1107" s="19"/>
      <c r="N1107" s="19"/>
      <c r="O1107" s="19"/>
      <c r="P1107" s="19"/>
      <c r="Q1107" s="19"/>
      <c r="R1107" s="19"/>
      <c r="S1107" s="19"/>
      <c r="T1107" s="19"/>
      <c r="U1107" s="19"/>
      <c r="V1107" s="19"/>
      <c r="W1107" s="19"/>
      <c r="X1107" s="19"/>
      <c r="Y1107" s="19"/>
      <c r="Z1107" s="19"/>
      <c r="AA1107" s="19"/>
      <c r="AB1107" s="19"/>
      <c r="AC1107" s="19"/>
      <c r="AD1107" s="306"/>
      <c r="AE1107" s="22"/>
    </row>
    <row r="1108" spans="1:32" hidden="1" outlineLevel="1" x14ac:dyDescent="0.2">
      <c r="A1108" s="19" t="str">
        <f ca="1">Language!A$659</f>
        <v>Тип кредита</v>
      </c>
      <c r="B1108" s="260">
        <v>2</v>
      </c>
      <c r="C1108" s="307" t="str">
        <f ca="1">OFFSET(Language!A$681,B1108-1,0)</f>
        <v>Инвестиционный кредит</v>
      </c>
      <c r="D1108" s="19"/>
      <c r="E1108" s="19"/>
      <c r="F1108" s="19"/>
      <c r="G1108" s="19"/>
      <c r="H1108" s="19"/>
      <c r="I1108" s="19"/>
      <c r="J1108" s="19"/>
      <c r="K1108" s="19"/>
      <c r="L1108" s="19"/>
      <c r="M1108" s="19"/>
      <c r="N1108" s="19"/>
      <c r="O1108" s="19"/>
      <c r="P1108" s="19"/>
      <c r="Q1108" s="19"/>
      <c r="R1108" s="19"/>
      <c r="S1108" s="19"/>
      <c r="T1108" s="19"/>
      <c r="U1108" s="19"/>
      <c r="V1108" s="19"/>
      <c r="W1108" s="19"/>
      <c r="X1108" s="19"/>
      <c r="Y1108" s="19"/>
      <c r="Z1108" s="19"/>
      <c r="AA1108" s="19"/>
      <c r="AB1108" s="19"/>
      <c r="AC1108" s="19"/>
      <c r="AD1108" s="306"/>
      <c r="AE1108" s="22"/>
    </row>
    <row r="1109" spans="1:32" hidden="1" outlineLevel="1" x14ac:dyDescent="0.2">
      <c r="A1109" s="19" t="str">
        <f ca="1">Language!A$660</f>
        <v>Валюта кредита</v>
      </c>
      <c r="B1109" s="260">
        <v>1</v>
      </c>
      <c r="C1109" s="308" t="str">
        <f ca="1">CHOOSE(B1109,CUR_Main,CUR_Foreign)</f>
        <v>тыс. EUR</v>
      </c>
      <c r="D1109" s="19"/>
      <c r="E1109" s="19"/>
      <c r="F1109" s="19"/>
      <c r="G1109" s="19"/>
      <c r="H1109" s="19"/>
      <c r="I1109" s="19"/>
      <c r="J1109" s="19"/>
      <c r="K1109" s="19"/>
      <c r="L1109" s="19"/>
      <c r="M1109" s="19"/>
      <c r="N1109" s="19"/>
      <c r="O1109" s="19"/>
      <c r="P1109" s="19"/>
      <c r="Q1109" s="19"/>
      <c r="R1109" s="19"/>
      <c r="S1109" s="19"/>
      <c r="T1109" s="19"/>
      <c r="U1109" s="19"/>
      <c r="V1109" s="19"/>
      <c r="W1109" s="19"/>
      <c r="X1109" s="19"/>
      <c r="Y1109" s="19"/>
      <c r="Z1109" s="19"/>
      <c r="AA1109" s="19"/>
      <c r="AB1109" s="19"/>
      <c r="AC1109" s="19"/>
      <c r="AD1109" s="306"/>
      <c r="AE1109" s="22"/>
    </row>
    <row r="1110" spans="1:32" hidden="1" outlineLevel="1" x14ac:dyDescent="0.2">
      <c r="A1110" t="str">
        <f ca="1">Language!A$661</f>
        <v>Годовая процентная ставка</v>
      </c>
      <c r="B1110" s="272">
        <v>0.13</v>
      </c>
      <c r="D1110" s="16" t="s">
        <v>967</v>
      </c>
      <c r="F1110" s="107">
        <f>B1110</f>
        <v>0.13</v>
      </c>
      <c r="G1110" s="107">
        <f t="shared" ref="G1110:AC1110" si="3343">F1110</f>
        <v>0.13</v>
      </c>
      <c r="H1110" s="107">
        <f t="shared" si="3343"/>
        <v>0.13</v>
      </c>
      <c r="I1110" s="107">
        <f t="shared" si="3343"/>
        <v>0.13</v>
      </c>
      <c r="J1110" s="107">
        <f t="shared" si="3343"/>
        <v>0.13</v>
      </c>
      <c r="K1110" s="107">
        <f t="shared" si="3343"/>
        <v>0.13</v>
      </c>
      <c r="L1110" s="107">
        <f t="shared" si="3343"/>
        <v>0.13</v>
      </c>
      <c r="M1110" s="107">
        <f t="shared" si="3343"/>
        <v>0.13</v>
      </c>
      <c r="N1110" s="107">
        <f t="shared" si="3343"/>
        <v>0.13</v>
      </c>
      <c r="O1110" s="107">
        <f t="shared" si="3343"/>
        <v>0.13</v>
      </c>
      <c r="P1110" s="107">
        <f t="shared" si="3343"/>
        <v>0.13</v>
      </c>
      <c r="Q1110" s="107">
        <f t="shared" si="3343"/>
        <v>0.13</v>
      </c>
      <c r="R1110" s="107">
        <f t="shared" si="3343"/>
        <v>0.13</v>
      </c>
      <c r="S1110" s="107">
        <f t="shared" si="3343"/>
        <v>0.13</v>
      </c>
      <c r="T1110" s="107">
        <f t="shared" si="3343"/>
        <v>0.13</v>
      </c>
      <c r="U1110" s="107">
        <f t="shared" si="3343"/>
        <v>0.13</v>
      </c>
      <c r="V1110" s="107">
        <f t="shared" si="3343"/>
        <v>0.13</v>
      </c>
      <c r="W1110" s="107">
        <f t="shared" si="3343"/>
        <v>0.13</v>
      </c>
      <c r="X1110" s="107">
        <f t="shared" si="3343"/>
        <v>0.13</v>
      </c>
      <c r="Y1110" s="107">
        <f t="shared" si="3343"/>
        <v>0.13</v>
      </c>
      <c r="Z1110" s="107">
        <f t="shared" si="3343"/>
        <v>0.13</v>
      </c>
      <c r="AA1110" s="107">
        <f t="shared" si="3343"/>
        <v>0.13</v>
      </c>
      <c r="AB1110" s="107">
        <f t="shared" si="3343"/>
        <v>0.13</v>
      </c>
      <c r="AC1110" s="107">
        <f t="shared" si="3343"/>
        <v>0.13</v>
      </c>
      <c r="AD1110" s="243"/>
    </row>
    <row r="1111" spans="1:32" hidden="1" outlineLevel="1" x14ac:dyDescent="0.2">
      <c r="A1111" t="str">
        <f ca="1">Language!A$662</f>
        <v>Отсрочка выплаты процентов</v>
      </c>
      <c r="B1111" s="254">
        <v>0</v>
      </c>
      <c r="C1111" s="17" t="str">
        <f ca="1">PRJ_Step_SName</f>
        <v>кв.</v>
      </c>
      <c r="E1111">
        <v>120</v>
      </c>
      <c r="AD1111" s="243"/>
      <c r="AF1111" s="43"/>
    </row>
    <row r="1112" spans="1:32" hidden="1" outlineLevel="1" x14ac:dyDescent="0.2">
      <c r="D1112" s="16" t="s">
        <v>971</v>
      </c>
      <c r="R1112" s="48"/>
      <c r="AD1112" s="243"/>
    </row>
    <row r="1113" spans="1:32" hidden="1" outlineLevel="1" x14ac:dyDescent="0.2">
      <c r="A1113" t="str">
        <f ca="1">Language!A$663</f>
        <v>Поступление денег от кредита</v>
      </c>
      <c r="C1113" s="17" t="str">
        <f ca="1">CHOOSE(B1109,CUR_Main,CUR_Foreign)</f>
        <v>тыс. EUR</v>
      </c>
      <c r="D1113" s="16" t="str">
        <f>TEXT(B1108,"0") &amp; "/" &amp; TEXT(B1109,"0") &amp; "_00"</f>
        <v>2/1_00</v>
      </c>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43"/>
      <c r="AE1113" s="54">
        <f>SUM(F1113:AC1113)</f>
        <v>0</v>
      </c>
      <c r="AF1113" s="43"/>
    </row>
    <row r="1114" spans="1:32" hidden="1" outlineLevel="1" x14ac:dyDescent="0.2">
      <c r="A1114" t="str">
        <f ca="1">Language!A$664</f>
        <v>Погашение основного долга</v>
      </c>
      <c r="C1114" s="5" t="str">
        <f ca="1">CHOOSE(B1109,CUR_Main,CUR_Foreign)</f>
        <v>тыс. EUR</v>
      </c>
      <c r="D1114" s="16" t="str">
        <f>TEXT(B1108,"0") &amp; "/" &amp; TEXT(B1109,"0")&amp;"_01"</f>
        <v>2/1_01</v>
      </c>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43"/>
      <c r="AE1114" s="54">
        <f>SUM(F1114:AC1114)</f>
        <v>0</v>
      </c>
      <c r="AF1114" s="43"/>
    </row>
    <row r="1115" spans="1:32" hidden="1" outlineLevel="1" x14ac:dyDescent="0.2">
      <c r="A1115" t="str">
        <f ca="1">Language!A$666</f>
        <v>Выплаченные проценты</v>
      </c>
      <c r="C1115" s="5" t="str">
        <f ca="1">CHOOSE(B1109,CUR_Main,CUR_Foreign)</f>
        <v>тыс. EUR</v>
      </c>
      <c r="D1115" s="16" t="str">
        <f>TEXT(B1108,"0") &amp; "/" &amp; TEXT(B1109,"0")&amp;"_03"</f>
        <v>2/1_03</v>
      </c>
      <c r="F1115" s="53">
        <f t="shared" ref="F1115:T1115" si="3344">IF(F$29&gt;=(F1118+$B1111),F1117*F1110*PRJ_Step/360,0)</f>
        <v>0</v>
      </c>
      <c r="G1115" s="53">
        <f t="shared" si="3344"/>
        <v>0</v>
      </c>
      <c r="H1115" s="53">
        <f t="shared" si="3344"/>
        <v>0</v>
      </c>
      <c r="I1115" s="53">
        <f t="shared" si="3344"/>
        <v>0</v>
      </c>
      <c r="J1115" s="53">
        <f t="shared" si="3344"/>
        <v>0</v>
      </c>
      <c r="K1115" s="53">
        <f t="shared" si="3344"/>
        <v>0</v>
      </c>
      <c r="L1115" s="53">
        <f t="shared" si="3344"/>
        <v>0</v>
      </c>
      <c r="M1115" s="53">
        <f t="shared" si="3344"/>
        <v>0</v>
      </c>
      <c r="N1115" s="53">
        <f t="shared" si="3344"/>
        <v>0</v>
      </c>
      <c r="O1115" s="53">
        <f t="shared" si="3344"/>
        <v>0</v>
      </c>
      <c r="P1115" s="53">
        <f t="shared" si="3344"/>
        <v>0</v>
      </c>
      <c r="Q1115" s="53">
        <f t="shared" si="3344"/>
        <v>0</v>
      </c>
      <c r="R1115" s="53">
        <f t="shared" si="3344"/>
        <v>0</v>
      </c>
      <c r="S1115" s="53">
        <f t="shared" si="3344"/>
        <v>0</v>
      </c>
      <c r="T1115" s="53">
        <f t="shared" si="3344"/>
        <v>0</v>
      </c>
      <c r="U1115" s="53">
        <f t="shared" ref="U1115" si="3345">IF(U$29&gt;=(U1118+$B1111),U1117*U1110*PRJ_Step/360,0)</f>
        <v>0</v>
      </c>
      <c r="V1115" s="53">
        <f t="shared" ref="V1115" si="3346">IF(V$29&gt;=(V1118+$B1111),V1117*V1110*PRJ_Step/360,0)</f>
        <v>0</v>
      </c>
      <c r="W1115" s="53">
        <f t="shared" ref="W1115" si="3347">IF(W$29&gt;=(W1118+$B1111),W1117*W1110*PRJ_Step/360,0)</f>
        <v>0</v>
      </c>
      <c r="X1115" s="53">
        <f t="shared" ref="X1115" si="3348">IF(X$29&gt;=(X1118+$B1111),X1117*X1110*PRJ_Step/360,0)</f>
        <v>0</v>
      </c>
      <c r="Y1115" s="53">
        <f t="shared" ref="Y1115" si="3349">IF(Y$29&gt;=(Y1118+$B1111),Y1117*Y1110*PRJ_Step/360,0)</f>
        <v>0</v>
      </c>
      <c r="Z1115" s="53">
        <f t="shared" ref="Z1115" si="3350">IF(Z$29&gt;=(Z1118+$B1111),Z1117*Z1110*PRJ_Step/360,0)</f>
        <v>0</v>
      </c>
      <c r="AA1115" s="53">
        <f t="shared" ref="AA1115" si="3351">IF(AA$29&gt;=(AA1118+$B1111),AA1117*AA1110*PRJ_Step/360,0)</f>
        <v>0</v>
      </c>
      <c r="AB1115" s="53">
        <f t="shared" ref="AB1115:AC1115" si="3352">IF(AB$29&gt;=(AB1118+$B1111),AB1117*AB1110*PRJ_Step/360,0)</f>
        <v>0</v>
      </c>
      <c r="AC1115" s="53">
        <f t="shared" si="3352"/>
        <v>0</v>
      </c>
      <c r="AD1115" s="243"/>
      <c r="AE1115" s="54">
        <f>SUM(F1115:AC1115)</f>
        <v>0</v>
      </c>
    </row>
    <row r="1116" spans="1:32" hidden="1" outlineLevel="1" collapsed="1" x14ac:dyDescent="0.2">
      <c r="A1116" t="str">
        <f ca="1">Language!A$668</f>
        <v>Задолженность на конец текущего периода</v>
      </c>
      <c r="C1116" s="5" t="str">
        <f ca="1">CHOOSE(B1109,CUR_Main,CUR_Foreign)</f>
        <v>тыс. EUR</v>
      </c>
      <c r="D1116" t="str">
        <f>TEXT(B1108,"0") &amp; "/" &amp; TEXT(B1109,"0")&amp;"_04"&amp;";int_end"</f>
        <v>2/1_04;int_end</v>
      </c>
      <c r="F1116" s="43">
        <f t="shared" ref="F1116:AC1116" si="3353">E1116+F1113-F1114+IF(F$29&lt;(F1118+$B1111),F1117*F1110*PRJ_Step/360,0)</f>
        <v>0</v>
      </c>
      <c r="G1116" s="43">
        <f t="shared" si="3353"/>
        <v>0</v>
      </c>
      <c r="H1116" s="43">
        <f t="shared" si="3353"/>
        <v>0</v>
      </c>
      <c r="I1116" s="43">
        <f t="shared" si="3353"/>
        <v>0</v>
      </c>
      <c r="J1116" s="43">
        <f t="shared" si="3353"/>
        <v>0</v>
      </c>
      <c r="K1116" s="43">
        <f t="shared" si="3353"/>
        <v>0</v>
      </c>
      <c r="L1116" s="43">
        <f t="shared" si="3353"/>
        <v>0</v>
      </c>
      <c r="M1116" s="43">
        <f t="shared" si="3353"/>
        <v>0</v>
      </c>
      <c r="N1116" s="43">
        <f t="shared" si="3353"/>
        <v>0</v>
      </c>
      <c r="O1116" s="43">
        <f t="shared" si="3353"/>
        <v>0</v>
      </c>
      <c r="P1116" s="43">
        <f t="shared" si="3353"/>
        <v>0</v>
      </c>
      <c r="Q1116" s="43">
        <f t="shared" si="3353"/>
        <v>0</v>
      </c>
      <c r="R1116" s="43">
        <f t="shared" si="3353"/>
        <v>0</v>
      </c>
      <c r="S1116" s="43">
        <f t="shared" si="3353"/>
        <v>0</v>
      </c>
      <c r="T1116" s="43">
        <f t="shared" si="3353"/>
        <v>0</v>
      </c>
      <c r="U1116" s="43">
        <f t="shared" si="3353"/>
        <v>0</v>
      </c>
      <c r="V1116" s="43">
        <f t="shared" si="3353"/>
        <v>0</v>
      </c>
      <c r="W1116" s="43">
        <f t="shared" si="3353"/>
        <v>0</v>
      </c>
      <c r="X1116" s="43">
        <f t="shared" si="3353"/>
        <v>0</v>
      </c>
      <c r="Y1116" s="43">
        <f t="shared" si="3353"/>
        <v>0</v>
      </c>
      <c r="Z1116" s="43">
        <f t="shared" si="3353"/>
        <v>0</v>
      </c>
      <c r="AA1116" s="43">
        <f t="shared" si="3353"/>
        <v>0</v>
      </c>
      <c r="AB1116" s="43">
        <f t="shared" si="3353"/>
        <v>0</v>
      </c>
      <c r="AC1116" s="43">
        <f t="shared" si="3353"/>
        <v>0</v>
      </c>
    </row>
    <row r="1117" spans="1:32" hidden="1" outlineLevel="2" x14ac:dyDescent="0.2">
      <c r="A1117" t="str">
        <f ca="1">Language!A$667</f>
        <v>Задолженность с учетом отсроченных процентов</v>
      </c>
      <c r="C1117" s="5" t="str">
        <f ca="1">CHOOSE(B1109,CUR_Main,CUR_Foreign)</f>
        <v>тыс. EUR</v>
      </c>
      <c r="D1117" s="16" t="s">
        <v>2710</v>
      </c>
      <c r="F1117" s="53">
        <f t="shared" ref="F1117:AD1117" si="3354">E1117+F1113-F1114+IF(F$29&lt;=(F1118+$B1111),E1117*F1110*PRJ_Step/360,0)</f>
        <v>0</v>
      </c>
      <c r="G1117" s="53">
        <f t="shared" si="3354"/>
        <v>0</v>
      </c>
      <c r="H1117" s="53">
        <f t="shared" si="3354"/>
        <v>0</v>
      </c>
      <c r="I1117" s="53">
        <f t="shared" si="3354"/>
        <v>0</v>
      </c>
      <c r="J1117" s="53">
        <f t="shared" si="3354"/>
        <v>0</v>
      </c>
      <c r="K1117" s="53">
        <f t="shared" si="3354"/>
        <v>0</v>
      </c>
      <c r="L1117" s="53">
        <f t="shared" si="3354"/>
        <v>0</v>
      </c>
      <c r="M1117" s="53">
        <f t="shared" si="3354"/>
        <v>0</v>
      </c>
      <c r="N1117" s="53">
        <f t="shared" si="3354"/>
        <v>0</v>
      </c>
      <c r="O1117" s="53">
        <f t="shared" si="3354"/>
        <v>0</v>
      </c>
      <c r="P1117" s="53">
        <f t="shared" si="3354"/>
        <v>0</v>
      </c>
      <c r="Q1117" s="53">
        <f t="shared" si="3354"/>
        <v>0</v>
      </c>
      <c r="R1117" s="53">
        <f t="shared" si="3354"/>
        <v>0</v>
      </c>
      <c r="S1117" s="53">
        <f t="shared" si="3354"/>
        <v>0</v>
      </c>
      <c r="T1117" s="53">
        <f t="shared" si="3354"/>
        <v>0</v>
      </c>
      <c r="U1117" s="53">
        <f t="shared" si="3354"/>
        <v>0</v>
      </c>
      <c r="V1117" s="53">
        <f t="shared" si="3354"/>
        <v>0</v>
      </c>
      <c r="W1117" s="53">
        <f t="shared" si="3354"/>
        <v>0</v>
      </c>
      <c r="X1117" s="53">
        <f t="shared" si="3354"/>
        <v>0</v>
      </c>
      <c r="Y1117" s="53">
        <f t="shared" si="3354"/>
        <v>0</v>
      </c>
      <c r="Z1117" s="53">
        <f t="shared" si="3354"/>
        <v>0</v>
      </c>
      <c r="AA1117" s="53">
        <f t="shared" si="3354"/>
        <v>0</v>
      </c>
      <c r="AB1117" s="53">
        <f t="shared" si="3354"/>
        <v>0</v>
      </c>
      <c r="AC1117" s="53">
        <f t="shared" si="3354"/>
        <v>0</v>
      </c>
      <c r="AD1117" s="242">
        <f t="shared" si="3354"/>
        <v>0</v>
      </c>
    </row>
    <row r="1118" spans="1:32" hidden="1" outlineLevel="2" x14ac:dyDescent="0.2">
      <c r="A1118" t="str">
        <f ca="1">Language!A$670</f>
        <v xml:space="preserve">    интервал, в котором впервые взят кредит</v>
      </c>
      <c r="C1118" s="5"/>
      <c r="D1118" s="16" t="str">
        <f>TEXT(B1108,"0") &amp; "/" &amp; TEXT(B1109,"0")&amp;"_06"&amp;";int_end"</f>
        <v>2/1_06;int_end</v>
      </c>
      <c r="F1118" s="53">
        <f>IF(AND(E1118=0,F1113&lt;&gt;0,SUM($E1113:E1113)=0),F$29,E1118)</f>
        <v>0</v>
      </c>
      <c r="G1118" s="53">
        <f>IF(AND(F1118=0,G1113&lt;&gt;0,SUM($E1113:F1113)=0),G$29,F1118)</f>
        <v>0</v>
      </c>
      <c r="H1118" s="53">
        <f>IF(AND(G1118=0,H1113&lt;&gt;0,SUM($E1113:G1113)=0),H$29,G1118)</f>
        <v>0</v>
      </c>
      <c r="I1118" s="53">
        <f>IF(AND(H1118=0,I1113&lt;&gt;0,SUM($E1113:H1113)=0),I$29,H1118)</f>
        <v>0</v>
      </c>
      <c r="J1118" s="53">
        <f>IF(AND(I1118=0,J1113&lt;&gt;0,SUM($E1113:I1113)=0),J$29,I1118)</f>
        <v>0</v>
      </c>
      <c r="K1118" s="53">
        <f>IF(AND(J1118=0,K1113&lt;&gt;0,SUM($E1113:J1113)=0),K$29,J1118)</f>
        <v>0</v>
      </c>
      <c r="L1118" s="53">
        <f>IF(AND(K1118=0,L1113&lt;&gt;0,SUM($E1113:K1113)=0),L$29,K1118)</f>
        <v>0</v>
      </c>
      <c r="M1118" s="53">
        <f>IF(AND(L1118=0,M1113&lt;&gt;0,SUM($E1113:L1113)=0),M$29,L1118)</f>
        <v>0</v>
      </c>
      <c r="N1118" s="53">
        <f>IF(AND(M1118=0,N1113&lt;&gt;0,SUM($E1113:M1113)=0),N$29,M1118)</f>
        <v>0</v>
      </c>
      <c r="O1118" s="53">
        <f>IF(AND(N1118=0,O1113&lt;&gt;0,SUM($E1113:N1113)=0),O$29,N1118)</f>
        <v>0</v>
      </c>
      <c r="P1118" s="53">
        <f>IF(AND(O1118=0,P1113&lt;&gt;0,SUM($E1113:O1113)=0),P$29,O1118)</f>
        <v>0</v>
      </c>
      <c r="Q1118" s="53">
        <f>IF(AND(P1118=0,Q1113&lt;&gt;0,SUM($E1113:P1113)=0),Q$29,P1118)</f>
        <v>0</v>
      </c>
      <c r="R1118" s="53">
        <f>IF(AND(Q1118=0,R1113&lt;&gt;0,SUM($E1113:Q1113)=0),R$29,Q1118)</f>
        <v>0</v>
      </c>
      <c r="S1118" s="53">
        <f>IF(AND(R1118=0,S1113&lt;&gt;0,SUM($E1113:R1113)=0),S$29,R1118)</f>
        <v>0</v>
      </c>
      <c r="T1118" s="53">
        <f>IF(AND(S1118=0,T1113&lt;&gt;0,SUM($E1113:S1113)=0),T$29,S1118)</f>
        <v>0</v>
      </c>
      <c r="U1118" s="53">
        <f>IF(AND(T1118=0,U1113&lt;&gt;0,SUM($E1113:T1113)=0),U$29,T1118)</f>
        <v>0</v>
      </c>
      <c r="V1118" s="53">
        <f>IF(AND(U1118=0,V1113&lt;&gt;0,SUM($E1113:U1113)=0),V$29,U1118)</f>
        <v>0</v>
      </c>
      <c r="W1118" s="53">
        <f>IF(AND(V1118=0,W1113&lt;&gt;0,SUM($E1113:V1113)=0),W$29,V1118)</f>
        <v>0</v>
      </c>
      <c r="X1118" s="53">
        <f>IF(AND(W1118=0,X1113&lt;&gt;0,SUM($E1113:W1113)=0),X$29,W1118)</f>
        <v>0</v>
      </c>
      <c r="Y1118" s="53">
        <f>IF(AND(X1118=0,Y1113&lt;&gt;0,SUM($E1113:X1113)=0),Y$29,X1118)</f>
        <v>0</v>
      </c>
      <c r="Z1118" s="53">
        <f>IF(AND(Y1118=0,Z1113&lt;&gt;0,SUM($E1113:Y1113)=0),Z$29,Y1118)</f>
        <v>0</v>
      </c>
      <c r="AA1118" s="53">
        <f>IF(AND(Z1118=0,AA1113&lt;&gt;0,SUM($E1113:Z1113)=0),AA$29,Z1118)</f>
        <v>0</v>
      </c>
      <c r="AB1118" s="53">
        <f>IF(AND(AA1118=0,AB1113&lt;&gt;0,SUM($E1113:AA1113)=0),AB$29,AA1118)</f>
        <v>0</v>
      </c>
      <c r="AC1118" s="53">
        <f>IF(AND(AB1118=0,AC1113&lt;&gt;0,SUM($E1113:AB1113)=0),AC$29,AB1118)</f>
        <v>0</v>
      </c>
      <c r="AD1118" s="243"/>
    </row>
    <row r="1119" spans="1:32" hidden="1" outlineLevel="2" x14ac:dyDescent="0.2">
      <c r="A1119" t="str">
        <f ca="1">Language!A$671</f>
        <v xml:space="preserve">    проценты, выплачиваемые из прибыли</v>
      </c>
      <c r="C1119" s="5" t="str">
        <f ca="1">CHOOSE(B1109,CUR_Main,CUR_Foreign)</f>
        <v>тыс. EUR</v>
      </c>
      <c r="D1119" s="16" t="str">
        <f>TEXT(B1108,"0") &amp; "/" &amp; TEXT(B1109,"0")&amp;"_07"</f>
        <v>2/1_07</v>
      </c>
      <c r="F1119" s="84">
        <f t="shared" ref="F1119:T1119" si="3355">F1117*MAX((F1110-IF($B1109=1,F$98,F$99))*PRJ_Step/360,0)</f>
        <v>0</v>
      </c>
      <c r="G1119" s="84">
        <f t="shared" si="3355"/>
        <v>0</v>
      </c>
      <c r="H1119" s="84">
        <f t="shared" si="3355"/>
        <v>0</v>
      </c>
      <c r="I1119" s="84">
        <f t="shared" si="3355"/>
        <v>0</v>
      </c>
      <c r="J1119" s="84">
        <f t="shared" si="3355"/>
        <v>0</v>
      </c>
      <c r="K1119" s="84">
        <f t="shared" si="3355"/>
        <v>0</v>
      </c>
      <c r="L1119" s="84">
        <f t="shared" si="3355"/>
        <v>0</v>
      </c>
      <c r="M1119" s="84">
        <f t="shared" si="3355"/>
        <v>0</v>
      </c>
      <c r="N1119" s="84">
        <f t="shared" si="3355"/>
        <v>0</v>
      </c>
      <c r="O1119" s="84">
        <f t="shared" si="3355"/>
        <v>0</v>
      </c>
      <c r="P1119" s="84">
        <f t="shared" si="3355"/>
        <v>0</v>
      </c>
      <c r="Q1119" s="84">
        <f t="shared" si="3355"/>
        <v>0</v>
      </c>
      <c r="R1119" s="84">
        <f t="shared" si="3355"/>
        <v>0</v>
      </c>
      <c r="S1119" s="84">
        <f t="shared" si="3355"/>
        <v>0</v>
      </c>
      <c r="T1119" s="84">
        <f t="shared" si="3355"/>
        <v>0</v>
      </c>
      <c r="U1119" s="84">
        <f t="shared" ref="U1119" si="3356">U1117*MAX((U1110-IF($B1109=1,U$98,U$99))*PRJ_Step/360,0)</f>
        <v>0</v>
      </c>
      <c r="V1119" s="84">
        <f t="shared" ref="V1119" si="3357">V1117*MAX((V1110-IF($B1109=1,V$98,V$99))*PRJ_Step/360,0)</f>
        <v>0</v>
      </c>
      <c r="W1119" s="84">
        <f t="shared" ref="W1119" si="3358">W1117*MAX((W1110-IF($B1109=1,W$98,W$99))*PRJ_Step/360,0)</f>
        <v>0</v>
      </c>
      <c r="X1119" s="84">
        <f t="shared" ref="X1119" si="3359">X1117*MAX((X1110-IF($B1109=1,X$98,X$99))*PRJ_Step/360,0)</f>
        <v>0</v>
      </c>
      <c r="Y1119" s="84">
        <f t="shared" ref="Y1119" si="3360">Y1117*MAX((Y1110-IF($B1109=1,Y$98,Y$99))*PRJ_Step/360,0)</f>
        <v>0</v>
      </c>
      <c r="Z1119" s="84">
        <f t="shared" ref="Z1119" si="3361">Z1117*MAX((Z1110-IF($B1109=1,Z$98,Z$99))*PRJ_Step/360,0)</f>
        <v>0</v>
      </c>
      <c r="AA1119" s="84">
        <f t="shared" ref="AA1119" si="3362">AA1117*MAX((AA1110-IF($B1109=1,AA$98,AA$99))*PRJ_Step/360,0)</f>
        <v>0</v>
      </c>
      <c r="AB1119" s="84">
        <f t="shared" ref="AB1119:AC1119" si="3363">AB1117*MAX((AB1110-IF($B1109=1,AB$98,AB$99))*PRJ_Step/360,0)</f>
        <v>0</v>
      </c>
      <c r="AC1119" s="84">
        <f t="shared" si="3363"/>
        <v>0</v>
      </c>
      <c r="AD1119" s="243"/>
      <c r="AE1119" s="54">
        <f>SUM(F1119:AC1119)</f>
        <v>0</v>
      </c>
    </row>
    <row r="1120" spans="1:32" hidden="1" outlineLevel="2" x14ac:dyDescent="0.2">
      <c r="A1120" t="str">
        <f ca="1">Language!A$665</f>
        <v>Начисленные проценты</v>
      </c>
      <c r="C1120" s="5" t="str">
        <f ca="1">CHOOSE(B1109,CUR_Main,CUR_Foreign)</f>
        <v>тыс. EUR</v>
      </c>
      <c r="D1120" t="str">
        <f>TEXT(B1108,"0") &amp; "/" &amp; TEXT(B1109,"0")&amp;"_02"</f>
        <v>2/1_02</v>
      </c>
      <c r="F1120" s="43">
        <f t="shared" ref="F1120:T1120" si="3364">F1117*F1110*PRJ_Step/360</f>
        <v>0</v>
      </c>
      <c r="G1120" s="43">
        <f t="shared" si="3364"/>
        <v>0</v>
      </c>
      <c r="H1120" s="43">
        <f t="shared" si="3364"/>
        <v>0</v>
      </c>
      <c r="I1120" s="43">
        <f t="shared" si="3364"/>
        <v>0</v>
      </c>
      <c r="J1120" s="43">
        <f t="shared" si="3364"/>
        <v>0</v>
      </c>
      <c r="K1120" s="43">
        <f t="shared" si="3364"/>
        <v>0</v>
      </c>
      <c r="L1120" s="43">
        <f t="shared" si="3364"/>
        <v>0</v>
      </c>
      <c r="M1120" s="43">
        <f t="shared" si="3364"/>
        <v>0</v>
      </c>
      <c r="N1120" s="43">
        <f t="shared" si="3364"/>
        <v>0</v>
      </c>
      <c r="O1120" s="43">
        <f t="shared" si="3364"/>
        <v>0</v>
      </c>
      <c r="P1120" s="43">
        <f t="shared" si="3364"/>
        <v>0</v>
      </c>
      <c r="Q1120" s="43">
        <f t="shared" si="3364"/>
        <v>0</v>
      </c>
      <c r="R1120" s="43">
        <f t="shared" si="3364"/>
        <v>0</v>
      </c>
      <c r="S1120" s="43">
        <f t="shared" si="3364"/>
        <v>0</v>
      </c>
      <c r="T1120" s="43">
        <f t="shared" si="3364"/>
        <v>0</v>
      </c>
      <c r="U1120" s="43">
        <f t="shared" ref="U1120" si="3365">U1117*U1110*PRJ_Step/360</f>
        <v>0</v>
      </c>
      <c r="V1120" s="43">
        <f t="shared" ref="V1120" si="3366">V1117*V1110*PRJ_Step/360</f>
        <v>0</v>
      </c>
      <c r="W1120" s="43">
        <f t="shared" ref="W1120" si="3367">W1117*W1110*PRJ_Step/360</f>
        <v>0</v>
      </c>
      <c r="X1120" s="43">
        <f t="shared" ref="X1120" si="3368">X1117*X1110*PRJ_Step/360</f>
        <v>0</v>
      </c>
      <c r="Y1120" s="43">
        <f t="shared" ref="Y1120" si="3369">Y1117*Y1110*PRJ_Step/360</f>
        <v>0</v>
      </c>
      <c r="Z1120" s="43">
        <f t="shared" ref="Z1120" si="3370">Z1117*Z1110*PRJ_Step/360</f>
        <v>0</v>
      </c>
      <c r="AA1120" s="43">
        <f t="shared" ref="AA1120" si="3371">AA1117*AA1110*PRJ_Step/360</f>
        <v>0</v>
      </c>
      <c r="AB1120" s="43">
        <f t="shared" ref="AB1120:AC1120" si="3372">AB1117*AB1110*PRJ_Step/360</f>
        <v>0</v>
      </c>
      <c r="AC1120" s="43">
        <f t="shared" si="3372"/>
        <v>0</v>
      </c>
      <c r="AD1120" s="243"/>
      <c r="AE1120" s="54">
        <f>SUM(F1120:AC1120)</f>
        <v>0</v>
      </c>
    </row>
    <row r="1121" spans="1:31" hidden="1" outlineLevel="1" x14ac:dyDescent="0.2">
      <c r="E1121" s="43"/>
      <c r="AD1121" s="243"/>
      <c r="AE1121" s="54"/>
    </row>
    <row r="1122" spans="1:31" hidden="1" outlineLevel="1" x14ac:dyDescent="0.2">
      <c r="A1122" s="35" t="str">
        <f ca="1">Language!A673</f>
        <v xml:space="preserve"> = Итого: Поступления от кредитов</v>
      </c>
      <c r="C1122" s="5" t="str">
        <f t="shared" ref="C1122:C1131" ca="1" si="3373">CUR_Main</f>
        <v>тыс. EUR</v>
      </c>
      <c r="E1122" s="43">
        <f>IF(D64="1_19",F64,F64*F88)</f>
        <v>0</v>
      </c>
      <c r="F1122" s="56">
        <f t="shared" ref="F1122:T1122" si="3374">SUMIF($D1098:$D1121,"*1_00*",F1098:F1121)+SUMIF($D1098:$D1121,"*2_00*",F1098:F1121)*F$88</f>
        <v>0</v>
      </c>
      <c r="G1122" s="56">
        <f t="shared" si="3374"/>
        <v>0</v>
      </c>
      <c r="H1122" s="56">
        <f t="shared" si="3374"/>
        <v>0</v>
      </c>
      <c r="I1122" s="56">
        <f t="shared" si="3374"/>
        <v>0</v>
      </c>
      <c r="J1122" s="56">
        <f t="shared" si="3374"/>
        <v>0</v>
      </c>
      <c r="K1122" s="56">
        <f t="shared" si="3374"/>
        <v>0</v>
      </c>
      <c r="L1122" s="56">
        <f t="shared" si="3374"/>
        <v>0</v>
      </c>
      <c r="M1122" s="56">
        <f t="shared" si="3374"/>
        <v>0</v>
      </c>
      <c r="N1122" s="56">
        <f t="shared" si="3374"/>
        <v>0</v>
      </c>
      <c r="O1122" s="56">
        <f t="shared" si="3374"/>
        <v>0</v>
      </c>
      <c r="P1122" s="56">
        <f t="shared" si="3374"/>
        <v>0</v>
      </c>
      <c r="Q1122" s="56">
        <f t="shared" si="3374"/>
        <v>0</v>
      </c>
      <c r="R1122" s="56">
        <f t="shared" si="3374"/>
        <v>0</v>
      </c>
      <c r="S1122" s="56">
        <f t="shared" si="3374"/>
        <v>0</v>
      </c>
      <c r="T1122" s="56">
        <f t="shared" si="3374"/>
        <v>0</v>
      </c>
      <c r="U1122" s="56">
        <f t="shared" ref="U1122" si="3375">SUMIF($D1098:$D1121,"*1_00*",U1098:U1121)+SUMIF($D1098:$D1121,"*2_00*",U1098:U1121)*U$88</f>
        <v>0</v>
      </c>
      <c r="V1122" s="56">
        <f t="shared" ref="V1122" si="3376">SUMIF($D1098:$D1121,"*1_00*",V1098:V1121)+SUMIF($D1098:$D1121,"*2_00*",V1098:V1121)*V$88</f>
        <v>0</v>
      </c>
      <c r="W1122" s="56">
        <f t="shared" ref="W1122" si="3377">SUMIF($D1098:$D1121,"*1_00*",W1098:W1121)+SUMIF($D1098:$D1121,"*2_00*",W1098:W1121)*W$88</f>
        <v>0</v>
      </c>
      <c r="X1122" s="56">
        <f t="shared" ref="X1122" si="3378">SUMIF($D1098:$D1121,"*1_00*",X1098:X1121)+SUMIF($D1098:$D1121,"*2_00*",X1098:X1121)*X$88</f>
        <v>0</v>
      </c>
      <c r="Y1122" s="56">
        <f t="shared" ref="Y1122" si="3379">SUMIF($D1098:$D1121,"*1_00*",Y1098:Y1121)+SUMIF($D1098:$D1121,"*2_00*",Y1098:Y1121)*Y$88</f>
        <v>0</v>
      </c>
      <c r="Z1122" s="56">
        <f t="shared" ref="Z1122" si="3380">SUMIF($D1098:$D1121,"*1_00*",Z1098:Z1121)+SUMIF($D1098:$D1121,"*2_00*",Z1098:Z1121)*Z$88</f>
        <v>0</v>
      </c>
      <c r="AA1122" s="56">
        <f t="shared" ref="AA1122" si="3381">SUMIF($D1098:$D1121,"*1_00*",AA1098:AA1121)+SUMIF($D1098:$D1121,"*2_00*",AA1098:AA1121)*AA$88</f>
        <v>0</v>
      </c>
      <c r="AB1122" s="56">
        <f t="shared" ref="AB1122:AC1122" si="3382">SUMIF($D1098:$D1121,"*1_00*",AB1098:AB1121)+SUMIF($D1098:$D1121,"*2_00*",AB1098:AB1121)*AB$88</f>
        <v>0</v>
      </c>
      <c r="AC1122" s="56">
        <f t="shared" si="3382"/>
        <v>0</v>
      </c>
      <c r="AD1122" s="243"/>
      <c r="AE1122" s="57">
        <f t="shared" ref="AE1122:AE1128" si="3383">SUM(F1122:AC1122)</f>
        <v>0</v>
      </c>
    </row>
    <row r="1123" spans="1:31" hidden="1" outlineLevel="1" x14ac:dyDescent="0.2">
      <c r="A1123" s="35" t="str">
        <f ca="1">Language!A674</f>
        <v xml:space="preserve"> = Итого: Погашение кредитов</v>
      </c>
      <c r="C1123" s="5" t="str">
        <f t="shared" ca="1" si="3373"/>
        <v>тыс. EUR</v>
      </c>
      <c r="F1123" s="58">
        <f t="shared" ref="F1123:T1123" si="3384">SUMIF($D1098:$D1121,"*1_01*",F1098:F1121)+SUMIF($D1098:$D1121,"*2_01*",F1098:F1121)*F$88</f>
        <v>0</v>
      </c>
      <c r="G1123" s="58">
        <f t="shared" si="3384"/>
        <v>0</v>
      </c>
      <c r="H1123" s="58">
        <f t="shared" si="3384"/>
        <v>0</v>
      </c>
      <c r="I1123" s="58">
        <f t="shared" si="3384"/>
        <v>0</v>
      </c>
      <c r="J1123" s="58">
        <f t="shared" si="3384"/>
        <v>0</v>
      </c>
      <c r="K1123" s="58">
        <f t="shared" si="3384"/>
        <v>0</v>
      </c>
      <c r="L1123" s="58">
        <f t="shared" si="3384"/>
        <v>0</v>
      </c>
      <c r="M1123" s="58">
        <f t="shared" si="3384"/>
        <v>0</v>
      </c>
      <c r="N1123" s="58">
        <f t="shared" si="3384"/>
        <v>0</v>
      </c>
      <c r="O1123" s="58">
        <f t="shared" si="3384"/>
        <v>0</v>
      </c>
      <c r="P1123" s="58">
        <f t="shared" si="3384"/>
        <v>0</v>
      </c>
      <c r="Q1123" s="58">
        <f t="shared" si="3384"/>
        <v>0</v>
      </c>
      <c r="R1123" s="58">
        <f t="shared" si="3384"/>
        <v>0</v>
      </c>
      <c r="S1123" s="58">
        <f t="shared" si="3384"/>
        <v>0</v>
      </c>
      <c r="T1123" s="58">
        <f t="shared" si="3384"/>
        <v>0</v>
      </c>
      <c r="U1123" s="58">
        <f t="shared" ref="U1123" si="3385">SUMIF($D1098:$D1121,"*1_01*",U1098:U1121)+SUMIF($D1098:$D1121,"*2_01*",U1098:U1121)*U$88</f>
        <v>0</v>
      </c>
      <c r="V1123" s="58">
        <f t="shared" ref="V1123" si="3386">SUMIF($D1098:$D1121,"*1_01*",V1098:V1121)+SUMIF($D1098:$D1121,"*2_01*",V1098:V1121)*V$88</f>
        <v>0</v>
      </c>
      <c r="W1123" s="58">
        <f t="shared" ref="W1123" si="3387">SUMIF($D1098:$D1121,"*1_01*",W1098:W1121)+SUMIF($D1098:$D1121,"*2_01*",W1098:W1121)*W$88</f>
        <v>0</v>
      </c>
      <c r="X1123" s="58">
        <f t="shared" ref="X1123" si="3388">SUMIF($D1098:$D1121,"*1_01*",X1098:X1121)+SUMIF($D1098:$D1121,"*2_01*",X1098:X1121)*X$88</f>
        <v>0</v>
      </c>
      <c r="Y1123" s="58">
        <f t="shared" ref="Y1123" si="3389">SUMIF($D1098:$D1121,"*1_01*",Y1098:Y1121)+SUMIF($D1098:$D1121,"*2_01*",Y1098:Y1121)*Y$88</f>
        <v>0</v>
      </c>
      <c r="Z1123" s="58">
        <f t="shared" ref="Z1123" si="3390">SUMIF($D1098:$D1121,"*1_01*",Z1098:Z1121)+SUMIF($D1098:$D1121,"*2_01*",Z1098:Z1121)*Z$88</f>
        <v>0</v>
      </c>
      <c r="AA1123" s="58">
        <f t="shared" ref="AA1123" si="3391">SUMIF($D1098:$D1121,"*1_01*",AA1098:AA1121)+SUMIF($D1098:$D1121,"*2_01*",AA1098:AA1121)*AA$88</f>
        <v>0</v>
      </c>
      <c r="AB1123" s="58">
        <f t="shared" ref="AB1123:AC1123" si="3392">SUMIF($D1098:$D1121,"*1_01*",AB1098:AB1121)+SUMIF($D1098:$D1121,"*2_01*",AB1098:AB1121)*AB$88</f>
        <v>0</v>
      </c>
      <c r="AC1123" s="58">
        <f t="shared" si="3392"/>
        <v>0</v>
      </c>
      <c r="AD1123" s="243"/>
      <c r="AE1123" s="57">
        <f t="shared" si="3383"/>
        <v>0</v>
      </c>
    </row>
    <row r="1124" spans="1:31" hidden="1" outlineLevel="1" collapsed="1" x14ac:dyDescent="0.2">
      <c r="A1124" s="35" t="str">
        <f ca="1">Language!A676</f>
        <v xml:space="preserve"> = Итого: Выплата процентов</v>
      </c>
      <c r="C1124" s="5" t="str">
        <f t="shared" ca="1" si="3373"/>
        <v>тыс. EUR</v>
      </c>
      <c r="F1124" s="58">
        <f t="shared" ref="F1124:T1124" si="3393">SUMIF($D1098:$D1121,"*1_03*",F1098:F1121)+SUMIF($D1098:$D1121,"*2_03*",F1098:F1121)*F$88</f>
        <v>0</v>
      </c>
      <c r="G1124" s="58">
        <f t="shared" si="3393"/>
        <v>0</v>
      </c>
      <c r="H1124" s="58">
        <f t="shared" si="3393"/>
        <v>0</v>
      </c>
      <c r="I1124" s="58">
        <f t="shared" si="3393"/>
        <v>0</v>
      </c>
      <c r="J1124" s="58">
        <f t="shared" si="3393"/>
        <v>0</v>
      </c>
      <c r="K1124" s="58">
        <f t="shared" si="3393"/>
        <v>0</v>
      </c>
      <c r="L1124" s="58">
        <f t="shared" si="3393"/>
        <v>0</v>
      </c>
      <c r="M1124" s="58">
        <f t="shared" si="3393"/>
        <v>0</v>
      </c>
      <c r="N1124" s="58">
        <f t="shared" si="3393"/>
        <v>0</v>
      </c>
      <c r="O1124" s="58">
        <f t="shared" si="3393"/>
        <v>0</v>
      </c>
      <c r="P1124" s="58">
        <f t="shared" si="3393"/>
        <v>0</v>
      </c>
      <c r="Q1124" s="58">
        <f t="shared" si="3393"/>
        <v>0</v>
      </c>
      <c r="R1124" s="58">
        <f t="shared" si="3393"/>
        <v>0</v>
      </c>
      <c r="S1124" s="58">
        <f t="shared" si="3393"/>
        <v>0</v>
      </c>
      <c r="T1124" s="58">
        <f t="shared" si="3393"/>
        <v>0</v>
      </c>
      <c r="U1124" s="58">
        <f t="shared" ref="U1124" si="3394">SUMIF($D1098:$D1121,"*1_03*",U1098:U1121)+SUMIF($D1098:$D1121,"*2_03*",U1098:U1121)*U$88</f>
        <v>0</v>
      </c>
      <c r="V1124" s="58">
        <f t="shared" ref="V1124" si="3395">SUMIF($D1098:$D1121,"*1_03*",V1098:V1121)+SUMIF($D1098:$D1121,"*2_03*",V1098:V1121)*V$88</f>
        <v>0</v>
      </c>
      <c r="W1124" s="58">
        <f t="shared" ref="W1124" si="3396">SUMIF($D1098:$D1121,"*1_03*",W1098:W1121)+SUMIF($D1098:$D1121,"*2_03*",W1098:W1121)*W$88</f>
        <v>0</v>
      </c>
      <c r="X1124" s="58">
        <f t="shared" ref="X1124" si="3397">SUMIF($D1098:$D1121,"*1_03*",X1098:X1121)+SUMIF($D1098:$D1121,"*2_03*",X1098:X1121)*X$88</f>
        <v>0</v>
      </c>
      <c r="Y1124" s="58">
        <f t="shared" ref="Y1124" si="3398">SUMIF($D1098:$D1121,"*1_03*",Y1098:Y1121)+SUMIF($D1098:$D1121,"*2_03*",Y1098:Y1121)*Y$88</f>
        <v>0</v>
      </c>
      <c r="Z1124" s="58">
        <f t="shared" ref="Z1124" si="3399">SUMIF($D1098:$D1121,"*1_03*",Z1098:Z1121)+SUMIF($D1098:$D1121,"*2_03*",Z1098:Z1121)*Z$88</f>
        <v>0</v>
      </c>
      <c r="AA1124" s="58">
        <f t="shared" ref="AA1124" si="3400">SUMIF($D1098:$D1121,"*1_03*",AA1098:AA1121)+SUMIF($D1098:$D1121,"*2_03*",AA1098:AA1121)*AA$88</f>
        <v>0</v>
      </c>
      <c r="AB1124" s="58">
        <f t="shared" ref="AB1124:AC1124" si="3401">SUMIF($D1098:$D1121,"*1_03*",AB1098:AB1121)+SUMIF($D1098:$D1121,"*2_03*",AB1098:AB1121)*AB$88</f>
        <v>0</v>
      </c>
      <c r="AC1124" s="58">
        <f t="shared" si="3401"/>
        <v>0</v>
      </c>
      <c r="AD1124" s="243"/>
      <c r="AE1124" s="57">
        <f t="shared" si="3383"/>
        <v>0</v>
      </c>
    </row>
    <row r="1125" spans="1:31" hidden="1" outlineLevel="2" x14ac:dyDescent="0.2">
      <c r="A1125" t="str">
        <f ca="1">Language!A671</f>
        <v xml:space="preserve">    проценты, выплачиваемые из прибыли</v>
      </c>
      <c r="C1125" s="5" t="str">
        <f t="shared" ca="1" si="3373"/>
        <v>тыс. EUR</v>
      </c>
      <c r="F1125" s="108">
        <f t="shared" ref="F1125:T1125" si="3402">SUMIF($D1098:$D1121,"*1_07*",F1098:F1121)+SUMIF($D1098:$D1121,"*2_07*",F1098:F1121)*F$88</f>
        <v>0</v>
      </c>
      <c r="G1125" s="108">
        <f t="shared" si="3402"/>
        <v>0</v>
      </c>
      <c r="H1125" s="108">
        <f t="shared" si="3402"/>
        <v>0</v>
      </c>
      <c r="I1125" s="108">
        <f t="shared" si="3402"/>
        <v>0</v>
      </c>
      <c r="J1125" s="108">
        <f t="shared" si="3402"/>
        <v>0</v>
      </c>
      <c r="K1125" s="108">
        <f t="shared" si="3402"/>
        <v>0</v>
      </c>
      <c r="L1125" s="108">
        <f t="shared" si="3402"/>
        <v>0</v>
      </c>
      <c r="M1125" s="108">
        <f t="shared" si="3402"/>
        <v>0</v>
      </c>
      <c r="N1125" s="108">
        <f t="shared" si="3402"/>
        <v>0</v>
      </c>
      <c r="O1125" s="108">
        <f t="shared" si="3402"/>
        <v>0</v>
      </c>
      <c r="P1125" s="108">
        <f t="shared" si="3402"/>
        <v>0</v>
      </c>
      <c r="Q1125" s="108">
        <f t="shared" si="3402"/>
        <v>0</v>
      </c>
      <c r="R1125" s="108">
        <f t="shared" si="3402"/>
        <v>0</v>
      </c>
      <c r="S1125" s="108">
        <f t="shared" si="3402"/>
        <v>0</v>
      </c>
      <c r="T1125" s="108">
        <f t="shared" si="3402"/>
        <v>0</v>
      </c>
      <c r="U1125" s="108">
        <f t="shared" ref="U1125" si="3403">SUMIF($D1098:$D1121,"*1_07*",U1098:U1121)+SUMIF($D1098:$D1121,"*2_07*",U1098:U1121)*U$88</f>
        <v>0</v>
      </c>
      <c r="V1125" s="108">
        <f t="shared" ref="V1125" si="3404">SUMIF($D1098:$D1121,"*1_07*",V1098:V1121)+SUMIF($D1098:$D1121,"*2_07*",V1098:V1121)*V$88</f>
        <v>0</v>
      </c>
      <c r="W1125" s="108">
        <f t="shared" ref="W1125" si="3405">SUMIF($D1098:$D1121,"*1_07*",W1098:W1121)+SUMIF($D1098:$D1121,"*2_07*",W1098:W1121)*W$88</f>
        <v>0</v>
      </c>
      <c r="X1125" s="108">
        <f t="shared" ref="X1125" si="3406">SUMIF($D1098:$D1121,"*1_07*",X1098:X1121)+SUMIF($D1098:$D1121,"*2_07*",X1098:X1121)*X$88</f>
        <v>0</v>
      </c>
      <c r="Y1125" s="108">
        <f t="shared" ref="Y1125" si="3407">SUMIF($D1098:$D1121,"*1_07*",Y1098:Y1121)+SUMIF($D1098:$D1121,"*2_07*",Y1098:Y1121)*Y$88</f>
        <v>0</v>
      </c>
      <c r="Z1125" s="108">
        <f t="shared" ref="Z1125" si="3408">SUMIF($D1098:$D1121,"*1_07*",Z1098:Z1121)+SUMIF($D1098:$D1121,"*2_07*",Z1098:Z1121)*Z$88</f>
        <v>0</v>
      </c>
      <c r="AA1125" s="108">
        <f t="shared" ref="AA1125" si="3409">SUMIF($D1098:$D1121,"*1_07*",AA1098:AA1121)+SUMIF($D1098:$D1121,"*2_07*",AA1098:AA1121)*AA$88</f>
        <v>0</v>
      </c>
      <c r="AB1125" s="108">
        <f t="shared" ref="AB1125:AC1125" si="3410">SUMIF($D1098:$D1121,"*1_07*",AB1098:AB1121)+SUMIF($D1098:$D1121,"*2_07*",AB1098:AB1121)*AB$88</f>
        <v>0</v>
      </c>
      <c r="AC1125" s="108">
        <f t="shared" si="3410"/>
        <v>0</v>
      </c>
      <c r="AD1125" s="243"/>
      <c r="AE1125" s="54">
        <f t="shared" si="3383"/>
        <v>0</v>
      </c>
    </row>
    <row r="1126" spans="1:31" hidden="1" outlineLevel="2" x14ac:dyDescent="0.2">
      <c r="A1126" s="35" t="str">
        <f ca="1">Language!A675</f>
        <v xml:space="preserve"> = Итого: Начисление процентов</v>
      </c>
      <c r="C1126" s="5" t="str">
        <f ca="1">CUR_Main</f>
        <v>тыс. EUR</v>
      </c>
      <c r="F1126" s="58">
        <f t="shared" ref="F1126:T1126" si="3411">SUMIF($D1098:$D1121,"*1_02*",F1098:F1121)+SUMIF($D1098:$D1121,"*2_02*",F1098:F1121)*F$88</f>
        <v>0</v>
      </c>
      <c r="G1126" s="58">
        <f t="shared" si="3411"/>
        <v>0</v>
      </c>
      <c r="H1126" s="58">
        <f t="shared" si="3411"/>
        <v>0</v>
      </c>
      <c r="I1126" s="58">
        <f t="shared" si="3411"/>
        <v>0</v>
      </c>
      <c r="J1126" s="58">
        <f t="shared" si="3411"/>
        <v>0</v>
      </c>
      <c r="K1126" s="58">
        <f t="shared" si="3411"/>
        <v>0</v>
      </c>
      <c r="L1126" s="58">
        <f t="shared" si="3411"/>
        <v>0</v>
      </c>
      <c r="M1126" s="58">
        <f t="shared" si="3411"/>
        <v>0</v>
      </c>
      <c r="N1126" s="58">
        <f t="shared" si="3411"/>
        <v>0</v>
      </c>
      <c r="O1126" s="58">
        <f t="shared" si="3411"/>
        <v>0</v>
      </c>
      <c r="P1126" s="58">
        <f t="shared" si="3411"/>
        <v>0</v>
      </c>
      <c r="Q1126" s="58">
        <f t="shared" si="3411"/>
        <v>0</v>
      </c>
      <c r="R1126" s="58">
        <f t="shared" si="3411"/>
        <v>0</v>
      </c>
      <c r="S1126" s="58">
        <f t="shared" si="3411"/>
        <v>0</v>
      </c>
      <c r="T1126" s="58">
        <f t="shared" si="3411"/>
        <v>0</v>
      </c>
      <c r="U1126" s="58">
        <f t="shared" ref="U1126" si="3412">SUMIF($D1098:$D1121,"*1_02*",U1098:U1121)+SUMIF($D1098:$D1121,"*2_02*",U1098:U1121)*U$88</f>
        <v>0</v>
      </c>
      <c r="V1126" s="58">
        <f t="shared" ref="V1126" si="3413">SUMIF($D1098:$D1121,"*1_02*",V1098:V1121)+SUMIF($D1098:$D1121,"*2_02*",V1098:V1121)*V$88</f>
        <v>0</v>
      </c>
      <c r="W1126" s="58">
        <f t="shared" ref="W1126" si="3414">SUMIF($D1098:$D1121,"*1_02*",W1098:W1121)+SUMIF($D1098:$D1121,"*2_02*",W1098:W1121)*W$88</f>
        <v>0</v>
      </c>
      <c r="X1126" s="58">
        <f t="shared" ref="X1126" si="3415">SUMIF($D1098:$D1121,"*1_02*",X1098:X1121)+SUMIF($D1098:$D1121,"*2_02*",X1098:X1121)*X$88</f>
        <v>0</v>
      </c>
      <c r="Y1126" s="58">
        <f t="shared" ref="Y1126" si="3416">SUMIF($D1098:$D1121,"*1_02*",Y1098:Y1121)+SUMIF($D1098:$D1121,"*2_02*",Y1098:Y1121)*Y$88</f>
        <v>0</v>
      </c>
      <c r="Z1126" s="58">
        <f t="shared" ref="Z1126" si="3417">SUMIF($D1098:$D1121,"*1_02*",Z1098:Z1121)+SUMIF($D1098:$D1121,"*2_02*",Z1098:Z1121)*Z$88</f>
        <v>0</v>
      </c>
      <c r="AA1126" s="58">
        <f t="shared" ref="AA1126" si="3418">SUMIF($D1098:$D1121,"*1_02*",AA1098:AA1121)+SUMIF($D1098:$D1121,"*2_02*",AA1098:AA1121)*AA$88</f>
        <v>0</v>
      </c>
      <c r="AB1126" s="58">
        <f t="shared" ref="AB1126:AC1126" si="3419">SUMIF($D1098:$D1121,"*1_02*",AB1098:AB1121)+SUMIF($D1098:$D1121,"*2_02*",AB1098:AB1121)*AB$88</f>
        <v>0</v>
      </c>
      <c r="AC1126" s="58">
        <f t="shared" si="3419"/>
        <v>0</v>
      </c>
      <c r="AD1126" s="243"/>
      <c r="AE1126" s="57">
        <f t="shared" si="3383"/>
        <v>0</v>
      </c>
    </row>
    <row r="1127" spans="1:31" hidden="1" outlineLevel="2" x14ac:dyDescent="0.2">
      <c r="A1127" s="24" t="str">
        <f ca="1">Language!A$188</f>
        <v xml:space="preserve">         то же, в итоговой валюте</v>
      </c>
      <c r="B1127" s="19"/>
      <c r="C1127" s="5" t="str">
        <f ca="1">CUR_Report</f>
        <v>тыс. EUR</v>
      </c>
      <c r="F1127" s="53">
        <f t="shared" ref="F1127:T1127" si="3420">F1126/IF(CUR_I_Report=2,F$88,1)</f>
        <v>0</v>
      </c>
      <c r="G1127" s="53">
        <f t="shared" si="3420"/>
        <v>0</v>
      </c>
      <c r="H1127" s="53">
        <f t="shared" si="3420"/>
        <v>0</v>
      </c>
      <c r="I1127" s="53">
        <f t="shared" si="3420"/>
        <v>0</v>
      </c>
      <c r="J1127" s="53">
        <f t="shared" si="3420"/>
        <v>0</v>
      </c>
      <c r="K1127" s="53">
        <f t="shared" si="3420"/>
        <v>0</v>
      </c>
      <c r="L1127" s="53">
        <f t="shared" si="3420"/>
        <v>0</v>
      </c>
      <c r="M1127" s="53">
        <f t="shared" si="3420"/>
        <v>0</v>
      </c>
      <c r="N1127" s="53">
        <f t="shared" si="3420"/>
        <v>0</v>
      </c>
      <c r="O1127" s="53">
        <f t="shared" si="3420"/>
        <v>0</v>
      </c>
      <c r="P1127" s="53">
        <f t="shared" si="3420"/>
        <v>0</v>
      </c>
      <c r="Q1127" s="53">
        <f t="shared" si="3420"/>
        <v>0</v>
      </c>
      <c r="R1127" s="53">
        <f t="shared" si="3420"/>
        <v>0</v>
      </c>
      <c r="S1127" s="53">
        <f t="shared" si="3420"/>
        <v>0</v>
      </c>
      <c r="T1127" s="53">
        <f t="shared" si="3420"/>
        <v>0</v>
      </c>
      <c r="U1127" s="53">
        <f t="shared" ref="U1127" si="3421">U1126/IF(CUR_I_Report=2,U$88,1)</f>
        <v>0</v>
      </c>
      <c r="V1127" s="53">
        <f t="shared" ref="V1127" si="3422">V1126/IF(CUR_I_Report=2,V$88,1)</f>
        <v>0</v>
      </c>
      <c r="W1127" s="53">
        <f t="shared" ref="W1127" si="3423">W1126/IF(CUR_I_Report=2,W$88,1)</f>
        <v>0</v>
      </c>
      <c r="X1127" s="53">
        <f t="shared" ref="X1127" si="3424">X1126/IF(CUR_I_Report=2,X$88,1)</f>
        <v>0</v>
      </c>
      <c r="Y1127" s="53">
        <f t="shared" ref="Y1127" si="3425">Y1126/IF(CUR_I_Report=2,Y$88,1)</f>
        <v>0</v>
      </c>
      <c r="Z1127" s="53">
        <f t="shared" ref="Z1127" si="3426">Z1126/IF(CUR_I_Report=2,Z$88,1)</f>
        <v>0</v>
      </c>
      <c r="AA1127" s="53">
        <f t="shared" ref="AA1127" si="3427">AA1126/IF(CUR_I_Report=2,AA$88,1)</f>
        <v>0</v>
      </c>
      <c r="AB1127" s="53">
        <f t="shared" ref="AB1127:AC1127" si="3428">AB1126/IF(CUR_I_Report=2,AB$88,1)</f>
        <v>0</v>
      </c>
      <c r="AC1127" s="53">
        <f t="shared" si="3428"/>
        <v>0</v>
      </c>
      <c r="AD1127" s="243"/>
      <c r="AE1127" s="57"/>
    </row>
    <row r="1128" spans="1:31" hidden="1" outlineLevel="2" x14ac:dyDescent="0.2">
      <c r="A1128" s="23" t="str">
        <f ca="1">Language!A690</f>
        <v xml:space="preserve">    проценты по новым инвестиционным кредитам</v>
      </c>
      <c r="C1128" s="5" t="str">
        <f ca="1">CUR_Main</f>
        <v>тыс. EUR</v>
      </c>
      <c r="F1128" s="108">
        <f t="shared" ref="F1128:T1128" si="3429">SUMIF($D1106:$D1121,"*2/1_02*",F1106:F1121)+SUMIF($D1106:$D1121,"*2/2_02*",F1106:F1121)*F$88+SUMIF($D1106:$D1121,"*3/1_02*",F1106:F1121)+SUMIF($D1106:$D1121,"*3/2_02*",F1106:F1121)*F$88+SUMIF($D1106:$D1121,"*4/1_02*",F1106:F1121)+SUMIF($D1106:$D1121,"*4/2_02*",F1106:F1121)*F$88</f>
        <v>0</v>
      </c>
      <c r="G1128" s="108">
        <f t="shared" si="3429"/>
        <v>0</v>
      </c>
      <c r="H1128" s="108">
        <f t="shared" si="3429"/>
        <v>0</v>
      </c>
      <c r="I1128" s="108">
        <f t="shared" si="3429"/>
        <v>0</v>
      </c>
      <c r="J1128" s="108">
        <f t="shared" si="3429"/>
        <v>0</v>
      </c>
      <c r="K1128" s="108">
        <f t="shared" si="3429"/>
        <v>0</v>
      </c>
      <c r="L1128" s="108">
        <f t="shared" si="3429"/>
        <v>0</v>
      </c>
      <c r="M1128" s="108">
        <f t="shared" si="3429"/>
        <v>0</v>
      </c>
      <c r="N1128" s="108">
        <f t="shared" si="3429"/>
        <v>0</v>
      </c>
      <c r="O1128" s="108">
        <f t="shared" si="3429"/>
        <v>0</v>
      </c>
      <c r="P1128" s="108">
        <f t="shared" si="3429"/>
        <v>0</v>
      </c>
      <c r="Q1128" s="108">
        <f t="shared" si="3429"/>
        <v>0</v>
      </c>
      <c r="R1128" s="108">
        <f t="shared" si="3429"/>
        <v>0</v>
      </c>
      <c r="S1128" s="108">
        <f t="shared" si="3429"/>
        <v>0</v>
      </c>
      <c r="T1128" s="108">
        <f t="shared" si="3429"/>
        <v>0</v>
      </c>
      <c r="U1128" s="108">
        <f t="shared" ref="U1128" si="3430">SUMIF($D1106:$D1121,"*2/1_02*",U1106:U1121)+SUMIF($D1106:$D1121,"*2/2_02*",U1106:U1121)*U$88+SUMIF($D1106:$D1121,"*3/1_02*",U1106:U1121)+SUMIF($D1106:$D1121,"*3/2_02*",U1106:U1121)*U$88+SUMIF($D1106:$D1121,"*4/1_02*",U1106:U1121)+SUMIF($D1106:$D1121,"*4/2_02*",U1106:U1121)*U$88</f>
        <v>0</v>
      </c>
      <c r="V1128" s="108">
        <f t="shared" ref="V1128" si="3431">SUMIF($D1106:$D1121,"*2/1_02*",V1106:V1121)+SUMIF($D1106:$D1121,"*2/2_02*",V1106:V1121)*V$88+SUMIF($D1106:$D1121,"*3/1_02*",V1106:V1121)+SUMIF($D1106:$D1121,"*3/2_02*",V1106:V1121)*V$88+SUMIF($D1106:$D1121,"*4/1_02*",V1106:V1121)+SUMIF($D1106:$D1121,"*4/2_02*",V1106:V1121)*V$88</f>
        <v>0</v>
      </c>
      <c r="W1128" s="108">
        <f t="shared" ref="W1128" si="3432">SUMIF($D1106:$D1121,"*2/1_02*",W1106:W1121)+SUMIF($D1106:$D1121,"*2/2_02*",W1106:W1121)*W$88+SUMIF($D1106:$D1121,"*3/1_02*",W1106:W1121)+SUMIF($D1106:$D1121,"*3/2_02*",W1106:W1121)*W$88+SUMIF($D1106:$D1121,"*4/1_02*",W1106:W1121)+SUMIF($D1106:$D1121,"*4/2_02*",W1106:W1121)*W$88</f>
        <v>0</v>
      </c>
      <c r="X1128" s="108">
        <f t="shared" ref="X1128" si="3433">SUMIF($D1106:$D1121,"*2/1_02*",X1106:X1121)+SUMIF($D1106:$D1121,"*2/2_02*",X1106:X1121)*X$88+SUMIF($D1106:$D1121,"*3/1_02*",X1106:X1121)+SUMIF($D1106:$D1121,"*3/2_02*",X1106:X1121)*X$88+SUMIF($D1106:$D1121,"*4/1_02*",X1106:X1121)+SUMIF($D1106:$D1121,"*4/2_02*",X1106:X1121)*X$88</f>
        <v>0</v>
      </c>
      <c r="Y1128" s="108">
        <f t="shared" ref="Y1128" si="3434">SUMIF($D1106:$D1121,"*2/1_02*",Y1106:Y1121)+SUMIF($D1106:$D1121,"*2/2_02*",Y1106:Y1121)*Y$88+SUMIF($D1106:$D1121,"*3/1_02*",Y1106:Y1121)+SUMIF($D1106:$D1121,"*3/2_02*",Y1106:Y1121)*Y$88+SUMIF($D1106:$D1121,"*4/1_02*",Y1106:Y1121)+SUMIF($D1106:$D1121,"*4/2_02*",Y1106:Y1121)*Y$88</f>
        <v>0</v>
      </c>
      <c r="Z1128" s="108">
        <f t="shared" ref="Z1128" si="3435">SUMIF($D1106:$D1121,"*2/1_02*",Z1106:Z1121)+SUMIF($D1106:$D1121,"*2/2_02*",Z1106:Z1121)*Z$88+SUMIF($D1106:$D1121,"*3/1_02*",Z1106:Z1121)+SUMIF($D1106:$D1121,"*3/2_02*",Z1106:Z1121)*Z$88+SUMIF($D1106:$D1121,"*4/1_02*",Z1106:Z1121)+SUMIF($D1106:$D1121,"*4/2_02*",Z1106:Z1121)*Z$88</f>
        <v>0</v>
      </c>
      <c r="AA1128" s="108">
        <f t="shared" ref="AA1128" si="3436">SUMIF($D1106:$D1121,"*2/1_02*",AA1106:AA1121)+SUMIF($D1106:$D1121,"*2/2_02*",AA1106:AA1121)*AA$88+SUMIF($D1106:$D1121,"*3/1_02*",AA1106:AA1121)+SUMIF($D1106:$D1121,"*3/2_02*",AA1106:AA1121)*AA$88+SUMIF($D1106:$D1121,"*4/1_02*",AA1106:AA1121)+SUMIF($D1106:$D1121,"*4/2_02*",AA1106:AA1121)*AA$88</f>
        <v>0</v>
      </c>
      <c r="AB1128" s="108">
        <f t="shared" ref="AB1128:AC1128" si="3437">SUMIF($D1106:$D1121,"*2/1_02*",AB1106:AB1121)+SUMIF($D1106:$D1121,"*2/2_02*",AB1106:AB1121)*AB$88+SUMIF($D1106:$D1121,"*3/1_02*",AB1106:AB1121)+SUMIF($D1106:$D1121,"*3/2_02*",AB1106:AB1121)*AB$88+SUMIF($D1106:$D1121,"*4/1_02*",AB1106:AB1121)+SUMIF($D1106:$D1121,"*4/2_02*",AB1106:AB1121)*AB$88</f>
        <v>0</v>
      </c>
      <c r="AC1128" s="108">
        <f t="shared" si="3437"/>
        <v>0</v>
      </c>
      <c r="AD1128" s="243"/>
      <c r="AE1128" s="54">
        <f t="shared" si="3383"/>
        <v>0</v>
      </c>
    </row>
    <row r="1129" spans="1:31" hidden="1" outlineLevel="1" collapsed="1" x14ac:dyDescent="0.2">
      <c r="A1129" s="35" t="str">
        <f ca="1">Language!A678</f>
        <v xml:space="preserve"> = Итого: Задолженность по кредитам</v>
      </c>
      <c r="C1129" s="5" t="str">
        <f t="shared" ca="1" si="3373"/>
        <v>тыс. EUR</v>
      </c>
      <c r="D1129" s="16" t="s">
        <v>2594</v>
      </c>
      <c r="E1129" s="43">
        <f>E1122</f>
        <v>0</v>
      </c>
      <c r="F1129" s="58">
        <f t="shared" ref="F1129:T1129" si="3438">SUMIF($D1098:$D1121,"*1_04*",F1098:F1121)+SUMIF($D1098:$D1121,"*2_04*",F1098:F1121)*F$88</f>
        <v>0</v>
      </c>
      <c r="G1129" s="58">
        <f t="shared" si="3438"/>
        <v>0</v>
      </c>
      <c r="H1129" s="58">
        <f t="shared" si="3438"/>
        <v>0</v>
      </c>
      <c r="I1129" s="58">
        <f t="shared" si="3438"/>
        <v>0</v>
      </c>
      <c r="J1129" s="58">
        <f t="shared" si="3438"/>
        <v>0</v>
      </c>
      <c r="K1129" s="58">
        <f t="shared" si="3438"/>
        <v>0</v>
      </c>
      <c r="L1129" s="58">
        <f t="shared" si="3438"/>
        <v>0</v>
      </c>
      <c r="M1129" s="58">
        <f t="shared" si="3438"/>
        <v>0</v>
      </c>
      <c r="N1129" s="58">
        <f t="shared" si="3438"/>
        <v>0</v>
      </c>
      <c r="O1129" s="58">
        <f t="shared" si="3438"/>
        <v>0</v>
      </c>
      <c r="P1129" s="58">
        <f t="shared" si="3438"/>
        <v>0</v>
      </c>
      <c r="Q1129" s="58">
        <f t="shared" si="3438"/>
        <v>0</v>
      </c>
      <c r="R1129" s="58">
        <f t="shared" si="3438"/>
        <v>0</v>
      </c>
      <c r="S1129" s="58">
        <f t="shared" si="3438"/>
        <v>0</v>
      </c>
      <c r="T1129" s="58">
        <f t="shared" si="3438"/>
        <v>0</v>
      </c>
      <c r="U1129" s="58">
        <f t="shared" ref="U1129" si="3439">SUMIF($D1098:$D1121,"*1_04*",U1098:U1121)+SUMIF($D1098:$D1121,"*2_04*",U1098:U1121)*U$88</f>
        <v>0</v>
      </c>
      <c r="V1129" s="58">
        <f t="shared" ref="V1129" si="3440">SUMIF($D1098:$D1121,"*1_04*",V1098:V1121)+SUMIF($D1098:$D1121,"*2_04*",V1098:V1121)*V$88</f>
        <v>0</v>
      </c>
      <c r="W1129" s="58">
        <f t="shared" ref="W1129" si="3441">SUMIF($D1098:$D1121,"*1_04*",W1098:W1121)+SUMIF($D1098:$D1121,"*2_04*",W1098:W1121)*W$88</f>
        <v>0</v>
      </c>
      <c r="X1129" s="58">
        <f t="shared" ref="X1129" si="3442">SUMIF($D1098:$D1121,"*1_04*",X1098:X1121)+SUMIF($D1098:$D1121,"*2_04*",X1098:X1121)*X$88</f>
        <v>0</v>
      </c>
      <c r="Y1129" s="58">
        <f t="shared" ref="Y1129" si="3443">SUMIF($D1098:$D1121,"*1_04*",Y1098:Y1121)+SUMIF($D1098:$D1121,"*2_04*",Y1098:Y1121)*Y$88</f>
        <v>0</v>
      </c>
      <c r="Z1129" s="58">
        <f t="shared" ref="Z1129" si="3444">SUMIF($D1098:$D1121,"*1_04*",Z1098:Z1121)+SUMIF($D1098:$D1121,"*2_04*",Z1098:Z1121)*Z$88</f>
        <v>0</v>
      </c>
      <c r="AA1129" s="58">
        <f t="shared" ref="AA1129" si="3445">SUMIF($D1098:$D1121,"*1_04*",AA1098:AA1121)+SUMIF($D1098:$D1121,"*2_04*",AA1098:AA1121)*AA$88</f>
        <v>0</v>
      </c>
      <c r="AB1129" s="58">
        <f t="shared" ref="AB1129:AC1129" si="3446">SUMIF($D1098:$D1121,"*1_04*",AB1098:AB1121)+SUMIF($D1098:$D1121,"*2_04*",AB1098:AB1121)*AB$88</f>
        <v>0</v>
      </c>
      <c r="AC1129" s="58">
        <f t="shared" si="3446"/>
        <v>0</v>
      </c>
      <c r="AD1129" s="244">
        <f>SUMIF($D1098:$D1121,"*1_04*",AD1098:AD1121)+SUMIF($D1098:$D1121,"*2_04*",AD1098:AD1121)*AC$88</f>
        <v>0</v>
      </c>
      <c r="AE1129" s="57"/>
    </row>
    <row r="1130" spans="1:31" hidden="1" outlineLevel="2" x14ac:dyDescent="0.2">
      <c r="A1130" t="str">
        <f ca="1">Language!A679</f>
        <v xml:space="preserve">    задолженность по кредитам на оборотный капитал</v>
      </c>
      <c r="C1130" s="5" t="str">
        <f t="shared" ca="1" si="3373"/>
        <v>тыс. EUR</v>
      </c>
      <c r="D1130" s="16" t="s">
        <v>2594</v>
      </c>
      <c r="F1130" s="53">
        <f t="shared" ref="F1130:T1130" si="3447">SUMIF($D1098:$D1121,"*1/1_04*",F1098:F1121)+SUMIF($D1098:$D1121,"*1/2_04*",F1098:F1121)*F$88</f>
        <v>0</v>
      </c>
      <c r="G1130" s="53">
        <f t="shared" si="3447"/>
        <v>0</v>
      </c>
      <c r="H1130" s="53">
        <f t="shared" si="3447"/>
        <v>0</v>
      </c>
      <c r="I1130" s="53">
        <f t="shared" si="3447"/>
        <v>0</v>
      </c>
      <c r="J1130" s="53">
        <f t="shared" si="3447"/>
        <v>0</v>
      </c>
      <c r="K1130" s="53">
        <f t="shared" si="3447"/>
        <v>0</v>
      </c>
      <c r="L1130" s="53">
        <f t="shared" si="3447"/>
        <v>0</v>
      </c>
      <c r="M1130" s="53">
        <f t="shared" si="3447"/>
        <v>0</v>
      </c>
      <c r="N1130" s="53">
        <f t="shared" si="3447"/>
        <v>0</v>
      </c>
      <c r="O1130" s="53">
        <f t="shared" si="3447"/>
        <v>0</v>
      </c>
      <c r="P1130" s="53">
        <f t="shared" si="3447"/>
        <v>0</v>
      </c>
      <c r="Q1130" s="53">
        <f t="shared" si="3447"/>
        <v>0</v>
      </c>
      <c r="R1130" s="53">
        <f t="shared" si="3447"/>
        <v>0</v>
      </c>
      <c r="S1130" s="53">
        <f t="shared" si="3447"/>
        <v>0</v>
      </c>
      <c r="T1130" s="53">
        <f t="shared" si="3447"/>
        <v>0</v>
      </c>
      <c r="U1130" s="53">
        <f t="shared" ref="U1130" si="3448">SUMIF($D1098:$D1121,"*1/1_04*",U1098:U1121)+SUMIF($D1098:$D1121,"*1/2_04*",U1098:U1121)*U$88</f>
        <v>0</v>
      </c>
      <c r="V1130" s="53">
        <f t="shared" ref="V1130" si="3449">SUMIF($D1098:$D1121,"*1/1_04*",V1098:V1121)+SUMIF($D1098:$D1121,"*1/2_04*",V1098:V1121)*V$88</f>
        <v>0</v>
      </c>
      <c r="W1130" s="53">
        <f t="shared" ref="W1130" si="3450">SUMIF($D1098:$D1121,"*1/1_04*",W1098:W1121)+SUMIF($D1098:$D1121,"*1/2_04*",W1098:W1121)*W$88</f>
        <v>0</v>
      </c>
      <c r="X1130" s="53">
        <f t="shared" ref="X1130" si="3451">SUMIF($D1098:$D1121,"*1/1_04*",X1098:X1121)+SUMIF($D1098:$D1121,"*1/2_04*",X1098:X1121)*X$88</f>
        <v>0</v>
      </c>
      <c r="Y1130" s="53">
        <f t="shared" ref="Y1130" si="3452">SUMIF($D1098:$D1121,"*1/1_04*",Y1098:Y1121)+SUMIF($D1098:$D1121,"*1/2_04*",Y1098:Y1121)*Y$88</f>
        <v>0</v>
      </c>
      <c r="Z1130" s="53">
        <f t="shared" ref="Z1130" si="3453">SUMIF($D1098:$D1121,"*1/1_04*",Z1098:Z1121)+SUMIF($D1098:$D1121,"*1/2_04*",Z1098:Z1121)*Z$88</f>
        <v>0</v>
      </c>
      <c r="AA1130" s="53">
        <f t="shared" ref="AA1130" si="3454">SUMIF($D1098:$D1121,"*1/1_04*",AA1098:AA1121)+SUMIF($D1098:$D1121,"*1/2_04*",AA1098:AA1121)*AA$88</f>
        <v>0</v>
      </c>
      <c r="AB1130" s="53">
        <f t="shared" ref="AB1130:AC1130" si="3455">SUMIF($D1098:$D1121,"*1/1_04*",AB1098:AB1121)+SUMIF($D1098:$D1121,"*1/2_04*",AB1098:AB1121)*AB$88</f>
        <v>0</v>
      </c>
      <c r="AC1130" s="53">
        <f t="shared" si="3455"/>
        <v>0</v>
      </c>
      <c r="AD1130" s="242">
        <f>SUMIF($D1098:$D1121,"*1/1_04*",AD1098:AD1121)+SUMIF($D1098:$D1121,"*1/2_04*",AD1098:AD1121)*AC$88</f>
        <v>0</v>
      </c>
    </row>
    <row r="1131" spans="1:31" hidden="1" outlineLevel="2" x14ac:dyDescent="0.2">
      <c r="A1131" t="str">
        <f ca="1">Language!A680</f>
        <v xml:space="preserve">    задолженность по инвестиционным кредитам</v>
      </c>
      <c r="C1131" s="5" t="str">
        <f t="shared" ca="1" si="3373"/>
        <v>тыс. EUR</v>
      </c>
      <c r="D1131" s="16" t="s">
        <v>2594</v>
      </c>
      <c r="F1131" s="43">
        <f t="shared" ref="F1131:AD1131" si="3456">F1129-F1130</f>
        <v>0</v>
      </c>
      <c r="G1131" s="43">
        <f t="shared" si="3456"/>
        <v>0</v>
      </c>
      <c r="H1131" s="43">
        <f t="shared" si="3456"/>
        <v>0</v>
      </c>
      <c r="I1131" s="43">
        <f t="shared" si="3456"/>
        <v>0</v>
      </c>
      <c r="J1131" s="43">
        <f t="shared" si="3456"/>
        <v>0</v>
      </c>
      <c r="K1131" s="43">
        <f t="shared" si="3456"/>
        <v>0</v>
      </c>
      <c r="L1131" s="43">
        <f t="shared" si="3456"/>
        <v>0</v>
      </c>
      <c r="M1131" s="43">
        <f t="shared" si="3456"/>
        <v>0</v>
      </c>
      <c r="N1131" s="43">
        <f t="shared" si="3456"/>
        <v>0</v>
      </c>
      <c r="O1131" s="43">
        <f t="shared" si="3456"/>
        <v>0</v>
      </c>
      <c r="P1131" s="43">
        <f t="shared" si="3456"/>
        <v>0</v>
      </c>
      <c r="Q1131" s="43">
        <f t="shared" si="3456"/>
        <v>0</v>
      </c>
      <c r="R1131" s="43">
        <f t="shared" si="3456"/>
        <v>0</v>
      </c>
      <c r="S1131" s="43">
        <f t="shared" si="3456"/>
        <v>0</v>
      </c>
      <c r="T1131" s="43">
        <f t="shared" si="3456"/>
        <v>0</v>
      </c>
      <c r="U1131" s="43">
        <f t="shared" ref="U1131" si="3457">U1129-U1130</f>
        <v>0</v>
      </c>
      <c r="V1131" s="43">
        <f t="shared" ref="V1131" si="3458">V1129-V1130</f>
        <v>0</v>
      </c>
      <c r="W1131" s="43">
        <f t="shared" ref="W1131" si="3459">W1129-W1130</f>
        <v>0</v>
      </c>
      <c r="X1131" s="43">
        <f t="shared" ref="X1131" si="3460">X1129-X1130</f>
        <v>0</v>
      </c>
      <c r="Y1131" s="43">
        <f t="shared" ref="Y1131" si="3461">Y1129-Y1130</f>
        <v>0</v>
      </c>
      <c r="Z1131" s="43">
        <f t="shared" ref="Z1131" si="3462">Z1129-Z1130</f>
        <v>0</v>
      </c>
      <c r="AA1131" s="43">
        <f t="shared" ref="AA1131" si="3463">AA1129-AA1130</f>
        <v>0</v>
      </c>
      <c r="AB1131" s="43">
        <f t="shared" ref="AB1131:AC1131" si="3464">AB1129-AB1130</f>
        <v>0</v>
      </c>
      <c r="AC1131" s="43">
        <f t="shared" si="3464"/>
        <v>0</v>
      </c>
      <c r="AD1131" s="245">
        <f t="shared" si="3456"/>
        <v>0</v>
      </c>
    </row>
    <row r="1132" spans="1:31" hidden="1" outlineLevel="1" x14ac:dyDescent="0.2">
      <c r="A1132" s="19"/>
      <c r="B1132" s="19"/>
      <c r="C1132" s="19"/>
      <c r="D1132" s="19"/>
      <c r="E1132" s="19"/>
      <c r="F1132" s="19"/>
      <c r="G1132" s="19"/>
      <c r="H1132" s="19"/>
      <c r="I1132" s="19"/>
      <c r="J1132" s="19"/>
      <c r="K1132" s="19"/>
      <c r="L1132" s="19"/>
      <c r="M1132" s="19"/>
      <c r="N1132" s="19"/>
      <c r="O1132" s="19"/>
      <c r="P1132" s="19"/>
      <c r="Q1132" s="19"/>
      <c r="R1132" s="19"/>
      <c r="S1132" s="19"/>
      <c r="T1132" s="19"/>
      <c r="U1132" s="19"/>
      <c r="V1132" s="19"/>
      <c r="W1132" s="19"/>
      <c r="X1132" s="19"/>
      <c r="Y1132" s="19"/>
      <c r="Z1132" s="19"/>
      <c r="AA1132" s="19"/>
      <c r="AB1132" s="19"/>
      <c r="AC1132" s="19"/>
      <c r="AD1132" s="19"/>
      <c r="AE1132" s="22"/>
    </row>
    <row r="1133" spans="1:31" s="11" customFormat="1" hidden="1" outlineLevel="1" x14ac:dyDescent="0.2">
      <c r="A1133" s="11" t="str">
        <f ca="1">Language!A685</f>
        <v>Общий коэффициент покрытия долга (текущий проект)</v>
      </c>
      <c r="C1133" s="36" t="str">
        <f ca="1">Language!A687</f>
        <v>разы</v>
      </c>
      <c r="D1133" s="16" t="s">
        <v>2429</v>
      </c>
      <c r="F1133" s="213" t="str">
        <f t="shared" ref="F1133:T1133" si="3465">F1578</f>
        <v>-</v>
      </c>
      <c r="G1133" s="213" t="str">
        <f t="shared" si="3465"/>
        <v>-</v>
      </c>
      <c r="H1133" s="213" t="str">
        <f t="shared" si="3465"/>
        <v>-</v>
      </c>
      <c r="I1133" s="213" t="str">
        <f t="shared" si="3465"/>
        <v>-</v>
      </c>
      <c r="J1133" s="213" t="str">
        <f t="shared" si="3465"/>
        <v>-</v>
      </c>
      <c r="K1133" s="213" t="str">
        <f t="shared" si="3465"/>
        <v>-</v>
      </c>
      <c r="L1133" s="213" t="str">
        <f t="shared" si="3465"/>
        <v>-</v>
      </c>
      <c r="M1133" s="213" t="str">
        <f t="shared" si="3465"/>
        <v>-</v>
      </c>
      <c r="N1133" s="213" t="str">
        <f t="shared" si="3465"/>
        <v>-</v>
      </c>
      <c r="O1133" s="213" t="str">
        <f t="shared" si="3465"/>
        <v>-</v>
      </c>
      <c r="P1133" s="213" t="str">
        <f t="shared" si="3465"/>
        <v>-</v>
      </c>
      <c r="Q1133" s="213" t="str">
        <f t="shared" si="3465"/>
        <v>-</v>
      </c>
      <c r="R1133" s="213" t="str">
        <f t="shared" si="3465"/>
        <v>-</v>
      </c>
      <c r="S1133" s="213" t="str">
        <f t="shared" si="3465"/>
        <v>-</v>
      </c>
      <c r="T1133" s="213" t="str">
        <f t="shared" si="3465"/>
        <v>-</v>
      </c>
      <c r="U1133" s="213" t="str">
        <f t="shared" ref="U1133" si="3466">U1578</f>
        <v>-</v>
      </c>
      <c r="V1133" s="213" t="str">
        <f t="shared" ref="V1133" si="3467">V1578</f>
        <v>-</v>
      </c>
      <c r="W1133" s="213" t="str">
        <f t="shared" ref="W1133" si="3468">W1578</f>
        <v>-</v>
      </c>
      <c r="X1133" s="213" t="str">
        <f t="shared" ref="X1133" si="3469">X1578</f>
        <v>-</v>
      </c>
      <c r="Y1133" s="213" t="str">
        <f t="shared" ref="Y1133" si="3470">Y1578</f>
        <v>-</v>
      </c>
      <c r="Z1133" s="213" t="str">
        <f t="shared" ref="Z1133" si="3471">Z1578</f>
        <v>-</v>
      </c>
      <c r="AA1133" s="213" t="str">
        <f t="shared" ref="AA1133" si="3472">AA1578</f>
        <v>-</v>
      </c>
      <c r="AB1133" s="213" t="str">
        <f t="shared" ref="AB1133:AC1133" si="3473">AB1578</f>
        <v>-</v>
      </c>
      <c r="AC1133" s="213" t="str">
        <f t="shared" si="3473"/>
        <v>-</v>
      </c>
    </row>
    <row r="1134" spans="1:31" s="11" customFormat="1" hidden="1" outlineLevel="1" x14ac:dyDescent="0.2">
      <c r="A1134" s="11" t="str">
        <f ca="1">Language!A686</f>
        <v>Общий коэффициент покрытия долга (портфель проектов)</v>
      </c>
      <c r="C1134" s="36" t="str">
        <f ca="1">Language!A687</f>
        <v>разы</v>
      </c>
      <c r="D1134" s="16" t="s">
        <v>2429</v>
      </c>
      <c r="F1134" s="213" t="str">
        <f ca="1">OFFSET(Портфель!$F591,0,MATCH(F$32,Портфель!$F$36:$Y$36,0)-1)</f>
        <v>-</v>
      </c>
      <c r="G1134" s="213" t="str">
        <f ca="1">OFFSET(Портфель!$F591,0,MATCH(G$32,Портфель!$F$36:$Y$36,0)-1)</f>
        <v>-</v>
      </c>
      <c r="H1134" s="213" t="str">
        <f ca="1">OFFSET(Портфель!$F591,0,MATCH(H$32,Портфель!$F$36:$Y$36,0)-1)</f>
        <v>-</v>
      </c>
      <c r="I1134" s="213" t="str">
        <f ca="1">OFFSET(Портфель!$F591,0,MATCH(I$32,Портфель!$F$36:$Y$36,0)-1)</f>
        <v>-</v>
      </c>
      <c r="J1134" s="213" t="str">
        <f ca="1">OFFSET(Портфель!$F591,0,MATCH(J$32,Портфель!$F$36:$Y$36,0)-1)</f>
        <v>-</v>
      </c>
      <c r="K1134" s="213" t="str">
        <f ca="1">OFFSET(Портфель!$F591,0,MATCH(K$32,Портфель!$F$36:$Y$36,0)-1)</f>
        <v>-</v>
      </c>
      <c r="L1134" s="213" t="str">
        <f ca="1">OFFSET(Портфель!$F591,0,MATCH(L$32,Портфель!$F$36:$Y$36,0)-1)</f>
        <v>-</v>
      </c>
      <c r="M1134" s="213" t="str">
        <f ca="1">OFFSET(Портфель!$F591,0,MATCH(M$32,Портфель!$F$36:$Y$36,0)-1)</f>
        <v>-</v>
      </c>
      <c r="N1134" s="213" t="str">
        <f ca="1">OFFSET(Портфель!$F591,0,MATCH(N$32,Портфель!$F$36:$Y$36,0)-1)</f>
        <v>-</v>
      </c>
      <c r="O1134" s="213" t="str">
        <f ca="1">OFFSET(Портфель!$F591,0,MATCH(O$32,Портфель!$F$36:$Y$36,0)-1)</f>
        <v>-</v>
      </c>
      <c r="P1134" s="213" t="str">
        <f ca="1">OFFSET(Портфель!$F591,0,MATCH(P$32,Портфель!$F$36:$Y$36,0)-1)</f>
        <v>-</v>
      </c>
      <c r="Q1134" s="213" t="str">
        <f ca="1">OFFSET(Портфель!$F591,0,MATCH(Q$32,Портфель!$F$36:$Y$36,0)-1)</f>
        <v>-</v>
      </c>
      <c r="R1134" s="213" t="str">
        <f ca="1">OFFSET(Портфель!$F591,0,MATCH(R$32,Портфель!$F$36:$Y$36,0)-1)</f>
        <v>-</v>
      </c>
      <c r="S1134" s="213" t="str">
        <f ca="1">OFFSET(Портфель!$F591,0,MATCH(S$32,Портфель!$F$36:$Y$36,0)-1)</f>
        <v>-</v>
      </c>
      <c r="T1134" s="213" t="str">
        <f ca="1">OFFSET(Портфель!$F591,0,MATCH(T$32,Портфель!$F$36:$Y$36,0)-1)</f>
        <v>-</v>
      </c>
      <c r="U1134" s="213" t="str">
        <f ca="1">OFFSET(Портфель!$F591,0,MATCH(U$32,Портфель!$F$36:$Y$36,0)-1)</f>
        <v>-</v>
      </c>
      <c r="V1134" s="213" t="str">
        <f ca="1">OFFSET(Портфель!$F591,0,MATCH(V$32,Портфель!$F$36:$Y$36,0)-1)</f>
        <v>-</v>
      </c>
      <c r="W1134" s="213" t="str">
        <f ca="1">OFFSET(Портфель!$F591,0,MATCH(W$32,Портфель!$F$36:$Y$36,0)-1)</f>
        <v>-</v>
      </c>
      <c r="X1134" s="213" t="str">
        <f ca="1">OFFSET(Портфель!$F591,0,MATCH(X$32,Портфель!$F$36:$Y$36,0)-1)</f>
        <v>-</v>
      </c>
      <c r="Y1134" s="213" t="str">
        <f ca="1">OFFSET(Портфель!$F591,0,MATCH(Y$32,Портфель!$F$36:$Y$36,0)-1)</f>
        <v>-</v>
      </c>
      <c r="Z1134" s="213" t="e">
        <f ca="1">OFFSET(Портфель!$F591,0,MATCH(Z$32,Портфель!$F$36:$Y$36,0)-1)</f>
        <v>#N/A</v>
      </c>
      <c r="AA1134" s="213" t="e">
        <f ca="1">OFFSET(Портфель!$F591,0,MATCH(AA$32,Портфель!$F$36:$Y$36,0)-1)</f>
        <v>#N/A</v>
      </c>
      <c r="AB1134" s="213" t="e">
        <f ca="1">OFFSET(Портфель!$F591,0,MATCH(AB$32,Портфель!$F$36:$Y$36,0)-1)</f>
        <v>#N/A</v>
      </c>
      <c r="AC1134" s="213" t="e">
        <f ca="1">OFFSET(Портфель!$F591,0,MATCH(AC$32,Портфель!$F$36:$Y$36,0)-1)</f>
        <v>#N/A</v>
      </c>
    </row>
    <row r="1135" spans="1:31" s="11" customFormat="1" hidden="1" outlineLevel="1" collapsed="1" x14ac:dyDescent="0.2">
      <c r="A1135" s="11" t="str">
        <f ca="1">Language!A655</f>
        <v>Справка: Остаток средств на счете (текущий проект)</v>
      </c>
      <c r="C1135" s="5" t="str">
        <f ca="1">CUR_Main</f>
        <v>тыс. EUR</v>
      </c>
      <c r="D1135" s="16" t="s">
        <v>2594</v>
      </c>
      <c r="F1135" s="93">
        <f t="shared" ref="F1135:T1135" ca="1" si="3474">F1356*IF(CUR_I_Report=2,F$88,1)</f>
        <v>0</v>
      </c>
      <c r="G1135" s="93">
        <f t="shared" ca="1" si="3474"/>
        <v>0</v>
      </c>
      <c r="H1135" s="93">
        <f t="shared" ca="1" si="3474"/>
        <v>0</v>
      </c>
      <c r="I1135" s="93">
        <f t="shared" ca="1" si="3474"/>
        <v>0</v>
      </c>
      <c r="J1135" s="93">
        <f t="shared" ca="1" si="3474"/>
        <v>0</v>
      </c>
      <c r="K1135" s="93">
        <f t="shared" ca="1" si="3474"/>
        <v>2827.4120312836421</v>
      </c>
      <c r="L1135" s="93">
        <f t="shared" ca="1" si="3474"/>
        <v>2843.035293184585</v>
      </c>
      <c r="M1135" s="93">
        <f t="shared" ca="1" si="3474"/>
        <v>3506.0283310907325</v>
      </c>
      <c r="N1135" s="93">
        <f t="shared" ca="1" si="3474"/>
        <v>4470.038573843618</v>
      </c>
      <c r="O1135" s="93">
        <f t="shared" ca="1" si="3474"/>
        <v>5755.3118390955333</v>
      </c>
      <c r="P1135" s="93">
        <f t="shared" ca="1" si="3474"/>
        <v>7210.0865284813926</v>
      </c>
      <c r="Q1135" s="93">
        <f t="shared" ca="1" si="3474"/>
        <v>8664.861217867252</v>
      </c>
      <c r="R1135" s="93">
        <f t="shared" ca="1" si="3474"/>
        <v>10119.63590725311</v>
      </c>
      <c r="S1135" s="93">
        <f t="shared" ca="1" si="3474"/>
        <v>11574.410596638969</v>
      </c>
      <c r="T1135" s="93">
        <f t="shared" ca="1" si="3474"/>
        <v>13029.185286024827</v>
      </c>
      <c r="U1135" s="93">
        <f t="shared" ref="U1135" ca="1" si="3475">U1356*IF(CUR_I_Report=2,U$88,1)</f>
        <v>14483.959975410686</v>
      </c>
      <c r="V1135" s="93">
        <f t="shared" ref="V1135" ca="1" si="3476">V1356*IF(CUR_I_Report=2,V$88,1)</f>
        <v>15938.734664796544</v>
      </c>
      <c r="W1135" s="93">
        <f t="shared" ref="W1135" ca="1" si="3477">W1356*IF(CUR_I_Report=2,W$88,1)</f>
        <v>17393.509354182403</v>
      </c>
      <c r="X1135" s="93">
        <f t="shared" ref="X1135" ca="1" si="3478">X1356*IF(CUR_I_Report=2,X$88,1)</f>
        <v>18848.284043568263</v>
      </c>
      <c r="Y1135" s="93">
        <f t="shared" ref="Y1135" ca="1" si="3479">Y1356*IF(CUR_I_Report=2,Y$88,1)</f>
        <v>20303.058732954123</v>
      </c>
      <c r="Z1135" s="93">
        <f t="shared" ref="Z1135" ca="1" si="3480">Z1356*IF(CUR_I_Report=2,Z$88,1)</f>
        <v>21757.833422339983</v>
      </c>
      <c r="AA1135" s="93">
        <f t="shared" ref="AA1135" ca="1" si="3481">AA1356*IF(CUR_I_Report=2,AA$88,1)</f>
        <v>23212.608111725844</v>
      </c>
      <c r="AB1135" s="93">
        <f t="shared" ref="AB1135:AC1135" ca="1" si="3482">AB1356*IF(CUR_I_Report=2,AB$88,1)</f>
        <v>24667.382801111704</v>
      </c>
      <c r="AC1135" s="93">
        <f t="shared" ca="1" si="3482"/>
        <v>26122.157490497564</v>
      </c>
    </row>
    <row r="1136" spans="1:31" s="11" customFormat="1" hidden="1" outlineLevel="2" x14ac:dyDescent="0.2">
      <c r="A1136" s="11" t="str">
        <f ca="1">Language!A656</f>
        <v>Справка: Остаток средств на счете (без учета операционной деятельности)</v>
      </c>
      <c r="C1136" s="5" t="str">
        <f ca="1">CUR_Main</f>
        <v>тыс. EUR</v>
      </c>
      <c r="D1136" s="16" t="s">
        <v>2594</v>
      </c>
      <c r="F1136" s="93">
        <f t="shared" ref="F1136:T1136" ca="1" si="3483">(F1356-F1331)*IF(CUR_I_Report=2,F$88,1)</f>
        <v>0</v>
      </c>
      <c r="G1136" s="93">
        <f t="shared" ca="1" si="3483"/>
        <v>0</v>
      </c>
      <c r="H1136" s="93">
        <f t="shared" ca="1" si="3483"/>
        <v>0</v>
      </c>
      <c r="I1136" s="93">
        <f t="shared" ca="1" si="3483"/>
        <v>0</v>
      </c>
      <c r="J1136" s="93">
        <f t="shared" ca="1" si="3483"/>
        <v>0</v>
      </c>
      <c r="K1136" s="93">
        <f t="shared" ca="1" si="3483"/>
        <v>98.763329767441974</v>
      </c>
      <c r="L1136" s="93">
        <f t="shared" ca="1" si="3483"/>
        <v>2827.4120312836421</v>
      </c>
      <c r="M1136" s="93">
        <f t="shared" ca="1" si="3483"/>
        <v>2843.035293184585</v>
      </c>
      <c r="N1136" s="93">
        <f t="shared" ca="1" si="3483"/>
        <v>3553.9326351785917</v>
      </c>
      <c r="O1136" s="93">
        <f t="shared" ca="1" si="3483"/>
        <v>4511.6940284259845</v>
      </c>
      <c r="P1136" s="93">
        <f t="shared" ca="1" si="3483"/>
        <v>5755.3118390955333</v>
      </c>
      <c r="Q1136" s="93">
        <f t="shared" ca="1" si="3483"/>
        <v>7210.0865284813926</v>
      </c>
      <c r="R1136" s="93">
        <f t="shared" ca="1" si="3483"/>
        <v>8664.861217867252</v>
      </c>
      <c r="S1136" s="93">
        <f t="shared" ca="1" si="3483"/>
        <v>10119.63590725311</v>
      </c>
      <c r="T1136" s="93">
        <f t="shared" ca="1" si="3483"/>
        <v>11574.410596638969</v>
      </c>
      <c r="U1136" s="93">
        <f t="shared" ref="U1136" ca="1" si="3484">(U1356-U1331)*IF(CUR_I_Report=2,U$88,1)</f>
        <v>13029.185286024827</v>
      </c>
      <c r="V1136" s="93">
        <f t="shared" ref="V1136" ca="1" si="3485">(V1356-V1331)*IF(CUR_I_Report=2,V$88,1)</f>
        <v>14483.959975410686</v>
      </c>
      <c r="W1136" s="93">
        <f t="shared" ref="W1136" ca="1" si="3486">(W1356-W1331)*IF(CUR_I_Report=2,W$88,1)</f>
        <v>15938.734664796544</v>
      </c>
      <c r="X1136" s="93">
        <f t="shared" ref="X1136" ca="1" si="3487">(X1356-X1331)*IF(CUR_I_Report=2,X$88,1)</f>
        <v>17393.509354182403</v>
      </c>
      <c r="Y1136" s="93">
        <f t="shared" ref="Y1136" ca="1" si="3488">(Y1356-Y1331)*IF(CUR_I_Report=2,Y$88,1)</f>
        <v>18848.284043568263</v>
      </c>
      <c r="Z1136" s="93">
        <f t="shared" ref="Z1136" ca="1" si="3489">(Z1356-Z1331)*IF(CUR_I_Report=2,Z$88,1)</f>
        <v>20303.058732954123</v>
      </c>
      <c r="AA1136" s="93">
        <f t="shared" ref="AA1136" ca="1" si="3490">(AA1356-AA1331)*IF(CUR_I_Report=2,AA$88,1)</f>
        <v>21757.833422339983</v>
      </c>
      <c r="AB1136" s="93">
        <f t="shared" ref="AB1136:AC1136" ca="1" si="3491">(AB1356-AB1331)*IF(CUR_I_Report=2,AB$88,1)</f>
        <v>23212.608111725844</v>
      </c>
      <c r="AC1136" s="93">
        <f t="shared" ca="1" si="3491"/>
        <v>24667.382801111704</v>
      </c>
    </row>
    <row r="1137" spans="1:31" s="11" customFormat="1" hidden="1" outlineLevel="1" x14ac:dyDescent="0.2">
      <c r="A1137" s="11" t="str">
        <f ca="1">Language!A657</f>
        <v>Справка: Остаток средств на счете (портфель проектов)</v>
      </c>
      <c r="C1137" s="5" t="str">
        <f ca="1">CUR_Main</f>
        <v>тыс. EUR</v>
      </c>
      <c r="D1137" s="16" t="s">
        <v>2594</v>
      </c>
      <c r="F1137" s="93">
        <f ca="1">OFFSET(Портфель!$F334,0,MATCH(F$32,Портфель!$F$36:$Y$36,0)-1)*IF(CUR_I_Report=2,F$88,1)</f>
        <v>0</v>
      </c>
      <c r="G1137" s="93">
        <f ca="1">OFFSET(Портфель!$F334,0,MATCH(G$32,Портфель!$F$36:$Y$36,0)-1)*IF(CUR_I_Report=2,G$88,1)</f>
        <v>0</v>
      </c>
      <c r="H1137" s="93">
        <f ca="1">OFFSET(Портфель!$F334,0,MATCH(H$32,Портфель!$F$36:$Y$36,0)-1)*IF(CUR_I_Report=2,H$88,1)</f>
        <v>0</v>
      </c>
      <c r="I1137" s="93">
        <f ca="1">OFFSET(Портфель!$F334,0,MATCH(I$32,Портфель!$F$36:$Y$36,0)-1)*IF(CUR_I_Report=2,I$88,1)</f>
        <v>0</v>
      </c>
      <c r="J1137" s="93">
        <f ca="1">OFFSET(Портфель!$F334,0,MATCH(J$32,Портфель!$F$36:$Y$36,0)-1)*IF(CUR_I_Report=2,J$88,1)</f>
        <v>0</v>
      </c>
      <c r="K1137" s="93">
        <f ca="1">OFFSET(Портфель!$F334,0,MATCH(K$32,Портфель!$F$36:$Y$36,0)-1)*IF(CUR_I_Report=2,K$88,1)</f>
        <v>2827.4120312836421</v>
      </c>
      <c r="L1137" s="93">
        <f ca="1">OFFSET(Портфель!$F334,0,MATCH(L$32,Портфель!$F$36:$Y$36,0)-1)*IF(CUR_I_Report=2,L$88,1)</f>
        <v>2843.035293184585</v>
      </c>
      <c r="M1137" s="93">
        <f ca="1">OFFSET(Портфель!$F334,0,MATCH(M$32,Портфель!$F$36:$Y$36,0)-1)*IF(CUR_I_Report=2,M$88,1)</f>
        <v>3506.0283310907325</v>
      </c>
      <c r="N1137" s="93">
        <f ca="1">OFFSET(Портфель!$F334,0,MATCH(N$32,Портфель!$F$36:$Y$36,0)-1)*IF(CUR_I_Report=2,N$88,1)</f>
        <v>4470.038573843618</v>
      </c>
      <c r="O1137" s="93">
        <f ca="1">OFFSET(Портфель!$F334,0,MATCH(O$32,Портфель!$F$36:$Y$36,0)-1)*IF(CUR_I_Report=2,O$88,1)</f>
        <v>5755.3118390955333</v>
      </c>
      <c r="P1137" s="93">
        <f ca="1">OFFSET(Портфель!$F334,0,MATCH(P$32,Портфель!$F$36:$Y$36,0)-1)*IF(CUR_I_Report=2,P$88,1)</f>
        <v>7210.0865284813926</v>
      </c>
      <c r="Q1137" s="93">
        <f ca="1">OFFSET(Портфель!$F334,0,MATCH(Q$32,Портфель!$F$36:$Y$36,0)-1)*IF(CUR_I_Report=2,Q$88,1)</f>
        <v>8664.861217867252</v>
      </c>
      <c r="R1137" s="93">
        <f ca="1">OFFSET(Портфель!$F334,0,MATCH(R$32,Портфель!$F$36:$Y$36,0)-1)*IF(CUR_I_Report=2,R$88,1)</f>
        <v>10119.63590725311</v>
      </c>
      <c r="S1137" s="93">
        <f ca="1">OFFSET(Портфель!$F334,0,MATCH(S$32,Портфель!$F$36:$Y$36,0)-1)*IF(CUR_I_Report=2,S$88,1)</f>
        <v>11574.410596638969</v>
      </c>
      <c r="T1137" s="93">
        <f ca="1">OFFSET(Портфель!$F334,0,MATCH(T$32,Портфель!$F$36:$Y$36,0)-1)*IF(CUR_I_Report=2,T$88,1)</f>
        <v>13029.185286024827</v>
      </c>
      <c r="U1137" s="93">
        <f ca="1">OFFSET(Портфель!$F334,0,MATCH(U$32,Портфель!$F$36:$Y$36,0)-1)*IF(CUR_I_Report=2,U$88,1)</f>
        <v>14483.959975410686</v>
      </c>
      <c r="V1137" s="93">
        <f ca="1">OFFSET(Портфель!$F334,0,MATCH(V$32,Портфель!$F$36:$Y$36,0)-1)*IF(CUR_I_Report=2,V$88,1)</f>
        <v>15938.734664796546</v>
      </c>
      <c r="W1137" s="93">
        <f ca="1">OFFSET(Портфель!$F334,0,MATCH(W$32,Портфель!$F$36:$Y$36,0)-1)*IF(CUR_I_Report=2,W$88,1)</f>
        <v>17393.509354182403</v>
      </c>
      <c r="X1137" s="93">
        <f ca="1">OFFSET(Портфель!$F334,0,MATCH(X$32,Портфель!$F$36:$Y$36,0)-1)*IF(CUR_I_Report=2,X$88,1)</f>
        <v>18848.284043568263</v>
      </c>
      <c r="Y1137" s="93">
        <f ca="1">OFFSET(Портфель!$F334,0,MATCH(Y$32,Портфель!$F$36:$Y$36,0)-1)*IF(CUR_I_Report=2,Y$88,1)</f>
        <v>27196.87459454027</v>
      </c>
      <c r="Z1137" s="93" t="e">
        <f ca="1">OFFSET(Портфель!$F334,0,MATCH(Z$32,Портфель!$F$36:$Y$36,0)-1)*IF(CUR_I_Report=2,Z$88,1)</f>
        <v>#N/A</v>
      </c>
      <c r="AA1137" s="93" t="e">
        <f ca="1">OFFSET(Портфель!$F334,0,MATCH(AA$32,Портфель!$F$36:$Y$36,0)-1)*IF(CUR_I_Report=2,AA$88,1)</f>
        <v>#N/A</v>
      </c>
      <c r="AB1137" s="93" t="e">
        <f ca="1">OFFSET(Портфель!$F334,0,MATCH(AB$32,Портфель!$F$36:$Y$36,0)-1)*IF(CUR_I_Report=2,AB$88,1)</f>
        <v>#N/A</v>
      </c>
      <c r="AC1137" s="93" t="e">
        <f ca="1">OFFSET(Портфель!$F334,0,MATCH(AC$32,Портфель!$F$36:$Y$36,0)-1)*IF(CUR_I_Report=2,AC$88,1)</f>
        <v>#N/A</v>
      </c>
    </row>
    <row r="1138" spans="1:31" hidden="1" outlineLevel="1" x14ac:dyDescent="0.2">
      <c r="A1138" s="63"/>
      <c r="B1138" s="63"/>
      <c r="C1138" s="63"/>
      <c r="D1138" s="63"/>
      <c r="E1138" s="63"/>
      <c r="F1138" s="63"/>
      <c r="G1138" s="63"/>
      <c r="H1138" s="63"/>
      <c r="I1138" s="63"/>
      <c r="J1138" s="63"/>
      <c r="K1138" s="63"/>
      <c r="L1138" s="63"/>
      <c r="M1138" s="63"/>
      <c r="N1138" s="63"/>
      <c r="O1138" s="63"/>
      <c r="P1138" s="63"/>
      <c r="Q1138" s="63"/>
      <c r="R1138" s="63"/>
      <c r="S1138" s="63"/>
      <c r="T1138" s="63"/>
      <c r="U1138" s="63"/>
      <c r="V1138" s="63"/>
      <c r="W1138" s="63"/>
      <c r="X1138" s="63"/>
      <c r="Y1138" s="63"/>
      <c r="Z1138" s="63"/>
      <c r="AA1138" s="63"/>
      <c r="AB1138" s="63"/>
      <c r="AC1138" s="63"/>
      <c r="AD1138" s="63"/>
      <c r="AE1138" s="64"/>
    </row>
    <row r="1139" spans="1:31" s="11" customFormat="1" hidden="1" outlineLevel="1" collapsed="1" x14ac:dyDescent="0.2">
      <c r="A1139" s="22" t="str">
        <f ca="1">Language!A$1013 &amp; ", " &amp; Проект!CUR_Report</f>
        <v>График: Остаток задолженности по кредитам, тыс. EUR</v>
      </c>
      <c r="B1139" s="148"/>
      <c r="C1139" s="22"/>
      <c r="D1139" s="22"/>
      <c r="E1139" s="22"/>
      <c r="F1139" s="117"/>
      <c r="G1139" s="117"/>
      <c r="H1139" s="117"/>
      <c r="I1139" s="117"/>
      <c r="J1139" s="117"/>
      <c r="K1139" s="117"/>
      <c r="L1139" s="117"/>
      <c r="M1139" s="117"/>
      <c r="N1139" s="117"/>
      <c r="O1139" s="117"/>
      <c r="P1139" s="117"/>
      <c r="Q1139" s="117"/>
      <c r="R1139" s="117"/>
      <c r="S1139" s="117"/>
      <c r="T1139" s="117"/>
      <c r="U1139" s="117"/>
      <c r="V1139" s="117"/>
      <c r="W1139" s="117"/>
      <c r="X1139" s="117"/>
      <c r="Y1139" s="117"/>
      <c r="Z1139" s="117"/>
      <c r="AA1139" s="117"/>
      <c r="AB1139" s="117"/>
      <c r="AC1139" s="117"/>
      <c r="AD1139" s="22"/>
      <c r="AE1139" s="22"/>
    </row>
    <row r="1140" spans="1:31" s="11" customFormat="1" hidden="1" outlineLevel="2" x14ac:dyDescent="0.2">
      <c r="A1140" s="22"/>
      <c r="B1140" s="148"/>
      <c r="C1140" s="22"/>
      <c r="D1140" s="22"/>
      <c r="E1140" s="22"/>
      <c r="F1140" s="117"/>
      <c r="G1140" s="117"/>
      <c r="H1140" s="117"/>
      <c r="I1140" s="117"/>
      <c r="J1140" s="117"/>
      <c r="K1140" s="117"/>
      <c r="L1140" s="117"/>
      <c r="M1140" s="117"/>
      <c r="N1140" s="117"/>
      <c r="O1140" s="117"/>
      <c r="P1140" s="117"/>
      <c r="Q1140" s="117"/>
      <c r="R1140" s="117"/>
      <c r="S1140" s="117"/>
      <c r="T1140" s="117"/>
      <c r="U1140" s="117"/>
      <c r="V1140" s="117"/>
      <c r="W1140" s="117"/>
      <c r="X1140" s="117"/>
      <c r="Y1140" s="117"/>
      <c r="Z1140" s="117"/>
      <c r="AA1140" s="117"/>
      <c r="AB1140" s="117"/>
      <c r="AC1140" s="117"/>
      <c r="AD1140" s="22"/>
      <c r="AE1140" s="22"/>
    </row>
    <row r="1141" spans="1:31" s="11" customFormat="1" hidden="1" outlineLevel="2" x14ac:dyDescent="0.2">
      <c r="A1141" s="22"/>
      <c r="B1141" s="148"/>
      <c r="C1141" s="22"/>
      <c r="D1141" s="22"/>
      <c r="E1141" s="22"/>
      <c r="F1141" s="117"/>
      <c r="G1141" s="117"/>
      <c r="H1141" s="117"/>
      <c r="I1141" s="117"/>
      <c r="J1141" s="117"/>
      <c r="K1141" s="117"/>
      <c r="L1141" s="117"/>
      <c r="M1141" s="117"/>
      <c r="N1141" s="117"/>
      <c r="O1141" s="117"/>
      <c r="P1141" s="117"/>
      <c r="Q1141" s="117"/>
      <c r="R1141" s="117"/>
      <c r="S1141" s="117"/>
      <c r="T1141" s="117"/>
      <c r="U1141" s="117"/>
      <c r="V1141" s="117"/>
      <c r="W1141" s="117"/>
      <c r="X1141" s="117"/>
      <c r="Y1141" s="117"/>
      <c r="Z1141" s="117"/>
      <c r="AA1141" s="117"/>
      <c r="AB1141" s="117"/>
      <c r="AC1141" s="117"/>
      <c r="AD1141" s="22"/>
      <c r="AE1141" s="22"/>
    </row>
    <row r="1142" spans="1:31" s="11" customFormat="1" hidden="1" outlineLevel="2" x14ac:dyDescent="0.2">
      <c r="A1142" s="22"/>
      <c r="B1142" s="148"/>
      <c r="C1142" s="22"/>
      <c r="D1142" s="22"/>
      <c r="E1142" s="22"/>
      <c r="F1142" s="117"/>
      <c r="G1142" s="117"/>
      <c r="H1142" s="117"/>
      <c r="I1142" s="117"/>
      <c r="J1142" s="117"/>
      <c r="K1142" s="117"/>
      <c r="L1142" s="117"/>
      <c r="M1142" s="117"/>
      <c r="N1142" s="117"/>
      <c r="O1142" s="117"/>
      <c r="P1142" s="117"/>
      <c r="Q1142" s="117"/>
      <c r="R1142" s="117"/>
      <c r="S1142" s="117"/>
      <c r="T1142" s="117"/>
      <c r="U1142" s="117"/>
      <c r="V1142" s="117"/>
      <c r="W1142" s="117"/>
      <c r="X1142" s="117"/>
      <c r="Y1142" s="117"/>
      <c r="Z1142" s="117"/>
      <c r="AA1142" s="117"/>
      <c r="AB1142" s="117"/>
      <c r="AC1142" s="117"/>
      <c r="AD1142" s="22"/>
      <c r="AE1142" s="22"/>
    </row>
    <row r="1143" spans="1:31" s="11" customFormat="1" hidden="1" outlineLevel="2" x14ac:dyDescent="0.2">
      <c r="A1143" s="22"/>
      <c r="B1143" s="148"/>
      <c r="C1143" s="22"/>
      <c r="D1143" s="22"/>
      <c r="E1143" s="22"/>
      <c r="F1143" s="117"/>
      <c r="G1143" s="117"/>
      <c r="H1143" s="117"/>
      <c r="I1143" s="117"/>
      <c r="J1143" s="117"/>
      <c r="K1143" s="117"/>
      <c r="L1143" s="117"/>
      <c r="M1143" s="117"/>
      <c r="N1143" s="117"/>
      <c r="O1143" s="117"/>
      <c r="P1143" s="117"/>
      <c r="Q1143" s="117"/>
      <c r="R1143" s="117"/>
      <c r="S1143" s="117"/>
      <c r="T1143" s="117"/>
      <c r="U1143" s="117"/>
      <c r="V1143" s="117"/>
      <c r="W1143" s="117"/>
      <c r="X1143" s="117"/>
      <c r="Y1143" s="117"/>
      <c r="Z1143" s="117"/>
      <c r="AA1143" s="117"/>
      <c r="AB1143" s="117"/>
      <c r="AC1143" s="117"/>
      <c r="AD1143" s="22"/>
      <c r="AE1143" s="22"/>
    </row>
    <row r="1144" spans="1:31" s="11" customFormat="1" hidden="1" outlineLevel="2" x14ac:dyDescent="0.2">
      <c r="A1144" s="22"/>
      <c r="B1144" s="148"/>
      <c r="C1144" s="22"/>
      <c r="D1144" s="22"/>
      <c r="E1144" s="22"/>
      <c r="F1144" s="117"/>
      <c r="G1144" s="117"/>
      <c r="H1144" s="117"/>
      <c r="I1144" s="117"/>
      <c r="J1144" s="117"/>
      <c r="K1144" s="117"/>
      <c r="L1144" s="117"/>
      <c r="M1144" s="117"/>
      <c r="N1144" s="117"/>
      <c r="O1144" s="117"/>
      <c r="P1144" s="117"/>
      <c r="Q1144" s="117"/>
      <c r="R1144" s="117"/>
      <c r="S1144" s="117"/>
      <c r="T1144" s="117"/>
      <c r="U1144" s="117"/>
      <c r="V1144" s="117"/>
      <c r="W1144" s="117"/>
      <c r="X1144" s="117"/>
      <c r="Y1144" s="117"/>
      <c r="Z1144" s="117"/>
      <c r="AA1144" s="117"/>
      <c r="AB1144" s="117"/>
      <c r="AC1144" s="117"/>
      <c r="AD1144" s="22"/>
      <c r="AE1144" s="22"/>
    </row>
    <row r="1145" spans="1:31" s="11" customFormat="1" hidden="1" outlineLevel="2" x14ac:dyDescent="0.2">
      <c r="A1145" s="22"/>
      <c r="B1145" s="148"/>
      <c r="C1145" s="22"/>
      <c r="D1145" s="22"/>
      <c r="E1145" s="22"/>
      <c r="F1145" s="117"/>
      <c r="G1145" s="117"/>
      <c r="H1145" s="117"/>
      <c r="I1145" s="117"/>
      <c r="J1145" s="117"/>
      <c r="K1145" s="117"/>
      <c r="L1145" s="117"/>
      <c r="M1145" s="117"/>
      <c r="N1145" s="117"/>
      <c r="O1145" s="117"/>
      <c r="P1145" s="117"/>
      <c r="Q1145" s="117"/>
      <c r="R1145" s="117"/>
      <c r="S1145" s="117"/>
      <c r="T1145" s="117"/>
      <c r="U1145" s="117"/>
      <c r="V1145" s="117"/>
      <c r="W1145" s="117"/>
      <c r="X1145" s="117"/>
      <c r="Y1145" s="117"/>
      <c r="Z1145" s="117"/>
      <c r="AA1145" s="117"/>
      <c r="AB1145" s="117"/>
      <c r="AC1145" s="117"/>
      <c r="AD1145" s="22"/>
      <c r="AE1145" s="22"/>
    </row>
    <row r="1146" spans="1:31" s="11" customFormat="1" hidden="1" outlineLevel="2" x14ac:dyDescent="0.2">
      <c r="A1146" s="22"/>
      <c r="B1146" s="148"/>
      <c r="C1146" s="22"/>
      <c r="D1146" s="22"/>
      <c r="E1146" s="22"/>
      <c r="F1146" s="117"/>
      <c r="G1146" s="117"/>
      <c r="H1146" s="117"/>
      <c r="I1146" s="117"/>
      <c r="J1146" s="117"/>
      <c r="K1146" s="117"/>
      <c r="L1146" s="117"/>
      <c r="M1146" s="117"/>
      <c r="N1146" s="117"/>
      <c r="O1146" s="117"/>
      <c r="P1146" s="117"/>
      <c r="Q1146" s="117"/>
      <c r="R1146" s="117"/>
      <c r="S1146" s="117"/>
      <c r="T1146" s="117"/>
      <c r="U1146" s="117"/>
      <c r="V1146" s="117"/>
      <c r="W1146" s="117"/>
      <c r="X1146" s="117"/>
      <c r="Y1146" s="117"/>
      <c r="Z1146" s="117"/>
      <c r="AA1146" s="117"/>
      <c r="AB1146" s="117"/>
      <c r="AC1146" s="117"/>
      <c r="AD1146" s="22"/>
      <c r="AE1146" s="22"/>
    </row>
    <row r="1147" spans="1:31" s="11" customFormat="1" hidden="1" outlineLevel="2" x14ac:dyDescent="0.2">
      <c r="A1147" s="22"/>
      <c r="B1147" s="148"/>
      <c r="C1147" s="22"/>
      <c r="D1147" s="22"/>
      <c r="E1147" s="22"/>
      <c r="F1147" s="117"/>
      <c r="G1147" s="117"/>
      <c r="H1147" s="117"/>
      <c r="I1147" s="117"/>
      <c r="J1147" s="117"/>
      <c r="K1147" s="117"/>
      <c r="L1147" s="117"/>
      <c r="M1147" s="117"/>
      <c r="N1147" s="117"/>
      <c r="O1147" s="117"/>
      <c r="P1147" s="117"/>
      <c r="Q1147" s="117"/>
      <c r="R1147" s="117"/>
      <c r="S1147" s="117"/>
      <c r="T1147" s="117"/>
      <c r="U1147" s="117"/>
      <c r="V1147" s="117"/>
      <c r="W1147" s="117"/>
      <c r="X1147" s="117"/>
      <c r="Y1147" s="117"/>
      <c r="Z1147" s="117"/>
      <c r="AA1147" s="117"/>
      <c r="AB1147" s="117"/>
      <c r="AC1147" s="117"/>
      <c r="AD1147" s="22"/>
      <c r="AE1147" s="22"/>
    </row>
    <row r="1148" spans="1:31" s="11" customFormat="1" hidden="1" outlineLevel="2" x14ac:dyDescent="0.2">
      <c r="A1148" s="22"/>
      <c r="B1148" s="148"/>
      <c r="C1148" s="22"/>
      <c r="D1148" s="22"/>
      <c r="E1148" s="22"/>
      <c r="F1148" s="117"/>
      <c r="G1148" s="117"/>
      <c r="H1148" s="117"/>
      <c r="I1148" s="117"/>
      <c r="J1148" s="117"/>
      <c r="K1148" s="117"/>
      <c r="L1148" s="117"/>
      <c r="M1148" s="117"/>
      <c r="N1148" s="117"/>
      <c r="O1148" s="117"/>
      <c r="P1148" s="117"/>
      <c r="Q1148" s="117"/>
      <c r="R1148" s="117"/>
      <c r="S1148" s="117"/>
      <c r="T1148" s="117"/>
      <c r="U1148" s="117"/>
      <c r="V1148" s="117"/>
      <c r="W1148" s="117"/>
      <c r="X1148" s="117"/>
      <c r="Y1148" s="117"/>
      <c r="Z1148" s="117"/>
      <c r="AA1148" s="117"/>
      <c r="AB1148" s="117"/>
      <c r="AC1148" s="117"/>
      <c r="AD1148" s="22"/>
      <c r="AE1148" s="22"/>
    </row>
    <row r="1149" spans="1:31" s="11" customFormat="1" hidden="1" outlineLevel="2" x14ac:dyDescent="0.2">
      <c r="A1149" s="22"/>
      <c r="B1149" s="148"/>
      <c r="C1149" s="22"/>
      <c r="D1149" s="22"/>
      <c r="E1149" s="22"/>
      <c r="F1149" s="117"/>
      <c r="G1149" s="117"/>
      <c r="H1149" s="117"/>
      <c r="I1149" s="117"/>
      <c r="J1149" s="117"/>
      <c r="K1149" s="117"/>
      <c r="L1149" s="117"/>
      <c r="M1149" s="117"/>
      <c r="N1149" s="117"/>
      <c r="O1149" s="117"/>
      <c r="P1149" s="117"/>
      <c r="Q1149" s="117"/>
      <c r="R1149" s="117"/>
      <c r="S1149" s="117"/>
      <c r="T1149" s="117"/>
      <c r="U1149" s="117"/>
      <c r="V1149" s="117"/>
      <c r="W1149" s="117"/>
      <c r="X1149" s="117"/>
      <c r="Y1149" s="117"/>
      <c r="Z1149" s="117"/>
      <c r="AA1149" s="117"/>
      <c r="AB1149" s="117"/>
      <c r="AC1149" s="117"/>
      <c r="AD1149" s="22"/>
      <c r="AE1149" s="22"/>
    </row>
    <row r="1150" spans="1:31" s="11" customFormat="1" hidden="1" outlineLevel="2" x14ac:dyDescent="0.2">
      <c r="A1150" s="22"/>
      <c r="B1150" s="148"/>
      <c r="C1150" s="22"/>
      <c r="D1150" s="22"/>
      <c r="E1150" s="22"/>
      <c r="F1150" s="117"/>
      <c r="G1150" s="117"/>
      <c r="H1150" s="117"/>
      <c r="I1150" s="117"/>
      <c r="J1150" s="117"/>
      <c r="K1150" s="117"/>
      <c r="L1150" s="117"/>
      <c r="M1150" s="117"/>
      <c r="N1150" s="117"/>
      <c r="O1150" s="117"/>
      <c r="P1150" s="117"/>
      <c r="Q1150" s="117"/>
      <c r="R1150" s="117"/>
      <c r="S1150" s="117"/>
      <c r="T1150" s="117"/>
      <c r="U1150" s="117"/>
      <c r="V1150" s="117"/>
      <c r="W1150" s="117"/>
      <c r="X1150" s="117"/>
      <c r="Y1150" s="117"/>
      <c r="Z1150" s="117"/>
      <c r="AA1150" s="117"/>
      <c r="AB1150" s="117"/>
      <c r="AC1150" s="117"/>
      <c r="AD1150" s="22"/>
      <c r="AE1150" s="22"/>
    </row>
    <row r="1151" spans="1:31" s="11" customFormat="1" hidden="1" outlineLevel="2" x14ac:dyDescent="0.2">
      <c r="A1151" s="22"/>
      <c r="B1151" s="148"/>
      <c r="C1151" s="22"/>
      <c r="D1151" s="22"/>
      <c r="E1151" s="22"/>
      <c r="F1151" s="117"/>
      <c r="G1151" s="117"/>
      <c r="H1151" s="117"/>
      <c r="I1151" s="117"/>
      <c r="J1151" s="117"/>
      <c r="K1151" s="117"/>
      <c r="L1151" s="117"/>
      <c r="M1151" s="117"/>
      <c r="N1151" s="117"/>
      <c r="O1151" s="117"/>
      <c r="P1151" s="117"/>
      <c r="Q1151" s="117"/>
      <c r="R1151" s="117"/>
      <c r="S1151" s="117"/>
      <c r="T1151" s="117"/>
      <c r="U1151" s="117"/>
      <c r="V1151" s="117"/>
      <c r="W1151" s="117"/>
      <c r="X1151" s="117"/>
      <c r="Y1151" s="117"/>
      <c r="Z1151" s="117"/>
      <c r="AA1151" s="117"/>
      <c r="AB1151" s="117"/>
      <c r="AC1151" s="117"/>
      <c r="AD1151" s="22"/>
      <c r="AE1151" s="22"/>
    </row>
    <row r="1152" spans="1:31" s="11" customFormat="1" hidden="1" outlineLevel="2" x14ac:dyDescent="0.2">
      <c r="A1152" s="22"/>
      <c r="B1152" s="148"/>
      <c r="C1152" s="22"/>
      <c r="D1152" s="22"/>
      <c r="E1152" s="22"/>
      <c r="F1152" s="117"/>
      <c r="G1152" s="117"/>
      <c r="H1152" s="117"/>
      <c r="I1152" s="117"/>
      <c r="J1152" s="117"/>
      <c r="K1152" s="117"/>
      <c r="L1152" s="117"/>
      <c r="M1152" s="117"/>
      <c r="N1152" s="117"/>
      <c r="O1152" s="117"/>
      <c r="P1152" s="117"/>
      <c r="Q1152" s="117"/>
      <c r="R1152" s="117"/>
      <c r="S1152" s="117"/>
      <c r="T1152" s="117"/>
      <c r="U1152" s="117"/>
      <c r="V1152" s="117"/>
      <c r="W1152" s="117"/>
      <c r="X1152" s="117"/>
      <c r="Y1152" s="117"/>
      <c r="Z1152" s="117"/>
      <c r="AA1152" s="117"/>
      <c r="AB1152" s="117"/>
      <c r="AC1152" s="117"/>
      <c r="AD1152" s="22"/>
      <c r="AE1152" s="22"/>
    </row>
    <row r="1153" spans="1:31" s="11" customFormat="1" hidden="1" outlineLevel="2" x14ac:dyDescent="0.2">
      <c r="A1153" s="22"/>
      <c r="B1153" s="148"/>
      <c r="C1153" s="22"/>
      <c r="D1153" s="22"/>
      <c r="E1153" s="22"/>
      <c r="F1153" s="117"/>
      <c r="G1153" s="117"/>
      <c r="H1153" s="117"/>
      <c r="I1153" s="117"/>
      <c r="J1153" s="117"/>
      <c r="K1153" s="117"/>
      <c r="L1153" s="117"/>
      <c r="M1153" s="117"/>
      <c r="N1153" s="117"/>
      <c r="O1153" s="117"/>
      <c r="P1153" s="117"/>
      <c r="Q1153" s="117"/>
      <c r="R1153" s="117"/>
      <c r="S1153" s="117"/>
      <c r="T1153" s="117"/>
      <c r="U1153" s="117"/>
      <c r="V1153" s="117"/>
      <c r="W1153" s="117"/>
      <c r="X1153" s="117"/>
      <c r="Y1153" s="117"/>
      <c r="Z1153" s="117"/>
      <c r="AA1153" s="117"/>
      <c r="AB1153" s="117"/>
      <c r="AC1153" s="117"/>
      <c r="AD1153" s="22"/>
      <c r="AE1153" s="22"/>
    </row>
    <row r="1154" spans="1:31" s="11" customFormat="1" hidden="1" outlineLevel="2" x14ac:dyDescent="0.2">
      <c r="A1154" s="22"/>
      <c r="B1154" s="148"/>
      <c r="C1154" s="22"/>
      <c r="D1154" s="22"/>
      <c r="E1154" s="22"/>
      <c r="F1154" s="117"/>
      <c r="G1154" s="117"/>
      <c r="H1154" s="117"/>
      <c r="I1154" s="117"/>
      <c r="J1154" s="117"/>
      <c r="K1154" s="117"/>
      <c r="L1154" s="117"/>
      <c r="M1154" s="117"/>
      <c r="N1154" s="117"/>
      <c r="O1154" s="117"/>
      <c r="P1154" s="117"/>
      <c r="Q1154" s="117"/>
      <c r="R1154" s="117"/>
      <c r="S1154" s="117"/>
      <c r="T1154" s="117"/>
      <c r="U1154" s="117"/>
      <c r="V1154" s="117"/>
      <c r="W1154" s="117"/>
      <c r="X1154" s="117"/>
      <c r="Y1154" s="117"/>
      <c r="Z1154" s="117"/>
      <c r="AA1154" s="117"/>
      <c r="AB1154" s="117"/>
      <c r="AC1154" s="117"/>
      <c r="AD1154" s="22"/>
      <c r="AE1154" s="22"/>
    </row>
    <row r="1155" spans="1:31" s="11" customFormat="1" hidden="1" outlineLevel="2" x14ac:dyDescent="0.2">
      <c r="A1155" s="22"/>
      <c r="B1155" s="148"/>
      <c r="C1155" s="22"/>
      <c r="D1155" s="22"/>
      <c r="E1155" s="22"/>
      <c r="F1155" s="117"/>
      <c r="G1155" s="117"/>
      <c r="H1155" s="117"/>
      <c r="I1155" s="117"/>
      <c r="J1155" s="117"/>
      <c r="K1155" s="117"/>
      <c r="L1155" s="117"/>
      <c r="M1155" s="117"/>
      <c r="N1155" s="117"/>
      <c r="O1155" s="117"/>
      <c r="P1155" s="117"/>
      <c r="Q1155" s="117"/>
      <c r="R1155" s="117"/>
      <c r="S1155" s="117"/>
      <c r="T1155" s="117"/>
      <c r="U1155" s="117"/>
      <c r="V1155" s="117"/>
      <c r="W1155" s="117"/>
      <c r="X1155" s="117"/>
      <c r="Y1155" s="117"/>
      <c r="Z1155" s="117"/>
      <c r="AA1155" s="117"/>
      <c r="AB1155" s="117"/>
      <c r="AC1155" s="117"/>
      <c r="AD1155" s="22"/>
      <c r="AE1155" s="22"/>
    </row>
    <row r="1156" spans="1:31" s="11" customFormat="1" hidden="1" outlineLevel="2" x14ac:dyDescent="0.2">
      <c r="A1156" s="22"/>
      <c r="B1156" s="148"/>
      <c r="C1156" s="22"/>
      <c r="D1156" s="22"/>
      <c r="E1156" s="22"/>
      <c r="F1156" s="117"/>
      <c r="G1156" s="117"/>
      <c r="H1156" s="117"/>
      <c r="I1156" s="117"/>
      <c r="J1156" s="117"/>
      <c r="K1156" s="117"/>
      <c r="L1156" s="117"/>
      <c r="M1156" s="117"/>
      <c r="N1156" s="117"/>
      <c r="O1156" s="117"/>
      <c r="P1156" s="117"/>
      <c r="Q1156" s="117"/>
      <c r="R1156" s="117"/>
      <c r="S1156" s="117"/>
      <c r="T1156" s="117"/>
      <c r="U1156" s="117"/>
      <c r="V1156" s="117"/>
      <c r="W1156" s="117"/>
      <c r="X1156" s="117"/>
      <c r="Y1156" s="117"/>
      <c r="Z1156" s="117"/>
      <c r="AA1156" s="117"/>
      <c r="AB1156" s="117"/>
      <c r="AC1156" s="117"/>
      <c r="AD1156" s="22"/>
      <c r="AE1156" s="22"/>
    </row>
    <row r="1157" spans="1:31" s="11" customFormat="1" hidden="1" outlineLevel="2" x14ac:dyDescent="0.2">
      <c r="A1157" s="22"/>
      <c r="B1157" s="148"/>
      <c r="C1157" s="22"/>
      <c r="D1157" s="22"/>
      <c r="E1157" s="22"/>
      <c r="F1157" s="117"/>
      <c r="G1157" s="117"/>
      <c r="H1157" s="117"/>
      <c r="I1157" s="117"/>
      <c r="J1157" s="117"/>
      <c r="K1157" s="117"/>
      <c r="L1157" s="117"/>
      <c r="M1157" s="117"/>
      <c r="N1157" s="117"/>
      <c r="O1157" s="117"/>
      <c r="P1157" s="117"/>
      <c r="Q1157" s="117"/>
      <c r="R1157" s="117"/>
      <c r="S1157" s="117"/>
      <c r="T1157" s="117"/>
      <c r="U1157" s="117"/>
      <c r="V1157" s="117"/>
      <c r="W1157" s="117"/>
      <c r="X1157" s="117"/>
      <c r="Y1157" s="117"/>
      <c r="Z1157" s="117"/>
      <c r="AA1157" s="117"/>
      <c r="AB1157" s="117"/>
      <c r="AC1157" s="117"/>
      <c r="AD1157" s="22"/>
      <c r="AE1157" s="22"/>
    </row>
    <row r="1158" spans="1:31" s="11" customFormat="1" hidden="1" outlineLevel="2" x14ac:dyDescent="0.2">
      <c r="A1158" s="22"/>
      <c r="B1158" s="148"/>
      <c r="C1158" s="22"/>
      <c r="D1158" s="22"/>
      <c r="E1158" s="22"/>
      <c r="F1158" s="117"/>
      <c r="G1158" s="117"/>
      <c r="H1158" s="117"/>
      <c r="I1158" s="117"/>
      <c r="J1158" s="117"/>
      <c r="K1158" s="117"/>
      <c r="L1158" s="117"/>
      <c r="M1158" s="117"/>
      <c r="N1158" s="117"/>
      <c r="O1158" s="117"/>
      <c r="P1158" s="117"/>
      <c r="Q1158" s="117"/>
      <c r="R1158" s="117"/>
      <c r="S1158" s="117"/>
      <c r="T1158" s="117"/>
      <c r="U1158" s="117"/>
      <c r="V1158" s="117"/>
      <c r="W1158" s="117"/>
      <c r="X1158" s="117"/>
      <c r="Y1158" s="117"/>
      <c r="Z1158" s="117"/>
      <c r="AA1158" s="117"/>
      <c r="AB1158" s="117"/>
      <c r="AC1158" s="117"/>
      <c r="AD1158" s="22"/>
      <c r="AE1158" s="22"/>
    </row>
    <row r="1159" spans="1:31" s="11" customFormat="1" hidden="1" outlineLevel="2" x14ac:dyDescent="0.2">
      <c r="A1159" s="22"/>
      <c r="B1159" s="148"/>
      <c r="C1159" s="22"/>
      <c r="D1159" s="22"/>
      <c r="E1159" s="22"/>
      <c r="F1159" s="117"/>
      <c r="G1159" s="117"/>
      <c r="H1159" s="117"/>
      <c r="I1159" s="117"/>
      <c r="J1159" s="117"/>
      <c r="K1159" s="117"/>
      <c r="L1159" s="117"/>
      <c r="M1159" s="117"/>
      <c r="N1159" s="117"/>
      <c r="O1159" s="117"/>
      <c r="P1159" s="117"/>
      <c r="Q1159" s="117"/>
      <c r="R1159" s="117"/>
      <c r="S1159" s="117"/>
      <c r="T1159" s="117"/>
      <c r="U1159" s="117"/>
      <c r="V1159" s="117"/>
      <c r="W1159" s="117"/>
      <c r="X1159" s="117"/>
      <c r="Y1159" s="117"/>
      <c r="Z1159" s="117"/>
      <c r="AA1159" s="117"/>
      <c r="AB1159" s="117"/>
      <c r="AC1159" s="117"/>
      <c r="AD1159" s="22"/>
      <c r="AE1159" s="22"/>
    </row>
    <row r="1160" spans="1:31" s="11" customFormat="1" hidden="1" outlineLevel="2" x14ac:dyDescent="0.2">
      <c r="A1160" s="22"/>
      <c r="B1160" s="148"/>
      <c r="C1160" s="22"/>
      <c r="D1160" s="22"/>
      <c r="E1160" s="22"/>
      <c r="F1160" s="117"/>
      <c r="G1160" s="117"/>
      <c r="H1160" s="117"/>
      <c r="I1160" s="117"/>
      <c r="J1160" s="117"/>
      <c r="K1160" s="117"/>
      <c r="L1160" s="117"/>
      <c r="M1160" s="117"/>
      <c r="N1160" s="117"/>
      <c r="O1160" s="117"/>
      <c r="P1160" s="117"/>
      <c r="Q1160" s="117"/>
      <c r="R1160" s="117"/>
      <c r="S1160" s="117"/>
      <c r="T1160" s="117"/>
      <c r="U1160" s="117"/>
      <c r="V1160" s="117"/>
      <c r="W1160" s="117"/>
      <c r="X1160" s="117"/>
      <c r="Y1160" s="117"/>
      <c r="Z1160" s="117"/>
      <c r="AA1160" s="117"/>
      <c r="AB1160" s="117"/>
      <c r="AC1160" s="117"/>
      <c r="AD1160" s="22"/>
      <c r="AE1160" s="22"/>
    </row>
    <row r="1161" spans="1:31" s="11" customFormat="1" hidden="1" outlineLevel="2" x14ac:dyDescent="0.2">
      <c r="A1161" s="22"/>
      <c r="B1161" s="148"/>
      <c r="C1161" s="22"/>
      <c r="D1161" s="22"/>
      <c r="E1161" s="22"/>
      <c r="F1161" s="117"/>
      <c r="G1161" s="117"/>
      <c r="H1161" s="117"/>
      <c r="I1161" s="117"/>
      <c r="J1161" s="117"/>
      <c r="K1161" s="117"/>
      <c r="L1161" s="117"/>
      <c r="M1161" s="117"/>
      <c r="N1161" s="117"/>
      <c r="O1161" s="117"/>
      <c r="P1161" s="117"/>
      <c r="Q1161" s="117"/>
      <c r="R1161" s="117"/>
      <c r="S1161" s="117"/>
      <c r="T1161" s="117"/>
      <c r="U1161" s="117"/>
      <c r="V1161" s="117"/>
      <c r="W1161" s="117"/>
      <c r="X1161" s="117"/>
      <c r="Y1161" s="117"/>
      <c r="Z1161" s="117"/>
      <c r="AA1161" s="117"/>
      <c r="AB1161" s="117"/>
      <c r="AC1161" s="117"/>
      <c r="AD1161" s="22"/>
      <c r="AE1161" s="22"/>
    </row>
    <row r="1162" spans="1:31" s="11" customFormat="1" hidden="1" outlineLevel="2" x14ac:dyDescent="0.2">
      <c r="A1162" s="22"/>
      <c r="B1162" s="148"/>
      <c r="C1162" s="22"/>
      <c r="D1162" s="22"/>
      <c r="E1162" s="22"/>
      <c r="F1162" s="117"/>
      <c r="G1162" s="117"/>
      <c r="H1162" s="117"/>
      <c r="I1162" s="117"/>
      <c r="J1162" s="117"/>
      <c r="K1162" s="117"/>
      <c r="L1162" s="117"/>
      <c r="M1162" s="117"/>
      <c r="N1162" s="117"/>
      <c r="O1162" s="117"/>
      <c r="P1162" s="117"/>
      <c r="Q1162" s="117"/>
      <c r="R1162" s="117"/>
      <c r="S1162" s="117"/>
      <c r="T1162" s="117"/>
      <c r="U1162" s="117"/>
      <c r="V1162" s="117"/>
      <c r="W1162" s="117"/>
      <c r="X1162" s="117"/>
      <c r="Y1162" s="117"/>
      <c r="Z1162" s="117"/>
      <c r="AA1162" s="117"/>
      <c r="AB1162" s="117"/>
      <c r="AC1162" s="117"/>
      <c r="AD1162" s="22"/>
      <c r="AE1162" s="22"/>
    </row>
    <row r="1163" spans="1:31" s="11" customFormat="1" hidden="1" outlineLevel="1" x14ac:dyDescent="0.2">
      <c r="A1163" s="22"/>
      <c r="B1163" s="148"/>
      <c r="C1163" s="22"/>
      <c r="D1163" s="22"/>
      <c r="E1163" s="22"/>
      <c r="F1163" s="117"/>
      <c r="G1163" s="117"/>
      <c r="H1163" s="117"/>
      <c r="I1163" s="117"/>
      <c r="J1163" s="117"/>
      <c r="K1163" s="117"/>
      <c r="L1163" s="117"/>
      <c r="M1163" s="117"/>
      <c r="N1163" s="117"/>
      <c r="O1163" s="117"/>
      <c r="P1163" s="117"/>
      <c r="Q1163" s="117"/>
      <c r="R1163" s="117"/>
      <c r="S1163" s="117"/>
      <c r="T1163" s="117"/>
      <c r="U1163" s="117"/>
      <c r="V1163" s="117"/>
      <c r="W1163" s="117"/>
      <c r="X1163" s="117"/>
      <c r="Y1163" s="117"/>
      <c r="Z1163" s="117"/>
      <c r="AA1163" s="117"/>
      <c r="AB1163" s="117"/>
      <c r="AC1163" s="117"/>
      <c r="AD1163" s="22"/>
      <c r="AE1163" s="22"/>
    </row>
    <row r="1164" spans="1:31" hidden="1" outlineLevel="1" x14ac:dyDescent="0.2"/>
    <row r="1165" spans="1:31" s="4" customFormat="1" ht="15.95" customHeight="1" thickTop="1" thickBot="1" x14ac:dyDescent="0.25">
      <c r="A1165" s="165" t="str">
        <f ca="1">Language!A$691</f>
        <v xml:space="preserve">         СВОДНЫЙ ОТЧЕТ ОБ ИНВЕСТИЦИЯХ В ПРОЕКТ</v>
      </c>
      <c r="B1165" s="165"/>
      <c r="C1165" s="165"/>
      <c r="D1165" s="165"/>
      <c r="E1165" s="165"/>
      <c r="F1165" s="177" t="str">
        <f t="shared" ref="F1165:AC1165" ca="1" si="3492">PeriodTitle</f>
        <v>1 кв. 2016</v>
      </c>
      <c r="G1165" s="177" t="str">
        <f t="shared" ca="1" si="3492"/>
        <v>2 кв. 2016</v>
      </c>
      <c r="H1165" s="177" t="str">
        <f t="shared" ca="1" si="3492"/>
        <v>3 кв. 2016</v>
      </c>
      <c r="I1165" s="177" t="str">
        <f t="shared" ca="1" si="3492"/>
        <v>4 кв. 2016</v>
      </c>
      <c r="J1165" s="177" t="str">
        <f t="shared" ca="1" si="3492"/>
        <v>1 кв. 2017</v>
      </c>
      <c r="K1165" s="177" t="str">
        <f t="shared" ca="1" si="3492"/>
        <v>2 кв. 2017</v>
      </c>
      <c r="L1165" s="177" t="str">
        <f t="shared" ca="1" si="3492"/>
        <v>3 кв. 2017</v>
      </c>
      <c r="M1165" s="177" t="str">
        <f t="shared" ca="1" si="3492"/>
        <v>4 кв. 2017</v>
      </c>
      <c r="N1165" s="177" t="str">
        <f t="shared" ca="1" si="3492"/>
        <v>1 кв. 2018</v>
      </c>
      <c r="O1165" s="177" t="str">
        <f t="shared" ca="1" si="3492"/>
        <v>2 кв. 2018</v>
      </c>
      <c r="P1165" s="177" t="str">
        <f t="shared" ca="1" si="3492"/>
        <v>3 кв. 2018</v>
      </c>
      <c r="Q1165" s="177" t="str">
        <f t="shared" ca="1" si="3492"/>
        <v>4 кв. 2018</v>
      </c>
      <c r="R1165" s="177" t="str">
        <f t="shared" ca="1" si="3492"/>
        <v>1 кв. 2019</v>
      </c>
      <c r="S1165" s="177" t="str">
        <f t="shared" ca="1" si="3492"/>
        <v>2 кв. 2019</v>
      </c>
      <c r="T1165" s="177" t="str">
        <f t="shared" ca="1" si="3492"/>
        <v>3 кв. 2019</v>
      </c>
      <c r="U1165" s="177" t="str">
        <f t="shared" ca="1" si="3492"/>
        <v>4 кв. 2019</v>
      </c>
      <c r="V1165" s="177" t="str">
        <f t="shared" ca="1" si="3492"/>
        <v>1 кв. 2020</v>
      </c>
      <c r="W1165" s="177" t="str">
        <f t="shared" ca="1" si="3492"/>
        <v>2 кв. 2020</v>
      </c>
      <c r="X1165" s="177" t="str">
        <f t="shared" ca="1" si="3492"/>
        <v>3 кв. 2020</v>
      </c>
      <c r="Y1165" s="177" t="str">
        <f t="shared" ca="1" si="3492"/>
        <v>4 кв. 2020</v>
      </c>
      <c r="Z1165" s="177" t="str">
        <f t="shared" ca="1" si="3492"/>
        <v>1 кв. 2021</v>
      </c>
      <c r="AA1165" s="177" t="str">
        <f t="shared" ca="1" si="3492"/>
        <v>2 кв. 2021</v>
      </c>
      <c r="AB1165" s="177" t="str">
        <f t="shared" ca="1" si="3492"/>
        <v>3 кв. 2021</v>
      </c>
      <c r="AC1165" s="177" t="str">
        <f t="shared" ca="1" si="3492"/>
        <v>4 кв. 2021</v>
      </c>
      <c r="AD1165" s="165"/>
      <c r="AE1165" s="194" t="str">
        <f ca="1">Language!A$372</f>
        <v>ИТОГО</v>
      </c>
    </row>
    <row r="1166" spans="1:31" ht="12" outlineLevel="1" thickTop="1" x14ac:dyDescent="0.2"/>
    <row r="1167" spans="1:31" outlineLevel="1" x14ac:dyDescent="0.2">
      <c r="A1167" s="35" t="str">
        <f ca="1">Language!A$692</f>
        <v>Потребность в инвестициях</v>
      </c>
      <c r="C1167" s="5" t="str">
        <f ca="1">CUR_Report</f>
        <v>тыс. EUR</v>
      </c>
      <c r="F1167" s="58">
        <f t="shared" ref="F1167:T1167" ca="1" si="3493">SUM(F1169:F1175)</f>
        <v>0</v>
      </c>
      <c r="G1167" s="58">
        <f t="shared" ca="1" si="3493"/>
        <v>0</v>
      </c>
      <c r="H1167" s="58">
        <f t="shared" ca="1" si="3493"/>
        <v>5695.3855543220343</v>
      </c>
      <c r="I1167" s="58">
        <f t="shared" ca="1" si="3493"/>
        <v>1519.56</v>
      </c>
      <c r="J1167" s="58">
        <f t="shared" ca="1" si="3493"/>
        <v>7024.8891971793519</v>
      </c>
      <c r="K1167" s="58">
        <f t="shared" ca="1" si="3493"/>
        <v>2883.7623677660667</v>
      </c>
      <c r="L1167" s="58">
        <f t="shared" ca="1" si="3493"/>
        <v>5.6843418860808015E-14</v>
      </c>
      <c r="M1167" s="58">
        <f t="shared" ca="1" si="3493"/>
        <v>0</v>
      </c>
      <c r="N1167" s="58">
        <f t="shared" ca="1" si="3493"/>
        <v>-47.90430408785906</v>
      </c>
      <c r="O1167" s="58">
        <f t="shared" ca="1" si="3493"/>
        <v>-41.655454582366474</v>
      </c>
      <c r="P1167" s="58">
        <f t="shared" ca="1" si="3493"/>
        <v>0</v>
      </c>
      <c r="Q1167" s="58">
        <f t="shared" ca="1" si="3493"/>
        <v>0</v>
      </c>
      <c r="R1167" s="58">
        <f t="shared" ca="1" si="3493"/>
        <v>0</v>
      </c>
      <c r="S1167" s="58">
        <f t="shared" ca="1" si="3493"/>
        <v>0</v>
      </c>
      <c r="T1167" s="58">
        <f t="shared" ca="1" si="3493"/>
        <v>0</v>
      </c>
      <c r="U1167" s="58">
        <f t="shared" ref="U1167" ca="1" si="3494">SUM(U1169:U1175)</f>
        <v>0</v>
      </c>
      <c r="V1167" s="58">
        <f t="shared" ref="V1167" ca="1" si="3495">SUM(V1169:V1175)</f>
        <v>0</v>
      </c>
      <c r="W1167" s="58">
        <f t="shared" ref="W1167" ca="1" si="3496">SUM(W1169:W1175)</f>
        <v>0</v>
      </c>
      <c r="X1167" s="58">
        <f t="shared" ref="X1167" ca="1" si="3497">SUM(X1169:X1175)</f>
        <v>0</v>
      </c>
      <c r="Y1167" s="58">
        <f t="shared" ref="Y1167" ca="1" si="3498">SUM(Y1169:Y1175)</f>
        <v>0</v>
      </c>
      <c r="Z1167" s="58">
        <f t="shared" ref="Z1167" ca="1" si="3499">SUM(Z1169:Z1175)</f>
        <v>0</v>
      </c>
      <c r="AA1167" s="58">
        <f t="shared" ref="AA1167" ca="1" si="3500">SUM(AA1169:AA1175)</f>
        <v>0</v>
      </c>
      <c r="AB1167" s="58">
        <f t="shared" ref="AB1167:AC1167" ca="1" si="3501">SUM(AB1169:AB1175)</f>
        <v>0</v>
      </c>
      <c r="AC1167" s="58">
        <f t="shared" ca="1" si="3501"/>
        <v>0</v>
      </c>
      <c r="AD1167" s="43"/>
      <c r="AE1167" s="57">
        <f ca="1">SUM(F1167:AC1167)</f>
        <v>17034.037360597224</v>
      </c>
    </row>
    <row r="1168" spans="1:31" outlineLevel="1" x14ac:dyDescent="0.2">
      <c r="F1168" s="43"/>
      <c r="G1168" s="43"/>
      <c r="H1168" s="43"/>
      <c r="I1168" s="43"/>
      <c r="J1168" s="43"/>
      <c r="K1168" s="43"/>
      <c r="L1168" s="43"/>
      <c r="M1168" s="43"/>
      <c r="N1168" s="43"/>
      <c r="O1168" s="43"/>
      <c r="P1168" s="43"/>
      <c r="Q1168" s="43"/>
      <c r="R1168" s="43"/>
      <c r="S1168" s="43"/>
      <c r="T1168" s="43"/>
      <c r="U1168" s="43"/>
      <c r="V1168" s="43"/>
      <c r="W1168" s="43"/>
      <c r="X1168" s="43"/>
      <c r="Y1168" s="43"/>
      <c r="Z1168" s="43"/>
      <c r="AA1168" s="43"/>
      <c r="AB1168" s="43"/>
      <c r="AC1168" s="43"/>
      <c r="AD1168" s="43"/>
      <c r="AE1168" s="54"/>
    </row>
    <row r="1169" spans="1:31" outlineLevel="1" x14ac:dyDescent="0.2">
      <c r="A1169" t="str">
        <f ca="1">Language!A$696</f>
        <v>Инвестиции в здания и сооружения</v>
      </c>
      <c r="C1169" s="5" t="str">
        <f t="shared" ref="C1169:C1175" ca="1" si="3502">CUR_Report</f>
        <v>тыс. EUR</v>
      </c>
      <c r="F1169" s="43">
        <f t="shared" ref="F1169:X1169" si="3503">F559/IF(CUR_I_Report=2,F$88,1)</f>
        <v>0</v>
      </c>
      <c r="G1169" s="43">
        <f t="shared" si="3503"/>
        <v>0</v>
      </c>
      <c r="H1169" s="43">
        <f t="shared" si="3503"/>
        <v>1519.56</v>
      </c>
      <c r="I1169" s="43">
        <f t="shared" si="3503"/>
        <v>1519.56</v>
      </c>
      <c r="J1169" s="43">
        <f t="shared" si="3503"/>
        <v>0</v>
      </c>
      <c r="K1169" s="43">
        <f t="shared" si="3503"/>
        <v>0</v>
      </c>
      <c r="L1169" s="43">
        <f t="shared" si="3503"/>
        <v>0</v>
      </c>
      <c r="M1169" s="43">
        <f t="shared" si="3503"/>
        <v>0</v>
      </c>
      <c r="N1169" s="43">
        <f t="shared" si="3503"/>
        <v>0</v>
      </c>
      <c r="O1169" s="43">
        <f t="shared" si="3503"/>
        <v>0</v>
      </c>
      <c r="P1169" s="43">
        <f t="shared" si="3503"/>
        <v>0</v>
      </c>
      <c r="Q1169" s="43">
        <f t="shared" si="3503"/>
        <v>0</v>
      </c>
      <c r="R1169" s="43">
        <f t="shared" si="3503"/>
        <v>0</v>
      </c>
      <c r="S1169" s="43">
        <f t="shared" si="3503"/>
        <v>0</v>
      </c>
      <c r="T1169" s="43">
        <f t="shared" si="3503"/>
        <v>0</v>
      </c>
      <c r="U1169" s="43">
        <f t="shared" si="3503"/>
        <v>0</v>
      </c>
      <c r="V1169" s="43">
        <f t="shared" si="3503"/>
        <v>0</v>
      </c>
      <c r="W1169" s="43">
        <f t="shared" si="3503"/>
        <v>0</v>
      </c>
      <c r="X1169" s="43">
        <f t="shared" si="3503"/>
        <v>0</v>
      </c>
      <c r="Y1169" s="43">
        <f t="shared" ref="Y1169" si="3504">Y559/IF(CUR_I_Report=2,Y$88,1)</f>
        <v>0</v>
      </c>
      <c r="Z1169" s="43">
        <f t="shared" ref="Z1169" si="3505">Z559/IF(CUR_I_Report=2,Z$88,1)</f>
        <v>0</v>
      </c>
      <c r="AA1169" s="43">
        <f t="shared" ref="AA1169" si="3506">AA559/IF(CUR_I_Report=2,AA$88,1)</f>
        <v>0</v>
      </c>
      <c r="AB1169" s="43">
        <f t="shared" ref="AB1169:AC1169" si="3507">AB559/IF(CUR_I_Report=2,AB$88,1)</f>
        <v>0</v>
      </c>
      <c r="AC1169" s="43">
        <f t="shared" si="3507"/>
        <v>0</v>
      </c>
      <c r="AD1169" s="43"/>
      <c r="AE1169" s="54">
        <f t="shared" ref="AE1169:AE1175" si="3508">SUM(F1169:AC1169)</f>
        <v>3039.12</v>
      </c>
    </row>
    <row r="1170" spans="1:31" ht="12" customHeight="1" outlineLevel="1" x14ac:dyDescent="0.2">
      <c r="A1170" t="str">
        <f ca="1">Language!A$693</f>
        <v>Инвестиции в земельные участки</v>
      </c>
      <c r="C1170" s="5" t="str">
        <f t="shared" ca="1" si="3502"/>
        <v>тыс. EUR</v>
      </c>
      <c r="F1170" s="43">
        <f t="shared" ref="F1170:X1170" si="3509">F551/IF(CUR_I_Report=2,F$88,1)</f>
        <v>0</v>
      </c>
      <c r="G1170" s="43">
        <f t="shared" si="3509"/>
        <v>0</v>
      </c>
      <c r="H1170" s="43">
        <f t="shared" si="3509"/>
        <v>200</v>
      </c>
      <c r="I1170" s="43">
        <f t="shared" si="3509"/>
        <v>0</v>
      </c>
      <c r="J1170" s="43">
        <f t="shared" si="3509"/>
        <v>0</v>
      </c>
      <c r="K1170" s="43">
        <f t="shared" si="3509"/>
        <v>0</v>
      </c>
      <c r="L1170" s="43">
        <f t="shared" si="3509"/>
        <v>0</v>
      </c>
      <c r="M1170" s="43">
        <f t="shared" si="3509"/>
        <v>0</v>
      </c>
      <c r="N1170" s="43">
        <f t="shared" si="3509"/>
        <v>0</v>
      </c>
      <c r="O1170" s="43">
        <f t="shared" si="3509"/>
        <v>0</v>
      </c>
      <c r="P1170" s="43">
        <f t="shared" si="3509"/>
        <v>0</v>
      </c>
      <c r="Q1170" s="43">
        <f t="shared" si="3509"/>
        <v>0</v>
      </c>
      <c r="R1170" s="43">
        <f t="shared" si="3509"/>
        <v>0</v>
      </c>
      <c r="S1170" s="43">
        <f t="shared" si="3509"/>
        <v>0</v>
      </c>
      <c r="T1170" s="43">
        <f t="shared" si="3509"/>
        <v>0</v>
      </c>
      <c r="U1170" s="43">
        <f t="shared" si="3509"/>
        <v>0</v>
      </c>
      <c r="V1170" s="43">
        <f t="shared" si="3509"/>
        <v>0</v>
      </c>
      <c r="W1170" s="43">
        <f t="shared" si="3509"/>
        <v>0</v>
      </c>
      <c r="X1170" s="43">
        <f t="shared" si="3509"/>
        <v>0</v>
      </c>
      <c r="Y1170" s="43">
        <f t="shared" ref="Y1170" si="3510">Y551/IF(CUR_I_Report=2,Y$88,1)</f>
        <v>0</v>
      </c>
      <c r="Z1170" s="43">
        <f t="shared" ref="Z1170" si="3511">Z551/IF(CUR_I_Report=2,Z$88,1)</f>
        <v>0</v>
      </c>
      <c r="AA1170" s="43">
        <f t="shared" ref="AA1170" si="3512">AA551/IF(CUR_I_Report=2,AA$88,1)</f>
        <v>0</v>
      </c>
      <c r="AB1170" s="43">
        <f t="shared" ref="AB1170:AC1170" si="3513">AB551/IF(CUR_I_Report=2,AB$88,1)</f>
        <v>0</v>
      </c>
      <c r="AC1170" s="43">
        <f t="shared" si="3513"/>
        <v>0</v>
      </c>
      <c r="AD1170" s="43"/>
      <c r="AE1170" s="54">
        <f t="shared" si="3508"/>
        <v>200</v>
      </c>
    </row>
    <row r="1171" spans="1:31" outlineLevel="1" x14ac:dyDescent="0.2">
      <c r="A1171" t="str">
        <f ca="1">Language!A$694</f>
        <v>Инвестиции в нематериальные активы</v>
      </c>
      <c r="C1171" s="5" t="str">
        <f t="shared" ca="1" si="3502"/>
        <v>тыс. EUR</v>
      </c>
      <c r="F1171" s="43">
        <f t="shared" ref="F1171:X1171" si="3514">F586/IF(CUR_I_Report=2,F$88,1)</f>
        <v>0</v>
      </c>
      <c r="G1171" s="43">
        <f t="shared" si="3514"/>
        <v>0</v>
      </c>
      <c r="H1171" s="43">
        <f t="shared" si="3514"/>
        <v>100</v>
      </c>
      <c r="I1171" s="43">
        <f t="shared" si="3514"/>
        <v>0</v>
      </c>
      <c r="J1171" s="43">
        <f t="shared" si="3514"/>
        <v>0</v>
      </c>
      <c r="K1171" s="43">
        <f t="shared" si="3514"/>
        <v>0</v>
      </c>
      <c r="L1171" s="43">
        <f t="shared" si="3514"/>
        <v>0</v>
      </c>
      <c r="M1171" s="43">
        <f t="shared" si="3514"/>
        <v>0</v>
      </c>
      <c r="N1171" s="43">
        <f t="shared" si="3514"/>
        <v>0</v>
      </c>
      <c r="O1171" s="43">
        <f t="shared" si="3514"/>
        <v>0</v>
      </c>
      <c r="P1171" s="43">
        <f t="shared" si="3514"/>
        <v>0</v>
      </c>
      <c r="Q1171" s="43">
        <f t="shared" si="3514"/>
        <v>0</v>
      </c>
      <c r="R1171" s="43">
        <f t="shared" si="3514"/>
        <v>0</v>
      </c>
      <c r="S1171" s="43">
        <f t="shared" si="3514"/>
        <v>0</v>
      </c>
      <c r="T1171" s="43">
        <f t="shared" si="3514"/>
        <v>0</v>
      </c>
      <c r="U1171" s="43">
        <f t="shared" si="3514"/>
        <v>0</v>
      </c>
      <c r="V1171" s="43">
        <f t="shared" si="3514"/>
        <v>0</v>
      </c>
      <c r="W1171" s="43">
        <f t="shared" si="3514"/>
        <v>0</v>
      </c>
      <c r="X1171" s="43">
        <f t="shared" si="3514"/>
        <v>0</v>
      </c>
      <c r="Y1171" s="43">
        <f t="shared" ref="Y1171" si="3515">Y586/IF(CUR_I_Report=2,Y$88,1)</f>
        <v>0</v>
      </c>
      <c r="Z1171" s="43">
        <f t="shared" ref="Z1171" si="3516">Z586/IF(CUR_I_Report=2,Z$88,1)</f>
        <v>0</v>
      </c>
      <c r="AA1171" s="43">
        <f t="shared" ref="AA1171" si="3517">AA586/IF(CUR_I_Report=2,AA$88,1)</f>
        <v>0</v>
      </c>
      <c r="AB1171" s="43">
        <f t="shared" ref="AB1171:AC1171" si="3518">AB586/IF(CUR_I_Report=2,AB$88,1)</f>
        <v>0</v>
      </c>
      <c r="AC1171" s="43">
        <f t="shared" si="3518"/>
        <v>0</v>
      </c>
      <c r="AD1171" s="43"/>
      <c r="AE1171" s="54">
        <f t="shared" si="3508"/>
        <v>100</v>
      </c>
    </row>
    <row r="1172" spans="1:31" outlineLevel="1" x14ac:dyDescent="0.2">
      <c r="A1172" t="str">
        <f ca="1">Language!A$695</f>
        <v>Инвестиции в финансовые активы</v>
      </c>
      <c r="C1172" s="5" t="str">
        <f t="shared" ca="1" si="3502"/>
        <v>тыс. EUR</v>
      </c>
      <c r="F1172" s="43">
        <f t="shared" ref="F1172:X1172" si="3519">F598/IF(CUR_I_Report=2,F$88,1)</f>
        <v>0</v>
      </c>
      <c r="G1172" s="43">
        <f t="shared" si="3519"/>
        <v>0</v>
      </c>
      <c r="H1172" s="43">
        <f t="shared" si="3519"/>
        <v>0</v>
      </c>
      <c r="I1172" s="43">
        <f t="shared" si="3519"/>
        <v>0</v>
      </c>
      <c r="J1172" s="43">
        <f t="shared" si="3519"/>
        <v>0</v>
      </c>
      <c r="K1172" s="43">
        <f t="shared" si="3519"/>
        <v>0</v>
      </c>
      <c r="L1172" s="43">
        <f t="shared" si="3519"/>
        <v>0</v>
      </c>
      <c r="M1172" s="43">
        <f t="shared" si="3519"/>
        <v>0</v>
      </c>
      <c r="N1172" s="43">
        <f t="shared" si="3519"/>
        <v>0</v>
      </c>
      <c r="O1172" s="43">
        <f t="shared" si="3519"/>
        <v>0</v>
      </c>
      <c r="P1172" s="43">
        <f t="shared" si="3519"/>
        <v>0</v>
      </c>
      <c r="Q1172" s="43">
        <f t="shared" si="3519"/>
        <v>0</v>
      </c>
      <c r="R1172" s="43">
        <f t="shared" si="3519"/>
        <v>0</v>
      </c>
      <c r="S1172" s="43">
        <f t="shared" si="3519"/>
        <v>0</v>
      </c>
      <c r="T1172" s="43">
        <f t="shared" si="3519"/>
        <v>0</v>
      </c>
      <c r="U1172" s="43">
        <f t="shared" si="3519"/>
        <v>0</v>
      </c>
      <c r="V1172" s="43">
        <f t="shared" si="3519"/>
        <v>0</v>
      </c>
      <c r="W1172" s="43">
        <f t="shared" si="3519"/>
        <v>0</v>
      </c>
      <c r="X1172" s="43">
        <f t="shared" si="3519"/>
        <v>0</v>
      </c>
      <c r="Y1172" s="43">
        <f t="shared" ref="Y1172" si="3520">Y598/IF(CUR_I_Report=2,Y$88,1)</f>
        <v>0</v>
      </c>
      <c r="Z1172" s="43">
        <f t="shared" ref="Z1172" si="3521">Z598/IF(CUR_I_Report=2,Z$88,1)</f>
        <v>0</v>
      </c>
      <c r="AA1172" s="43">
        <f t="shared" ref="AA1172" si="3522">AA598/IF(CUR_I_Report=2,AA$88,1)</f>
        <v>0</v>
      </c>
      <c r="AB1172" s="43">
        <f t="shared" ref="AB1172:AC1172" si="3523">AB598/IF(CUR_I_Report=2,AB$88,1)</f>
        <v>0</v>
      </c>
      <c r="AC1172" s="43">
        <f t="shared" si="3523"/>
        <v>0</v>
      </c>
      <c r="AD1172" s="43"/>
      <c r="AE1172" s="54">
        <f t="shared" si="3508"/>
        <v>0</v>
      </c>
    </row>
    <row r="1173" spans="1:31" outlineLevel="1" x14ac:dyDescent="0.2">
      <c r="A1173" t="str">
        <f ca="1">Language!A$697</f>
        <v>Инвестиции в оборудование и прочие активы</v>
      </c>
      <c r="C1173" s="5" t="str">
        <f t="shared" ca="1" si="3502"/>
        <v>тыс. EUR</v>
      </c>
      <c r="F1173" s="43">
        <f t="shared" ref="F1173:X1173" si="3524">F573/IF(CUR_I_Report=2,F$88,1)</f>
        <v>0</v>
      </c>
      <c r="G1173" s="43">
        <f t="shared" si="3524"/>
        <v>0</v>
      </c>
      <c r="H1173" s="43">
        <f t="shared" si="3524"/>
        <v>3875.8255543220339</v>
      </c>
      <c r="I1173" s="43">
        <f t="shared" si="3524"/>
        <v>0</v>
      </c>
      <c r="J1173" s="43">
        <f t="shared" si="3524"/>
        <v>6850.2918126355935</v>
      </c>
      <c r="K1173" s="43">
        <f t="shared" si="3524"/>
        <v>2583.8837028813559</v>
      </c>
      <c r="L1173" s="43">
        <f t="shared" si="3524"/>
        <v>0</v>
      </c>
      <c r="M1173" s="43">
        <f t="shared" si="3524"/>
        <v>0</v>
      </c>
      <c r="N1173" s="43">
        <f t="shared" si="3524"/>
        <v>0</v>
      </c>
      <c r="O1173" s="43">
        <f t="shared" si="3524"/>
        <v>0</v>
      </c>
      <c r="P1173" s="43">
        <f t="shared" si="3524"/>
        <v>0</v>
      </c>
      <c r="Q1173" s="43">
        <f t="shared" si="3524"/>
        <v>0</v>
      </c>
      <c r="R1173" s="43">
        <f t="shared" si="3524"/>
        <v>0</v>
      </c>
      <c r="S1173" s="43">
        <f t="shared" si="3524"/>
        <v>0</v>
      </c>
      <c r="T1173" s="43">
        <f t="shared" si="3524"/>
        <v>0</v>
      </c>
      <c r="U1173" s="43">
        <f t="shared" si="3524"/>
        <v>0</v>
      </c>
      <c r="V1173" s="43">
        <f t="shared" si="3524"/>
        <v>0</v>
      </c>
      <c r="W1173" s="43">
        <f t="shared" si="3524"/>
        <v>0</v>
      </c>
      <c r="X1173" s="43">
        <f t="shared" si="3524"/>
        <v>0</v>
      </c>
      <c r="Y1173" s="43">
        <f t="shared" ref="Y1173" si="3525">Y573/IF(CUR_I_Report=2,Y$88,1)</f>
        <v>0</v>
      </c>
      <c r="Z1173" s="43">
        <f t="shared" ref="Z1173" si="3526">Z573/IF(CUR_I_Report=2,Z$88,1)</f>
        <v>0</v>
      </c>
      <c r="AA1173" s="43">
        <f t="shared" ref="AA1173" si="3527">AA573/IF(CUR_I_Report=2,AA$88,1)</f>
        <v>0</v>
      </c>
      <c r="AB1173" s="43">
        <f t="shared" ref="AB1173:AC1173" si="3528">AB573/IF(CUR_I_Report=2,AB$88,1)</f>
        <v>0</v>
      </c>
      <c r="AC1173" s="43">
        <f t="shared" si="3528"/>
        <v>0</v>
      </c>
      <c r="AD1173" s="43"/>
      <c r="AE1173" s="54">
        <f t="shared" si="3508"/>
        <v>13310.001069838983</v>
      </c>
    </row>
    <row r="1174" spans="1:31" outlineLevel="1" x14ac:dyDescent="0.2">
      <c r="A1174" t="str">
        <f ca="1">Language!A$699</f>
        <v>Оплата расходов будущих периодов</v>
      </c>
      <c r="C1174" s="5" t="str">
        <f t="shared" ca="1" si="3502"/>
        <v>тыс. EUR</v>
      </c>
      <c r="F1174" s="43">
        <f t="shared" ref="F1174:X1174" si="3529">F609/IF(CUR_I_Report=2,F$88,1)</f>
        <v>0</v>
      </c>
      <c r="G1174" s="43">
        <f t="shared" si="3529"/>
        <v>0</v>
      </c>
      <c r="H1174" s="43">
        <f t="shared" si="3529"/>
        <v>0</v>
      </c>
      <c r="I1174" s="43">
        <f t="shared" si="3529"/>
        <v>0</v>
      </c>
      <c r="J1174" s="43">
        <f t="shared" ca="1" si="3529"/>
        <v>174.59738454375801</v>
      </c>
      <c r="K1174" s="43">
        <f t="shared" si="3529"/>
        <v>398.64199465215285</v>
      </c>
      <c r="L1174" s="43">
        <f t="shared" si="3529"/>
        <v>0</v>
      </c>
      <c r="M1174" s="43">
        <f t="shared" si="3529"/>
        <v>0</v>
      </c>
      <c r="N1174" s="43">
        <f t="shared" si="3529"/>
        <v>0</v>
      </c>
      <c r="O1174" s="43">
        <f t="shared" si="3529"/>
        <v>0</v>
      </c>
      <c r="P1174" s="43">
        <f t="shared" si="3529"/>
        <v>0</v>
      </c>
      <c r="Q1174" s="43">
        <f t="shared" si="3529"/>
        <v>0</v>
      </c>
      <c r="R1174" s="43">
        <f t="shared" si="3529"/>
        <v>0</v>
      </c>
      <c r="S1174" s="43">
        <f t="shared" si="3529"/>
        <v>0</v>
      </c>
      <c r="T1174" s="43">
        <f t="shared" si="3529"/>
        <v>0</v>
      </c>
      <c r="U1174" s="43">
        <f t="shared" si="3529"/>
        <v>0</v>
      </c>
      <c r="V1174" s="43">
        <f t="shared" si="3529"/>
        <v>0</v>
      </c>
      <c r="W1174" s="43">
        <f t="shared" si="3529"/>
        <v>0</v>
      </c>
      <c r="X1174" s="43">
        <f t="shared" si="3529"/>
        <v>0</v>
      </c>
      <c r="Y1174" s="43">
        <f t="shared" ref="Y1174" si="3530">Y609/IF(CUR_I_Report=2,Y$88,1)</f>
        <v>0</v>
      </c>
      <c r="Z1174" s="43">
        <f t="shared" ref="Z1174" si="3531">Z609/IF(CUR_I_Report=2,Z$88,1)</f>
        <v>0</v>
      </c>
      <c r="AA1174" s="43">
        <f t="shared" ref="AA1174" si="3532">AA609/IF(CUR_I_Report=2,AA$88,1)</f>
        <v>0</v>
      </c>
      <c r="AB1174" s="43">
        <f t="shared" ref="AB1174:AC1174" si="3533">AB609/IF(CUR_I_Report=2,AB$88,1)</f>
        <v>0</v>
      </c>
      <c r="AC1174" s="43">
        <f t="shared" si="3533"/>
        <v>0</v>
      </c>
      <c r="AD1174" s="43"/>
      <c r="AE1174" s="54">
        <f t="shared" ca="1" si="3508"/>
        <v>573.23937919591083</v>
      </c>
    </row>
    <row r="1175" spans="1:31" outlineLevel="1" x14ac:dyDescent="0.2">
      <c r="A1175" t="str">
        <f ca="1">Language!A$700</f>
        <v>Прирост чистого оборотного капитала</v>
      </c>
      <c r="C1175" s="5" t="str">
        <f t="shared" ca="1" si="3502"/>
        <v>тыс. EUR</v>
      </c>
      <c r="F1175" s="105">
        <f t="shared" ref="F1175:T1175" ca="1" si="3534">F1070/IF(CUR_I_Report=2,F$88,1)</f>
        <v>0</v>
      </c>
      <c r="G1175" s="105">
        <f t="shared" ca="1" si="3534"/>
        <v>0</v>
      </c>
      <c r="H1175" s="105">
        <f t="shared" ca="1" si="3534"/>
        <v>0</v>
      </c>
      <c r="I1175" s="105">
        <f t="shared" ca="1" si="3534"/>
        <v>0</v>
      </c>
      <c r="J1175" s="105">
        <f t="shared" ca="1" si="3534"/>
        <v>0</v>
      </c>
      <c r="K1175" s="105">
        <f t="shared" ca="1" si="3534"/>
        <v>-98.76332976744186</v>
      </c>
      <c r="L1175" s="105">
        <f t="shared" ca="1" si="3534"/>
        <v>5.6843418860808015E-14</v>
      </c>
      <c r="M1175" s="105">
        <f t="shared" ca="1" si="3534"/>
        <v>0</v>
      </c>
      <c r="N1175" s="105">
        <f t="shared" ca="1" si="3534"/>
        <v>-47.90430408785906</v>
      </c>
      <c r="O1175" s="105">
        <f t="shared" ca="1" si="3534"/>
        <v>-41.655454582366474</v>
      </c>
      <c r="P1175" s="105">
        <f t="shared" ca="1" si="3534"/>
        <v>0</v>
      </c>
      <c r="Q1175" s="105">
        <f t="shared" ca="1" si="3534"/>
        <v>0</v>
      </c>
      <c r="R1175" s="105">
        <f t="shared" ca="1" si="3534"/>
        <v>0</v>
      </c>
      <c r="S1175" s="105">
        <f t="shared" ca="1" si="3534"/>
        <v>0</v>
      </c>
      <c r="T1175" s="105">
        <f t="shared" ca="1" si="3534"/>
        <v>0</v>
      </c>
      <c r="U1175" s="105">
        <f t="shared" ref="U1175" ca="1" si="3535">U1070/IF(CUR_I_Report=2,U$88,1)</f>
        <v>0</v>
      </c>
      <c r="V1175" s="105">
        <f t="shared" ref="V1175" ca="1" si="3536">V1070/IF(CUR_I_Report=2,V$88,1)</f>
        <v>0</v>
      </c>
      <c r="W1175" s="105">
        <f t="shared" ref="W1175" ca="1" si="3537">W1070/IF(CUR_I_Report=2,W$88,1)</f>
        <v>0</v>
      </c>
      <c r="X1175" s="105">
        <f t="shared" ref="X1175" ca="1" si="3538">X1070/IF(CUR_I_Report=2,X$88,1)</f>
        <v>0</v>
      </c>
      <c r="Y1175" s="105">
        <f t="shared" ref="Y1175" ca="1" si="3539">Y1070/IF(CUR_I_Report=2,Y$88,1)</f>
        <v>0</v>
      </c>
      <c r="Z1175" s="105">
        <f t="shared" ref="Z1175" ca="1" si="3540">Z1070/IF(CUR_I_Report=2,Z$88,1)</f>
        <v>0</v>
      </c>
      <c r="AA1175" s="105">
        <f t="shared" ref="AA1175" ca="1" si="3541">AA1070/IF(CUR_I_Report=2,AA$88,1)</f>
        <v>0</v>
      </c>
      <c r="AB1175" s="105">
        <f t="shared" ref="AB1175:AC1175" ca="1" si="3542">AB1070/IF(CUR_I_Report=2,AB$88,1)</f>
        <v>0</v>
      </c>
      <c r="AC1175" s="105">
        <f t="shared" ca="1" si="3542"/>
        <v>0</v>
      </c>
      <c r="AD1175" s="43"/>
      <c r="AE1175" s="54">
        <f t="shared" ca="1" si="3508"/>
        <v>-188.32308843766734</v>
      </c>
    </row>
    <row r="1176" spans="1:31" outlineLevel="1" x14ac:dyDescent="0.2">
      <c r="F1176" s="43"/>
      <c r="G1176" s="43"/>
      <c r="H1176" s="43"/>
      <c r="I1176" s="43"/>
      <c r="J1176" s="43"/>
      <c r="K1176" s="43"/>
      <c r="L1176" s="43"/>
      <c r="M1176" s="43"/>
      <c r="N1176" s="43"/>
      <c r="O1176" s="43"/>
      <c r="P1176" s="43"/>
      <c r="Q1176" s="43"/>
      <c r="R1176" s="43"/>
      <c r="S1176" s="43"/>
      <c r="T1176" s="43"/>
      <c r="U1176" s="43"/>
      <c r="V1176" s="43"/>
      <c r="W1176" s="43"/>
      <c r="X1176" s="43"/>
      <c r="Y1176" s="43"/>
      <c r="Z1176" s="43"/>
      <c r="AA1176" s="43"/>
      <c r="AB1176" s="43"/>
      <c r="AC1176" s="43"/>
      <c r="AD1176" s="43"/>
      <c r="AE1176" s="54"/>
    </row>
    <row r="1177" spans="1:31" outlineLevel="1" x14ac:dyDescent="0.2">
      <c r="A1177" s="35" t="str">
        <f ca="1">Language!A$701</f>
        <v>Привлечение финансирования</v>
      </c>
      <c r="C1177" s="5" t="str">
        <f ca="1">CUR_Report</f>
        <v>тыс. EUR</v>
      </c>
      <c r="F1177" s="58">
        <f t="shared" ref="F1177:T1177" si="3543">SUM(F1179:F1183)</f>
        <v>0</v>
      </c>
      <c r="G1177" s="58">
        <f t="shared" si="3543"/>
        <v>0</v>
      </c>
      <c r="H1177" s="58">
        <f t="shared" si="3543"/>
        <v>5695.3855543220343</v>
      </c>
      <c r="I1177" s="58">
        <f t="shared" si="3543"/>
        <v>1519.56</v>
      </c>
      <c r="J1177" s="58">
        <f t="shared" ca="1" si="3543"/>
        <v>7024.8891971793519</v>
      </c>
      <c r="K1177" s="58">
        <f t="shared" si="3543"/>
        <v>2982.5256975335087</v>
      </c>
      <c r="L1177" s="58">
        <f t="shared" si="3543"/>
        <v>0</v>
      </c>
      <c r="M1177" s="58">
        <f t="shared" si="3543"/>
        <v>0</v>
      </c>
      <c r="N1177" s="58">
        <f t="shared" si="3543"/>
        <v>0</v>
      </c>
      <c r="O1177" s="58">
        <f t="shared" si="3543"/>
        <v>0</v>
      </c>
      <c r="P1177" s="58">
        <f t="shared" si="3543"/>
        <v>0</v>
      </c>
      <c r="Q1177" s="58">
        <f t="shared" si="3543"/>
        <v>0</v>
      </c>
      <c r="R1177" s="58">
        <f t="shared" si="3543"/>
        <v>0</v>
      </c>
      <c r="S1177" s="58">
        <f t="shared" si="3543"/>
        <v>0</v>
      </c>
      <c r="T1177" s="58">
        <f t="shared" si="3543"/>
        <v>0</v>
      </c>
      <c r="U1177" s="58">
        <f t="shared" ref="U1177" si="3544">SUM(U1179:U1183)</f>
        <v>0</v>
      </c>
      <c r="V1177" s="58">
        <f t="shared" ref="V1177" si="3545">SUM(V1179:V1183)</f>
        <v>0</v>
      </c>
      <c r="W1177" s="58">
        <f t="shared" ref="W1177" si="3546">SUM(W1179:W1183)</f>
        <v>0</v>
      </c>
      <c r="X1177" s="58">
        <f t="shared" ref="X1177" si="3547">SUM(X1179:X1183)</f>
        <v>0</v>
      </c>
      <c r="Y1177" s="58">
        <f t="shared" ref="Y1177" si="3548">SUM(Y1179:Y1183)</f>
        <v>0</v>
      </c>
      <c r="Z1177" s="58">
        <f t="shared" ref="Z1177" si="3549">SUM(Z1179:Z1183)</f>
        <v>0</v>
      </c>
      <c r="AA1177" s="58">
        <f t="shared" ref="AA1177" si="3550">SUM(AA1179:AA1183)</f>
        <v>0</v>
      </c>
      <c r="AB1177" s="58">
        <f t="shared" ref="AB1177:AC1177" si="3551">SUM(AB1179:AB1183)</f>
        <v>0</v>
      </c>
      <c r="AC1177" s="58">
        <f t="shared" si="3551"/>
        <v>0</v>
      </c>
      <c r="AD1177" s="43"/>
      <c r="AE1177" s="57">
        <f ca="1">SUM(F1177:AC1177)</f>
        <v>17222.360449034895</v>
      </c>
    </row>
    <row r="1178" spans="1:31" outlineLevel="1" x14ac:dyDescent="0.2">
      <c r="F1178" s="43"/>
      <c r="G1178" s="43"/>
      <c r="H1178" s="43"/>
      <c r="I1178" s="43"/>
      <c r="J1178" s="43"/>
      <c r="K1178" s="43"/>
      <c r="L1178" s="43"/>
      <c r="M1178" s="43"/>
      <c r="N1178" s="43"/>
      <c r="O1178" s="43"/>
      <c r="P1178" s="43"/>
      <c r="Q1178" s="43"/>
      <c r="R1178" s="43"/>
      <c r="S1178" s="43"/>
      <c r="T1178" s="43"/>
      <c r="U1178" s="43"/>
      <c r="V1178" s="43"/>
      <c r="W1178" s="43"/>
      <c r="X1178" s="43"/>
      <c r="Y1178" s="43"/>
      <c r="Z1178" s="43"/>
      <c r="AA1178" s="43"/>
      <c r="AB1178" s="43"/>
      <c r="AC1178" s="43"/>
      <c r="AD1178" s="43"/>
      <c r="AE1178" s="54"/>
    </row>
    <row r="1179" spans="1:31" outlineLevel="1" x14ac:dyDescent="0.2">
      <c r="A1179" t="str">
        <f ca="1">Language!A$645</f>
        <v>Средства собственников</v>
      </c>
      <c r="C1179" s="5" t="str">
        <f ca="1">CUR_Report</f>
        <v>тыс. EUR</v>
      </c>
      <c r="F1179" s="43">
        <f t="shared" ref="F1179:T1179" si="3552">F1075/IF(CUR_I_Report=2,F$88,1)</f>
        <v>0</v>
      </c>
      <c r="G1179" s="43">
        <f t="shared" si="3552"/>
        <v>0</v>
      </c>
      <c r="H1179" s="43">
        <f t="shared" si="3552"/>
        <v>0</v>
      </c>
      <c r="I1179" s="43">
        <f t="shared" si="3552"/>
        <v>0</v>
      </c>
      <c r="J1179" s="43">
        <f t="shared" si="3552"/>
        <v>0</v>
      </c>
      <c r="K1179" s="43">
        <f t="shared" si="3552"/>
        <v>0</v>
      </c>
      <c r="L1179" s="43">
        <f t="shared" si="3552"/>
        <v>0</v>
      </c>
      <c r="M1179" s="43">
        <f t="shared" si="3552"/>
        <v>0</v>
      </c>
      <c r="N1179" s="43">
        <f t="shared" si="3552"/>
        <v>0</v>
      </c>
      <c r="O1179" s="43">
        <f t="shared" si="3552"/>
        <v>0</v>
      </c>
      <c r="P1179" s="43">
        <f t="shared" si="3552"/>
        <v>0</v>
      </c>
      <c r="Q1179" s="43">
        <f t="shared" si="3552"/>
        <v>0</v>
      </c>
      <c r="R1179" s="43">
        <f t="shared" si="3552"/>
        <v>0</v>
      </c>
      <c r="S1179" s="43">
        <f t="shared" si="3552"/>
        <v>0</v>
      </c>
      <c r="T1179" s="43">
        <f t="shared" si="3552"/>
        <v>0</v>
      </c>
      <c r="U1179" s="43">
        <f t="shared" ref="U1179" si="3553">U1075/IF(CUR_I_Report=2,U$88,1)</f>
        <v>0</v>
      </c>
      <c r="V1179" s="43">
        <f t="shared" ref="V1179" si="3554">V1075/IF(CUR_I_Report=2,V$88,1)</f>
        <v>0</v>
      </c>
      <c r="W1179" s="43">
        <f t="shared" ref="W1179" si="3555">W1075/IF(CUR_I_Report=2,W$88,1)</f>
        <v>0</v>
      </c>
      <c r="X1179" s="43">
        <f t="shared" ref="X1179" si="3556">X1075/IF(CUR_I_Report=2,X$88,1)</f>
        <v>0</v>
      </c>
      <c r="Y1179" s="43">
        <f t="shared" ref="Y1179" si="3557">Y1075/IF(CUR_I_Report=2,Y$88,1)</f>
        <v>0</v>
      </c>
      <c r="Z1179" s="43">
        <f t="shared" ref="Z1179" si="3558">Z1075/IF(CUR_I_Report=2,Z$88,1)</f>
        <v>0</v>
      </c>
      <c r="AA1179" s="43">
        <f t="shared" ref="AA1179" si="3559">AA1075/IF(CUR_I_Report=2,AA$88,1)</f>
        <v>0</v>
      </c>
      <c r="AB1179" s="43">
        <f t="shared" ref="AB1179:AC1179" si="3560">AB1075/IF(CUR_I_Report=2,AB$88,1)</f>
        <v>0</v>
      </c>
      <c r="AC1179" s="43">
        <f t="shared" si="3560"/>
        <v>0</v>
      </c>
      <c r="AD1179" s="43"/>
      <c r="AE1179" s="54">
        <f>SUM(F1179:AC1179)</f>
        <v>0</v>
      </c>
    </row>
    <row r="1180" spans="1:31" outlineLevel="1" x14ac:dyDescent="0.2">
      <c r="A1180" t="str">
        <f ca="1">Language!A$651</f>
        <v>Средства от текущей деятельности</v>
      </c>
      <c r="C1180" s="5" t="str">
        <f ca="1">CUR_Report</f>
        <v>тыс. EUR</v>
      </c>
      <c r="F1180" s="43">
        <f t="shared" ref="F1180:T1180" si="3561">F1083*IF($B1083=1,1,F$88)/IF(CUR_I_Report=2,F$88,1)</f>
        <v>0</v>
      </c>
      <c r="G1180" s="43">
        <f t="shared" si="3561"/>
        <v>0</v>
      </c>
      <c r="H1180" s="43">
        <f t="shared" si="3561"/>
        <v>0</v>
      </c>
      <c r="I1180" s="43">
        <f t="shared" si="3561"/>
        <v>0</v>
      </c>
      <c r="J1180" s="43">
        <f t="shared" si="3561"/>
        <v>0</v>
      </c>
      <c r="K1180" s="43">
        <f t="shared" si="3561"/>
        <v>0</v>
      </c>
      <c r="L1180" s="43">
        <f t="shared" si="3561"/>
        <v>0</v>
      </c>
      <c r="M1180" s="43">
        <f t="shared" si="3561"/>
        <v>0</v>
      </c>
      <c r="N1180" s="43">
        <f t="shared" si="3561"/>
        <v>0</v>
      </c>
      <c r="O1180" s="43">
        <f t="shared" si="3561"/>
        <v>0</v>
      </c>
      <c r="P1180" s="43">
        <f t="shared" si="3561"/>
        <v>0</v>
      </c>
      <c r="Q1180" s="43">
        <f t="shared" si="3561"/>
        <v>0</v>
      </c>
      <c r="R1180" s="43">
        <f t="shared" si="3561"/>
        <v>0</v>
      </c>
      <c r="S1180" s="43">
        <f t="shared" si="3561"/>
        <v>0</v>
      </c>
      <c r="T1180" s="43">
        <f t="shared" si="3561"/>
        <v>0</v>
      </c>
      <c r="U1180" s="43">
        <f t="shared" ref="U1180" si="3562">U1083*IF($B1083=1,1,U$88)/IF(CUR_I_Report=2,U$88,1)</f>
        <v>0</v>
      </c>
      <c r="V1180" s="43">
        <f t="shared" ref="V1180" si="3563">V1083*IF($B1083=1,1,V$88)/IF(CUR_I_Report=2,V$88,1)</f>
        <v>0</v>
      </c>
      <c r="W1180" s="43">
        <f t="shared" ref="W1180" si="3564">W1083*IF($B1083=1,1,W$88)/IF(CUR_I_Report=2,W$88,1)</f>
        <v>0</v>
      </c>
      <c r="X1180" s="43">
        <f t="shared" ref="X1180" si="3565">X1083*IF($B1083=1,1,X$88)/IF(CUR_I_Report=2,X$88,1)</f>
        <v>0</v>
      </c>
      <c r="Y1180" s="43">
        <f t="shared" ref="Y1180" si="3566">Y1083*IF($B1083=1,1,Y$88)/IF(CUR_I_Report=2,Y$88,1)</f>
        <v>0</v>
      </c>
      <c r="Z1180" s="43">
        <f t="shared" ref="Z1180" si="3567">Z1083*IF($B1083=1,1,Z$88)/IF(CUR_I_Report=2,Z$88,1)</f>
        <v>0</v>
      </c>
      <c r="AA1180" s="43">
        <f t="shared" ref="AA1180" si="3568">AA1083*IF($B1083=1,1,AA$88)/IF(CUR_I_Report=2,AA$88,1)</f>
        <v>0</v>
      </c>
      <c r="AB1180" s="43">
        <f t="shared" ref="AB1180:AC1180" si="3569">AB1083*IF($B1083=1,1,AB$88)/IF(CUR_I_Report=2,AB$88,1)</f>
        <v>0</v>
      </c>
      <c r="AC1180" s="43">
        <f t="shared" si="3569"/>
        <v>0</v>
      </c>
      <c r="AD1180" s="43"/>
      <c r="AE1180" s="54">
        <f>SUM(F1180:AC1180)</f>
        <v>0</v>
      </c>
    </row>
    <row r="1181" spans="1:31" outlineLevel="1" x14ac:dyDescent="0.2">
      <c r="A1181" t="str">
        <f ca="1">Language!A$653</f>
        <v>Целевое финансирование</v>
      </c>
      <c r="C1181" s="5" t="str">
        <f ca="1">CUR_Report</f>
        <v>тыс. EUR</v>
      </c>
      <c r="F1181" s="43">
        <f t="shared" ref="F1181:T1181" si="3570">F1086*IF($B1086=1,1,F$88)/IF(CUR_I_Report=2,F$88,1)</f>
        <v>0</v>
      </c>
      <c r="G1181" s="43">
        <f t="shared" si="3570"/>
        <v>0</v>
      </c>
      <c r="H1181" s="43">
        <f t="shared" si="3570"/>
        <v>5695.3855543220343</v>
      </c>
      <c r="I1181" s="43">
        <f t="shared" si="3570"/>
        <v>1519.56</v>
      </c>
      <c r="J1181" s="43">
        <f t="shared" ca="1" si="3570"/>
        <v>7024.8891971793519</v>
      </c>
      <c r="K1181" s="43">
        <f t="shared" si="3570"/>
        <v>2982.5256975335087</v>
      </c>
      <c r="L1181" s="43">
        <f t="shared" si="3570"/>
        <v>0</v>
      </c>
      <c r="M1181" s="43">
        <f t="shared" si="3570"/>
        <v>0</v>
      </c>
      <c r="N1181" s="43">
        <f t="shared" si="3570"/>
        <v>0</v>
      </c>
      <c r="O1181" s="43">
        <f t="shared" si="3570"/>
        <v>0</v>
      </c>
      <c r="P1181" s="43">
        <f t="shared" si="3570"/>
        <v>0</v>
      </c>
      <c r="Q1181" s="43">
        <f t="shared" si="3570"/>
        <v>0</v>
      </c>
      <c r="R1181" s="43">
        <f t="shared" si="3570"/>
        <v>0</v>
      </c>
      <c r="S1181" s="43">
        <f t="shared" si="3570"/>
        <v>0</v>
      </c>
      <c r="T1181" s="43">
        <f t="shared" si="3570"/>
        <v>0</v>
      </c>
      <c r="U1181" s="43">
        <f t="shared" ref="U1181" si="3571">U1086*IF($B1086=1,1,U$88)/IF(CUR_I_Report=2,U$88,1)</f>
        <v>0</v>
      </c>
      <c r="V1181" s="43">
        <f t="shared" ref="V1181" si="3572">V1086*IF($B1086=1,1,V$88)/IF(CUR_I_Report=2,V$88,1)</f>
        <v>0</v>
      </c>
      <c r="W1181" s="43">
        <f t="shared" ref="W1181" si="3573">W1086*IF($B1086=1,1,W$88)/IF(CUR_I_Report=2,W$88,1)</f>
        <v>0</v>
      </c>
      <c r="X1181" s="43">
        <f t="shared" ref="X1181" si="3574">X1086*IF($B1086=1,1,X$88)/IF(CUR_I_Report=2,X$88,1)</f>
        <v>0</v>
      </c>
      <c r="Y1181" s="43">
        <f t="shared" ref="Y1181" si="3575">Y1086*IF($B1086=1,1,Y$88)/IF(CUR_I_Report=2,Y$88,1)</f>
        <v>0</v>
      </c>
      <c r="Z1181" s="43">
        <f t="shared" ref="Z1181" si="3576">Z1086*IF($B1086=1,1,Z$88)/IF(CUR_I_Report=2,Z$88,1)</f>
        <v>0</v>
      </c>
      <c r="AA1181" s="43">
        <f t="shared" ref="AA1181" si="3577">AA1086*IF($B1086=1,1,AA$88)/IF(CUR_I_Report=2,AA$88,1)</f>
        <v>0</v>
      </c>
      <c r="AB1181" s="43">
        <f t="shared" ref="AB1181:AC1181" si="3578">AB1086*IF($B1086=1,1,AB$88)/IF(CUR_I_Report=2,AB$88,1)</f>
        <v>0</v>
      </c>
      <c r="AC1181" s="43">
        <f t="shared" si="3578"/>
        <v>0</v>
      </c>
      <c r="AD1181" s="43"/>
      <c r="AE1181" s="54">
        <f ca="1">SUM(F1181:AC1181)</f>
        <v>17222.360449034895</v>
      </c>
    </row>
    <row r="1182" spans="1:31" outlineLevel="1" x14ac:dyDescent="0.2">
      <c r="A1182" t="str">
        <f ca="1">Language!A$654</f>
        <v>Средства от инвесторов строительства</v>
      </c>
      <c r="C1182" s="5" t="str">
        <f ca="1">CUR_Report</f>
        <v>тыс. EUR</v>
      </c>
      <c r="F1182" s="43">
        <f t="shared" ref="F1182:T1182" si="3579">F1089/IF(CUR_I_Report=2,F$88,1)</f>
        <v>0</v>
      </c>
      <c r="G1182" s="43">
        <f t="shared" si="3579"/>
        <v>0</v>
      </c>
      <c r="H1182" s="43">
        <f t="shared" si="3579"/>
        <v>0</v>
      </c>
      <c r="I1182" s="43">
        <f t="shared" si="3579"/>
        <v>0</v>
      </c>
      <c r="J1182" s="43">
        <f t="shared" si="3579"/>
        <v>0</v>
      </c>
      <c r="K1182" s="43">
        <f t="shared" si="3579"/>
        <v>0</v>
      </c>
      <c r="L1182" s="43">
        <f t="shared" si="3579"/>
        <v>0</v>
      </c>
      <c r="M1182" s="43">
        <f t="shared" si="3579"/>
        <v>0</v>
      </c>
      <c r="N1182" s="43">
        <f t="shared" si="3579"/>
        <v>0</v>
      </c>
      <c r="O1182" s="43">
        <f t="shared" si="3579"/>
        <v>0</v>
      </c>
      <c r="P1182" s="43">
        <f t="shared" si="3579"/>
        <v>0</v>
      </c>
      <c r="Q1182" s="43">
        <f t="shared" si="3579"/>
        <v>0</v>
      </c>
      <c r="R1182" s="43">
        <f t="shared" si="3579"/>
        <v>0</v>
      </c>
      <c r="S1182" s="43">
        <f t="shared" si="3579"/>
        <v>0</v>
      </c>
      <c r="T1182" s="43">
        <f t="shared" si="3579"/>
        <v>0</v>
      </c>
      <c r="U1182" s="43">
        <f t="shared" ref="U1182" si="3580">U1089/IF(CUR_I_Report=2,U$88,1)</f>
        <v>0</v>
      </c>
      <c r="V1182" s="43">
        <f t="shared" ref="V1182" si="3581">V1089/IF(CUR_I_Report=2,V$88,1)</f>
        <v>0</v>
      </c>
      <c r="W1182" s="43">
        <f t="shared" ref="W1182" si="3582">W1089/IF(CUR_I_Report=2,W$88,1)</f>
        <v>0</v>
      </c>
      <c r="X1182" s="43">
        <f t="shared" ref="X1182" si="3583">X1089/IF(CUR_I_Report=2,X$88,1)</f>
        <v>0</v>
      </c>
      <c r="Y1182" s="43">
        <f t="shared" ref="Y1182" si="3584">Y1089/IF(CUR_I_Report=2,Y$88,1)</f>
        <v>0</v>
      </c>
      <c r="Z1182" s="43">
        <f t="shared" ref="Z1182" si="3585">Z1089/IF(CUR_I_Report=2,Z$88,1)</f>
        <v>0</v>
      </c>
      <c r="AA1182" s="43">
        <f t="shared" ref="AA1182" si="3586">AA1089/IF(CUR_I_Report=2,AA$88,1)</f>
        <v>0</v>
      </c>
      <c r="AB1182" s="43">
        <f t="shared" ref="AB1182:AC1182" si="3587">AB1089/IF(CUR_I_Report=2,AB$88,1)</f>
        <v>0</v>
      </c>
      <c r="AC1182" s="43">
        <f t="shared" si="3587"/>
        <v>0</v>
      </c>
      <c r="AD1182" s="43"/>
      <c r="AE1182" s="54">
        <f>SUM(F1182:AC1182)</f>
        <v>0</v>
      </c>
    </row>
    <row r="1183" spans="1:31" outlineLevel="1" x14ac:dyDescent="0.2">
      <c r="A1183" t="str">
        <f ca="1">Language!A$663</f>
        <v>Поступление денег от кредита</v>
      </c>
      <c r="C1183" s="5" t="str">
        <f ca="1">CUR_Report</f>
        <v>тыс. EUR</v>
      </c>
      <c r="F1183" s="43">
        <f t="shared" ref="F1183:T1183" si="3588">F1122/IF(CUR_I_Report=2,F$88,1)</f>
        <v>0</v>
      </c>
      <c r="G1183" s="43">
        <f t="shared" si="3588"/>
        <v>0</v>
      </c>
      <c r="H1183" s="43">
        <f t="shared" si="3588"/>
        <v>0</v>
      </c>
      <c r="I1183" s="43">
        <f t="shared" si="3588"/>
        <v>0</v>
      </c>
      <c r="J1183" s="43">
        <f t="shared" si="3588"/>
        <v>0</v>
      </c>
      <c r="K1183" s="43">
        <f t="shared" si="3588"/>
        <v>0</v>
      </c>
      <c r="L1183" s="43">
        <f t="shared" si="3588"/>
        <v>0</v>
      </c>
      <c r="M1183" s="43">
        <f t="shared" si="3588"/>
        <v>0</v>
      </c>
      <c r="N1183" s="43">
        <f t="shared" si="3588"/>
        <v>0</v>
      </c>
      <c r="O1183" s="43">
        <f t="shared" si="3588"/>
        <v>0</v>
      </c>
      <c r="P1183" s="43">
        <f t="shared" si="3588"/>
        <v>0</v>
      </c>
      <c r="Q1183" s="43">
        <f t="shared" si="3588"/>
        <v>0</v>
      </c>
      <c r="R1183" s="43">
        <f t="shared" si="3588"/>
        <v>0</v>
      </c>
      <c r="S1183" s="43">
        <f t="shared" si="3588"/>
        <v>0</v>
      </c>
      <c r="T1183" s="43">
        <f t="shared" si="3588"/>
        <v>0</v>
      </c>
      <c r="U1183" s="43">
        <f t="shared" ref="U1183" si="3589">U1122/IF(CUR_I_Report=2,U$88,1)</f>
        <v>0</v>
      </c>
      <c r="V1183" s="43">
        <f t="shared" ref="V1183" si="3590">V1122/IF(CUR_I_Report=2,V$88,1)</f>
        <v>0</v>
      </c>
      <c r="W1183" s="43">
        <f t="shared" ref="W1183" si="3591">W1122/IF(CUR_I_Report=2,W$88,1)</f>
        <v>0</v>
      </c>
      <c r="X1183" s="43">
        <f t="shared" ref="X1183" si="3592">X1122/IF(CUR_I_Report=2,X$88,1)</f>
        <v>0</v>
      </c>
      <c r="Y1183" s="43">
        <f t="shared" ref="Y1183" si="3593">Y1122/IF(CUR_I_Report=2,Y$88,1)</f>
        <v>0</v>
      </c>
      <c r="Z1183" s="43">
        <f t="shared" ref="Z1183" si="3594">Z1122/IF(CUR_I_Report=2,Z$88,1)</f>
        <v>0</v>
      </c>
      <c r="AA1183" s="43">
        <f t="shared" ref="AA1183" si="3595">AA1122/IF(CUR_I_Report=2,AA$88,1)</f>
        <v>0</v>
      </c>
      <c r="AB1183" s="43">
        <f t="shared" ref="AB1183:AC1183" si="3596">AB1122/IF(CUR_I_Report=2,AB$88,1)</f>
        <v>0</v>
      </c>
      <c r="AC1183" s="43">
        <f t="shared" si="3596"/>
        <v>0</v>
      </c>
      <c r="AD1183" s="43"/>
      <c r="AE1183" s="54">
        <f>SUM(F1183:AC1183)</f>
        <v>0</v>
      </c>
    </row>
    <row r="1184" spans="1:31" outlineLevel="1" x14ac:dyDescent="0.2">
      <c r="F1184" s="43"/>
      <c r="G1184" s="43"/>
      <c r="H1184" s="43"/>
      <c r="I1184" s="43"/>
      <c r="J1184" s="43"/>
      <c r="K1184" s="43"/>
      <c r="L1184" s="43"/>
      <c r="M1184" s="43"/>
      <c r="N1184" s="43"/>
      <c r="O1184" s="43"/>
      <c r="P1184" s="43"/>
      <c r="Q1184" s="43"/>
      <c r="R1184" s="43"/>
      <c r="S1184" s="43"/>
      <c r="T1184" s="43"/>
      <c r="U1184" s="43"/>
      <c r="V1184" s="43"/>
      <c r="W1184" s="43"/>
      <c r="X1184" s="43"/>
      <c r="Y1184" s="43"/>
      <c r="Z1184" s="43"/>
      <c r="AA1184" s="43"/>
      <c r="AB1184" s="43"/>
      <c r="AC1184" s="43"/>
      <c r="AD1184" s="43"/>
      <c r="AE1184" s="54"/>
    </row>
    <row r="1185" spans="1:31" outlineLevel="1" x14ac:dyDescent="0.2">
      <c r="A1185" s="35" t="str">
        <f ca="1">Language!A$702</f>
        <v>Возврат финансирования</v>
      </c>
      <c r="C1185" s="5" t="str">
        <f ca="1">CUR_Report</f>
        <v>тыс. EUR</v>
      </c>
      <c r="F1185" s="58">
        <f t="shared" ref="F1185:T1185" ca="1" si="3597">SUM(F1187:F1190)</f>
        <v>0</v>
      </c>
      <c r="G1185" s="58">
        <f t="shared" ca="1" si="3597"/>
        <v>0</v>
      </c>
      <c r="H1185" s="58">
        <f t="shared" ca="1" si="3597"/>
        <v>0</v>
      </c>
      <c r="I1185" s="58">
        <f t="shared" ca="1" si="3597"/>
        <v>0</v>
      </c>
      <c r="J1185" s="58">
        <f t="shared" ca="1" si="3597"/>
        <v>0</v>
      </c>
      <c r="K1185" s="58">
        <f t="shared" ca="1" si="3597"/>
        <v>0</v>
      </c>
      <c r="L1185" s="58">
        <f t="shared" ca="1" si="3597"/>
        <v>0</v>
      </c>
      <c r="M1185" s="58">
        <f t="shared" ca="1" si="3597"/>
        <v>0</v>
      </c>
      <c r="N1185" s="58">
        <f t="shared" ca="1" si="3597"/>
        <v>0</v>
      </c>
      <c r="O1185" s="58">
        <f t="shared" ca="1" si="3597"/>
        <v>0</v>
      </c>
      <c r="P1185" s="58">
        <f t="shared" ca="1" si="3597"/>
        <v>0</v>
      </c>
      <c r="Q1185" s="58">
        <f t="shared" ca="1" si="3597"/>
        <v>0</v>
      </c>
      <c r="R1185" s="58">
        <f t="shared" ca="1" si="3597"/>
        <v>0</v>
      </c>
      <c r="S1185" s="58">
        <f t="shared" ca="1" si="3597"/>
        <v>0</v>
      </c>
      <c r="T1185" s="58">
        <f t="shared" ca="1" si="3597"/>
        <v>0</v>
      </c>
      <c r="U1185" s="58">
        <f t="shared" ref="U1185" ca="1" si="3598">SUM(U1187:U1190)</f>
        <v>0</v>
      </c>
      <c r="V1185" s="58">
        <f t="shared" ref="V1185" ca="1" si="3599">SUM(V1187:V1190)</f>
        <v>0</v>
      </c>
      <c r="W1185" s="58">
        <f t="shared" ref="W1185" ca="1" si="3600">SUM(W1187:W1190)</f>
        <v>0</v>
      </c>
      <c r="X1185" s="58">
        <f t="shared" ref="X1185" ca="1" si="3601">SUM(X1187:X1190)</f>
        <v>0</v>
      </c>
      <c r="Y1185" s="58">
        <f t="shared" ref="Y1185" ca="1" si="3602">SUM(Y1187:Y1190)</f>
        <v>0</v>
      </c>
      <c r="Z1185" s="58">
        <f t="shared" ref="Z1185" ca="1" si="3603">SUM(Z1187:Z1190)</f>
        <v>0</v>
      </c>
      <c r="AA1185" s="58">
        <f t="shared" ref="AA1185" ca="1" si="3604">SUM(AA1187:AA1190)</f>
        <v>0</v>
      </c>
      <c r="AB1185" s="58">
        <f t="shared" ref="AB1185:AC1185" ca="1" si="3605">SUM(AB1187:AB1190)</f>
        <v>0</v>
      </c>
      <c r="AC1185" s="58">
        <f t="shared" ca="1" si="3605"/>
        <v>0</v>
      </c>
      <c r="AD1185" s="43"/>
      <c r="AE1185" s="57">
        <f ca="1">SUM(F1185:AC1185)</f>
        <v>0</v>
      </c>
    </row>
    <row r="1186" spans="1:31" outlineLevel="1" x14ac:dyDescent="0.2">
      <c r="F1186" s="43"/>
      <c r="G1186" s="43"/>
      <c r="H1186" s="43"/>
      <c r="I1186" s="43"/>
      <c r="J1186" s="43"/>
      <c r="K1186" s="43"/>
      <c r="L1186" s="43"/>
      <c r="M1186" s="43"/>
      <c r="N1186" s="43"/>
      <c r="O1186" s="43"/>
      <c r="P1186" s="43"/>
      <c r="Q1186" s="43"/>
      <c r="R1186" s="43"/>
      <c r="S1186" s="43"/>
      <c r="T1186" s="43"/>
      <c r="U1186" s="43"/>
      <c r="V1186" s="43"/>
      <c r="W1186" s="43"/>
      <c r="X1186" s="43"/>
      <c r="Y1186" s="43"/>
      <c r="Z1186" s="43"/>
      <c r="AA1186" s="43"/>
      <c r="AB1186" s="43"/>
      <c r="AC1186" s="43"/>
      <c r="AD1186" s="43"/>
      <c r="AE1186" s="54"/>
    </row>
    <row r="1187" spans="1:31" outlineLevel="1" x14ac:dyDescent="0.2">
      <c r="A1187" t="str">
        <f ca="1">Language!A$666</f>
        <v>Выплаченные проценты</v>
      </c>
      <c r="C1187" s="5" t="str">
        <f ca="1">CUR_Report</f>
        <v>тыс. EUR</v>
      </c>
      <c r="F1187" s="43">
        <f t="shared" ref="F1187:T1187" si="3606">F1124/IF(CUR_I_Report=2,F$88,1)</f>
        <v>0</v>
      </c>
      <c r="G1187" s="43">
        <f t="shared" si="3606"/>
        <v>0</v>
      </c>
      <c r="H1187" s="43">
        <f t="shared" si="3606"/>
        <v>0</v>
      </c>
      <c r="I1187" s="43">
        <f t="shared" si="3606"/>
        <v>0</v>
      </c>
      <c r="J1187" s="43">
        <f t="shared" si="3606"/>
        <v>0</v>
      </c>
      <c r="K1187" s="43">
        <f t="shared" si="3606"/>
        <v>0</v>
      </c>
      <c r="L1187" s="43">
        <f t="shared" si="3606"/>
        <v>0</v>
      </c>
      <c r="M1187" s="43">
        <f t="shared" si="3606"/>
        <v>0</v>
      </c>
      <c r="N1187" s="43">
        <f t="shared" si="3606"/>
        <v>0</v>
      </c>
      <c r="O1187" s="43">
        <f t="shared" si="3606"/>
        <v>0</v>
      </c>
      <c r="P1187" s="43">
        <f t="shared" si="3606"/>
        <v>0</v>
      </c>
      <c r="Q1187" s="43">
        <f t="shared" si="3606"/>
        <v>0</v>
      </c>
      <c r="R1187" s="43">
        <f t="shared" si="3606"/>
        <v>0</v>
      </c>
      <c r="S1187" s="43">
        <f t="shared" si="3606"/>
        <v>0</v>
      </c>
      <c r="T1187" s="43">
        <f t="shared" si="3606"/>
        <v>0</v>
      </c>
      <c r="U1187" s="43">
        <f t="shared" ref="U1187" si="3607">U1124/IF(CUR_I_Report=2,U$88,1)</f>
        <v>0</v>
      </c>
      <c r="V1187" s="43">
        <f t="shared" ref="V1187" si="3608">V1124/IF(CUR_I_Report=2,V$88,1)</f>
        <v>0</v>
      </c>
      <c r="W1187" s="43">
        <f t="shared" ref="W1187" si="3609">W1124/IF(CUR_I_Report=2,W$88,1)</f>
        <v>0</v>
      </c>
      <c r="X1187" s="43">
        <f t="shared" ref="X1187" si="3610">X1124/IF(CUR_I_Report=2,X$88,1)</f>
        <v>0</v>
      </c>
      <c r="Y1187" s="43">
        <f t="shared" ref="Y1187" si="3611">Y1124/IF(CUR_I_Report=2,Y$88,1)</f>
        <v>0</v>
      </c>
      <c r="Z1187" s="43">
        <f t="shared" ref="Z1187" si="3612">Z1124/IF(CUR_I_Report=2,Z$88,1)</f>
        <v>0</v>
      </c>
      <c r="AA1187" s="43">
        <f t="shared" ref="AA1187" si="3613">AA1124/IF(CUR_I_Report=2,AA$88,1)</f>
        <v>0</v>
      </c>
      <c r="AB1187" s="43">
        <f t="shared" ref="AB1187:AC1187" si="3614">AB1124/IF(CUR_I_Report=2,AB$88,1)</f>
        <v>0</v>
      </c>
      <c r="AC1187" s="43">
        <f t="shared" si="3614"/>
        <v>0</v>
      </c>
      <c r="AD1187" s="43"/>
      <c r="AE1187" s="54">
        <f>SUM(F1187:AC1187)</f>
        <v>0</v>
      </c>
    </row>
    <row r="1188" spans="1:31" outlineLevel="1" x14ac:dyDescent="0.2">
      <c r="A1188" t="str">
        <f ca="1">Language!A$703</f>
        <v>Дивиденды</v>
      </c>
      <c r="C1188" s="5" t="str">
        <f ca="1">CUR_Report</f>
        <v>тыс. EUR</v>
      </c>
      <c r="F1188" s="105">
        <f t="shared" ref="F1188:T1188" ca="1" si="3615">F1283/IF(CUR_I_Report=2,F$88,1)</f>
        <v>0</v>
      </c>
      <c r="G1188" s="105">
        <f t="shared" ca="1" si="3615"/>
        <v>0</v>
      </c>
      <c r="H1188" s="105">
        <f t="shared" ca="1" si="3615"/>
        <v>0</v>
      </c>
      <c r="I1188" s="105">
        <f t="shared" ca="1" si="3615"/>
        <v>0</v>
      </c>
      <c r="J1188" s="105">
        <f t="shared" ca="1" si="3615"/>
        <v>0</v>
      </c>
      <c r="K1188" s="105">
        <f t="shared" ca="1" si="3615"/>
        <v>0</v>
      </c>
      <c r="L1188" s="105">
        <f t="shared" ca="1" si="3615"/>
        <v>0</v>
      </c>
      <c r="M1188" s="105">
        <f t="shared" ca="1" si="3615"/>
        <v>0</v>
      </c>
      <c r="N1188" s="105">
        <f t="shared" ca="1" si="3615"/>
        <v>0</v>
      </c>
      <c r="O1188" s="105">
        <f t="shared" ca="1" si="3615"/>
        <v>0</v>
      </c>
      <c r="P1188" s="105">
        <f t="shared" ca="1" si="3615"/>
        <v>0</v>
      </c>
      <c r="Q1188" s="105">
        <f t="shared" ca="1" si="3615"/>
        <v>0</v>
      </c>
      <c r="R1188" s="105">
        <f t="shared" ca="1" si="3615"/>
        <v>0</v>
      </c>
      <c r="S1188" s="105">
        <f t="shared" ca="1" si="3615"/>
        <v>0</v>
      </c>
      <c r="T1188" s="105">
        <f t="shared" ca="1" si="3615"/>
        <v>0</v>
      </c>
      <c r="U1188" s="105">
        <f t="shared" ref="U1188" ca="1" si="3616">U1283/IF(CUR_I_Report=2,U$88,1)</f>
        <v>0</v>
      </c>
      <c r="V1188" s="105">
        <f t="shared" ref="V1188" ca="1" si="3617">V1283/IF(CUR_I_Report=2,V$88,1)</f>
        <v>0</v>
      </c>
      <c r="W1188" s="105">
        <f t="shared" ref="W1188" ca="1" si="3618">W1283/IF(CUR_I_Report=2,W$88,1)</f>
        <v>0</v>
      </c>
      <c r="X1188" s="105">
        <f t="shared" ref="X1188" ca="1" si="3619">X1283/IF(CUR_I_Report=2,X$88,1)</f>
        <v>0</v>
      </c>
      <c r="Y1188" s="105">
        <f t="shared" ref="Y1188" ca="1" si="3620">Y1283/IF(CUR_I_Report=2,Y$88,1)</f>
        <v>0</v>
      </c>
      <c r="Z1188" s="105">
        <f t="shared" ref="Z1188" ca="1" si="3621">Z1283/IF(CUR_I_Report=2,Z$88,1)</f>
        <v>0</v>
      </c>
      <c r="AA1188" s="105">
        <f t="shared" ref="AA1188" ca="1" si="3622">AA1283/IF(CUR_I_Report=2,AA$88,1)</f>
        <v>0</v>
      </c>
      <c r="AB1188" s="105">
        <f t="shared" ref="AB1188:AC1188" ca="1" si="3623">AB1283/IF(CUR_I_Report=2,AB$88,1)</f>
        <v>0</v>
      </c>
      <c r="AC1188" s="105">
        <f t="shared" ca="1" si="3623"/>
        <v>0</v>
      </c>
      <c r="AD1188" s="43"/>
      <c r="AE1188" s="54"/>
    </row>
    <row r="1189" spans="1:31" outlineLevel="1" x14ac:dyDescent="0.2">
      <c r="A1189" s="48" t="str">
        <f ca="1">Language!A$704</f>
        <v>Лизинговые платежи</v>
      </c>
      <c r="C1189" s="5" t="str">
        <f ca="1">CUR_Report</f>
        <v>тыс. EUR</v>
      </c>
      <c r="F1189" s="43">
        <f t="shared" ref="F1189:X1189" ca="1" si="3624">F648/IF(CUR_I_Report=2,F$88,1)</f>
        <v>0</v>
      </c>
      <c r="G1189" s="43">
        <f t="shared" ca="1" si="3624"/>
        <v>0</v>
      </c>
      <c r="H1189" s="43">
        <f t="shared" ca="1" si="3624"/>
        <v>0</v>
      </c>
      <c r="I1189" s="43">
        <f t="shared" ca="1" si="3624"/>
        <v>0</v>
      </c>
      <c r="J1189" s="43">
        <f t="shared" ca="1" si="3624"/>
        <v>0</v>
      </c>
      <c r="K1189" s="43">
        <f t="shared" ca="1" si="3624"/>
        <v>0</v>
      </c>
      <c r="L1189" s="43">
        <f t="shared" ca="1" si="3624"/>
        <v>0</v>
      </c>
      <c r="M1189" s="43">
        <f t="shared" ca="1" si="3624"/>
        <v>0</v>
      </c>
      <c r="N1189" s="43">
        <f t="shared" ca="1" si="3624"/>
        <v>0</v>
      </c>
      <c r="O1189" s="43">
        <f t="shared" ca="1" si="3624"/>
        <v>0</v>
      </c>
      <c r="P1189" s="43">
        <f t="shared" ca="1" si="3624"/>
        <v>0</v>
      </c>
      <c r="Q1189" s="43">
        <f t="shared" ca="1" si="3624"/>
        <v>0</v>
      </c>
      <c r="R1189" s="43">
        <f t="shared" ca="1" si="3624"/>
        <v>0</v>
      </c>
      <c r="S1189" s="43">
        <f t="shared" ca="1" si="3624"/>
        <v>0</v>
      </c>
      <c r="T1189" s="43">
        <f t="shared" ca="1" si="3624"/>
        <v>0</v>
      </c>
      <c r="U1189" s="43">
        <f t="shared" ca="1" si="3624"/>
        <v>0</v>
      </c>
      <c r="V1189" s="43">
        <f t="shared" ca="1" si="3624"/>
        <v>0</v>
      </c>
      <c r="W1189" s="43">
        <f t="shared" ca="1" si="3624"/>
        <v>0</v>
      </c>
      <c r="X1189" s="43">
        <f t="shared" ca="1" si="3624"/>
        <v>0</v>
      </c>
      <c r="Y1189" s="43">
        <f t="shared" ref="Y1189" ca="1" si="3625">Y648/IF(CUR_I_Report=2,Y$88,1)</f>
        <v>0</v>
      </c>
      <c r="Z1189" s="43">
        <f t="shared" ref="Z1189" ca="1" si="3626">Z648/IF(CUR_I_Report=2,Z$88,1)</f>
        <v>0</v>
      </c>
      <c r="AA1189" s="43">
        <f t="shared" ref="AA1189" ca="1" si="3627">AA648/IF(CUR_I_Report=2,AA$88,1)</f>
        <v>0</v>
      </c>
      <c r="AB1189" s="43">
        <f t="shared" ref="AB1189:AC1189" ca="1" si="3628">AB648/IF(CUR_I_Report=2,AB$88,1)</f>
        <v>0</v>
      </c>
      <c r="AC1189" s="43">
        <f t="shared" ca="1" si="3628"/>
        <v>0</v>
      </c>
      <c r="AD1189" s="43"/>
      <c r="AE1189" s="54">
        <f ca="1">SUM(F1189:AC1189)</f>
        <v>0</v>
      </c>
    </row>
    <row r="1190" spans="1:31" outlineLevel="1" x14ac:dyDescent="0.2">
      <c r="A1190" s="48" t="str">
        <f ca="1">Language!A$705</f>
        <v>Возврат кредитов</v>
      </c>
      <c r="C1190" s="5" t="str">
        <f ca="1">CUR_Report</f>
        <v>тыс. EUR</v>
      </c>
      <c r="F1190" s="43">
        <f t="shared" ref="F1190:T1190" si="3629">F1123/IF(CUR_I_Report=2,F$88,1)</f>
        <v>0</v>
      </c>
      <c r="G1190" s="43">
        <f t="shared" si="3629"/>
        <v>0</v>
      </c>
      <c r="H1190" s="43">
        <f t="shared" si="3629"/>
        <v>0</v>
      </c>
      <c r="I1190" s="43">
        <f t="shared" si="3629"/>
        <v>0</v>
      </c>
      <c r="J1190" s="43">
        <f t="shared" si="3629"/>
        <v>0</v>
      </c>
      <c r="K1190" s="43">
        <f t="shared" si="3629"/>
        <v>0</v>
      </c>
      <c r="L1190" s="43">
        <f t="shared" si="3629"/>
        <v>0</v>
      </c>
      <c r="M1190" s="43">
        <f t="shared" si="3629"/>
        <v>0</v>
      </c>
      <c r="N1190" s="43">
        <f t="shared" si="3629"/>
        <v>0</v>
      </c>
      <c r="O1190" s="43">
        <f t="shared" si="3629"/>
        <v>0</v>
      </c>
      <c r="P1190" s="43">
        <f t="shared" si="3629"/>
        <v>0</v>
      </c>
      <c r="Q1190" s="43">
        <f t="shared" si="3629"/>
        <v>0</v>
      </c>
      <c r="R1190" s="43">
        <f t="shared" si="3629"/>
        <v>0</v>
      </c>
      <c r="S1190" s="43">
        <f t="shared" si="3629"/>
        <v>0</v>
      </c>
      <c r="T1190" s="43">
        <f t="shared" si="3629"/>
        <v>0</v>
      </c>
      <c r="U1190" s="43">
        <f t="shared" ref="U1190" si="3630">U1123/IF(CUR_I_Report=2,U$88,1)</f>
        <v>0</v>
      </c>
      <c r="V1190" s="43">
        <f t="shared" ref="V1190" si="3631">V1123/IF(CUR_I_Report=2,V$88,1)</f>
        <v>0</v>
      </c>
      <c r="W1190" s="43">
        <f t="shared" ref="W1190" si="3632">W1123/IF(CUR_I_Report=2,W$88,1)</f>
        <v>0</v>
      </c>
      <c r="X1190" s="43">
        <f t="shared" ref="X1190" si="3633">X1123/IF(CUR_I_Report=2,X$88,1)</f>
        <v>0</v>
      </c>
      <c r="Y1190" s="43">
        <f t="shared" ref="Y1190" si="3634">Y1123/IF(CUR_I_Report=2,Y$88,1)</f>
        <v>0</v>
      </c>
      <c r="Z1190" s="43">
        <f t="shared" ref="Z1190" si="3635">Z1123/IF(CUR_I_Report=2,Z$88,1)</f>
        <v>0</v>
      </c>
      <c r="AA1190" s="43">
        <f t="shared" ref="AA1190" si="3636">AA1123/IF(CUR_I_Report=2,AA$88,1)</f>
        <v>0</v>
      </c>
      <c r="AB1190" s="43">
        <f t="shared" ref="AB1190:AC1190" si="3637">AB1123/IF(CUR_I_Report=2,AB$88,1)</f>
        <v>0</v>
      </c>
      <c r="AC1190" s="43">
        <f t="shared" si="3637"/>
        <v>0</v>
      </c>
      <c r="AD1190" s="43"/>
      <c r="AE1190" s="54">
        <f>SUM(F1190:AC1190)</f>
        <v>0</v>
      </c>
    </row>
    <row r="1191" spans="1:31" outlineLevel="1" x14ac:dyDescent="0.2">
      <c r="F1191" s="43"/>
      <c r="G1191" s="43"/>
      <c r="H1191" s="43"/>
      <c r="I1191" s="43"/>
      <c r="J1191" s="43"/>
      <c r="K1191" s="43"/>
      <c r="L1191" s="43"/>
      <c r="M1191" s="43"/>
      <c r="N1191" s="43"/>
      <c r="O1191" s="43"/>
      <c r="P1191" s="43"/>
      <c r="Q1191" s="43"/>
      <c r="R1191" s="43"/>
      <c r="S1191" s="43"/>
      <c r="T1191" s="43"/>
      <c r="U1191" s="43"/>
      <c r="V1191" s="43"/>
      <c r="W1191" s="43"/>
      <c r="X1191" s="43"/>
      <c r="Y1191" s="43"/>
      <c r="Z1191" s="43"/>
      <c r="AA1191" s="43"/>
      <c r="AB1191" s="43"/>
      <c r="AC1191" s="43"/>
      <c r="AD1191" s="43"/>
      <c r="AE1191" s="54"/>
    </row>
    <row r="1192" spans="1:31" s="11" customFormat="1" outlineLevel="1" collapsed="1" x14ac:dyDescent="0.2">
      <c r="A1192" s="11" t="str">
        <f ca="1">Language!A$655</f>
        <v>Справка: Остаток средств на счете (текущий проект)</v>
      </c>
      <c r="C1192" s="36" t="str">
        <f ca="1">CUR_Report</f>
        <v>тыс. EUR</v>
      </c>
      <c r="D1192" s="16" t="s">
        <v>2594</v>
      </c>
      <c r="F1192" s="93">
        <f t="shared" ref="F1192:T1192" ca="1" si="3638">F1356</f>
        <v>0</v>
      </c>
      <c r="G1192" s="93">
        <f t="shared" ca="1" si="3638"/>
        <v>0</v>
      </c>
      <c r="H1192" s="93">
        <f t="shared" ca="1" si="3638"/>
        <v>0</v>
      </c>
      <c r="I1192" s="93">
        <f t="shared" ca="1" si="3638"/>
        <v>0</v>
      </c>
      <c r="J1192" s="93">
        <f t="shared" ca="1" si="3638"/>
        <v>0</v>
      </c>
      <c r="K1192" s="93">
        <f t="shared" ca="1" si="3638"/>
        <v>2827.4120312836421</v>
      </c>
      <c r="L1192" s="93">
        <f t="shared" ca="1" si="3638"/>
        <v>2843.035293184585</v>
      </c>
      <c r="M1192" s="93">
        <f t="shared" ca="1" si="3638"/>
        <v>3506.0283310907325</v>
      </c>
      <c r="N1192" s="93">
        <f t="shared" ca="1" si="3638"/>
        <v>4470.038573843618</v>
      </c>
      <c r="O1192" s="93">
        <f t="shared" ca="1" si="3638"/>
        <v>5755.3118390955333</v>
      </c>
      <c r="P1192" s="93">
        <f t="shared" ca="1" si="3638"/>
        <v>7210.0865284813926</v>
      </c>
      <c r="Q1192" s="93">
        <f t="shared" ca="1" si="3638"/>
        <v>8664.861217867252</v>
      </c>
      <c r="R1192" s="93">
        <f t="shared" ca="1" si="3638"/>
        <v>10119.63590725311</v>
      </c>
      <c r="S1192" s="93">
        <f t="shared" ca="1" si="3638"/>
        <v>11574.410596638969</v>
      </c>
      <c r="T1192" s="93">
        <f t="shared" ca="1" si="3638"/>
        <v>13029.185286024827</v>
      </c>
      <c r="U1192" s="93">
        <f t="shared" ref="U1192" ca="1" si="3639">U1356</f>
        <v>14483.959975410686</v>
      </c>
      <c r="V1192" s="93">
        <f t="shared" ref="V1192" ca="1" si="3640">V1356</f>
        <v>15938.734664796544</v>
      </c>
      <c r="W1192" s="93">
        <f t="shared" ref="W1192" ca="1" si="3641">W1356</f>
        <v>17393.509354182403</v>
      </c>
      <c r="X1192" s="93">
        <f t="shared" ref="X1192" ca="1" si="3642">X1356</f>
        <v>18848.284043568263</v>
      </c>
      <c r="Y1192" s="93">
        <f t="shared" ref="Y1192" ca="1" si="3643">Y1356</f>
        <v>20303.058732954123</v>
      </c>
      <c r="Z1192" s="93">
        <f t="shared" ref="Z1192" ca="1" si="3644">Z1356</f>
        <v>21757.833422339983</v>
      </c>
      <c r="AA1192" s="93">
        <f t="shared" ref="AA1192" ca="1" si="3645">AA1356</f>
        <v>23212.608111725844</v>
      </c>
      <c r="AB1192" s="93">
        <f t="shared" ref="AB1192:AC1192" ca="1" si="3646">AB1356</f>
        <v>24667.382801111704</v>
      </c>
      <c r="AC1192" s="93">
        <f t="shared" ca="1" si="3646"/>
        <v>26122.157490497564</v>
      </c>
      <c r="AD1192" s="54"/>
      <c r="AE1192" s="54"/>
    </row>
    <row r="1193" spans="1:31" s="11" customFormat="1" hidden="1" outlineLevel="2" x14ac:dyDescent="0.2">
      <c r="A1193" s="11" t="str">
        <f ca="1">Language!A$656</f>
        <v>Справка: Остаток средств на счете (без учета операционной деятельности)</v>
      </c>
      <c r="C1193" s="36" t="str">
        <f ca="1">CUR_Report</f>
        <v>тыс. EUR</v>
      </c>
      <c r="D1193" s="16" t="s">
        <v>2594</v>
      </c>
      <c r="F1193" s="93">
        <f t="shared" ref="F1193:T1193" ca="1" si="3647">(F1356-F1331)*IF(CUR_I_Report=2,F$88,1)</f>
        <v>0</v>
      </c>
      <c r="G1193" s="93">
        <f t="shared" ca="1" si="3647"/>
        <v>0</v>
      </c>
      <c r="H1193" s="93">
        <f t="shared" ca="1" si="3647"/>
        <v>0</v>
      </c>
      <c r="I1193" s="93">
        <f t="shared" ca="1" si="3647"/>
        <v>0</v>
      </c>
      <c r="J1193" s="93">
        <f t="shared" ca="1" si="3647"/>
        <v>0</v>
      </c>
      <c r="K1193" s="93">
        <f t="shared" ca="1" si="3647"/>
        <v>98.763329767441974</v>
      </c>
      <c r="L1193" s="93">
        <f t="shared" ca="1" si="3647"/>
        <v>2827.4120312836421</v>
      </c>
      <c r="M1193" s="93">
        <f t="shared" ca="1" si="3647"/>
        <v>2843.035293184585</v>
      </c>
      <c r="N1193" s="93">
        <f t="shared" ca="1" si="3647"/>
        <v>3553.9326351785917</v>
      </c>
      <c r="O1193" s="93">
        <f t="shared" ca="1" si="3647"/>
        <v>4511.6940284259845</v>
      </c>
      <c r="P1193" s="93">
        <f t="shared" ca="1" si="3647"/>
        <v>5755.3118390955333</v>
      </c>
      <c r="Q1193" s="93">
        <f t="shared" ca="1" si="3647"/>
        <v>7210.0865284813926</v>
      </c>
      <c r="R1193" s="93">
        <f t="shared" ca="1" si="3647"/>
        <v>8664.861217867252</v>
      </c>
      <c r="S1193" s="93">
        <f t="shared" ca="1" si="3647"/>
        <v>10119.63590725311</v>
      </c>
      <c r="T1193" s="93">
        <f t="shared" ca="1" si="3647"/>
        <v>11574.410596638969</v>
      </c>
      <c r="U1193" s="93">
        <f t="shared" ref="U1193" ca="1" si="3648">(U1356-U1331)*IF(CUR_I_Report=2,U$88,1)</f>
        <v>13029.185286024827</v>
      </c>
      <c r="V1193" s="93">
        <f t="shared" ref="V1193" ca="1" si="3649">(V1356-V1331)*IF(CUR_I_Report=2,V$88,1)</f>
        <v>14483.959975410686</v>
      </c>
      <c r="W1193" s="93">
        <f t="shared" ref="W1193" ca="1" si="3650">(W1356-W1331)*IF(CUR_I_Report=2,W$88,1)</f>
        <v>15938.734664796544</v>
      </c>
      <c r="X1193" s="93">
        <f t="shared" ref="X1193" ca="1" si="3651">(X1356-X1331)*IF(CUR_I_Report=2,X$88,1)</f>
        <v>17393.509354182403</v>
      </c>
      <c r="Y1193" s="93">
        <f t="shared" ref="Y1193" ca="1" si="3652">(Y1356-Y1331)*IF(CUR_I_Report=2,Y$88,1)</f>
        <v>18848.284043568263</v>
      </c>
      <c r="Z1193" s="93">
        <f t="shared" ref="Z1193" ca="1" si="3653">(Z1356-Z1331)*IF(CUR_I_Report=2,Z$88,1)</f>
        <v>20303.058732954123</v>
      </c>
      <c r="AA1193" s="93">
        <f t="shared" ref="AA1193" ca="1" si="3654">(AA1356-AA1331)*IF(CUR_I_Report=2,AA$88,1)</f>
        <v>21757.833422339983</v>
      </c>
      <c r="AB1193" s="93">
        <f t="shared" ref="AB1193:AC1193" ca="1" si="3655">(AB1356-AB1331)*IF(CUR_I_Report=2,AB$88,1)</f>
        <v>23212.608111725844</v>
      </c>
      <c r="AC1193" s="93">
        <f t="shared" ca="1" si="3655"/>
        <v>24667.382801111704</v>
      </c>
      <c r="AD1193" s="54"/>
      <c r="AE1193" s="54"/>
    </row>
    <row r="1194" spans="1:31" s="11" customFormat="1" outlineLevel="1" x14ac:dyDescent="0.2">
      <c r="A1194" s="11" t="str">
        <f ca="1">Language!A$706</f>
        <v>Минимальный остаток средств на счете</v>
      </c>
      <c r="B1194" s="195">
        <f ca="1">MIN(F1192:AC1192)</f>
        <v>0</v>
      </c>
      <c r="C1194" s="36" t="str">
        <f ca="1">CUR_Report</f>
        <v>тыс. EUR</v>
      </c>
    </row>
    <row r="1195" spans="1:31" outlineLevel="1" x14ac:dyDescent="0.2">
      <c r="A1195" s="63"/>
      <c r="B1195" s="63"/>
      <c r="C1195" s="63"/>
      <c r="D1195" s="63"/>
      <c r="E1195" s="63"/>
      <c r="F1195" s="63"/>
      <c r="G1195" s="63"/>
      <c r="H1195" s="63"/>
      <c r="I1195" s="63"/>
      <c r="J1195" s="63"/>
      <c r="K1195" s="63"/>
      <c r="L1195" s="63"/>
      <c r="M1195" s="63"/>
      <c r="N1195" s="63"/>
      <c r="O1195" s="63"/>
      <c r="P1195" s="63"/>
      <c r="Q1195" s="63"/>
      <c r="R1195" s="63"/>
      <c r="S1195" s="63"/>
      <c r="T1195" s="63"/>
      <c r="U1195" s="63"/>
      <c r="V1195" s="63"/>
      <c r="W1195" s="63"/>
      <c r="X1195" s="63"/>
      <c r="Y1195" s="63"/>
      <c r="Z1195" s="63"/>
      <c r="AA1195" s="63"/>
      <c r="AB1195" s="63"/>
      <c r="AC1195" s="63"/>
      <c r="AD1195" s="63"/>
      <c r="AE1195" s="64"/>
    </row>
    <row r="1196" spans="1:31" outlineLevel="1" x14ac:dyDescent="0.2">
      <c r="A1196" s="19"/>
      <c r="B1196" s="19"/>
      <c r="C1196" s="19"/>
      <c r="D1196" s="19"/>
      <c r="E1196" s="19"/>
      <c r="F1196" s="19"/>
      <c r="G1196" s="19"/>
      <c r="H1196" s="19"/>
      <c r="I1196" s="19"/>
      <c r="J1196" s="19"/>
      <c r="K1196" s="19"/>
      <c r="L1196" s="19"/>
      <c r="M1196" s="19"/>
      <c r="N1196" s="19"/>
      <c r="O1196" s="19"/>
      <c r="P1196" s="19"/>
      <c r="Q1196" s="19"/>
      <c r="R1196" s="19"/>
      <c r="S1196" s="19"/>
      <c r="T1196" s="19"/>
      <c r="U1196" s="19"/>
      <c r="V1196" s="19"/>
      <c r="W1196" s="19"/>
      <c r="X1196" s="19"/>
      <c r="Y1196" s="19"/>
      <c r="Z1196" s="19"/>
      <c r="AA1196" s="19"/>
      <c r="AB1196" s="19"/>
      <c r="AC1196" s="19"/>
      <c r="AD1196" s="19"/>
      <c r="AE1196" s="22"/>
    </row>
    <row r="1197" spans="1:31" s="4" customFormat="1" ht="15.95" customHeight="1" thickBot="1" x14ac:dyDescent="0.25">
      <c r="A1197" s="165" t="str">
        <f ca="1">Language!A707</f>
        <v xml:space="preserve">         ОТЧЕТ О ПРИБЫЛЯХ И УБЫТКАХ</v>
      </c>
      <c r="B1197" s="165"/>
      <c r="C1197" s="165"/>
      <c r="D1197" s="165"/>
      <c r="E1197" s="165"/>
      <c r="F1197" s="177" t="str">
        <f t="shared" ref="F1197:AC1197" ca="1" si="3656">PeriodTitle</f>
        <v>1 кв. 2016</v>
      </c>
      <c r="G1197" s="177" t="str">
        <f t="shared" ca="1" si="3656"/>
        <v>2 кв. 2016</v>
      </c>
      <c r="H1197" s="177" t="str">
        <f t="shared" ca="1" si="3656"/>
        <v>3 кв. 2016</v>
      </c>
      <c r="I1197" s="177" t="str">
        <f t="shared" ca="1" si="3656"/>
        <v>4 кв. 2016</v>
      </c>
      <c r="J1197" s="177" t="str">
        <f t="shared" ca="1" si="3656"/>
        <v>1 кв. 2017</v>
      </c>
      <c r="K1197" s="177" t="str">
        <f t="shared" ca="1" si="3656"/>
        <v>2 кв. 2017</v>
      </c>
      <c r="L1197" s="177" t="str">
        <f t="shared" ca="1" si="3656"/>
        <v>3 кв. 2017</v>
      </c>
      <c r="M1197" s="177" t="str">
        <f t="shared" ca="1" si="3656"/>
        <v>4 кв. 2017</v>
      </c>
      <c r="N1197" s="177" t="str">
        <f t="shared" ca="1" si="3656"/>
        <v>1 кв. 2018</v>
      </c>
      <c r="O1197" s="177" t="str">
        <f t="shared" ca="1" si="3656"/>
        <v>2 кв. 2018</v>
      </c>
      <c r="P1197" s="177" t="str">
        <f t="shared" ca="1" si="3656"/>
        <v>3 кв. 2018</v>
      </c>
      <c r="Q1197" s="177" t="str">
        <f t="shared" ca="1" si="3656"/>
        <v>4 кв. 2018</v>
      </c>
      <c r="R1197" s="177" t="str">
        <f t="shared" ca="1" si="3656"/>
        <v>1 кв. 2019</v>
      </c>
      <c r="S1197" s="177" t="str">
        <f t="shared" ca="1" si="3656"/>
        <v>2 кв. 2019</v>
      </c>
      <c r="T1197" s="177" t="str">
        <f t="shared" ca="1" si="3656"/>
        <v>3 кв. 2019</v>
      </c>
      <c r="U1197" s="177" t="str">
        <f t="shared" ca="1" si="3656"/>
        <v>4 кв. 2019</v>
      </c>
      <c r="V1197" s="177" t="str">
        <f t="shared" ca="1" si="3656"/>
        <v>1 кв. 2020</v>
      </c>
      <c r="W1197" s="177" t="str">
        <f t="shared" ca="1" si="3656"/>
        <v>2 кв. 2020</v>
      </c>
      <c r="X1197" s="177" t="str">
        <f t="shared" ca="1" si="3656"/>
        <v>3 кв. 2020</v>
      </c>
      <c r="Y1197" s="177" t="str">
        <f t="shared" ca="1" si="3656"/>
        <v>4 кв. 2020</v>
      </c>
      <c r="Z1197" s="177" t="str">
        <f t="shared" ca="1" si="3656"/>
        <v>1 кв. 2021</v>
      </c>
      <c r="AA1197" s="177" t="str">
        <f t="shared" ca="1" si="3656"/>
        <v>2 кв. 2021</v>
      </c>
      <c r="AB1197" s="177" t="str">
        <f t="shared" ca="1" si="3656"/>
        <v>3 кв. 2021</v>
      </c>
      <c r="AC1197" s="177" t="str">
        <f t="shared" ca="1" si="3656"/>
        <v>4 кв. 2021</v>
      </c>
      <c r="AD1197" s="165"/>
      <c r="AE1197" s="194" t="str">
        <f ca="1">Language!A$372</f>
        <v>ИТОГО</v>
      </c>
    </row>
    <row r="1198" spans="1:31" ht="12" outlineLevel="1" thickTop="1" x14ac:dyDescent="0.2"/>
    <row r="1199" spans="1:31" outlineLevel="1" x14ac:dyDescent="0.2">
      <c r="A1199" s="35" t="str">
        <f ca="1">Language!A708</f>
        <v>Выручка (нетто)</v>
      </c>
      <c r="C1199" s="5" t="str">
        <f ca="1">CUR_Report</f>
        <v>тыс. EUR</v>
      </c>
      <c r="F1199" s="56">
        <f t="shared" ref="F1199:X1199" si="3657">(F715-F716)/IF(CUR_I_Report=2,F$88,1)</f>
        <v>0</v>
      </c>
      <c r="G1199" s="56">
        <f t="shared" si="3657"/>
        <v>0</v>
      </c>
      <c r="H1199" s="56">
        <f t="shared" si="3657"/>
        <v>0</v>
      </c>
      <c r="I1199" s="56">
        <f t="shared" si="3657"/>
        <v>0</v>
      </c>
      <c r="J1199" s="56">
        <f t="shared" si="3657"/>
        <v>0</v>
      </c>
      <c r="K1199" s="56">
        <f t="shared" si="3657"/>
        <v>714.56092469127964</v>
      </c>
      <c r="L1199" s="56">
        <f t="shared" si="3657"/>
        <v>2731.2132863136535</v>
      </c>
      <c r="M1199" s="56">
        <f t="shared" si="3657"/>
        <v>4381.7008046824012</v>
      </c>
      <c r="N1199" s="56">
        <f t="shared" si="3657"/>
        <v>6249.0205978072227</v>
      </c>
      <c r="O1199" s="56">
        <f t="shared" si="3657"/>
        <v>7525.4219523772372</v>
      </c>
      <c r="P1199" s="56">
        <f t="shared" si="3657"/>
        <v>7525.4219523772372</v>
      </c>
      <c r="Q1199" s="56">
        <f t="shared" si="3657"/>
        <v>7525.4219523772372</v>
      </c>
      <c r="R1199" s="56">
        <f t="shared" si="3657"/>
        <v>7525.4219523772372</v>
      </c>
      <c r="S1199" s="56">
        <f t="shared" si="3657"/>
        <v>7525.4219523772372</v>
      </c>
      <c r="T1199" s="56">
        <f t="shared" si="3657"/>
        <v>7525.4219523772372</v>
      </c>
      <c r="U1199" s="56">
        <f t="shared" si="3657"/>
        <v>7525.4219523772372</v>
      </c>
      <c r="V1199" s="56">
        <f t="shared" si="3657"/>
        <v>7525.4219523772372</v>
      </c>
      <c r="W1199" s="56">
        <f t="shared" si="3657"/>
        <v>7525.4219523772372</v>
      </c>
      <c r="X1199" s="56">
        <f t="shared" si="3657"/>
        <v>7525.4219523772372</v>
      </c>
      <c r="Y1199" s="56">
        <f t="shared" ref="Y1199" si="3658">(Y715-Y716)/IF(CUR_I_Report=2,Y$88,1)</f>
        <v>7525.4219523772372</v>
      </c>
      <c r="Z1199" s="56">
        <f t="shared" ref="Z1199" si="3659">(Z715-Z716)/IF(CUR_I_Report=2,Z$88,1)</f>
        <v>7525.4219523772372</v>
      </c>
      <c r="AA1199" s="56">
        <f t="shared" ref="AA1199" si="3660">(AA715-AA716)/IF(CUR_I_Report=2,AA$88,1)</f>
        <v>7525.4219523772372</v>
      </c>
      <c r="AB1199" s="56">
        <f t="shared" ref="AB1199:AC1199" si="3661">(AB715-AB716)/IF(CUR_I_Report=2,AB$88,1)</f>
        <v>7525.4219523772372</v>
      </c>
      <c r="AC1199" s="56">
        <f t="shared" si="3661"/>
        <v>7525.4219523772372</v>
      </c>
      <c r="AD1199" s="43"/>
      <c r="AE1199" s="57">
        <f t="shared" ref="AE1199:AE1217" si="3662">SUM(F1199:AC1199)</f>
        <v>126957.82489915307</v>
      </c>
    </row>
    <row r="1200" spans="1:31" outlineLevel="1" x14ac:dyDescent="0.2">
      <c r="A1200" s="35" t="str">
        <f ca="1">Language!A709</f>
        <v>Себестоимость</v>
      </c>
      <c r="C1200" s="5" t="str">
        <f ca="1">CUR_Report</f>
        <v>тыс. EUR</v>
      </c>
      <c r="F1200" s="58">
        <f t="shared" ref="F1200:T1200" ca="1" si="3663">SUM(F1202:F1207)</f>
        <v>0</v>
      </c>
      <c r="G1200" s="58">
        <f t="shared" ca="1" si="3663"/>
        <v>0</v>
      </c>
      <c r="H1200" s="58">
        <f t="shared" ca="1" si="3663"/>
        <v>0</v>
      </c>
      <c r="I1200" s="58">
        <f t="shared" ca="1" si="3663"/>
        <v>0</v>
      </c>
      <c r="J1200" s="58">
        <f t="shared" ca="1" si="3663"/>
        <v>309.35251270876392</v>
      </c>
      <c r="K1200" s="58">
        <f t="shared" ca="1" si="3663"/>
        <v>1112.356722758786</v>
      </c>
      <c r="L1200" s="58">
        <f t="shared" ca="1" si="3663"/>
        <v>2508.2607139099546</v>
      </c>
      <c r="M1200" s="58">
        <f t="shared" ca="1" si="3663"/>
        <v>3646.083756017103</v>
      </c>
      <c r="N1200" s="58">
        <f t="shared" ca="1" si="3663"/>
        <v>4935.4347409324864</v>
      </c>
      <c r="O1200" s="58">
        <f t="shared" ca="1" si="3663"/>
        <v>5827.1771500095974</v>
      </c>
      <c r="P1200" s="58">
        <f t="shared" ca="1" si="3663"/>
        <v>5827.1771500095974</v>
      </c>
      <c r="Q1200" s="58">
        <f t="shared" ca="1" si="3663"/>
        <v>5827.1771500095974</v>
      </c>
      <c r="R1200" s="58">
        <f t="shared" ca="1" si="3663"/>
        <v>5827.1771500095974</v>
      </c>
      <c r="S1200" s="58">
        <f t="shared" ca="1" si="3663"/>
        <v>5827.1771500095974</v>
      </c>
      <c r="T1200" s="58">
        <f t="shared" ca="1" si="3663"/>
        <v>5827.1771500095974</v>
      </c>
      <c r="U1200" s="58">
        <f t="shared" ref="U1200" ca="1" si="3664">SUM(U1202:U1207)</f>
        <v>5827.1771500095974</v>
      </c>
      <c r="V1200" s="58">
        <f t="shared" ref="V1200" ca="1" si="3665">SUM(V1202:V1207)</f>
        <v>5827.1771500095974</v>
      </c>
      <c r="W1200" s="58">
        <f t="shared" ref="W1200" ca="1" si="3666">SUM(W1202:W1207)</f>
        <v>5827.1771500095974</v>
      </c>
      <c r="X1200" s="58">
        <f t="shared" ref="X1200" ca="1" si="3667">SUM(X1202:X1207)</f>
        <v>5827.1771500095974</v>
      </c>
      <c r="Y1200" s="58">
        <f t="shared" ref="Y1200" ca="1" si="3668">SUM(Y1202:Y1207)</f>
        <v>5827.1771500095974</v>
      </c>
      <c r="Z1200" s="58">
        <f t="shared" ref="Z1200" ca="1" si="3669">SUM(Z1202:Z1207)</f>
        <v>5827.1771500095974</v>
      </c>
      <c r="AA1200" s="58">
        <f t="shared" ref="AA1200" ca="1" si="3670">SUM(AA1202:AA1207)</f>
        <v>5827.1771500095974</v>
      </c>
      <c r="AB1200" s="58">
        <f t="shared" ref="AB1200:AC1200" ca="1" si="3671">SUM(AB1202:AB1207)</f>
        <v>5827.1771500095974</v>
      </c>
      <c r="AC1200" s="58">
        <f t="shared" ca="1" si="3671"/>
        <v>5827.1771500095974</v>
      </c>
      <c r="AD1200" s="43"/>
      <c r="AE1200" s="57">
        <f t="shared" ca="1" si="3662"/>
        <v>99919.145696471038</v>
      </c>
    </row>
    <row r="1201" spans="1:31" outlineLevel="2" x14ac:dyDescent="0.2">
      <c r="A1201" s="23" t="str">
        <f ca="1">Language!A710</f>
        <v>в том числе</v>
      </c>
      <c r="F1201" s="43"/>
      <c r="G1201" s="43"/>
      <c r="H1201" s="43"/>
      <c r="I1201" s="43"/>
      <c r="J1201" s="43"/>
      <c r="K1201" s="43"/>
      <c r="L1201" s="43"/>
      <c r="M1201" s="43"/>
      <c r="N1201" s="43"/>
      <c r="O1201" s="43"/>
      <c r="P1201" s="43"/>
      <c r="Q1201" s="43"/>
      <c r="R1201" s="43"/>
      <c r="S1201" s="43"/>
      <c r="T1201" s="43"/>
      <c r="U1201" s="43"/>
      <c r="V1201" s="43"/>
      <c r="W1201" s="43"/>
      <c r="X1201" s="43"/>
      <c r="Y1201" s="43"/>
      <c r="Z1201" s="43"/>
      <c r="AA1201" s="43"/>
      <c r="AB1201" s="43"/>
      <c r="AC1201" s="43"/>
      <c r="AD1201" s="43"/>
      <c r="AE1201" s="54"/>
    </row>
    <row r="1202" spans="1:31" outlineLevel="2" x14ac:dyDescent="0.2">
      <c r="A1202" s="23" t="str">
        <f ca="1">Language!A711</f>
        <v xml:space="preserve">    Сырье и материалы</v>
      </c>
      <c r="C1202" s="5" t="str">
        <f t="shared" ref="C1202:C1222" ca="1" si="3672">CUR_Report</f>
        <v>тыс. EUR</v>
      </c>
      <c r="F1202" s="53">
        <f t="shared" ref="F1202:J1204" ca="1" si="3673">F981/IF(CUR_I_Report=2,F$88,1)</f>
        <v>0</v>
      </c>
      <c r="G1202" s="53">
        <f t="shared" ca="1" si="3673"/>
        <v>0</v>
      </c>
      <c r="H1202" s="53">
        <f t="shared" ca="1" si="3673"/>
        <v>0</v>
      </c>
      <c r="I1202" s="53">
        <f t="shared" ca="1" si="3673"/>
        <v>0</v>
      </c>
      <c r="J1202" s="53">
        <f t="shared" ca="1" si="3673"/>
        <v>0</v>
      </c>
      <c r="K1202" s="53">
        <f t="shared" ref="K1202:T1202" ca="1" si="3674">K981/IF(CUR_I_Report=2,K$88,1)</f>
        <v>473.16364375002166</v>
      </c>
      <c r="L1202" s="53">
        <f t="shared" ca="1" si="3674"/>
        <v>1847.0848948830612</v>
      </c>
      <c r="M1202" s="53">
        <f t="shared" ca="1" si="3674"/>
        <v>2966.9894638861606</v>
      </c>
      <c r="N1202" s="53">
        <f t="shared" ca="1" si="3674"/>
        <v>4236.0357088816163</v>
      </c>
      <c r="O1202" s="53">
        <f t="shared" ca="1" si="3674"/>
        <v>5113.7349304142062</v>
      </c>
      <c r="P1202" s="53">
        <f t="shared" ca="1" si="3674"/>
        <v>5113.7349304142062</v>
      </c>
      <c r="Q1202" s="53">
        <f t="shared" ca="1" si="3674"/>
        <v>5113.7349304142062</v>
      </c>
      <c r="R1202" s="53">
        <f t="shared" ca="1" si="3674"/>
        <v>5113.7349304142062</v>
      </c>
      <c r="S1202" s="53">
        <f t="shared" ca="1" si="3674"/>
        <v>5113.7349304142062</v>
      </c>
      <c r="T1202" s="53">
        <f t="shared" ca="1" si="3674"/>
        <v>5113.7349304142062</v>
      </c>
      <c r="U1202" s="53">
        <f t="shared" ref="U1202" ca="1" si="3675">U981/IF(CUR_I_Report=2,U$88,1)</f>
        <v>5113.7349304142062</v>
      </c>
      <c r="V1202" s="53">
        <f t="shared" ref="V1202" ca="1" si="3676">V981/IF(CUR_I_Report=2,V$88,1)</f>
        <v>5113.7349304142062</v>
      </c>
      <c r="W1202" s="53">
        <f t="shared" ref="W1202" ca="1" si="3677">W981/IF(CUR_I_Report=2,W$88,1)</f>
        <v>5113.7349304142062</v>
      </c>
      <c r="X1202" s="53">
        <f t="shared" ref="X1202" ca="1" si="3678">X981/IF(CUR_I_Report=2,X$88,1)</f>
        <v>5113.7349304142062</v>
      </c>
      <c r="Y1202" s="53">
        <f t="shared" ref="Y1202" ca="1" si="3679">Y981/IF(CUR_I_Report=2,Y$88,1)</f>
        <v>5113.7349304142062</v>
      </c>
      <c r="Z1202" s="53">
        <f t="shared" ref="Z1202" ca="1" si="3680">Z981/IF(CUR_I_Report=2,Z$88,1)</f>
        <v>5113.7349304142062</v>
      </c>
      <c r="AA1202" s="53">
        <f t="shared" ref="AA1202" ca="1" si="3681">AA981/IF(CUR_I_Report=2,AA$88,1)</f>
        <v>5113.7349304142062</v>
      </c>
      <c r="AB1202" s="53">
        <f t="shared" ref="AB1202:AC1202" ca="1" si="3682">AB981/IF(CUR_I_Report=2,AB$88,1)</f>
        <v>5113.7349304142062</v>
      </c>
      <c r="AC1202" s="53">
        <f t="shared" ca="1" si="3682"/>
        <v>5113.7349304142062</v>
      </c>
      <c r="AD1202" s="43"/>
      <c r="AE1202" s="54">
        <f t="shared" ca="1" si="3662"/>
        <v>86229.297667613966</v>
      </c>
    </row>
    <row r="1203" spans="1:31" outlineLevel="2" x14ac:dyDescent="0.2">
      <c r="A1203" s="23" t="str">
        <f ca="1">Language!A712</f>
        <v xml:space="preserve">    Прочие переменные расходы</v>
      </c>
      <c r="C1203" s="5" t="str">
        <f t="shared" ca="1" si="3672"/>
        <v>тыс. EUR</v>
      </c>
      <c r="F1203" s="53">
        <f t="shared" ca="1" si="3673"/>
        <v>0</v>
      </c>
      <c r="G1203" s="53">
        <f t="shared" ca="1" si="3673"/>
        <v>0</v>
      </c>
      <c r="H1203" s="53">
        <f t="shared" ca="1" si="3673"/>
        <v>0</v>
      </c>
      <c r="I1203" s="53">
        <f t="shared" ca="1" si="3673"/>
        <v>0</v>
      </c>
      <c r="J1203" s="53">
        <f t="shared" ca="1" si="3673"/>
        <v>0</v>
      </c>
      <c r="K1203" s="53">
        <f t="shared" ref="K1203:T1203" ca="1" si="3683">K982/IF(CUR_I_Report=2,K$88,1)</f>
        <v>0</v>
      </c>
      <c r="L1203" s="53">
        <f t="shared" ca="1" si="3683"/>
        <v>0</v>
      </c>
      <c r="M1203" s="53">
        <f t="shared" ca="1" si="3683"/>
        <v>0</v>
      </c>
      <c r="N1203" s="53">
        <f t="shared" ca="1" si="3683"/>
        <v>0</v>
      </c>
      <c r="O1203" s="53">
        <f t="shared" ca="1" si="3683"/>
        <v>0</v>
      </c>
      <c r="P1203" s="53">
        <f t="shared" ca="1" si="3683"/>
        <v>0</v>
      </c>
      <c r="Q1203" s="53">
        <f t="shared" ca="1" si="3683"/>
        <v>0</v>
      </c>
      <c r="R1203" s="53">
        <f t="shared" ca="1" si="3683"/>
        <v>0</v>
      </c>
      <c r="S1203" s="53">
        <f t="shared" ca="1" si="3683"/>
        <v>0</v>
      </c>
      <c r="T1203" s="53">
        <f t="shared" ca="1" si="3683"/>
        <v>0</v>
      </c>
      <c r="U1203" s="53">
        <f t="shared" ref="U1203" ca="1" si="3684">U982/IF(CUR_I_Report=2,U$88,1)</f>
        <v>0</v>
      </c>
      <c r="V1203" s="53">
        <f t="shared" ref="V1203" ca="1" si="3685">V982/IF(CUR_I_Report=2,V$88,1)</f>
        <v>0</v>
      </c>
      <c r="W1203" s="53">
        <f t="shared" ref="W1203" ca="1" si="3686">W982/IF(CUR_I_Report=2,W$88,1)</f>
        <v>0</v>
      </c>
      <c r="X1203" s="53">
        <f t="shared" ref="X1203" ca="1" si="3687">X982/IF(CUR_I_Report=2,X$88,1)</f>
        <v>0</v>
      </c>
      <c r="Y1203" s="53">
        <f t="shared" ref="Y1203" ca="1" si="3688">Y982/IF(CUR_I_Report=2,Y$88,1)</f>
        <v>0</v>
      </c>
      <c r="Z1203" s="53">
        <f t="shared" ref="Z1203" ca="1" si="3689">Z982/IF(CUR_I_Report=2,Z$88,1)</f>
        <v>0</v>
      </c>
      <c r="AA1203" s="53">
        <f t="shared" ref="AA1203" ca="1" si="3690">AA982/IF(CUR_I_Report=2,AA$88,1)</f>
        <v>0</v>
      </c>
      <c r="AB1203" s="53">
        <f t="shared" ref="AB1203:AC1203" ca="1" si="3691">AB982/IF(CUR_I_Report=2,AB$88,1)</f>
        <v>0</v>
      </c>
      <c r="AC1203" s="53">
        <f t="shared" ca="1" si="3691"/>
        <v>0</v>
      </c>
      <c r="AD1203" s="43"/>
      <c r="AE1203" s="54">
        <f t="shared" ca="1" si="3662"/>
        <v>0</v>
      </c>
    </row>
    <row r="1204" spans="1:31" outlineLevel="2" x14ac:dyDescent="0.2">
      <c r="A1204" s="23" t="str">
        <f ca="1">Language!A$713</f>
        <v xml:space="preserve">    Оплата производственного персонала</v>
      </c>
      <c r="C1204" s="5" t="str">
        <f t="shared" ca="1" si="3672"/>
        <v>тыс. EUR</v>
      </c>
      <c r="F1204" s="53">
        <f t="shared" si="3673"/>
        <v>0</v>
      </c>
      <c r="G1204" s="53">
        <f t="shared" si="3673"/>
        <v>0</v>
      </c>
      <c r="H1204" s="53">
        <f t="shared" si="3673"/>
        <v>0</v>
      </c>
      <c r="I1204" s="53">
        <f t="shared" si="3673"/>
        <v>0</v>
      </c>
      <c r="J1204" s="53">
        <f t="shared" si="3673"/>
        <v>0</v>
      </c>
      <c r="K1204" s="53">
        <f t="shared" ref="K1204:T1204" si="3692">K983/IF(CUR_I_Report=2,K$88,1)</f>
        <v>322.269948</v>
      </c>
      <c r="L1204" s="53">
        <f t="shared" si="3692"/>
        <v>322.269948</v>
      </c>
      <c r="M1204" s="53">
        <f t="shared" si="3692"/>
        <v>322.269948</v>
      </c>
      <c r="N1204" s="53">
        <f t="shared" si="3692"/>
        <v>322.269948</v>
      </c>
      <c r="O1204" s="53">
        <f t="shared" si="3692"/>
        <v>322.269948</v>
      </c>
      <c r="P1204" s="53">
        <f t="shared" si="3692"/>
        <v>322.269948</v>
      </c>
      <c r="Q1204" s="53">
        <f t="shared" si="3692"/>
        <v>322.269948</v>
      </c>
      <c r="R1204" s="53">
        <f t="shared" si="3692"/>
        <v>322.269948</v>
      </c>
      <c r="S1204" s="53">
        <f t="shared" si="3692"/>
        <v>322.269948</v>
      </c>
      <c r="T1204" s="53">
        <f t="shared" si="3692"/>
        <v>322.269948</v>
      </c>
      <c r="U1204" s="53">
        <f t="shared" ref="U1204" si="3693">U983/IF(CUR_I_Report=2,U$88,1)</f>
        <v>322.269948</v>
      </c>
      <c r="V1204" s="53">
        <f t="shared" ref="V1204" si="3694">V983/IF(CUR_I_Report=2,V$88,1)</f>
        <v>322.269948</v>
      </c>
      <c r="W1204" s="53">
        <f t="shared" ref="W1204" si="3695">W983/IF(CUR_I_Report=2,W$88,1)</f>
        <v>322.269948</v>
      </c>
      <c r="X1204" s="53">
        <f t="shared" ref="X1204" si="3696">X983/IF(CUR_I_Report=2,X$88,1)</f>
        <v>322.269948</v>
      </c>
      <c r="Y1204" s="53">
        <f t="shared" ref="Y1204" si="3697">Y983/IF(CUR_I_Report=2,Y$88,1)</f>
        <v>322.269948</v>
      </c>
      <c r="Z1204" s="53">
        <f t="shared" ref="Z1204" si="3698">Z983/IF(CUR_I_Report=2,Z$88,1)</f>
        <v>322.269948</v>
      </c>
      <c r="AA1204" s="53">
        <f t="shared" ref="AA1204" si="3699">AA983/IF(CUR_I_Report=2,AA$88,1)</f>
        <v>322.269948</v>
      </c>
      <c r="AB1204" s="53">
        <f t="shared" ref="AB1204:AC1204" si="3700">AB983/IF(CUR_I_Report=2,AB$88,1)</f>
        <v>322.269948</v>
      </c>
      <c r="AC1204" s="53">
        <f t="shared" si="3700"/>
        <v>322.269948</v>
      </c>
      <c r="AD1204" s="43"/>
      <c r="AE1204" s="54">
        <f t="shared" si="3662"/>
        <v>6123.1290120000012</v>
      </c>
    </row>
    <row r="1205" spans="1:31" outlineLevel="2" x14ac:dyDescent="0.2">
      <c r="A1205" s="23" t="str">
        <f ca="1">Language!A714</f>
        <v xml:space="preserve">    Лизинговые платежи</v>
      </c>
      <c r="C1205" s="5" t="str">
        <f t="shared" ca="1" si="3672"/>
        <v>тыс. EUR</v>
      </c>
      <c r="F1205" s="53">
        <f t="shared" ref="F1205:T1205" ca="1" si="3701">F987/IF(CUR_I_Report=2,F$88,1)</f>
        <v>0</v>
      </c>
      <c r="G1205" s="53">
        <f t="shared" ca="1" si="3701"/>
        <v>0</v>
      </c>
      <c r="H1205" s="53">
        <f t="shared" ca="1" si="3701"/>
        <v>0</v>
      </c>
      <c r="I1205" s="53">
        <f t="shared" ca="1" si="3701"/>
        <v>0</v>
      </c>
      <c r="J1205" s="53">
        <f t="shared" ca="1" si="3701"/>
        <v>0</v>
      </c>
      <c r="K1205" s="53">
        <f t="shared" ca="1" si="3701"/>
        <v>0</v>
      </c>
      <c r="L1205" s="53">
        <f t="shared" ca="1" si="3701"/>
        <v>0</v>
      </c>
      <c r="M1205" s="53">
        <f t="shared" ca="1" si="3701"/>
        <v>0</v>
      </c>
      <c r="N1205" s="53">
        <f t="shared" ca="1" si="3701"/>
        <v>0</v>
      </c>
      <c r="O1205" s="53">
        <f t="shared" ca="1" si="3701"/>
        <v>0</v>
      </c>
      <c r="P1205" s="53">
        <f t="shared" ca="1" si="3701"/>
        <v>0</v>
      </c>
      <c r="Q1205" s="53">
        <f t="shared" ca="1" si="3701"/>
        <v>0</v>
      </c>
      <c r="R1205" s="53">
        <f t="shared" ca="1" si="3701"/>
        <v>0</v>
      </c>
      <c r="S1205" s="53">
        <f t="shared" ca="1" si="3701"/>
        <v>0</v>
      </c>
      <c r="T1205" s="53">
        <f t="shared" ca="1" si="3701"/>
        <v>0</v>
      </c>
      <c r="U1205" s="53">
        <f t="shared" ref="U1205" ca="1" si="3702">U987/IF(CUR_I_Report=2,U$88,1)</f>
        <v>0</v>
      </c>
      <c r="V1205" s="53">
        <f t="shared" ref="V1205" ca="1" si="3703">V987/IF(CUR_I_Report=2,V$88,1)</f>
        <v>0</v>
      </c>
      <c r="W1205" s="53">
        <f t="shared" ref="W1205" ca="1" si="3704">W987/IF(CUR_I_Report=2,W$88,1)</f>
        <v>0</v>
      </c>
      <c r="X1205" s="53">
        <f t="shared" ref="X1205" ca="1" si="3705">X987/IF(CUR_I_Report=2,X$88,1)</f>
        <v>0</v>
      </c>
      <c r="Y1205" s="53">
        <f t="shared" ref="Y1205" ca="1" si="3706">Y987/IF(CUR_I_Report=2,Y$88,1)</f>
        <v>0</v>
      </c>
      <c r="Z1205" s="53">
        <f t="shared" ref="Z1205" ca="1" si="3707">Z987/IF(CUR_I_Report=2,Z$88,1)</f>
        <v>0</v>
      </c>
      <c r="AA1205" s="53">
        <f t="shared" ref="AA1205" ca="1" si="3708">AA987/IF(CUR_I_Report=2,AA$88,1)</f>
        <v>0</v>
      </c>
      <c r="AB1205" s="53">
        <f t="shared" ref="AB1205:AC1205" ca="1" si="3709">AB987/IF(CUR_I_Report=2,AB$88,1)</f>
        <v>0</v>
      </c>
      <c r="AC1205" s="53">
        <f t="shared" ca="1" si="3709"/>
        <v>0</v>
      </c>
      <c r="AD1205" s="43"/>
      <c r="AE1205" s="54">
        <f t="shared" ca="1" si="3662"/>
        <v>0</v>
      </c>
    </row>
    <row r="1206" spans="1:31" outlineLevel="2" x14ac:dyDescent="0.2">
      <c r="A1206" s="23" t="str">
        <f ca="1">Language!A715</f>
        <v xml:space="preserve">    Прочие производственные расходы</v>
      </c>
      <c r="C1206" s="5" t="str">
        <f t="shared" ca="1" si="3672"/>
        <v>тыс. EUR</v>
      </c>
      <c r="F1206" s="53">
        <f t="shared" ref="F1206:T1206" ca="1" si="3710">F986/IF(CUR_I_Report=2,F$88,1)</f>
        <v>0</v>
      </c>
      <c r="G1206" s="53">
        <f t="shared" ca="1" si="3710"/>
        <v>0</v>
      </c>
      <c r="H1206" s="53">
        <f t="shared" ca="1" si="3710"/>
        <v>0</v>
      </c>
      <c r="I1206" s="53">
        <f t="shared" ca="1" si="3710"/>
        <v>0</v>
      </c>
      <c r="J1206" s="53">
        <f t="shared" ca="1" si="3710"/>
        <v>0</v>
      </c>
      <c r="K1206" s="53">
        <f t="shared" ca="1" si="3710"/>
        <v>7.5706183000003486</v>
      </c>
      <c r="L1206" s="53">
        <f t="shared" ca="1" si="3710"/>
        <v>29.553358318128979</v>
      </c>
      <c r="M1206" s="53">
        <f t="shared" ca="1" si="3710"/>
        <v>47.471831422178568</v>
      </c>
      <c r="N1206" s="53">
        <f t="shared" ca="1" si="3710"/>
        <v>67.776571342105868</v>
      </c>
      <c r="O1206" s="53">
        <f t="shared" ca="1" si="3710"/>
        <v>81.819758886627284</v>
      </c>
      <c r="P1206" s="53">
        <f t="shared" ca="1" si="3710"/>
        <v>81.819758886627284</v>
      </c>
      <c r="Q1206" s="53">
        <f t="shared" ca="1" si="3710"/>
        <v>81.819758886627284</v>
      </c>
      <c r="R1206" s="53">
        <f t="shared" ca="1" si="3710"/>
        <v>81.819758886627284</v>
      </c>
      <c r="S1206" s="53">
        <f t="shared" ca="1" si="3710"/>
        <v>81.819758886627284</v>
      </c>
      <c r="T1206" s="53">
        <f t="shared" ca="1" si="3710"/>
        <v>81.819758886627284</v>
      </c>
      <c r="U1206" s="53">
        <f t="shared" ref="U1206" ca="1" si="3711">U986/IF(CUR_I_Report=2,U$88,1)</f>
        <v>81.819758886627284</v>
      </c>
      <c r="V1206" s="53">
        <f t="shared" ref="V1206" ca="1" si="3712">V986/IF(CUR_I_Report=2,V$88,1)</f>
        <v>81.819758886627284</v>
      </c>
      <c r="W1206" s="53">
        <f t="shared" ref="W1206" ca="1" si="3713">W986/IF(CUR_I_Report=2,W$88,1)</f>
        <v>81.819758886627284</v>
      </c>
      <c r="X1206" s="53">
        <f t="shared" ref="X1206" ca="1" si="3714">X986/IF(CUR_I_Report=2,X$88,1)</f>
        <v>81.819758886627284</v>
      </c>
      <c r="Y1206" s="53">
        <f t="shared" ref="Y1206" ca="1" si="3715">Y986/IF(CUR_I_Report=2,Y$88,1)</f>
        <v>81.819758886627284</v>
      </c>
      <c r="Z1206" s="53">
        <f t="shared" ref="Z1206" ca="1" si="3716">Z986/IF(CUR_I_Report=2,Z$88,1)</f>
        <v>81.819758886627284</v>
      </c>
      <c r="AA1206" s="53">
        <f t="shared" ref="AA1206" ca="1" si="3717">AA986/IF(CUR_I_Report=2,AA$88,1)</f>
        <v>81.819758886627284</v>
      </c>
      <c r="AB1206" s="53">
        <f t="shared" ref="AB1206:AC1206" ca="1" si="3718">AB986/IF(CUR_I_Report=2,AB$88,1)</f>
        <v>81.819758886627284</v>
      </c>
      <c r="AC1206" s="53">
        <f t="shared" ca="1" si="3718"/>
        <v>81.819758886627284</v>
      </c>
      <c r="AD1206" s="43"/>
      <c r="AE1206" s="54">
        <f t="shared" ca="1" si="3662"/>
        <v>1379.6687626818232</v>
      </c>
    </row>
    <row r="1207" spans="1:31" outlineLevel="2" x14ac:dyDescent="0.2">
      <c r="A1207" t="str">
        <f ca="1">Language!A729</f>
        <v xml:space="preserve">    Амортизация</v>
      </c>
      <c r="C1207" s="5" t="str">
        <f ca="1">CUR_Report</f>
        <v>тыс. EUR</v>
      </c>
      <c r="F1207" s="53">
        <f t="shared" ref="F1207:T1207" ca="1" si="3719">F944/IF(CUR_I_Report=2,F$88,1)</f>
        <v>0</v>
      </c>
      <c r="G1207" s="53">
        <f t="shared" ca="1" si="3719"/>
        <v>0</v>
      </c>
      <c r="H1207" s="53">
        <f t="shared" ca="1" si="3719"/>
        <v>0</v>
      </c>
      <c r="I1207" s="53">
        <f t="shared" ca="1" si="3719"/>
        <v>0</v>
      </c>
      <c r="J1207" s="53">
        <f t="shared" ca="1" si="3719"/>
        <v>309.35251270876392</v>
      </c>
      <c r="K1207" s="53">
        <f t="shared" ca="1" si="3719"/>
        <v>309.35251270876392</v>
      </c>
      <c r="L1207" s="53">
        <f t="shared" ca="1" si="3719"/>
        <v>309.35251270876392</v>
      </c>
      <c r="M1207" s="53">
        <f t="shared" ca="1" si="3719"/>
        <v>309.35251270876392</v>
      </c>
      <c r="N1207" s="53">
        <f t="shared" ca="1" si="3719"/>
        <v>309.35251270876392</v>
      </c>
      <c r="O1207" s="53">
        <f t="shared" ca="1" si="3719"/>
        <v>309.35251270876392</v>
      </c>
      <c r="P1207" s="53">
        <f t="shared" ca="1" si="3719"/>
        <v>309.35251270876392</v>
      </c>
      <c r="Q1207" s="53">
        <f t="shared" ca="1" si="3719"/>
        <v>309.35251270876392</v>
      </c>
      <c r="R1207" s="53">
        <f t="shared" ca="1" si="3719"/>
        <v>309.35251270876392</v>
      </c>
      <c r="S1207" s="53">
        <f t="shared" ca="1" si="3719"/>
        <v>309.35251270876392</v>
      </c>
      <c r="T1207" s="53">
        <f t="shared" ca="1" si="3719"/>
        <v>309.35251270876392</v>
      </c>
      <c r="U1207" s="53">
        <f t="shared" ref="U1207" ca="1" si="3720">U944/IF(CUR_I_Report=2,U$88,1)</f>
        <v>309.35251270876392</v>
      </c>
      <c r="V1207" s="53">
        <f t="shared" ref="V1207" ca="1" si="3721">V944/IF(CUR_I_Report=2,V$88,1)</f>
        <v>309.35251270876392</v>
      </c>
      <c r="W1207" s="53">
        <f t="shared" ref="W1207" ca="1" si="3722">W944/IF(CUR_I_Report=2,W$88,1)</f>
        <v>309.35251270876392</v>
      </c>
      <c r="X1207" s="53">
        <f t="shared" ref="X1207" ca="1" si="3723">X944/IF(CUR_I_Report=2,X$88,1)</f>
        <v>309.35251270876392</v>
      </c>
      <c r="Y1207" s="53">
        <f t="shared" ref="Y1207" ca="1" si="3724">Y944/IF(CUR_I_Report=2,Y$88,1)</f>
        <v>309.35251270876392</v>
      </c>
      <c r="Z1207" s="53">
        <f t="shared" ref="Z1207" ca="1" si="3725">Z944/IF(CUR_I_Report=2,Z$88,1)</f>
        <v>309.35251270876392</v>
      </c>
      <c r="AA1207" s="53">
        <f t="shared" ref="AA1207" ca="1" si="3726">AA944/IF(CUR_I_Report=2,AA$88,1)</f>
        <v>309.35251270876392</v>
      </c>
      <c r="AB1207" s="53">
        <f t="shared" ref="AB1207:AC1207" ca="1" si="3727">AB944/IF(CUR_I_Report=2,AB$88,1)</f>
        <v>309.35251270876392</v>
      </c>
      <c r="AC1207" s="53">
        <f t="shared" ca="1" si="3727"/>
        <v>309.35251270876392</v>
      </c>
      <c r="AD1207" s="43"/>
      <c r="AE1207" s="54">
        <f ca="1">SUM(F1207:AC1207)</f>
        <v>6187.0502541752812</v>
      </c>
    </row>
    <row r="1208" spans="1:31" outlineLevel="1" x14ac:dyDescent="0.2">
      <c r="A1208" s="35" t="str">
        <f ca="1">Language!A716</f>
        <v>Валовая прибыль</v>
      </c>
      <c r="C1208" s="5" t="str">
        <f t="shared" ca="1" si="3672"/>
        <v>тыс. EUR</v>
      </c>
      <c r="F1208" s="58">
        <f t="shared" ref="F1208:T1208" ca="1" si="3728">F1199-F1200</f>
        <v>0</v>
      </c>
      <c r="G1208" s="58">
        <f t="shared" ca="1" si="3728"/>
        <v>0</v>
      </c>
      <c r="H1208" s="58">
        <f t="shared" ca="1" si="3728"/>
        <v>0</v>
      </c>
      <c r="I1208" s="58">
        <f t="shared" ca="1" si="3728"/>
        <v>0</v>
      </c>
      <c r="J1208" s="58">
        <f t="shared" ca="1" si="3728"/>
        <v>-309.35251270876392</v>
      </c>
      <c r="K1208" s="58">
        <f t="shared" ca="1" si="3728"/>
        <v>-397.79579806750633</v>
      </c>
      <c r="L1208" s="58">
        <f t="shared" ca="1" si="3728"/>
        <v>222.95257240369892</v>
      </c>
      <c r="M1208" s="58">
        <f t="shared" ca="1" si="3728"/>
        <v>735.61704866529817</v>
      </c>
      <c r="N1208" s="58">
        <f t="shared" ca="1" si="3728"/>
        <v>1313.5858568747362</v>
      </c>
      <c r="O1208" s="58">
        <f t="shared" ca="1" si="3728"/>
        <v>1698.2448023676397</v>
      </c>
      <c r="P1208" s="58">
        <f t="shared" ca="1" si="3728"/>
        <v>1698.2448023676397</v>
      </c>
      <c r="Q1208" s="58">
        <f t="shared" ca="1" si="3728"/>
        <v>1698.2448023676397</v>
      </c>
      <c r="R1208" s="58">
        <f t="shared" ca="1" si="3728"/>
        <v>1698.2448023676397</v>
      </c>
      <c r="S1208" s="58">
        <f t="shared" ca="1" si="3728"/>
        <v>1698.2448023676397</v>
      </c>
      <c r="T1208" s="58">
        <f t="shared" ca="1" si="3728"/>
        <v>1698.2448023676397</v>
      </c>
      <c r="U1208" s="58">
        <f t="shared" ref="U1208" ca="1" si="3729">U1199-U1200</f>
        <v>1698.2448023676397</v>
      </c>
      <c r="V1208" s="58">
        <f t="shared" ref="V1208" ca="1" si="3730">V1199-V1200</f>
        <v>1698.2448023676397</v>
      </c>
      <c r="W1208" s="58">
        <f t="shared" ref="W1208" ca="1" si="3731">W1199-W1200</f>
        <v>1698.2448023676397</v>
      </c>
      <c r="X1208" s="58">
        <f t="shared" ref="X1208" ca="1" si="3732">X1199-X1200</f>
        <v>1698.2448023676397</v>
      </c>
      <c r="Y1208" s="58">
        <f t="shared" ref="Y1208" ca="1" si="3733">Y1199-Y1200</f>
        <v>1698.2448023676397</v>
      </c>
      <c r="Z1208" s="58">
        <f t="shared" ref="Z1208" ca="1" si="3734">Z1199-Z1200</f>
        <v>1698.2448023676397</v>
      </c>
      <c r="AA1208" s="58">
        <f t="shared" ref="AA1208" ca="1" si="3735">AA1199-AA1200</f>
        <v>1698.2448023676397</v>
      </c>
      <c r="AB1208" s="58">
        <f t="shared" ref="AB1208:AC1208" ca="1" si="3736">AB1199-AB1200</f>
        <v>1698.2448023676397</v>
      </c>
      <c r="AC1208" s="58">
        <f t="shared" ca="1" si="3736"/>
        <v>1698.2448023676397</v>
      </c>
      <c r="AD1208" s="43"/>
      <c r="AE1208" s="57">
        <f t="shared" ca="1" si="3662"/>
        <v>27038.679202682069</v>
      </c>
    </row>
    <row r="1209" spans="1:31" outlineLevel="1" x14ac:dyDescent="0.2">
      <c r="A1209" s="23" t="str">
        <f ca="1">Language!A$717</f>
        <v>Оплата административного и коммерческого персонала</v>
      </c>
      <c r="C1209" s="5" t="str">
        <f t="shared" ca="1" si="3672"/>
        <v>тыс. EUR</v>
      </c>
      <c r="F1209" s="53">
        <f t="shared" ref="F1209:T1209" si="3737">F984/IF(CUR_I_Report=2,F$88,1)</f>
        <v>0</v>
      </c>
      <c r="G1209" s="53">
        <f t="shared" si="3737"/>
        <v>0</v>
      </c>
      <c r="H1209" s="53">
        <f t="shared" si="3737"/>
        <v>0</v>
      </c>
      <c r="I1209" s="53">
        <f t="shared" si="3737"/>
        <v>0</v>
      </c>
      <c r="J1209" s="53">
        <f t="shared" si="3737"/>
        <v>0</v>
      </c>
      <c r="K1209" s="53">
        <f t="shared" si="3737"/>
        <v>117.54943199999998</v>
      </c>
      <c r="L1209" s="53">
        <f t="shared" si="3737"/>
        <v>117.54943199999998</v>
      </c>
      <c r="M1209" s="53">
        <f t="shared" si="3737"/>
        <v>117.54943199999998</v>
      </c>
      <c r="N1209" s="53">
        <f t="shared" si="3737"/>
        <v>117.54943199999998</v>
      </c>
      <c r="O1209" s="53">
        <f t="shared" si="3737"/>
        <v>117.54943199999998</v>
      </c>
      <c r="P1209" s="53">
        <f t="shared" si="3737"/>
        <v>117.54943199999998</v>
      </c>
      <c r="Q1209" s="53">
        <f t="shared" si="3737"/>
        <v>117.54943199999998</v>
      </c>
      <c r="R1209" s="53">
        <f t="shared" si="3737"/>
        <v>117.54943199999998</v>
      </c>
      <c r="S1209" s="53">
        <f t="shared" si="3737"/>
        <v>117.54943199999998</v>
      </c>
      <c r="T1209" s="53">
        <f t="shared" si="3737"/>
        <v>117.54943199999998</v>
      </c>
      <c r="U1209" s="53">
        <f t="shared" ref="U1209" si="3738">U984/IF(CUR_I_Report=2,U$88,1)</f>
        <v>117.54943199999998</v>
      </c>
      <c r="V1209" s="53">
        <f t="shared" ref="V1209" si="3739">V984/IF(CUR_I_Report=2,V$88,1)</f>
        <v>117.54943199999998</v>
      </c>
      <c r="W1209" s="53">
        <f t="shared" ref="W1209" si="3740">W984/IF(CUR_I_Report=2,W$88,1)</f>
        <v>117.54943199999998</v>
      </c>
      <c r="X1209" s="53">
        <f t="shared" ref="X1209" si="3741">X984/IF(CUR_I_Report=2,X$88,1)</f>
        <v>117.54943199999998</v>
      </c>
      <c r="Y1209" s="53">
        <f t="shared" ref="Y1209" si="3742">Y984/IF(CUR_I_Report=2,Y$88,1)</f>
        <v>117.54943199999998</v>
      </c>
      <c r="Z1209" s="53">
        <f t="shared" ref="Z1209" si="3743">Z984/IF(CUR_I_Report=2,Z$88,1)</f>
        <v>117.54943199999998</v>
      </c>
      <c r="AA1209" s="53">
        <f t="shared" ref="AA1209" si="3744">AA984/IF(CUR_I_Report=2,AA$88,1)</f>
        <v>117.54943199999998</v>
      </c>
      <c r="AB1209" s="53">
        <f t="shared" ref="AB1209:AC1209" si="3745">AB984/IF(CUR_I_Report=2,AB$88,1)</f>
        <v>117.54943199999998</v>
      </c>
      <c r="AC1209" s="53">
        <f t="shared" si="3745"/>
        <v>117.54943199999998</v>
      </c>
      <c r="AD1209" s="43"/>
      <c r="AE1209" s="54">
        <f t="shared" si="3662"/>
        <v>2233.4392079999998</v>
      </c>
    </row>
    <row r="1210" spans="1:31" outlineLevel="1" x14ac:dyDescent="0.2">
      <c r="A1210" s="23" t="str">
        <f ca="1">Language!A718</f>
        <v>Административные расходы</v>
      </c>
      <c r="C1210" s="5" t="str">
        <f t="shared" ca="1" si="3672"/>
        <v>тыс. EUR</v>
      </c>
      <c r="F1210" s="53">
        <f t="shared" ref="F1210:T1210" ca="1" si="3746">F990/IF(CUR_I_Report=2,F$88,1)</f>
        <v>0</v>
      </c>
      <c r="G1210" s="53">
        <f t="shared" ca="1" si="3746"/>
        <v>0</v>
      </c>
      <c r="H1210" s="53">
        <f t="shared" ca="1" si="3746"/>
        <v>0</v>
      </c>
      <c r="I1210" s="53">
        <f t="shared" ca="1" si="3746"/>
        <v>0</v>
      </c>
      <c r="J1210" s="53">
        <f t="shared" ca="1" si="3746"/>
        <v>0</v>
      </c>
      <c r="K1210" s="53">
        <f t="shared" ca="1" si="3746"/>
        <v>2.3658182187501087</v>
      </c>
      <c r="L1210" s="53">
        <f t="shared" ca="1" si="3746"/>
        <v>9.2354244744153071</v>
      </c>
      <c r="M1210" s="53">
        <f t="shared" ca="1" si="3746"/>
        <v>14.834947319430801</v>
      </c>
      <c r="N1210" s="53">
        <f t="shared" ca="1" si="3746"/>
        <v>21.180178544408086</v>
      </c>
      <c r="O1210" s="53">
        <f t="shared" ca="1" si="3746"/>
        <v>25.568674652071024</v>
      </c>
      <c r="P1210" s="53">
        <f t="shared" ca="1" si="3746"/>
        <v>25.568674652071024</v>
      </c>
      <c r="Q1210" s="53">
        <f t="shared" ca="1" si="3746"/>
        <v>25.568674652071024</v>
      </c>
      <c r="R1210" s="53">
        <f t="shared" ca="1" si="3746"/>
        <v>25.568674652071024</v>
      </c>
      <c r="S1210" s="53">
        <f t="shared" ca="1" si="3746"/>
        <v>25.568674652071024</v>
      </c>
      <c r="T1210" s="53">
        <f t="shared" ca="1" si="3746"/>
        <v>25.568674652071024</v>
      </c>
      <c r="U1210" s="53">
        <f t="shared" ref="U1210" ca="1" si="3747">U990/IF(CUR_I_Report=2,U$88,1)</f>
        <v>25.568674652071024</v>
      </c>
      <c r="V1210" s="53">
        <f t="shared" ref="V1210" ca="1" si="3748">V990/IF(CUR_I_Report=2,V$88,1)</f>
        <v>25.568674652071024</v>
      </c>
      <c r="W1210" s="53">
        <f t="shared" ref="W1210" ca="1" si="3749">W990/IF(CUR_I_Report=2,W$88,1)</f>
        <v>25.568674652071024</v>
      </c>
      <c r="X1210" s="53">
        <f t="shared" ref="X1210" ca="1" si="3750">X990/IF(CUR_I_Report=2,X$88,1)</f>
        <v>25.568674652071024</v>
      </c>
      <c r="Y1210" s="53">
        <f t="shared" ref="Y1210" ca="1" si="3751">Y990/IF(CUR_I_Report=2,Y$88,1)</f>
        <v>25.568674652071024</v>
      </c>
      <c r="Z1210" s="53">
        <f t="shared" ref="Z1210" ca="1" si="3752">Z990/IF(CUR_I_Report=2,Z$88,1)</f>
        <v>25.568674652071024</v>
      </c>
      <c r="AA1210" s="53">
        <f t="shared" ref="AA1210" ca="1" si="3753">AA990/IF(CUR_I_Report=2,AA$88,1)</f>
        <v>25.568674652071024</v>
      </c>
      <c r="AB1210" s="53">
        <f t="shared" ref="AB1210:AC1210" ca="1" si="3754">AB990/IF(CUR_I_Report=2,AB$88,1)</f>
        <v>25.568674652071024</v>
      </c>
      <c r="AC1210" s="53">
        <f t="shared" ca="1" si="3754"/>
        <v>25.568674652071024</v>
      </c>
      <c r="AD1210" s="43"/>
      <c r="AE1210" s="54">
        <f t="shared" ca="1" si="3662"/>
        <v>431.14648833806967</v>
      </c>
    </row>
    <row r="1211" spans="1:31" outlineLevel="1" x14ac:dyDescent="0.2">
      <c r="A1211" s="23" t="str">
        <f ca="1">Language!A719</f>
        <v>Коммерческие расходы</v>
      </c>
      <c r="C1211" s="5" t="str">
        <f t="shared" ca="1" si="3672"/>
        <v>тыс. EUR</v>
      </c>
      <c r="F1211" s="53">
        <f t="shared" ref="F1211:T1211" ca="1" si="3755">F989/IF(CUR_I_Report=2,F$88,1)</f>
        <v>0</v>
      </c>
      <c r="G1211" s="53">
        <f t="shared" ca="1" si="3755"/>
        <v>0</v>
      </c>
      <c r="H1211" s="53">
        <f t="shared" ca="1" si="3755"/>
        <v>0</v>
      </c>
      <c r="I1211" s="53">
        <f t="shared" ca="1" si="3755"/>
        <v>0</v>
      </c>
      <c r="J1211" s="53">
        <f t="shared" ca="1" si="3755"/>
        <v>0</v>
      </c>
      <c r="K1211" s="53">
        <f t="shared" ca="1" si="3755"/>
        <v>11.829091093750543</v>
      </c>
      <c r="L1211" s="53">
        <f t="shared" ca="1" si="3755"/>
        <v>46.177122372076532</v>
      </c>
      <c r="M1211" s="53">
        <f t="shared" ca="1" si="3755"/>
        <v>74.174736597154009</v>
      </c>
      <c r="N1211" s="53">
        <f t="shared" ca="1" si="3755"/>
        <v>105.90089272204042</v>
      </c>
      <c r="O1211" s="53">
        <f t="shared" ca="1" si="3755"/>
        <v>127.84337326035515</v>
      </c>
      <c r="P1211" s="53">
        <f t="shared" ca="1" si="3755"/>
        <v>127.84337326035515</v>
      </c>
      <c r="Q1211" s="53">
        <f t="shared" ca="1" si="3755"/>
        <v>127.84337326035515</v>
      </c>
      <c r="R1211" s="53">
        <f t="shared" ca="1" si="3755"/>
        <v>127.84337326035515</v>
      </c>
      <c r="S1211" s="53">
        <f t="shared" ca="1" si="3755"/>
        <v>127.84337326035515</v>
      </c>
      <c r="T1211" s="53">
        <f t="shared" ca="1" si="3755"/>
        <v>127.84337326035515</v>
      </c>
      <c r="U1211" s="53">
        <f t="shared" ref="U1211" ca="1" si="3756">U989/IF(CUR_I_Report=2,U$88,1)</f>
        <v>127.84337326035515</v>
      </c>
      <c r="V1211" s="53">
        <f t="shared" ref="V1211" ca="1" si="3757">V989/IF(CUR_I_Report=2,V$88,1)</f>
        <v>127.84337326035515</v>
      </c>
      <c r="W1211" s="53">
        <f t="shared" ref="W1211" ca="1" si="3758">W989/IF(CUR_I_Report=2,W$88,1)</f>
        <v>127.84337326035515</v>
      </c>
      <c r="X1211" s="53">
        <f t="shared" ref="X1211" ca="1" si="3759">X989/IF(CUR_I_Report=2,X$88,1)</f>
        <v>127.84337326035515</v>
      </c>
      <c r="Y1211" s="53">
        <f t="shared" ref="Y1211" ca="1" si="3760">Y989/IF(CUR_I_Report=2,Y$88,1)</f>
        <v>127.84337326035515</v>
      </c>
      <c r="Z1211" s="53">
        <f t="shared" ref="Z1211" ca="1" si="3761">Z989/IF(CUR_I_Report=2,Z$88,1)</f>
        <v>127.84337326035515</v>
      </c>
      <c r="AA1211" s="53">
        <f t="shared" ref="AA1211" ca="1" si="3762">AA989/IF(CUR_I_Report=2,AA$88,1)</f>
        <v>127.84337326035515</v>
      </c>
      <c r="AB1211" s="53">
        <f t="shared" ref="AB1211:AC1211" ca="1" si="3763">AB989/IF(CUR_I_Report=2,AB$88,1)</f>
        <v>127.84337326035515</v>
      </c>
      <c r="AC1211" s="53">
        <f t="shared" ca="1" si="3763"/>
        <v>127.84337326035515</v>
      </c>
      <c r="AD1211" s="43"/>
      <c r="AE1211" s="54">
        <f t="shared" ca="1" si="3662"/>
        <v>2155.7324416903484</v>
      </c>
    </row>
    <row r="1212" spans="1:31" outlineLevel="1" x14ac:dyDescent="0.2">
      <c r="A1212" s="23" t="str">
        <f ca="1">Language!A720</f>
        <v>Налоги, кроме налога на прибыль</v>
      </c>
      <c r="C1212" s="5" t="str">
        <f ca="1">CUR_Report</f>
        <v>тыс. EUR</v>
      </c>
      <c r="F1212" s="53">
        <f t="shared" ref="F1212:X1212" si="3764">(F985+F157+F162)/IF(CUR_I_Report=2,F$88,1)</f>
        <v>0</v>
      </c>
      <c r="G1212" s="53">
        <f t="shared" si="3764"/>
        <v>0</v>
      </c>
      <c r="H1212" s="53">
        <f t="shared" si="3764"/>
        <v>0</v>
      </c>
      <c r="I1212" s="53">
        <f t="shared" si="3764"/>
        <v>0</v>
      </c>
      <c r="J1212" s="53">
        <f t="shared" si="3764"/>
        <v>0</v>
      </c>
      <c r="K1212" s="53">
        <f t="shared" si="3764"/>
        <v>13.18186976744186</v>
      </c>
      <c r="L1212" s="53">
        <f t="shared" si="3764"/>
        <v>13.18186976744186</v>
      </c>
      <c r="M1212" s="53">
        <f t="shared" si="3764"/>
        <v>13.18186976744186</v>
      </c>
      <c r="N1212" s="53">
        <f t="shared" si="3764"/>
        <v>13.18186976744186</v>
      </c>
      <c r="O1212" s="53">
        <f t="shared" si="3764"/>
        <v>13.18186976744186</v>
      </c>
      <c r="P1212" s="53">
        <f t="shared" si="3764"/>
        <v>13.18186976744186</v>
      </c>
      <c r="Q1212" s="53">
        <f t="shared" si="3764"/>
        <v>13.18186976744186</v>
      </c>
      <c r="R1212" s="53">
        <f t="shared" si="3764"/>
        <v>13.18186976744186</v>
      </c>
      <c r="S1212" s="53">
        <f t="shared" si="3764"/>
        <v>13.18186976744186</v>
      </c>
      <c r="T1212" s="53">
        <f t="shared" si="3764"/>
        <v>13.18186976744186</v>
      </c>
      <c r="U1212" s="53">
        <f t="shared" si="3764"/>
        <v>13.18186976744186</v>
      </c>
      <c r="V1212" s="53">
        <f t="shared" si="3764"/>
        <v>13.18186976744186</v>
      </c>
      <c r="W1212" s="53">
        <f t="shared" si="3764"/>
        <v>13.18186976744186</v>
      </c>
      <c r="X1212" s="53">
        <f t="shared" si="3764"/>
        <v>13.18186976744186</v>
      </c>
      <c r="Y1212" s="53">
        <f t="shared" ref="Y1212" si="3765">(Y985+Y157+Y162)/IF(CUR_I_Report=2,Y$88,1)</f>
        <v>13.18186976744186</v>
      </c>
      <c r="Z1212" s="53">
        <f t="shared" ref="Z1212" si="3766">(Z985+Z157+Z162)/IF(CUR_I_Report=2,Z$88,1)</f>
        <v>13.18186976744186</v>
      </c>
      <c r="AA1212" s="53">
        <f t="shared" ref="AA1212" si="3767">(AA985+AA157+AA162)/IF(CUR_I_Report=2,AA$88,1)</f>
        <v>13.18186976744186</v>
      </c>
      <c r="AB1212" s="53">
        <f t="shared" ref="AB1212:AC1212" si="3768">(AB985+AB157+AB162)/IF(CUR_I_Report=2,AB$88,1)</f>
        <v>13.18186976744186</v>
      </c>
      <c r="AC1212" s="53">
        <f t="shared" si="3768"/>
        <v>13.18186976744186</v>
      </c>
      <c r="AD1212" s="43"/>
      <c r="AE1212" s="54">
        <f>SUM(F1212:AC1212)</f>
        <v>250.45552558139545</v>
      </c>
    </row>
    <row r="1213" spans="1:31" outlineLevel="1" x14ac:dyDescent="0.2">
      <c r="A1213" t="str">
        <f ca="1">Language!A731</f>
        <v>Проценты</v>
      </c>
      <c r="C1213" s="5" t="str">
        <f ca="1">CUR_Report</f>
        <v>тыс. EUR</v>
      </c>
      <c r="F1213" s="84">
        <f t="shared" ref="F1213:X1213" si="3769">(F1126-F526)/IF(CUR_I_Report=2,F$88,1)</f>
        <v>0</v>
      </c>
      <c r="G1213" s="84">
        <f t="shared" si="3769"/>
        <v>0</v>
      </c>
      <c r="H1213" s="84">
        <f t="shared" si="3769"/>
        <v>0</v>
      </c>
      <c r="I1213" s="84">
        <f t="shared" si="3769"/>
        <v>0</v>
      </c>
      <c r="J1213" s="84">
        <f t="shared" si="3769"/>
        <v>0</v>
      </c>
      <c r="K1213" s="84">
        <f t="shared" si="3769"/>
        <v>0</v>
      </c>
      <c r="L1213" s="84">
        <f t="shared" si="3769"/>
        <v>0</v>
      </c>
      <c r="M1213" s="84">
        <f t="shared" si="3769"/>
        <v>0</v>
      </c>
      <c r="N1213" s="84">
        <f t="shared" si="3769"/>
        <v>0</v>
      </c>
      <c r="O1213" s="84">
        <f t="shared" si="3769"/>
        <v>0</v>
      </c>
      <c r="P1213" s="84">
        <f t="shared" si="3769"/>
        <v>0</v>
      </c>
      <c r="Q1213" s="84">
        <f t="shared" si="3769"/>
        <v>0</v>
      </c>
      <c r="R1213" s="84">
        <f t="shared" si="3769"/>
        <v>0</v>
      </c>
      <c r="S1213" s="84">
        <f t="shared" si="3769"/>
        <v>0</v>
      </c>
      <c r="T1213" s="84">
        <f t="shared" si="3769"/>
        <v>0</v>
      </c>
      <c r="U1213" s="84">
        <f t="shared" si="3769"/>
        <v>0</v>
      </c>
      <c r="V1213" s="84">
        <f t="shared" si="3769"/>
        <v>0</v>
      </c>
      <c r="W1213" s="84">
        <f t="shared" si="3769"/>
        <v>0</v>
      </c>
      <c r="X1213" s="84">
        <f t="shared" si="3769"/>
        <v>0</v>
      </c>
      <c r="Y1213" s="84">
        <f t="shared" ref="Y1213" si="3770">(Y1126-Y526)/IF(CUR_I_Report=2,Y$88,1)</f>
        <v>0</v>
      </c>
      <c r="Z1213" s="84">
        <f t="shared" ref="Z1213" si="3771">(Z1126-Z526)/IF(CUR_I_Report=2,Z$88,1)</f>
        <v>0</v>
      </c>
      <c r="AA1213" s="84">
        <f t="shared" ref="AA1213" si="3772">(AA1126-AA526)/IF(CUR_I_Report=2,AA$88,1)</f>
        <v>0</v>
      </c>
      <c r="AB1213" s="84">
        <f t="shared" ref="AB1213:AC1213" si="3773">(AB1126-AB526)/IF(CUR_I_Report=2,AB$88,1)</f>
        <v>0</v>
      </c>
      <c r="AC1213" s="84">
        <f t="shared" si="3773"/>
        <v>0</v>
      </c>
      <c r="AD1213" s="43"/>
      <c r="AE1213" s="54">
        <f>SUM(F1213:AC1213)</f>
        <v>0</v>
      </c>
    </row>
    <row r="1214" spans="1:31" outlineLevel="1" x14ac:dyDescent="0.2">
      <c r="A1214" s="35" t="str">
        <f ca="1">Language!A721</f>
        <v>Прибыль (убыток) от операционной деятельности</v>
      </c>
      <c r="C1214" s="5" t="str">
        <f t="shared" ca="1" si="3672"/>
        <v>тыс. EUR</v>
      </c>
      <c r="F1214" s="58">
        <f t="shared" ref="F1214:T1214" ca="1" si="3774">F1208-F1209-F1210-F1211-F1213+F1216-F1212</f>
        <v>0</v>
      </c>
      <c r="G1214" s="58">
        <f t="shared" ca="1" si="3774"/>
        <v>0</v>
      </c>
      <c r="H1214" s="58">
        <f t="shared" ca="1" si="3774"/>
        <v>0</v>
      </c>
      <c r="I1214" s="58">
        <f t="shared" ca="1" si="3774"/>
        <v>0</v>
      </c>
      <c r="J1214" s="58">
        <f t="shared" ca="1" si="3774"/>
        <v>-309.35251270876392</v>
      </c>
      <c r="K1214" s="58">
        <f t="shared" ca="1" si="3774"/>
        <v>-542.72200914744883</v>
      </c>
      <c r="L1214" s="58">
        <f t="shared" ca="1" si="3774"/>
        <v>36.808723789765239</v>
      </c>
      <c r="M1214" s="58">
        <f t="shared" ca="1" si="3774"/>
        <v>515.87606298127139</v>
      </c>
      <c r="N1214" s="58">
        <f t="shared" ca="1" si="3774"/>
        <v>1055.7734838408458</v>
      </c>
      <c r="O1214" s="58">
        <f t="shared" ca="1" si="3774"/>
        <v>1414.1014526877718</v>
      </c>
      <c r="P1214" s="58">
        <f t="shared" ca="1" si="3774"/>
        <v>1414.1014526877718</v>
      </c>
      <c r="Q1214" s="58">
        <f t="shared" ca="1" si="3774"/>
        <v>1414.1014526877718</v>
      </c>
      <c r="R1214" s="58">
        <f t="shared" ca="1" si="3774"/>
        <v>1414.1014526877718</v>
      </c>
      <c r="S1214" s="58">
        <f t="shared" ca="1" si="3774"/>
        <v>1414.1014526877718</v>
      </c>
      <c r="T1214" s="58">
        <f t="shared" ca="1" si="3774"/>
        <v>1414.1014526877718</v>
      </c>
      <c r="U1214" s="58">
        <f t="shared" ref="U1214" ca="1" si="3775">U1208-U1209-U1210-U1211-U1213+U1216-U1212</f>
        <v>1414.1014526877718</v>
      </c>
      <c r="V1214" s="58">
        <f t="shared" ref="V1214" ca="1" si="3776">V1208-V1209-V1210-V1211-V1213+V1216-V1212</f>
        <v>1414.1014526877718</v>
      </c>
      <c r="W1214" s="58">
        <f t="shared" ref="W1214" ca="1" si="3777">W1208-W1209-W1210-W1211-W1213+W1216-W1212</f>
        <v>1414.1014526877718</v>
      </c>
      <c r="X1214" s="58">
        <f t="shared" ref="X1214" ca="1" si="3778">X1208-X1209-X1210-X1211-X1213+X1216-X1212</f>
        <v>1414.1014526877718</v>
      </c>
      <c r="Y1214" s="58">
        <f t="shared" ref="Y1214" ca="1" si="3779">Y1208-Y1209-Y1210-Y1211-Y1213+Y1216-Y1212</f>
        <v>1414.1014526877718</v>
      </c>
      <c r="Z1214" s="58">
        <f t="shared" ref="Z1214" ca="1" si="3780">Z1208-Z1209-Z1210-Z1211-Z1213+Z1216-Z1212</f>
        <v>1414.1014526877718</v>
      </c>
      <c r="AA1214" s="58">
        <f t="shared" ref="AA1214" ca="1" si="3781">AA1208-AA1209-AA1210-AA1211-AA1213+AA1216-AA1212</f>
        <v>1414.1014526877718</v>
      </c>
      <c r="AB1214" s="58">
        <f t="shared" ref="AB1214:AC1214" ca="1" si="3782">AB1208-AB1209-AB1210-AB1211-AB1213+AB1216-AB1212</f>
        <v>1414.1014526877718</v>
      </c>
      <c r="AC1214" s="58">
        <f t="shared" ca="1" si="3782"/>
        <v>1414.1014526877718</v>
      </c>
      <c r="AD1214" s="43"/>
      <c r="AE1214" s="57">
        <f t="shared" ca="1" si="3662"/>
        <v>21967.90553907225</v>
      </c>
    </row>
    <row r="1215" spans="1:31" outlineLevel="1" x14ac:dyDescent="0.2">
      <c r="A1215" t="str">
        <f ca="1">Language!A723</f>
        <v>Прибыль / убыток от реализации внеоборотных активов</v>
      </c>
      <c r="C1215" s="5" t="str">
        <f t="shared" ca="1" si="3672"/>
        <v>тыс. EUR</v>
      </c>
      <c r="F1215" s="53">
        <f t="shared" ref="F1215:X1215" si="3783">(F570+F558+F596+F607+F584+F244+F235+F253+F262+F275)/IF(CUR_I_Report=2,F$88,1)</f>
        <v>0</v>
      </c>
      <c r="G1215" s="53">
        <f t="shared" si="3783"/>
        <v>0</v>
      </c>
      <c r="H1215" s="53">
        <f t="shared" si="3783"/>
        <v>0</v>
      </c>
      <c r="I1215" s="53">
        <f t="shared" si="3783"/>
        <v>0</v>
      </c>
      <c r="J1215" s="53">
        <f t="shared" si="3783"/>
        <v>0</v>
      </c>
      <c r="K1215" s="53">
        <f t="shared" si="3783"/>
        <v>0</v>
      </c>
      <c r="L1215" s="53">
        <f t="shared" si="3783"/>
        <v>0</v>
      </c>
      <c r="M1215" s="53">
        <f t="shared" si="3783"/>
        <v>0</v>
      </c>
      <c r="N1215" s="53">
        <f t="shared" si="3783"/>
        <v>0</v>
      </c>
      <c r="O1215" s="53">
        <f t="shared" si="3783"/>
        <v>0</v>
      </c>
      <c r="P1215" s="53">
        <f t="shared" si="3783"/>
        <v>0</v>
      </c>
      <c r="Q1215" s="53">
        <f t="shared" si="3783"/>
        <v>0</v>
      </c>
      <c r="R1215" s="53">
        <f t="shared" si="3783"/>
        <v>0</v>
      </c>
      <c r="S1215" s="53">
        <f t="shared" si="3783"/>
        <v>0</v>
      </c>
      <c r="T1215" s="53">
        <f t="shared" si="3783"/>
        <v>0</v>
      </c>
      <c r="U1215" s="53">
        <f t="shared" si="3783"/>
        <v>0</v>
      </c>
      <c r="V1215" s="53">
        <f t="shared" si="3783"/>
        <v>0</v>
      </c>
      <c r="W1215" s="53">
        <f t="shared" si="3783"/>
        <v>0</v>
      </c>
      <c r="X1215" s="53">
        <f t="shared" si="3783"/>
        <v>0</v>
      </c>
      <c r="Y1215" s="53">
        <f t="shared" ref="Y1215" si="3784">(Y570+Y558+Y596+Y607+Y584+Y244+Y235+Y253+Y262+Y275)/IF(CUR_I_Report=2,Y$88,1)</f>
        <v>0</v>
      </c>
      <c r="Z1215" s="53">
        <f t="shared" ref="Z1215" si="3785">(Z570+Z558+Z596+Z607+Z584+Z244+Z235+Z253+Z262+Z275)/IF(CUR_I_Report=2,Z$88,1)</f>
        <v>0</v>
      </c>
      <c r="AA1215" s="53">
        <f t="shared" ref="AA1215" si="3786">(AA570+AA558+AA596+AA607+AA584+AA244+AA235+AA253+AA262+AA275)/IF(CUR_I_Report=2,AA$88,1)</f>
        <v>0</v>
      </c>
      <c r="AB1215" s="53">
        <f t="shared" ref="AB1215:AC1215" si="3787">(AB570+AB558+AB596+AB607+AB584+AB244+AB235+AB253+AB262+AB275)/IF(CUR_I_Report=2,AB$88,1)</f>
        <v>0</v>
      </c>
      <c r="AC1215" s="53">
        <f t="shared" si="3787"/>
        <v>0</v>
      </c>
      <c r="AD1215" s="43"/>
      <c r="AE1215" s="54">
        <f t="shared" si="3662"/>
        <v>0</v>
      </c>
    </row>
    <row r="1216" spans="1:31" outlineLevel="1" x14ac:dyDescent="0.2">
      <c r="A1216" t="str">
        <f ca="1">Language!A724</f>
        <v>Прибыль / убыток от строительной деятельности</v>
      </c>
      <c r="C1216" s="5" t="str">
        <f ca="1">CUR_Report</f>
        <v>тыс. EUR</v>
      </c>
      <c r="F1216" s="53">
        <f t="shared" ref="F1216:X1216" si="3788">F571/IF(CUR_I_Report=2,F$88,1)</f>
        <v>0</v>
      </c>
      <c r="G1216" s="53">
        <f t="shared" si="3788"/>
        <v>0</v>
      </c>
      <c r="H1216" s="53">
        <f t="shared" si="3788"/>
        <v>0</v>
      </c>
      <c r="I1216" s="53">
        <f t="shared" si="3788"/>
        <v>0</v>
      </c>
      <c r="J1216" s="53">
        <f t="shared" si="3788"/>
        <v>0</v>
      </c>
      <c r="K1216" s="53">
        <f t="shared" si="3788"/>
        <v>0</v>
      </c>
      <c r="L1216" s="53">
        <f t="shared" si="3788"/>
        <v>0</v>
      </c>
      <c r="M1216" s="53">
        <f t="shared" si="3788"/>
        <v>0</v>
      </c>
      <c r="N1216" s="53">
        <f t="shared" si="3788"/>
        <v>0</v>
      </c>
      <c r="O1216" s="53">
        <f t="shared" si="3788"/>
        <v>0</v>
      </c>
      <c r="P1216" s="53">
        <f t="shared" si="3788"/>
        <v>0</v>
      </c>
      <c r="Q1216" s="53">
        <f t="shared" si="3788"/>
        <v>0</v>
      </c>
      <c r="R1216" s="53">
        <f t="shared" si="3788"/>
        <v>0</v>
      </c>
      <c r="S1216" s="53">
        <f t="shared" si="3788"/>
        <v>0</v>
      </c>
      <c r="T1216" s="53">
        <f t="shared" si="3788"/>
        <v>0</v>
      </c>
      <c r="U1216" s="53">
        <f t="shared" si="3788"/>
        <v>0</v>
      </c>
      <c r="V1216" s="53">
        <f t="shared" si="3788"/>
        <v>0</v>
      </c>
      <c r="W1216" s="53">
        <f t="shared" si="3788"/>
        <v>0</v>
      </c>
      <c r="X1216" s="53">
        <f t="shared" si="3788"/>
        <v>0</v>
      </c>
      <c r="Y1216" s="53">
        <f t="shared" ref="Y1216" si="3789">Y571/IF(CUR_I_Report=2,Y$88,1)</f>
        <v>0</v>
      </c>
      <c r="Z1216" s="53">
        <f t="shared" ref="Z1216" si="3790">Z571/IF(CUR_I_Report=2,Z$88,1)</f>
        <v>0</v>
      </c>
      <c r="AA1216" s="53">
        <f t="shared" ref="AA1216" si="3791">AA571/IF(CUR_I_Report=2,AA$88,1)</f>
        <v>0</v>
      </c>
      <c r="AB1216" s="53">
        <f t="shared" ref="AB1216:AC1216" si="3792">AB571/IF(CUR_I_Report=2,AB$88,1)</f>
        <v>0</v>
      </c>
      <c r="AC1216" s="53">
        <f t="shared" si="3792"/>
        <v>0</v>
      </c>
      <c r="AD1216" s="43"/>
      <c r="AE1216" s="54">
        <f>SUM(F1216:AC1216)</f>
        <v>0</v>
      </c>
    </row>
    <row r="1217" spans="1:33" outlineLevel="1" x14ac:dyDescent="0.2">
      <c r="A1217" t="str">
        <f ca="1">Language!A725</f>
        <v>Курсовые разницы</v>
      </c>
      <c r="C1217" s="5" t="str">
        <f t="shared" ca="1" si="3672"/>
        <v>тыс. EUR</v>
      </c>
      <c r="F1217" s="84">
        <f t="shared" ref="F1217:T1217" si="3793">F1282/IF(CUR_I_Report=2,F$88,1)</f>
        <v>0</v>
      </c>
      <c r="G1217" s="84">
        <f t="shared" si="3793"/>
        <v>0</v>
      </c>
      <c r="H1217" s="84">
        <f t="shared" si="3793"/>
        <v>0</v>
      </c>
      <c r="I1217" s="84">
        <f t="shared" si="3793"/>
        <v>0</v>
      </c>
      <c r="J1217" s="84">
        <f t="shared" si="3793"/>
        <v>0</v>
      </c>
      <c r="K1217" s="84">
        <f t="shared" si="3793"/>
        <v>0</v>
      </c>
      <c r="L1217" s="84">
        <f t="shared" si="3793"/>
        <v>0</v>
      </c>
      <c r="M1217" s="84">
        <f t="shared" si="3793"/>
        <v>0</v>
      </c>
      <c r="N1217" s="84">
        <f t="shared" si="3793"/>
        <v>0</v>
      </c>
      <c r="O1217" s="84">
        <f t="shared" si="3793"/>
        <v>0</v>
      </c>
      <c r="P1217" s="84">
        <f t="shared" si="3793"/>
        <v>0</v>
      </c>
      <c r="Q1217" s="84">
        <f t="shared" si="3793"/>
        <v>0</v>
      </c>
      <c r="R1217" s="84">
        <f t="shared" si="3793"/>
        <v>0</v>
      </c>
      <c r="S1217" s="84">
        <f t="shared" si="3793"/>
        <v>0</v>
      </c>
      <c r="T1217" s="84">
        <f t="shared" si="3793"/>
        <v>0</v>
      </c>
      <c r="U1217" s="84">
        <f t="shared" ref="U1217" si="3794">U1282/IF(CUR_I_Report=2,U$88,1)</f>
        <v>0</v>
      </c>
      <c r="V1217" s="84">
        <f t="shared" ref="V1217" si="3795">V1282/IF(CUR_I_Report=2,V$88,1)</f>
        <v>0</v>
      </c>
      <c r="W1217" s="84">
        <f t="shared" ref="W1217" si="3796">W1282/IF(CUR_I_Report=2,W$88,1)</f>
        <v>0</v>
      </c>
      <c r="X1217" s="84">
        <f t="shared" ref="X1217" si="3797">X1282/IF(CUR_I_Report=2,X$88,1)</f>
        <v>0</v>
      </c>
      <c r="Y1217" s="84">
        <f t="shared" ref="Y1217" si="3798">Y1282/IF(CUR_I_Report=2,Y$88,1)</f>
        <v>0</v>
      </c>
      <c r="Z1217" s="84">
        <f t="shared" ref="Z1217" si="3799">Z1282/IF(CUR_I_Report=2,Z$88,1)</f>
        <v>0</v>
      </c>
      <c r="AA1217" s="84">
        <f t="shared" ref="AA1217" si="3800">AA1282/IF(CUR_I_Report=2,AA$88,1)</f>
        <v>0</v>
      </c>
      <c r="AB1217" s="84">
        <f t="shared" ref="AB1217:AC1217" si="3801">AB1282/IF(CUR_I_Report=2,AB$88,1)</f>
        <v>0</v>
      </c>
      <c r="AC1217" s="84">
        <f t="shared" si="3801"/>
        <v>0</v>
      </c>
      <c r="AD1217" s="43"/>
      <c r="AE1217" s="54">
        <f t="shared" si="3662"/>
        <v>0</v>
      </c>
    </row>
    <row r="1218" spans="1:33" outlineLevel="1" x14ac:dyDescent="0.2">
      <c r="A1218" t="str">
        <f ca="1">Language!A726</f>
        <v>Прочие доходы</v>
      </c>
      <c r="C1218" s="5" t="str">
        <f ca="1">CUR_Report</f>
        <v>тыс. EUR</v>
      </c>
      <c r="F1218" s="105">
        <f t="shared" ref="F1218:X1218" ca="1" si="3802">(F273+F601+F1277*CHOOSE($B1277,1,F$88))/IF(CUR_I_Report=2,F$88,1)</f>
        <v>0</v>
      </c>
      <c r="G1218" s="105">
        <f t="shared" ca="1" si="3802"/>
        <v>0</v>
      </c>
      <c r="H1218" s="105">
        <f t="shared" ca="1" si="3802"/>
        <v>0</v>
      </c>
      <c r="I1218" s="105">
        <f t="shared" ca="1" si="3802"/>
        <v>0</v>
      </c>
      <c r="J1218" s="105">
        <f t="shared" ca="1" si="3802"/>
        <v>0</v>
      </c>
      <c r="K1218" s="105">
        <f t="shared" ca="1" si="3802"/>
        <v>0</v>
      </c>
      <c r="L1218" s="105">
        <f t="shared" ca="1" si="3802"/>
        <v>0</v>
      </c>
      <c r="M1218" s="105">
        <f t="shared" ca="1" si="3802"/>
        <v>0</v>
      </c>
      <c r="N1218" s="105">
        <f t="shared" ca="1" si="3802"/>
        <v>0</v>
      </c>
      <c r="O1218" s="105">
        <f t="shared" ca="1" si="3802"/>
        <v>0</v>
      </c>
      <c r="P1218" s="105">
        <f t="shared" ca="1" si="3802"/>
        <v>0</v>
      </c>
      <c r="Q1218" s="105">
        <f t="shared" ca="1" si="3802"/>
        <v>0</v>
      </c>
      <c r="R1218" s="105">
        <f t="shared" ca="1" si="3802"/>
        <v>0</v>
      </c>
      <c r="S1218" s="105">
        <f t="shared" ca="1" si="3802"/>
        <v>0</v>
      </c>
      <c r="T1218" s="105">
        <f t="shared" ca="1" si="3802"/>
        <v>0</v>
      </c>
      <c r="U1218" s="105">
        <f t="shared" ca="1" si="3802"/>
        <v>0</v>
      </c>
      <c r="V1218" s="105">
        <f t="shared" ca="1" si="3802"/>
        <v>0</v>
      </c>
      <c r="W1218" s="105">
        <f t="shared" ca="1" si="3802"/>
        <v>0</v>
      </c>
      <c r="X1218" s="105">
        <f t="shared" ca="1" si="3802"/>
        <v>0</v>
      </c>
      <c r="Y1218" s="105">
        <f t="shared" ref="Y1218" ca="1" si="3803">(Y273+Y601+Y1277*CHOOSE($B1277,1,Y$88))/IF(CUR_I_Report=2,Y$88,1)</f>
        <v>0</v>
      </c>
      <c r="Z1218" s="105">
        <f t="shared" ref="Z1218" ca="1" si="3804">(Z273+Z601+Z1277*CHOOSE($B1277,1,Z$88))/IF(CUR_I_Report=2,Z$88,1)</f>
        <v>0</v>
      </c>
      <c r="AA1218" s="105">
        <f t="shared" ref="AA1218" ca="1" si="3805">(AA273+AA601+AA1277*CHOOSE($B1277,1,AA$88))/IF(CUR_I_Report=2,AA$88,1)</f>
        <v>0</v>
      </c>
      <c r="AB1218" s="105">
        <f t="shared" ref="AB1218:AC1218" ca="1" si="3806">(AB273+AB601+AB1277*CHOOSE($B1277,1,AB$88))/IF(CUR_I_Report=2,AB$88,1)</f>
        <v>0</v>
      </c>
      <c r="AC1218" s="105">
        <f t="shared" ca="1" si="3806"/>
        <v>0</v>
      </c>
      <c r="AD1218" s="43"/>
      <c r="AE1218" s="54">
        <f ca="1">SUM(F1218:AC1218)</f>
        <v>0</v>
      </c>
    </row>
    <row r="1219" spans="1:33" outlineLevel="1" x14ac:dyDescent="0.2">
      <c r="A1219" t="str">
        <f ca="1">Language!A727</f>
        <v>Прочие расходы</v>
      </c>
      <c r="C1219" s="5" t="str">
        <f ca="1">CUR_Report</f>
        <v>тыс. EUR</v>
      </c>
      <c r="F1219" s="105">
        <f t="shared" ref="F1219:T1219" si="3807">F1279*CHOOSE($B1279,1,F$88)/IF(CUR_I_Report=2,F$88,1)</f>
        <v>0</v>
      </c>
      <c r="G1219" s="105">
        <f t="shared" si="3807"/>
        <v>0</v>
      </c>
      <c r="H1219" s="105">
        <f t="shared" si="3807"/>
        <v>0</v>
      </c>
      <c r="I1219" s="105">
        <f t="shared" si="3807"/>
        <v>0</v>
      </c>
      <c r="J1219" s="105">
        <f t="shared" si="3807"/>
        <v>0</v>
      </c>
      <c r="K1219" s="105">
        <f t="shared" si="3807"/>
        <v>0</v>
      </c>
      <c r="L1219" s="105">
        <f t="shared" si="3807"/>
        <v>0</v>
      </c>
      <c r="M1219" s="105">
        <f t="shared" si="3807"/>
        <v>0</v>
      </c>
      <c r="N1219" s="105">
        <f t="shared" si="3807"/>
        <v>0</v>
      </c>
      <c r="O1219" s="105">
        <f t="shared" si="3807"/>
        <v>0</v>
      </c>
      <c r="P1219" s="105">
        <f t="shared" si="3807"/>
        <v>0</v>
      </c>
      <c r="Q1219" s="105">
        <f t="shared" si="3807"/>
        <v>0</v>
      </c>
      <c r="R1219" s="105">
        <f t="shared" si="3807"/>
        <v>0</v>
      </c>
      <c r="S1219" s="105">
        <f t="shared" si="3807"/>
        <v>0</v>
      </c>
      <c r="T1219" s="105">
        <f t="shared" si="3807"/>
        <v>0</v>
      </c>
      <c r="U1219" s="105">
        <f t="shared" ref="U1219" si="3808">U1279*CHOOSE($B1279,1,U$88)/IF(CUR_I_Report=2,U$88,1)</f>
        <v>0</v>
      </c>
      <c r="V1219" s="105">
        <f t="shared" ref="V1219" si="3809">V1279*CHOOSE($B1279,1,V$88)/IF(CUR_I_Report=2,V$88,1)</f>
        <v>0</v>
      </c>
      <c r="W1219" s="105">
        <f t="shared" ref="W1219" si="3810">W1279*CHOOSE($B1279,1,W$88)/IF(CUR_I_Report=2,W$88,1)</f>
        <v>0</v>
      </c>
      <c r="X1219" s="105">
        <f t="shared" ref="X1219" si="3811">X1279*CHOOSE($B1279,1,X$88)/IF(CUR_I_Report=2,X$88,1)</f>
        <v>0</v>
      </c>
      <c r="Y1219" s="105">
        <f t="shared" ref="Y1219" si="3812">Y1279*CHOOSE($B1279,1,Y$88)/IF(CUR_I_Report=2,Y$88,1)</f>
        <v>0</v>
      </c>
      <c r="Z1219" s="105">
        <f t="shared" ref="Z1219" si="3813">Z1279*CHOOSE($B1279,1,Z$88)/IF(CUR_I_Report=2,Z$88,1)</f>
        <v>0</v>
      </c>
      <c r="AA1219" s="105">
        <f t="shared" ref="AA1219" si="3814">AA1279*CHOOSE($B1279,1,AA$88)/IF(CUR_I_Report=2,AA$88,1)</f>
        <v>0</v>
      </c>
      <c r="AB1219" s="105">
        <f t="shared" ref="AB1219:AC1219" si="3815">AB1279*CHOOSE($B1279,1,AB$88)/IF(CUR_I_Report=2,AB$88,1)</f>
        <v>0</v>
      </c>
      <c r="AC1219" s="105">
        <f t="shared" si="3815"/>
        <v>0</v>
      </c>
      <c r="AD1219" s="43"/>
      <c r="AE1219" s="54">
        <f>SUM(F1219:AC1219)</f>
        <v>0</v>
      </c>
    </row>
    <row r="1220" spans="1:33" outlineLevel="1" x14ac:dyDescent="0.2">
      <c r="A1220" s="35" t="str">
        <f ca="1">Language!A732</f>
        <v>Прибыль до налогообложения</v>
      </c>
      <c r="C1220" s="5" t="str">
        <f t="shared" ca="1" si="3672"/>
        <v>тыс. EUR</v>
      </c>
      <c r="F1220" s="58">
        <f t="shared" ref="F1220:T1220" ca="1" si="3816">F1214+F1215+F1217+F1218-F1219</f>
        <v>0</v>
      </c>
      <c r="G1220" s="58">
        <f t="shared" ca="1" si="3816"/>
        <v>0</v>
      </c>
      <c r="H1220" s="58">
        <f t="shared" ca="1" si="3816"/>
        <v>0</v>
      </c>
      <c r="I1220" s="58">
        <f t="shared" ca="1" si="3816"/>
        <v>0</v>
      </c>
      <c r="J1220" s="58">
        <f t="shared" ca="1" si="3816"/>
        <v>-309.35251270876392</v>
      </c>
      <c r="K1220" s="58">
        <f t="shared" ca="1" si="3816"/>
        <v>-542.72200914744883</v>
      </c>
      <c r="L1220" s="58">
        <f t="shared" ca="1" si="3816"/>
        <v>36.808723789765239</v>
      </c>
      <c r="M1220" s="58">
        <f t="shared" ca="1" si="3816"/>
        <v>515.87606298127139</v>
      </c>
      <c r="N1220" s="58">
        <f t="shared" ca="1" si="3816"/>
        <v>1055.7734838408458</v>
      </c>
      <c r="O1220" s="58">
        <f t="shared" ca="1" si="3816"/>
        <v>1414.1014526877718</v>
      </c>
      <c r="P1220" s="58">
        <f t="shared" ca="1" si="3816"/>
        <v>1414.1014526877718</v>
      </c>
      <c r="Q1220" s="58">
        <f t="shared" ca="1" si="3816"/>
        <v>1414.1014526877718</v>
      </c>
      <c r="R1220" s="58">
        <f t="shared" ca="1" si="3816"/>
        <v>1414.1014526877718</v>
      </c>
      <c r="S1220" s="58">
        <f t="shared" ca="1" si="3816"/>
        <v>1414.1014526877718</v>
      </c>
      <c r="T1220" s="58">
        <f t="shared" ca="1" si="3816"/>
        <v>1414.1014526877718</v>
      </c>
      <c r="U1220" s="58">
        <f t="shared" ref="U1220" ca="1" si="3817">U1214+U1215+U1217+U1218-U1219</f>
        <v>1414.1014526877718</v>
      </c>
      <c r="V1220" s="58">
        <f t="shared" ref="V1220" ca="1" si="3818">V1214+V1215+V1217+V1218-V1219</f>
        <v>1414.1014526877718</v>
      </c>
      <c r="W1220" s="58">
        <f t="shared" ref="W1220" ca="1" si="3819">W1214+W1215+W1217+W1218-W1219</f>
        <v>1414.1014526877718</v>
      </c>
      <c r="X1220" s="58">
        <f t="shared" ref="X1220" ca="1" si="3820">X1214+X1215+X1217+X1218-X1219</f>
        <v>1414.1014526877718</v>
      </c>
      <c r="Y1220" s="58">
        <f t="shared" ref="Y1220" ca="1" si="3821">Y1214+Y1215+Y1217+Y1218-Y1219</f>
        <v>1414.1014526877718</v>
      </c>
      <c r="Z1220" s="58">
        <f t="shared" ref="Z1220" ca="1" si="3822">Z1214+Z1215+Z1217+Z1218-Z1219</f>
        <v>1414.1014526877718</v>
      </c>
      <c r="AA1220" s="58">
        <f t="shared" ref="AA1220" ca="1" si="3823">AA1214+AA1215+AA1217+AA1218-AA1219</f>
        <v>1414.1014526877718</v>
      </c>
      <c r="AB1220" s="58">
        <f t="shared" ref="AB1220:AC1220" ca="1" si="3824">AB1214+AB1215+AB1217+AB1218-AB1219</f>
        <v>1414.1014526877718</v>
      </c>
      <c r="AC1220" s="58">
        <f t="shared" ca="1" si="3824"/>
        <v>1414.1014526877718</v>
      </c>
      <c r="AD1220" s="43"/>
      <c r="AE1220" s="57">
        <f ca="1">SUM(F1220:AC1220)</f>
        <v>21967.90553907225</v>
      </c>
    </row>
    <row r="1221" spans="1:33" outlineLevel="1" x14ac:dyDescent="0.2">
      <c r="A1221" t="str">
        <f ca="1">Language!A733</f>
        <v>Налог на прибыль</v>
      </c>
      <c r="C1221" s="5" t="str">
        <f t="shared" ca="1" si="3672"/>
        <v>тыс. EUR</v>
      </c>
      <c r="F1221" s="84">
        <f t="shared" ref="F1221:X1221" ca="1" si="3825">(F173+F200+F214)/IF(CUR_I_Report=2,F$88,1)</f>
        <v>0</v>
      </c>
      <c r="G1221" s="84">
        <f t="shared" ca="1" si="3825"/>
        <v>0</v>
      </c>
      <c r="H1221" s="84">
        <f t="shared" ca="1" si="3825"/>
        <v>0</v>
      </c>
      <c r="I1221" s="84">
        <f t="shared" ca="1" si="3825"/>
        <v>0</v>
      </c>
      <c r="J1221" s="84">
        <f t="shared" ca="1" si="3825"/>
        <v>0</v>
      </c>
      <c r="K1221" s="84">
        <f t="shared" ca="1" si="3825"/>
        <v>0</v>
      </c>
      <c r="L1221" s="84">
        <f t="shared" ca="1" si="3825"/>
        <v>0</v>
      </c>
      <c r="M1221" s="84">
        <f t="shared" ca="1" si="3825"/>
        <v>0</v>
      </c>
      <c r="N1221" s="84">
        <f t="shared" ca="1" si="3825"/>
        <v>143.71291226357724</v>
      </c>
      <c r="O1221" s="84">
        <f t="shared" ca="1" si="3825"/>
        <v>268.67927601067663</v>
      </c>
      <c r="P1221" s="84">
        <f t="shared" ca="1" si="3825"/>
        <v>268.67927601067663</v>
      </c>
      <c r="Q1221" s="84">
        <f t="shared" ca="1" si="3825"/>
        <v>268.67927601067663</v>
      </c>
      <c r="R1221" s="84">
        <f t="shared" ca="1" si="3825"/>
        <v>268.67927601067663</v>
      </c>
      <c r="S1221" s="84">
        <f t="shared" ca="1" si="3825"/>
        <v>268.67927601067663</v>
      </c>
      <c r="T1221" s="84">
        <f t="shared" ca="1" si="3825"/>
        <v>268.67927601067663</v>
      </c>
      <c r="U1221" s="84">
        <f t="shared" ca="1" si="3825"/>
        <v>268.67927601067663</v>
      </c>
      <c r="V1221" s="84">
        <f t="shared" ca="1" si="3825"/>
        <v>268.67927601067663</v>
      </c>
      <c r="W1221" s="84">
        <f t="shared" ca="1" si="3825"/>
        <v>268.67927601067663</v>
      </c>
      <c r="X1221" s="84">
        <f t="shared" ca="1" si="3825"/>
        <v>268.67927601067663</v>
      </c>
      <c r="Y1221" s="84">
        <f t="shared" ref="Y1221" ca="1" si="3826">(Y173+Y200+Y214)/IF(CUR_I_Report=2,Y$88,1)</f>
        <v>268.67927601067663</v>
      </c>
      <c r="Z1221" s="84">
        <f t="shared" ref="Z1221" ca="1" si="3827">(Z173+Z200+Z214)/IF(CUR_I_Report=2,Z$88,1)</f>
        <v>268.67927601067663</v>
      </c>
      <c r="AA1221" s="84">
        <f t="shared" ref="AA1221" ca="1" si="3828">(AA173+AA200+AA214)/IF(CUR_I_Report=2,AA$88,1)</f>
        <v>268.67927601067663</v>
      </c>
      <c r="AB1221" s="84">
        <f t="shared" ref="AB1221:AC1221" ca="1" si="3829">(AB173+AB200+AB214)/IF(CUR_I_Report=2,AB$88,1)</f>
        <v>268.67927601067663</v>
      </c>
      <c r="AC1221" s="84">
        <f t="shared" ca="1" si="3829"/>
        <v>268.67927601067663</v>
      </c>
      <c r="AD1221" s="43"/>
      <c r="AE1221" s="54">
        <f ca="1">SUM(F1221:AC1221)</f>
        <v>4173.9020524237249</v>
      </c>
    </row>
    <row r="1222" spans="1:33" outlineLevel="1" x14ac:dyDescent="0.2">
      <c r="A1222" s="35" t="str">
        <f ca="1">Language!A734</f>
        <v>Чистая прибыль (убыток)</v>
      </c>
      <c r="C1222" s="5" t="str">
        <f t="shared" ca="1" si="3672"/>
        <v>тыс. EUR</v>
      </c>
      <c r="F1222" s="58">
        <f t="shared" ref="F1222:T1222" ca="1" si="3830">F1220-F1221</f>
        <v>0</v>
      </c>
      <c r="G1222" s="58">
        <f t="shared" ca="1" si="3830"/>
        <v>0</v>
      </c>
      <c r="H1222" s="58">
        <f t="shared" ca="1" si="3830"/>
        <v>0</v>
      </c>
      <c r="I1222" s="58">
        <f t="shared" ca="1" si="3830"/>
        <v>0</v>
      </c>
      <c r="J1222" s="58">
        <f t="shared" ca="1" si="3830"/>
        <v>-309.35251270876392</v>
      </c>
      <c r="K1222" s="58">
        <f t="shared" ca="1" si="3830"/>
        <v>-542.72200914744883</v>
      </c>
      <c r="L1222" s="58">
        <f t="shared" ca="1" si="3830"/>
        <v>36.808723789765239</v>
      </c>
      <c r="M1222" s="58">
        <f t="shared" ca="1" si="3830"/>
        <v>515.87606298127139</v>
      </c>
      <c r="N1222" s="58">
        <f t="shared" ca="1" si="3830"/>
        <v>912.06057157726855</v>
      </c>
      <c r="O1222" s="58">
        <f t="shared" ca="1" si="3830"/>
        <v>1145.4221766770952</v>
      </c>
      <c r="P1222" s="58">
        <f t="shared" ca="1" si="3830"/>
        <v>1145.4221766770952</v>
      </c>
      <c r="Q1222" s="58">
        <f t="shared" ca="1" si="3830"/>
        <v>1145.4221766770952</v>
      </c>
      <c r="R1222" s="58">
        <f t="shared" ca="1" si="3830"/>
        <v>1145.4221766770952</v>
      </c>
      <c r="S1222" s="58">
        <f t="shared" ca="1" si="3830"/>
        <v>1145.4221766770952</v>
      </c>
      <c r="T1222" s="58">
        <f t="shared" ca="1" si="3830"/>
        <v>1145.4221766770952</v>
      </c>
      <c r="U1222" s="58">
        <f t="shared" ref="U1222" ca="1" si="3831">U1220-U1221</f>
        <v>1145.4221766770952</v>
      </c>
      <c r="V1222" s="58">
        <f t="shared" ref="V1222" ca="1" si="3832">V1220-V1221</f>
        <v>1145.4221766770952</v>
      </c>
      <c r="W1222" s="58">
        <f t="shared" ref="W1222" ca="1" si="3833">W1220-W1221</f>
        <v>1145.4221766770952</v>
      </c>
      <c r="X1222" s="58">
        <f t="shared" ref="X1222" ca="1" si="3834">X1220-X1221</f>
        <v>1145.4221766770952</v>
      </c>
      <c r="Y1222" s="58">
        <f t="shared" ref="Y1222" ca="1" si="3835">Y1220-Y1221</f>
        <v>1145.4221766770952</v>
      </c>
      <c r="Z1222" s="58">
        <f t="shared" ref="Z1222" ca="1" si="3836">Z1220-Z1221</f>
        <v>1145.4221766770952</v>
      </c>
      <c r="AA1222" s="58">
        <f t="shared" ref="AA1222" ca="1" si="3837">AA1220-AA1221</f>
        <v>1145.4221766770952</v>
      </c>
      <c r="AB1222" s="58">
        <f t="shared" ref="AB1222:AC1222" ca="1" si="3838">AB1220-AB1221</f>
        <v>1145.4221766770952</v>
      </c>
      <c r="AC1222" s="58">
        <f t="shared" ca="1" si="3838"/>
        <v>1145.4221766770952</v>
      </c>
      <c r="AD1222" s="43"/>
      <c r="AE1222" s="57">
        <f ca="1">SUM(F1222:AC1222)</f>
        <v>17794.003486648522</v>
      </c>
      <c r="AG1222" s="424">
        <f ca="1">TotalProfit/AE1199</f>
        <v>0.14015680798550942</v>
      </c>
    </row>
    <row r="1223" spans="1:33" outlineLevel="1" x14ac:dyDescent="0.2">
      <c r="A1223" s="63"/>
      <c r="B1223" s="63"/>
      <c r="C1223" s="63"/>
      <c r="D1223" s="63"/>
      <c r="E1223" s="63"/>
      <c r="F1223" s="63"/>
      <c r="G1223" s="63"/>
      <c r="H1223" s="63"/>
      <c r="I1223" s="63"/>
      <c r="J1223" s="63"/>
      <c r="K1223" s="63"/>
      <c r="L1223" s="63"/>
      <c r="M1223" s="63"/>
      <c r="N1223" s="63"/>
      <c r="O1223" s="63"/>
      <c r="P1223" s="63"/>
      <c r="Q1223" s="63"/>
      <c r="R1223" s="63"/>
      <c r="S1223" s="63"/>
      <c r="T1223" s="63"/>
      <c r="U1223" s="63"/>
      <c r="V1223" s="63"/>
      <c r="W1223" s="63"/>
      <c r="X1223" s="63"/>
      <c r="Y1223" s="63"/>
      <c r="Z1223" s="63"/>
      <c r="AA1223" s="63"/>
      <c r="AB1223" s="63"/>
      <c r="AC1223" s="63"/>
      <c r="AD1223" s="63"/>
      <c r="AE1223" s="64"/>
    </row>
    <row r="1224" spans="1:33" outlineLevel="1" x14ac:dyDescent="0.2">
      <c r="A1224" s="22" t="str">
        <f ca="1">Language!A$735 &amp; ", " &amp; Проект!CUR_Report</f>
        <v>График: Выручка, тыс. EUR</v>
      </c>
      <c r="B1224" s="19"/>
      <c r="C1224" s="19"/>
      <c r="D1224" s="19"/>
      <c r="E1224" s="19"/>
      <c r="F1224" s="19"/>
      <c r="G1224" s="19"/>
      <c r="H1224" s="19"/>
      <c r="I1224" s="19"/>
      <c r="J1224" s="19"/>
      <c r="K1224" s="19"/>
      <c r="L1224" s="19"/>
      <c r="M1224" s="19"/>
      <c r="N1224" s="19"/>
      <c r="O1224" s="19"/>
      <c r="P1224" s="19"/>
      <c r="Q1224" s="19"/>
      <c r="R1224" s="19"/>
      <c r="S1224" s="19"/>
      <c r="T1224" s="19"/>
      <c r="U1224" s="19"/>
      <c r="V1224" s="19"/>
      <c r="W1224" s="19"/>
      <c r="X1224" s="19"/>
      <c r="Y1224" s="19"/>
      <c r="Z1224" s="19"/>
      <c r="AA1224" s="19"/>
      <c r="AB1224" s="19"/>
      <c r="AC1224" s="19"/>
      <c r="AD1224" s="19"/>
      <c r="AE1224" s="22"/>
    </row>
    <row r="1225" spans="1:33" outlineLevel="2" x14ac:dyDescent="0.2">
      <c r="A1225" s="19"/>
      <c r="B1225" s="19"/>
      <c r="C1225" s="19"/>
      <c r="D1225" s="19"/>
      <c r="E1225" s="19"/>
      <c r="F1225" s="19"/>
      <c r="G1225" s="19"/>
      <c r="H1225" s="19"/>
      <c r="I1225" s="19"/>
      <c r="J1225" s="19"/>
      <c r="K1225" s="19"/>
      <c r="L1225" s="19"/>
      <c r="M1225" s="19"/>
      <c r="N1225" s="19"/>
      <c r="O1225" s="19"/>
      <c r="P1225" s="19"/>
      <c r="Q1225" s="19"/>
      <c r="R1225" s="19"/>
      <c r="S1225" s="19"/>
      <c r="T1225" s="19"/>
      <c r="U1225" s="19"/>
      <c r="V1225" s="19"/>
      <c r="W1225" s="19"/>
      <c r="X1225" s="19"/>
      <c r="Y1225" s="19"/>
      <c r="Z1225" s="19"/>
      <c r="AA1225" s="19"/>
      <c r="AB1225" s="19"/>
      <c r="AC1225" s="19"/>
      <c r="AD1225" s="19"/>
      <c r="AE1225" s="22"/>
    </row>
    <row r="1226" spans="1:33" outlineLevel="2" x14ac:dyDescent="0.2">
      <c r="A1226" s="19"/>
      <c r="B1226" s="19"/>
      <c r="C1226" s="19"/>
      <c r="D1226" s="19"/>
      <c r="E1226" s="19"/>
      <c r="F1226" s="19"/>
      <c r="G1226" s="19"/>
      <c r="H1226" s="19"/>
      <c r="I1226" s="19"/>
      <c r="J1226" s="19"/>
      <c r="K1226" s="19"/>
      <c r="L1226" s="19"/>
      <c r="M1226" s="19"/>
      <c r="N1226" s="19"/>
      <c r="O1226" s="19"/>
      <c r="P1226" s="19"/>
      <c r="Q1226" s="19"/>
      <c r="R1226" s="19"/>
      <c r="S1226" s="19"/>
      <c r="T1226" s="19"/>
      <c r="U1226" s="19"/>
      <c r="V1226" s="19"/>
      <c r="W1226" s="19"/>
      <c r="X1226" s="19"/>
      <c r="Y1226" s="19"/>
      <c r="Z1226" s="19"/>
      <c r="AA1226" s="19"/>
      <c r="AB1226" s="19"/>
      <c r="AC1226" s="19"/>
      <c r="AD1226" s="19"/>
      <c r="AE1226" s="22"/>
    </row>
    <row r="1227" spans="1:33" outlineLevel="2" x14ac:dyDescent="0.2">
      <c r="A1227" s="19"/>
      <c r="B1227" s="19"/>
      <c r="C1227" s="19"/>
      <c r="D1227" s="19"/>
      <c r="E1227" s="19"/>
      <c r="F1227" s="19"/>
      <c r="G1227" s="19"/>
      <c r="H1227" s="19"/>
      <c r="I1227" s="19"/>
      <c r="J1227" s="19"/>
      <c r="K1227" s="19"/>
      <c r="L1227" s="19"/>
      <c r="M1227" s="19"/>
      <c r="N1227" s="19"/>
      <c r="O1227" s="19"/>
      <c r="P1227" s="19"/>
      <c r="Q1227" s="19"/>
      <c r="R1227" s="19"/>
      <c r="S1227" s="19"/>
      <c r="T1227" s="19"/>
      <c r="U1227" s="19"/>
      <c r="V1227" s="19"/>
      <c r="W1227" s="19"/>
      <c r="X1227" s="19"/>
      <c r="Y1227" s="19"/>
      <c r="Z1227" s="19"/>
      <c r="AA1227" s="19"/>
      <c r="AB1227" s="19"/>
      <c r="AC1227" s="19"/>
      <c r="AD1227" s="19"/>
      <c r="AE1227" s="22"/>
    </row>
    <row r="1228" spans="1:33" outlineLevel="2" x14ac:dyDescent="0.2">
      <c r="A1228" s="19"/>
      <c r="B1228" s="19"/>
      <c r="C1228" s="19"/>
      <c r="D1228" s="19"/>
      <c r="E1228" s="19"/>
      <c r="F1228" s="19"/>
      <c r="G1228" s="19"/>
      <c r="H1228" s="19"/>
      <c r="I1228" s="19"/>
      <c r="J1228" s="19"/>
      <c r="K1228" s="19"/>
      <c r="L1228" s="19"/>
      <c r="M1228" s="19"/>
      <c r="N1228" s="19"/>
      <c r="O1228" s="19"/>
      <c r="P1228" s="19"/>
      <c r="Q1228" s="19"/>
      <c r="R1228" s="19"/>
      <c r="S1228" s="19"/>
      <c r="T1228" s="19"/>
      <c r="U1228" s="19"/>
      <c r="V1228" s="19"/>
      <c r="W1228" s="19"/>
      <c r="X1228" s="19"/>
      <c r="Y1228" s="19"/>
      <c r="Z1228" s="19"/>
      <c r="AA1228" s="19"/>
      <c r="AB1228" s="19"/>
      <c r="AC1228" s="19"/>
      <c r="AD1228" s="19"/>
      <c r="AE1228" s="22"/>
    </row>
    <row r="1229" spans="1:33" outlineLevel="2" x14ac:dyDescent="0.2">
      <c r="A1229" s="19"/>
      <c r="B1229" s="19"/>
      <c r="C1229" s="19"/>
      <c r="D1229" s="19"/>
      <c r="E1229" s="19"/>
      <c r="F1229" s="19"/>
      <c r="G1229" s="19"/>
      <c r="H1229" s="19"/>
      <c r="I1229" s="19"/>
      <c r="J1229" s="19"/>
      <c r="K1229" s="19"/>
      <c r="L1229" s="19"/>
      <c r="M1229" s="19"/>
      <c r="N1229" s="19"/>
      <c r="O1229" s="19"/>
      <c r="P1229" s="19"/>
      <c r="Q1229" s="19"/>
      <c r="R1229" s="19"/>
      <c r="S1229" s="19"/>
      <c r="T1229" s="19"/>
      <c r="U1229" s="19"/>
      <c r="V1229" s="19"/>
      <c r="W1229" s="19"/>
      <c r="X1229" s="19"/>
      <c r="Y1229" s="19"/>
      <c r="Z1229" s="19"/>
      <c r="AA1229" s="19"/>
      <c r="AB1229" s="19"/>
      <c r="AC1229" s="19"/>
      <c r="AD1229" s="19"/>
      <c r="AE1229" s="22"/>
    </row>
    <row r="1230" spans="1:33" outlineLevel="2" x14ac:dyDescent="0.2">
      <c r="A1230" s="19"/>
      <c r="B1230" s="19"/>
      <c r="C1230" s="19"/>
      <c r="D1230" s="19"/>
      <c r="E1230" s="19"/>
      <c r="F1230" s="19"/>
      <c r="G1230" s="19"/>
      <c r="H1230" s="19"/>
      <c r="I1230" s="19"/>
      <c r="J1230" s="19"/>
      <c r="K1230" s="19"/>
      <c r="L1230" s="19"/>
      <c r="M1230" s="19"/>
      <c r="N1230" s="19"/>
      <c r="O1230" s="19"/>
      <c r="P1230" s="19"/>
      <c r="Q1230" s="19"/>
      <c r="R1230" s="19"/>
      <c r="S1230" s="19"/>
      <c r="T1230" s="19"/>
      <c r="U1230" s="19"/>
      <c r="V1230" s="19"/>
      <c r="W1230" s="19"/>
      <c r="X1230" s="19"/>
      <c r="Y1230" s="19"/>
      <c r="Z1230" s="19"/>
      <c r="AA1230" s="19"/>
      <c r="AB1230" s="19"/>
      <c r="AC1230" s="19"/>
      <c r="AD1230" s="19"/>
      <c r="AE1230" s="22"/>
    </row>
    <row r="1231" spans="1:33" outlineLevel="2" x14ac:dyDescent="0.2">
      <c r="A1231" s="19"/>
      <c r="B1231" s="19"/>
      <c r="C1231" s="19"/>
      <c r="D1231" s="19"/>
      <c r="E1231" s="19"/>
      <c r="F1231" s="19"/>
      <c r="G1231" s="19"/>
      <c r="H1231" s="19"/>
      <c r="I1231" s="19"/>
      <c r="J1231" s="19"/>
      <c r="K1231" s="19"/>
      <c r="L1231" s="19"/>
      <c r="M1231" s="19"/>
      <c r="N1231" s="19"/>
      <c r="O1231" s="19"/>
      <c r="P1231" s="19"/>
      <c r="Q1231" s="19"/>
      <c r="R1231" s="19"/>
      <c r="S1231" s="19"/>
      <c r="T1231" s="19"/>
      <c r="U1231" s="19"/>
      <c r="V1231" s="19"/>
      <c r="W1231" s="19"/>
      <c r="X1231" s="19"/>
      <c r="Y1231" s="19"/>
      <c r="Z1231" s="19"/>
      <c r="AA1231" s="19"/>
      <c r="AB1231" s="19"/>
      <c r="AC1231" s="19"/>
      <c r="AD1231" s="19"/>
      <c r="AE1231" s="22"/>
    </row>
    <row r="1232" spans="1:33" outlineLevel="2" x14ac:dyDescent="0.2">
      <c r="A1232" s="19"/>
      <c r="B1232" s="19"/>
      <c r="C1232" s="19"/>
      <c r="D1232" s="19"/>
      <c r="E1232" s="19"/>
      <c r="F1232" s="19"/>
      <c r="G1232" s="19"/>
      <c r="H1232" s="19"/>
      <c r="I1232" s="19"/>
      <c r="J1232" s="19"/>
      <c r="K1232" s="19"/>
      <c r="L1232" s="19"/>
      <c r="M1232" s="19"/>
      <c r="N1232" s="19"/>
      <c r="O1232" s="19"/>
      <c r="P1232" s="19"/>
      <c r="Q1232" s="19"/>
      <c r="R1232" s="19"/>
      <c r="S1232" s="19"/>
      <c r="T1232" s="19"/>
      <c r="U1232" s="19"/>
      <c r="V1232" s="19"/>
      <c r="W1232" s="19"/>
      <c r="X1232" s="19"/>
      <c r="Y1232" s="19"/>
      <c r="Z1232" s="19"/>
      <c r="AA1232" s="19"/>
      <c r="AB1232" s="19"/>
      <c r="AC1232" s="19"/>
      <c r="AD1232" s="19"/>
      <c r="AE1232" s="22"/>
    </row>
    <row r="1233" spans="1:31" outlineLevel="2" x14ac:dyDescent="0.2">
      <c r="A1233" s="19"/>
      <c r="B1233" s="19"/>
      <c r="C1233" s="19"/>
      <c r="D1233" s="19"/>
      <c r="E1233" s="19"/>
      <c r="F1233" s="19"/>
      <c r="G1233" s="19"/>
      <c r="H1233" s="19"/>
      <c r="I1233" s="19"/>
      <c r="J1233" s="19"/>
      <c r="K1233" s="19"/>
      <c r="L1233" s="19"/>
      <c r="M1233" s="19"/>
      <c r="N1233" s="19"/>
      <c r="O1233" s="19"/>
      <c r="P1233" s="19"/>
      <c r="Q1233" s="19"/>
      <c r="R1233" s="19"/>
      <c r="S1233" s="19"/>
      <c r="T1233" s="19"/>
      <c r="U1233" s="19"/>
      <c r="V1233" s="19"/>
      <c r="W1233" s="19"/>
      <c r="X1233" s="19"/>
      <c r="Y1233" s="19"/>
      <c r="Z1233" s="19"/>
      <c r="AA1233" s="19"/>
      <c r="AB1233" s="19"/>
      <c r="AC1233" s="19"/>
      <c r="AD1233" s="19"/>
      <c r="AE1233" s="22"/>
    </row>
    <row r="1234" spans="1:31" outlineLevel="2" x14ac:dyDescent="0.2">
      <c r="A1234" s="19"/>
      <c r="B1234" s="19"/>
      <c r="C1234" s="19"/>
      <c r="D1234" s="19"/>
      <c r="E1234" s="19"/>
      <c r="F1234" s="19"/>
      <c r="G1234" s="19"/>
      <c r="H1234" s="19"/>
      <c r="I1234" s="19"/>
      <c r="J1234" s="19"/>
      <c r="K1234" s="19"/>
      <c r="L1234" s="19"/>
      <c r="M1234" s="19"/>
      <c r="N1234" s="19"/>
      <c r="O1234" s="19"/>
      <c r="P1234" s="19"/>
      <c r="Q1234" s="19"/>
      <c r="R1234" s="19"/>
      <c r="S1234" s="19"/>
      <c r="T1234" s="19"/>
      <c r="U1234" s="19"/>
      <c r="V1234" s="19"/>
      <c r="W1234" s="19"/>
      <c r="X1234" s="19"/>
      <c r="Y1234" s="19"/>
      <c r="Z1234" s="19"/>
      <c r="AA1234" s="19"/>
      <c r="AB1234" s="19"/>
      <c r="AC1234" s="19"/>
      <c r="AD1234" s="19"/>
      <c r="AE1234" s="22"/>
    </row>
    <row r="1235" spans="1:31" outlineLevel="2" x14ac:dyDescent="0.2">
      <c r="A1235" s="19"/>
      <c r="B1235" s="19"/>
      <c r="C1235" s="19"/>
      <c r="D1235" s="19"/>
      <c r="E1235" s="19"/>
      <c r="F1235" s="19"/>
      <c r="G1235" s="19"/>
      <c r="H1235" s="19"/>
      <c r="I1235" s="19"/>
      <c r="J1235" s="19"/>
      <c r="K1235" s="19"/>
      <c r="L1235" s="19"/>
      <c r="M1235" s="19"/>
      <c r="N1235" s="19"/>
      <c r="O1235" s="19"/>
      <c r="P1235" s="19"/>
      <c r="Q1235" s="19"/>
      <c r="R1235" s="19"/>
      <c r="S1235" s="19"/>
      <c r="T1235" s="19"/>
      <c r="U1235" s="19"/>
      <c r="V1235" s="19"/>
      <c r="W1235" s="19"/>
      <c r="X1235" s="19"/>
      <c r="Y1235" s="19"/>
      <c r="Z1235" s="19"/>
      <c r="AA1235" s="19"/>
      <c r="AB1235" s="19"/>
      <c r="AC1235" s="19"/>
      <c r="AD1235" s="19"/>
      <c r="AE1235" s="22"/>
    </row>
    <row r="1236" spans="1:31" outlineLevel="2" x14ac:dyDescent="0.2">
      <c r="A1236" s="19"/>
      <c r="B1236" s="19"/>
      <c r="C1236" s="19"/>
      <c r="D1236" s="19"/>
      <c r="E1236" s="19"/>
      <c r="F1236" s="19"/>
      <c r="G1236" s="19"/>
      <c r="H1236" s="19"/>
      <c r="I1236" s="19"/>
      <c r="J1236" s="19"/>
      <c r="K1236" s="19"/>
      <c r="L1236" s="19"/>
      <c r="M1236" s="19"/>
      <c r="N1236" s="19"/>
      <c r="O1236" s="19"/>
      <c r="P1236" s="19"/>
      <c r="Q1236" s="19"/>
      <c r="R1236" s="19"/>
      <c r="S1236" s="19"/>
      <c r="T1236" s="19"/>
      <c r="U1236" s="19"/>
      <c r="V1236" s="19"/>
      <c r="W1236" s="19"/>
      <c r="X1236" s="19"/>
      <c r="Y1236" s="19"/>
      <c r="Z1236" s="19"/>
      <c r="AA1236" s="19"/>
      <c r="AB1236" s="19"/>
      <c r="AC1236" s="19"/>
      <c r="AD1236" s="19"/>
      <c r="AE1236" s="22"/>
    </row>
    <row r="1237" spans="1:31" outlineLevel="2" x14ac:dyDescent="0.2">
      <c r="A1237" s="19"/>
      <c r="B1237" s="19"/>
      <c r="C1237" s="19"/>
      <c r="D1237" s="19"/>
      <c r="E1237" s="19"/>
      <c r="F1237" s="19"/>
      <c r="G1237" s="19"/>
      <c r="H1237" s="19"/>
      <c r="I1237" s="19"/>
      <c r="J1237" s="19"/>
      <c r="K1237" s="19"/>
      <c r="L1237" s="19"/>
      <c r="M1237" s="19"/>
      <c r="N1237" s="19"/>
      <c r="O1237" s="19"/>
      <c r="P1237" s="19"/>
      <c r="Q1237" s="19"/>
      <c r="R1237" s="19"/>
      <c r="S1237" s="19"/>
      <c r="T1237" s="19"/>
      <c r="U1237" s="19"/>
      <c r="V1237" s="19"/>
      <c r="W1237" s="19"/>
      <c r="X1237" s="19"/>
      <c r="Y1237" s="19"/>
      <c r="Z1237" s="19"/>
      <c r="AA1237" s="19"/>
      <c r="AB1237" s="19"/>
      <c r="AC1237" s="19"/>
      <c r="AD1237" s="19"/>
      <c r="AE1237" s="22"/>
    </row>
    <row r="1238" spans="1:31" outlineLevel="2" x14ac:dyDescent="0.2">
      <c r="A1238" s="19"/>
      <c r="B1238" s="19"/>
      <c r="C1238" s="19"/>
      <c r="D1238" s="19"/>
      <c r="E1238" s="19"/>
      <c r="F1238" s="19"/>
      <c r="G1238" s="19"/>
      <c r="H1238" s="19"/>
      <c r="I1238" s="19"/>
      <c r="J1238" s="19"/>
      <c r="K1238" s="19"/>
      <c r="L1238" s="19"/>
      <c r="M1238" s="19"/>
      <c r="N1238" s="19"/>
      <c r="O1238" s="19"/>
      <c r="P1238" s="19"/>
      <c r="Q1238" s="19"/>
      <c r="R1238" s="19"/>
      <c r="S1238" s="19"/>
      <c r="T1238" s="19"/>
      <c r="U1238" s="19"/>
      <c r="V1238" s="19"/>
      <c r="W1238" s="19"/>
      <c r="X1238" s="19"/>
      <c r="Y1238" s="19"/>
      <c r="Z1238" s="19"/>
      <c r="AA1238" s="19"/>
      <c r="AB1238" s="19"/>
      <c r="AC1238" s="19"/>
      <c r="AD1238" s="19"/>
      <c r="AE1238" s="22"/>
    </row>
    <row r="1239" spans="1:31" outlineLevel="2" x14ac:dyDescent="0.2">
      <c r="A1239" s="19"/>
      <c r="B1239" s="19"/>
      <c r="C1239" s="19"/>
      <c r="D1239" s="19"/>
      <c r="E1239" s="19"/>
      <c r="F1239" s="19"/>
      <c r="G1239" s="19"/>
      <c r="H1239" s="19"/>
      <c r="I1239" s="19"/>
      <c r="J1239" s="19"/>
      <c r="K1239" s="19"/>
      <c r="L1239" s="19"/>
      <c r="M1239" s="19"/>
      <c r="N1239" s="19"/>
      <c r="O1239" s="19"/>
      <c r="P1239" s="19"/>
      <c r="Q1239" s="19"/>
      <c r="R1239" s="19"/>
      <c r="S1239" s="19"/>
      <c r="T1239" s="19"/>
      <c r="U1239" s="19"/>
      <c r="V1239" s="19"/>
      <c r="W1239" s="19"/>
      <c r="X1239" s="19"/>
      <c r="Y1239" s="19"/>
      <c r="Z1239" s="19"/>
      <c r="AA1239" s="19"/>
      <c r="AB1239" s="19"/>
      <c r="AC1239" s="19"/>
      <c r="AD1239" s="19"/>
      <c r="AE1239" s="22"/>
    </row>
    <row r="1240" spans="1:31" outlineLevel="2" x14ac:dyDescent="0.2">
      <c r="A1240" s="19"/>
      <c r="B1240" s="19"/>
      <c r="C1240" s="19"/>
      <c r="D1240" s="19"/>
      <c r="E1240" s="19"/>
      <c r="F1240" s="19"/>
      <c r="G1240" s="19"/>
      <c r="H1240" s="19"/>
      <c r="I1240" s="19"/>
      <c r="J1240" s="19"/>
      <c r="K1240" s="19"/>
      <c r="L1240" s="19"/>
      <c r="M1240" s="19"/>
      <c r="N1240" s="19"/>
      <c r="O1240" s="19"/>
      <c r="P1240" s="19"/>
      <c r="Q1240" s="19"/>
      <c r="R1240" s="19"/>
      <c r="S1240" s="19"/>
      <c r="T1240" s="19"/>
      <c r="U1240" s="19"/>
      <c r="V1240" s="19"/>
      <c r="W1240" s="19"/>
      <c r="X1240" s="19"/>
      <c r="Y1240" s="19"/>
      <c r="Z1240" s="19"/>
      <c r="AA1240" s="19"/>
      <c r="AB1240" s="19"/>
      <c r="AC1240" s="19"/>
      <c r="AD1240" s="19"/>
      <c r="AE1240" s="22"/>
    </row>
    <row r="1241" spans="1:31" outlineLevel="2" x14ac:dyDescent="0.2">
      <c r="A1241" s="19"/>
      <c r="B1241" s="19"/>
      <c r="C1241" s="19"/>
      <c r="D1241" s="19"/>
      <c r="E1241" s="19"/>
      <c r="F1241" s="19"/>
      <c r="G1241" s="19"/>
      <c r="H1241" s="19"/>
      <c r="I1241" s="19"/>
      <c r="J1241" s="19"/>
      <c r="K1241" s="19"/>
      <c r="L1241" s="19"/>
      <c r="M1241" s="19"/>
      <c r="N1241" s="19"/>
      <c r="O1241" s="19"/>
      <c r="P1241" s="19"/>
      <c r="Q1241" s="19"/>
      <c r="R1241" s="19"/>
      <c r="S1241" s="19"/>
      <c r="T1241" s="19"/>
      <c r="U1241" s="19"/>
      <c r="V1241" s="19"/>
      <c r="W1241" s="19"/>
      <c r="X1241" s="19"/>
      <c r="Y1241" s="19"/>
      <c r="Z1241" s="19"/>
      <c r="AA1241" s="19"/>
      <c r="AB1241" s="19"/>
      <c r="AC1241" s="19"/>
      <c r="AD1241" s="19"/>
      <c r="AE1241" s="22"/>
    </row>
    <row r="1242" spans="1:31" outlineLevel="2" x14ac:dyDescent="0.2">
      <c r="A1242" s="19"/>
      <c r="B1242" s="19"/>
      <c r="C1242" s="19"/>
      <c r="D1242" s="19"/>
      <c r="E1242" s="19"/>
      <c r="F1242" s="19"/>
      <c r="G1242" s="19"/>
      <c r="H1242" s="19"/>
      <c r="I1242" s="19"/>
      <c r="J1242" s="19"/>
      <c r="K1242" s="19"/>
      <c r="L1242" s="19"/>
      <c r="M1242" s="19"/>
      <c r="N1242" s="19"/>
      <c r="O1242" s="19"/>
      <c r="P1242" s="19"/>
      <c r="Q1242" s="19"/>
      <c r="R1242" s="19"/>
      <c r="S1242" s="19"/>
      <c r="T1242" s="19"/>
      <c r="U1242" s="19"/>
      <c r="V1242" s="19"/>
      <c r="W1242" s="19"/>
      <c r="X1242" s="19"/>
      <c r="Y1242" s="19"/>
      <c r="Z1242" s="19"/>
      <c r="AA1242" s="19"/>
      <c r="AB1242" s="19"/>
      <c r="AC1242" s="19"/>
      <c r="AD1242" s="19"/>
      <c r="AE1242" s="22"/>
    </row>
    <row r="1243" spans="1:31" outlineLevel="2" x14ac:dyDescent="0.2">
      <c r="A1243" s="19"/>
      <c r="B1243" s="19"/>
      <c r="C1243" s="19"/>
      <c r="D1243" s="19"/>
      <c r="E1243" s="19"/>
      <c r="F1243" s="19"/>
      <c r="G1243" s="19"/>
      <c r="H1243" s="19"/>
      <c r="I1243" s="19"/>
      <c r="J1243" s="19"/>
      <c r="K1243" s="19"/>
      <c r="L1243" s="19"/>
      <c r="M1243" s="19"/>
      <c r="N1243" s="19"/>
      <c r="O1243" s="19"/>
      <c r="P1243" s="19"/>
      <c r="Q1243" s="19"/>
      <c r="R1243" s="19"/>
      <c r="S1243" s="19"/>
      <c r="T1243" s="19"/>
      <c r="U1243" s="19"/>
      <c r="V1243" s="19"/>
      <c r="W1243" s="19"/>
      <c r="X1243" s="19"/>
      <c r="Y1243" s="19"/>
      <c r="Z1243" s="19"/>
      <c r="AA1243" s="19"/>
      <c r="AB1243" s="19"/>
      <c r="AC1243" s="19"/>
      <c r="AD1243" s="19"/>
      <c r="AE1243" s="22"/>
    </row>
    <row r="1244" spans="1:31" outlineLevel="2" x14ac:dyDescent="0.2">
      <c r="A1244" s="19"/>
      <c r="B1244" s="19"/>
      <c r="C1244" s="19"/>
      <c r="D1244" s="19"/>
      <c r="E1244" s="19"/>
      <c r="F1244" s="19"/>
      <c r="G1244" s="19"/>
      <c r="H1244" s="19"/>
      <c r="I1244" s="19"/>
      <c r="J1244" s="19"/>
      <c r="K1244" s="19"/>
      <c r="L1244" s="19"/>
      <c r="M1244" s="19"/>
      <c r="N1244" s="19"/>
      <c r="O1244" s="19"/>
      <c r="P1244" s="19"/>
      <c r="Q1244" s="19"/>
      <c r="R1244" s="19"/>
      <c r="S1244" s="19"/>
      <c r="T1244" s="19"/>
      <c r="U1244" s="19"/>
      <c r="V1244" s="19"/>
      <c r="W1244" s="19"/>
      <c r="X1244" s="19"/>
      <c r="Y1244" s="19"/>
      <c r="Z1244" s="19"/>
      <c r="AA1244" s="19"/>
      <c r="AB1244" s="19"/>
      <c r="AC1244" s="19"/>
      <c r="AD1244" s="19"/>
      <c r="AE1244" s="22"/>
    </row>
    <row r="1245" spans="1:31" outlineLevel="2" x14ac:dyDescent="0.2">
      <c r="A1245" s="19"/>
      <c r="B1245" s="19"/>
      <c r="C1245" s="19"/>
      <c r="D1245" s="19"/>
      <c r="E1245" s="19"/>
      <c r="F1245" s="19"/>
      <c r="G1245" s="19"/>
      <c r="H1245" s="19"/>
      <c r="I1245" s="19"/>
      <c r="J1245" s="19"/>
      <c r="K1245" s="19"/>
      <c r="L1245" s="19"/>
      <c r="M1245" s="19"/>
      <c r="N1245" s="19"/>
      <c r="O1245" s="19"/>
      <c r="P1245" s="19"/>
      <c r="Q1245" s="19"/>
      <c r="R1245" s="19"/>
      <c r="S1245" s="19"/>
      <c r="T1245" s="19"/>
      <c r="U1245" s="19"/>
      <c r="V1245" s="19"/>
      <c r="W1245" s="19"/>
      <c r="X1245" s="19"/>
      <c r="Y1245" s="19"/>
      <c r="Z1245" s="19"/>
      <c r="AA1245" s="19"/>
      <c r="AB1245" s="19"/>
      <c r="AC1245" s="19"/>
      <c r="AD1245" s="19"/>
      <c r="AE1245" s="22"/>
    </row>
    <row r="1246" spans="1:31" outlineLevel="2" x14ac:dyDescent="0.2">
      <c r="A1246" s="19"/>
      <c r="B1246" s="19"/>
      <c r="C1246" s="19"/>
      <c r="D1246" s="19"/>
      <c r="E1246" s="19"/>
      <c r="F1246" s="19"/>
      <c r="G1246" s="19"/>
      <c r="H1246" s="19"/>
      <c r="I1246" s="19"/>
      <c r="J1246" s="19"/>
      <c r="K1246" s="19"/>
      <c r="L1246" s="19"/>
      <c r="M1246" s="19"/>
      <c r="N1246" s="19"/>
      <c r="O1246" s="19"/>
      <c r="P1246" s="19"/>
      <c r="Q1246" s="19"/>
      <c r="R1246" s="19"/>
      <c r="S1246" s="19"/>
      <c r="T1246" s="19"/>
      <c r="U1246" s="19"/>
      <c r="V1246" s="19"/>
      <c r="W1246" s="19"/>
      <c r="X1246" s="19"/>
      <c r="Y1246" s="19"/>
      <c r="Z1246" s="19"/>
      <c r="AA1246" s="19"/>
      <c r="AB1246" s="19"/>
      <c r="AC1246" s="19"/>
      <c r="AD1246" s="19"/>
      <c r="AE1246" s="22"/>
    </row>
    <row r="1247" spans="1:31" outlineLevel="2" x14ac:dyDescent="0.2">
      <c r="A1247" s="19"/>
      <c r="B1247" s="19"/>
      <c r="C1247" s="19"/>
      <c r="D1247" s="19"/>
      <c r="E1247" s="19"/>
      <c r="F1247" s="19"/>
      <c r="G1247" s="19"/>
      <c r="H1247" s="19"/>
      <c r="I1247" s="19"/>
      <c r="J1247" s="19"/>
      <c r="K1247" s="19"/>
      <c r="L1247" s="19"/>
      <c r="M1247" s="19"/>
      <c r="N1247" s="19"/>
      <c r="O1247" s="19"/>
      <c r="P1247" s="19"/>
      <c r="Q1247" s="19"/>
      <c r="R1247" s="19"/>
      <c r="S1247" s="19"/>
      <c r="T1247" s="19"/>
      <c r="U1247" s="19"/>
      <c r="V1247" s="19"/>
      <c r="W1247" s="19"/>
      <c r="X1247" s="19"/>
      <c r="Y1247" s="19"/>
      <c r="Z1247" s="19"/>
      <c r="AA1247" s="19"/>
      <c r="AB1247" s="19"/>
      <c r="AC1247" s="19"/>
      <c r="AD1247" s="19"/>
      <c r="AE1247" s="22"/>
    </row>
    <row r="1248" spans="1:31" outlineLevel="1" x14ac:dyDescent="0.2">
      <c r="A1248" s="19"/>
      <c r="B1248" s="19"/>
      <c r="C1248" s="19"/>
      <c r="D1248" s="19"/>
      <c r="E1248" s="19"/>
      <c r="F1248" s="19"/>
      <c r="G1248" s="19"/>
      <c r="H1248" s="19"/>
      <c r="I1248" s="19"/>
      <c r="J1248" s="19"/>
      <c r="K1248" s="19"/>
      <c r="L1248" s="19"/>
      <c r="M1248" s="19"/>
      <c r="N1248" s="19"/>
      <c r="O1248" s="19"/>
      <c r="P1248" s="19"/>
      <c r="Q1248" s="19"/>
      <c r="R1248" s="19"/>
      <c r="S1248" s="19"/>
      <c r="T1248" s="19"/>
      <c r="U1248" s="19"/>
      <c r="V1248" s="19"/>
      <c r="W1248" s="19"/>
      <c r="X1248" s="19"/>
      <c r="Y1248" s="19"/>
      <c r="Z1248" s="19"/>
      <c r="AA1248" s="19"/>
      <c r="AB1248" s="19"/>
      <c r="AC1248" s="19"/>
      <c r="AD1248" s="19"/>
      <c r="AE1248" s="22"/>
    </row>
    <row r="1249" spans="1:31" outlineLevel="1" x14ac:dyDescent="0.2">
      <c r="A1249" s="22" t="str">
        <f ca="1">Language!A$736 &amp; ", " &amp; Проект!CUR_Report</f>
        <v>График: Чистая прибыль, тыс. EUR</v>
      </c>
      <c r="B1249" s="19"/>
      <c r="C1249" s="19"/>
      <c r="D1249" s="19"/>
      <c r="E1249" s="19"/>
      <c r="F1249" s="19"/>
      <c r="G1249" s="19"/>
      <c r="H1249" s="19"/>
      <c r="I1249" s="19"/>
      <c r="J1249" s="19"/>
      <c r="K1249" s="19"/>
      <c r="L1249" s="19"/>
      <c r="M1249" s="19"/>
      <c r="N1249" s="19"/>
      <c r="O1249" s="19"/>
      <c r="P1249" s="19"/>
      <c r="Q1249" s="19"/>
      <c r="R1249" s="19"/>
      <c r="S1249" s="19"/>
      <c r="T1249" s="19"/>
      <c r="U1249" s="19"/>
      <c r="V1249" s="19"/>
      <c r="W1249" s="19"/>
      <c r="X1249" s="19"/>
      <c r="Y1249" s="19"/>
      <c r="Z1249" s="19"/>
      <c r="AA1249" s="19"/>
      <c r="AB1249" s="19"/>
      <c r="AC1249" s="19"/>
      <c r="AD1249" s="19"/>
      <c r="AE1249" s="22"/>
    </row>
    <row r="1250" spans="1:31" outlineLevel="2" x14ac:dyDescent="0.2">
      <c r="A1250" s="19"/>
      <c r="B1250" s="19"/>
      <c r="C1250" s="19"/>
      <c r="D1250" s="19"/>
      <c r="E1250" s="19"/>
      <c r="F1250" s="19"/>
      <c r="G1250" s="19"/>
      <c r="H1250" s="19"/>
      <c r="I1250" s="19"/>
      <c r="J1250" s="19"/>
      <c r="K1250" s="19"/>
      <c r="L1250" s="19"/>
      <c r="M1250" s="19"/>
      <c r="N1250" s="19"/>
      <c r="O1250" s="19"/>
      <c r="P1250" s="19"/>
      <c r="Q1250" s="19"/>
      <c r="R1250" s="19"/>
      <c r="S1250" s="19"/>
      <c r="T1250" s="19"/>
      <c r="U1250" s="19"/>
      <c r="V1250" s="19"/>
      <c r="W1250" s="19"/>
      <c r="X1250" s="19"/>
      <c r="Y1250" s="19"/>
      <c r="Z1250" s="19"/>
      <c r="AA1250" s="19"/>
      <c r="AB1250" s="19"/>
      <c r="AC1250" s="19"/>
      <c r="AD1250" s="19"/>
      <c r="AE1250" s="22"/>
    </row>
    <row r="1251" spans="1:31" outlineLevel="2" x14ac:dyDescent="0.2">
      <c r="A1251" s="19"/>
      <c r="B1251" s="19"/>
      <c r="C1251" s="19"/>
      <c r="D1251" s="19"/>
      <c r="E1251" s="19"/>
      <c r="F1251" s="19"/>
      <c r="G1251" s="19"/>
      <c r="H1251" s="19"/>
      <c r="I1251" s="19"/>
      <c r="J1251" s="19"/>
      <c r="K1251" s="19"/>
      <c r="L1251" s="19"/>
      <c r="M1251" s="19"/>
      <c r="N1251" s="19"/>
      <c r="O1251" s="19"/>
      <c r="P1251" s="19"/>
      <c r="Q1251" s="19"/>
      <c r="R1251" s="19"/>
      <c r="S1251" s="19"/>
      <c r="T1251" s="19"/>
      <c r="U1251" s="19"/>
      <c r="V1251" s="19"/>
      <c r="W1251" s="19"/>
      <c r="X1251" s="19"/>
      <c r="Y1251" s="19"/>
      <c r="Z1251" s="19"/>
      <c r="AA1251" s="19"/>
      <c r="AB1251" s="19"/>
      <c r="AC1251" s="19"/>
      <c r="AD1251" s="19"/>
      <c r="AE1251" s="22"/>
    </row>
    <row r="1252" spans="1:31" outlineLevel="2" x14ac:dyDescent="0.2">
      <c r="A1252" s="19"/>
      <c r="B1252" s="19"/>
      <c r="C1252" s="19"/>
      <c r="D1252" s="19"/>
      <c r="E1252" s="19"/>
      <c r="F1252" s="19"/>
      <c r="G1252" s="19"/>
      <c r="H1252" s="19"/>
      <c r="I1252" s="19"/>
      <c r="J1252" s="19"/>
      <c r="K1252" s="19"/>
      <c r="L1252" s="19"/>
      <c r="M1252" s="19"/>
      <c r="N1252" s="19"/>
      <c r="O1252" s="19"/>
      <c r="P1252" s="19"/>
      <c r="Q1252" s="19"/>
      <c r="R1252" s="19"/>
      <c r="S1252" s="19"/>
      <c r="T1252" s="19"/>
      <c r="U1252" s="19"/>
      <c r="V1252" s="19"/>
      <c r="W1252" s="19"/>
      <c r="X1252" s="19"/>
      <c r="Y1252" s="19"/>
      <c r="Z1252" s="19"/>
      <c r="AA1252" s="19"/>
      <c r="AB1252" s="19"/>
      <c r="AC1252" s="19"/>
      <c r="AD1252" s="19"/>
      <c r="AE1252" s="22"/>
    </row>
    <row r="1253" spans="1:31" outlineLevel="2" x14ac:dyDescent="0.2">
      <c r="A1253" s="19"/>
      <c r="B1253" s="19"/>
      <c r="C1253" s="19"/>
      <c r="D1253" s="19"/>
      <c r="E1253" s="19"/>
      <c r="F1253" s="19"/>
      <c r="G1253" s="19"/>
      <c r="H1253" s="19"/>
      <c r="I1253" s="19"/>
      <c r="J1253" s="19"/>
      <c r="K1253" s="19"/>
      <c r="L1253" s="19"/>
      <c r="M1253" s="19"/>
      <c r="N1253" s="19"/>
      <c r="O1253" s="19"/>
      <c r="P1253" s="19"/>
      <c r="Q1253" s="19"/>
      <c r="R1253" s="19"/>
      <c r="S1253" s="19"/>
      <c r="T1253" s="19"/>
      <c r="U1253" s="19"/>
      <c r="V1253" s="19"/>
      <c r="W1253" s="19"/>
      <c r="X1253" s="19"/>
      <c r="Y1253" s="19"/>
      <c r="Z1253" s="19"/>
      <c r="AA1253" s="19"/>
      <c r="AB1253" s="19"/>
      <c r="AC1253" s="19"/>
      <c r="AD1253" s="19"/>
      <c r="AE1253" s="22"/>
    </row>
    <row r="1254" spans="1:31" outlineLevel="2" x14ac:dyDescent="0.2">
      <c r="A1254" s="19"/>
      <c r="B1254" s="19"/>
      <c r="C1254" s="19"/>
      <c r="D1254" s="19"/>
      <c r="E1254" s="19"/>
      <c r="F1254" s="19"/>
      <c r="G1254" s="19"/>
      <c r="H1254" s="19"/>
      <c r="I1254" s="19"/>
      <c r="J1254" s="19"/>
      <c r="K1254" s="19"/>
      <c r="L1254" s="19"/>
      <c r="M1254" s="19"/>
      <c r="N1254" s="19"/>
      <c r="O1254" s="19"/>
      <c r="P1254" s="19"/>
      <c r="Q1254" s="19"/>
      <c r="R1254" s="19"/>
      <c r="S1254" s="19"/>
      <c r="T1254" s="19"/>
      <c r="U1254" s="19"/>
      <c r="V1254" s="19"/>
      <c r="W1254" s="19"/>
      <c r="X1254" s="19"/>
      <c r="Y1254" s="19"/>
      <c r="Z1254" s="19"/>
      <c r="AA1254" s="19"/>
      <c r="AB1254" s="19"/>
      <c r="AC1254" s="19"/>
      <c r="AD1254" s="19"/>
      <c r="AE1254" s="22"/>
    </row>
    <row r="1255" spans="1:31" outlineLevel="2" x14ac:dyDescent="0.2">
      <c r="A1255" s="19"/>
      <c r="B1255" s="19"/>
      <c r="C1255" s="19"/>
      <c r="D1255" s="19"/>
      <c r="E1255" s="19"/>
      <c r="F1255" s="19"/>
      <c r="G1255" s="19"/>
      <c r="H1255" s="19"/>
      <c r="I1255" s="19"/>
      <c r="J1255" s="19"/>
      <c r="K1255" s="19"/>
      <c r="L1255" s="19"/>
      <c r="M1255" s="19"/>
      <c r="N1255" s="19"/>
      <c r="O1255" s="19"/>
      <c r="P1255" s="19"/>
      <c r="Q1255" s="19"/>
      <c r="R1255" s="19"/>
      <c r="S1255" s="19"/>
      <c r="T1255" s="19"/>
      <c r="U1255" s="19"/>
      <c r="V1255" s="19"/>
      <c r="W1255" s="19"/>
      <c r="X1255" s="19"/>
      <c r="Y1255" s="19"/>
      <c r="Z1255" s="19"/>
      <c r="AA1255" s="19"/>
      <c r="AB1255" s="19"/>
      <c r="AC1255" s="19"/>
      <c r="AD1255" s="19"/>
      <c r="AE1255" s="22"/>
    </row>
    <row r="1256" spans="1:31" outlineLevel="2" x14ac:dyDescent="0.2">
      <c r="A1256" s="19"/>
      <c r="B1256" s="19"/>
      <c r="C1256" s="19"/>
      <c r="D1256" s="19"/>
      <c r="E1256" s="19"/>
      <c r="F1256" s="19"/>
      <c r="G1256" s="19"/>
      <c r="H1256" s="19"/>
      <c r="I1256" s="19"/>
      <c r="J1256" s="19"/>
      <c r="K1256" s="19"/>
      <c r="L1256" s="19"/>
      <c r="M1256" s="19"/>
      <c r="N1256" s="19"/>
      <c r="O1256" s="19"/>
      <c r="P1256" s="19"/>
      <c r="Q1256" s="19"/>
      <c r="R1256" s="19"/>
      <c r="S1256" s="19"/>
      <c r="T1256" s="19"/>
      <c r="U1256" s="19"/>
      <c r="V1256" s="19"/>
      <c r="W1256" s="19"/>
      <c r="X1256" s="19"/>
      <c r="Y1256" s="19"/>
      <c r="Z1256" s="19"/>
      <c r="AA1256" s="19"/>
      <c r="AB1256" s="19"/>
      <c r="AC1256" s="19"/>
      <c r="AD1256" s="19"/>
      <c r="AE1256" s="22"/>
    </row>
    <row r="1257" spans="1:31" outlineLevel="2" x14ac:dyDescent="0.2">
      <c r="A1257" s="19"/>
      <c r="B1257" s="19"/>
      <c r="C1257" s="19"/>
      <c r="D1257" s="19"/>
      <c r="E1257" s="19"/>
      <c r="F1257" s="19"/>
      <c r="G1257" s="19"/>
      <c r="H1257" s="19"/>
      <c r="I1257" s="19"/>
      <c r="J1257" s="19"/>
      <c r="K1257" s="19"/>
      <c r="L1257" s="19"/>
      <c r="M1257" s="19"/>
      <c r="N1257" s="19"/>
      <c r="O1257" s="19"/>
      <c r="P1257" s="19"/>
      <c r="Q1257" s="19"/>
      <c r="R1257" s="19"/>
      <c r="S1257" s="19"/>
      <c r="T1257" s="19"/>
      <c r="U1257" s="19"/>
      <c r="V1257" s="19"/>
      <c r="W1257" s="19"/>
      <c r="X1257" s="19"/>
      <c r="Y1257" s="19"/>
      <c r="Z1257" s="19"/>
      <c r="AA1257" s="19"/>
      <c r="AB1257" s="19"/>
      <c r="AC1257" s="19"/>
      <c r="AD1257" s="19"/>
      <c r="AE1257" s="22"/>
    </row>
    <row r="1258" spans="1:31" outlineLevel="2" x14ac:dyDescent="0.2">
      <c r="A1258" s="19"/>
      <c r="B1258" s="19"/>
      <c r="C1258" s="19"/>
      <c r="D1258" s="19"/>
      <c r="E1258" s="19"/>
      <c r="F1258" s="19"/>
      <c r="G1258" s="19"/>
      <c r="H1258" s="19"/>
      <c r="I1258" s="19"/>
      <c r="J1258" s="19"/>
      <c r="K1258" s="19"/>
      <c r="L1258" s="19"/>
      <c r="M1258" s="19"/>
      <c r="N1258" s="19"/>
      <c r="O1258" s="19"/>
      <c r="P1258" s="19"/>
      <c r="Q1258" s="19"/>
      <c r="R1258" s="19"/>
      <c r="S1258" s="19"/>
      <c r="T1258" s="19"/>
      <c r="U1258" s="19"/>
      <c r="V1258" s="19"/>
      <c r="W1258" s="19"/>
      <c r="X1258" s="19"/>
      <c r="Y1258" s="19"/>
      <c r="Z1258" s="19"/>
      <c r="AA1258" s="19"/>
      <c r="AB1258" s="19"/>
      <c r="AC1258" s="19"/>
      <c r="AD1258" s="19"/>
      <c r="AE1258" s="22"/>
    </row>
    <row r="1259" spans="1:31" outlineLevel="2" x14ac:dyDescent="0.2">
      <c r="A1259" s="19"/>
      <c r="B1259" s="19"/>
      <c r="C1259" s="19"/>
      <c r="D1259" s="19"/>
      <c r="E1259" s="19"/>
      <c r="F1259" s="19"/>
      <c r="G1259" s="19"/>
      <c r="H1259" s="19"/>
      <c r="I1259" s="19"/>
      <c r="J1259" s="19"/>
      <c r="K1259" s="19"/>
      <c r="L1259" s="19"/>
      <c r="M1259" s="19"/>
      <c r="N1259" s="19"/>
      <c r="O1259" s="19"/>
      <c r="P1259" s="19"/>
      <c r="Q1259" s="19"/>
      <c r="R1259" s="19"/>
      <c r="S1259" s="19"/>
      <c r="T1259" s="19"/>
      <c r="U1259" s="19"/>
      <c r="V1259" s="19"/>
      <c r="W1259" s="19"/>
      <c r="X1259" s="19"/>
      <c r="Y1259" s="19"/>
      <c r="Z1259" s="19"/>
      <c r="AA1259" s="19"/>
      <c r="AB1259" s="19"/>
      <c r="AC1259" s="19"/>
      <c r="AD1259" s="19"/>
      <c r="AE1259" s="22"/>
    </row>
    <row r="1260" spans="1:31" outlineLevel="2" x14ac:dyDescent="0.2">
      <c r="A1260" s="19"/>
      <c r="B1260" s="19"/>
      <c r="C1260" s="19"/>
      <c r="D1260" s="19"/>
      <c r="E1260" s="19"/>
      <c r="F1260" s="19"/>
      <c r="G1260" s="19"/>
      <c r="H1260" s="19"/>
      <c r="I1260" s="19"/>
      <c r="J1260" s="19"/>
      <c r="K1260" s="19"/>
      <c r="L1260" s="19"/>
      <c r="M1260" s="19"/>
      <c r="N1260" s="19"/>
      <c r="O1260" s="19"/>
      <c r="P1260" s="19"/>
      <c r="Q1260" s="19"/>
      <c r="R1260" s="19"/>
      <c r="S1260" s="19"/>
      <c r="T1260" s="19"/>
      <c r="U1260" s="19"/>
      <c r="V1260" s="19"/>
      <c r="W1260" s="19"/>
      <c r="X1260" s="19"/>
      <c r="Y1260" s="19"/>
      <c r="Z1260" s="19"/>
      <c r="AA1260" s="19"/>
      <c r="AB1260" s="19"/>
      <c r="AC1260" s="19"/>
      <c r="AD1260" s="19"/>
      <c r="AE1260" s="22"/>
    </row>
    <row r="1261" spans="1:31" outlineLevel="2" x14ac:dyDescent="0.2">
      <c r="A1261" s="19"/>
      <c r="B1261" s="19"/>
      <c r="C1261" s="19"/>
      <c r="D1261" s="19"/>
      <c r="E1261" s="19"/>
      <c r="F1261" s="19"/>
      <c r="G1261" s="19"/>
      <c r="H1261" s="19"/>
      <c r="I1261" s="19"/>
      <c r="J1261" s="19"/>
      <c r="K1261" s="19"/>
      <c r="L1261" s="19"/>
      <c r="M1261" s="19"/>
      <c r="N1261" s="19"/>
      <c r="O1261" s="19"/>
      <c r="P1261" s="19"/>
      <c r="Q1261" s="19"/>
      <c r="R1261" s="19"/>
      <c r="S1261" s="19"/>
      <c r="T1261" s="19"/>
      <c r="U1261" s="19"/>
      <c r="V1261" s="19"/>
      <c r="W1261" s="19"/>
      <c r="X1261" s="19"/>
      <c r="Y1261" s="19"/>
      <c r="Z1261" s="19"/>
      <c r="AA1261" s="19"/>
      <c r="AB1261" s="19"/>
      <c r="AC1261" s="19"/>
      <c r="AD1261" s="19"/>
      <c r="AE1261" s="22"/>
    </row>
    <row r="1262" spans="1:31" outlineLevel="2" x14ac:dyDescent="0.2">
      <c r="A1262" s="19"/>
      <c r="B1262" s="19"/>
      <c r="C1262" s="19"/>
      <c r="D1262" s="19"/>
      <c r="E1262" s="19"/>
      <c r="F1262" s="19"/>
      <c r="G1262" s="19"/>
      <c r="H1262" s="19"/>
      <c r="I1262" s="19"/>
      <c r="J1262" s="19"/>
      <c r="K1262" s="19"/>
      <c r="L1262" s="19"/>
      <c r="M1262" s="19"/>
      <c r="N1262" s="19"/>
      <c r="O1262" s="19"/>
      <c r="P1262" s="19"/>
      <c r="Q1262" s="19"/>
      <c r="R1262" s="19"/>
      <c r="S1262" s="19"/>
      <c r="T1262" s="19"/>
      <c r="U1262" s="19"/>
      <c r="V1262" s="19"/>
      <c r="W1262" s="19"/>
      <c r="X1262" s="19"/>
      <c r="Y1262" s="19"/>
      <c r="Z1262" s="19"/>
      <c r="AA1262" s="19"/>
      <c r="AB1262" s="19"/>
      <c r="AC1262" s="19"/>
      <c r="AD1262" s="19"/>
      <c r="AE1262" s="22"/>
    </row>
    <row r="1263" spans="1:31" outlineLevel="2" x14ac:dyDescent="0.2">
      <c r="A1263" s="19"/>
      <c r="B1263" s="19"/>
      <c r="C1263" s="19"/>
      <c r="D1263" s="19"/>
      <c r="E1263" s="19"/>
      <c r="F1263" s="19"/>
      <c r="G1263" s="19"/>
      <c r="H1263" s="19"/>
      <c r="I1263" s="19"/>
      <c r="J1263" s="19"/>
      <c r="K1263" s="19"/>
      <c r="L1263" s="19"/>
      <c r="M1263" s="19"/>
      <c r="N1263" s="19"/>
      <c r="O1263" s="19"/>
      <c r="P1263" s="19"/>
      <c r="Q1263" s="19"/>
      <c r="R1263" s="19"/>
      <c r="S1263" s="19"/>
      <c r="T1263" s="19"/>
      <c r="U1263" s="19"/>
      <c r="V1263" s="19"/>
      <c r="W1263" s="19"/>
      <c r="X1263" s="19"/>
      <c r="Y1263" s="19"/>
      <c r="Z1263" s="19"/>
      <c r="AA1263" s="19"/>
      <c r="AB1263" s="19"/>
      <c r="AC1263" s="19"/>
      <c r="AD1263" s="19"/>
      <c r="AE1263" s="22"/>
    </row>
    <row r="1264" spans="1:31" outlineLevel="2" x14ac:dyDescent="0.2">
      <c r="A1264" s="19"/>
      <c r="B1264" s="19"/>
      <c r="C1264" s="19"/>
      <c r="D1264" s="19"/>
      <c r="E1264" s="19"/>
      <c r="F1264" s="19"/>
      <c r="G1264" s="19"/>
      <c r="H1264" s="19"/>
      <c r="I1264" s="19"/>
      <c r="J1264" s="19"/>
      <c r="K1264" s="19"/>
      <c r="L1264" s="19"/>
      <c r="M1264" s="19"/>
      <c r="N1264" s="19"/>
      <c r="O1264" s="19"/>
      <c r="P1264" s="19"/>
      <c r="Q1264" s="19"/>
      <c r="R1264" s="19"/>
      <c r="S1264" s="19"/>
      <c r="T1264" s="19"/>
      <c r="U1264" s="19"/>
      <c r="V1264" s="19"/>
      <c r="W1264" s="19"/>
      <c r="X1264" s="19"/>
      <c r="Y1264" s="19"/>
      <c r="Z1264" s="19"/>
      <c r="AA1264" s="19"/>
      <c r="AB1264" s="19"/>
      <c r="AC1264" s="19"/>
      <c r="AD1264" s="19"/>
      <c r="AE1264" s="22"/>
    </row>
    <row r="1265" spans="1:31" outlineLevel="2" x14ac:dyDescent="0.2">
      <c r="A1265" s="19"/>
      <c r="B1265" s="19"/>
      <c r="C1265" s="19"/>
      <c r="D1265" s="19"/>
      <c r="E1265" s="19"/>
      <c r="F1265" s="19"/>
      <c r="G1265" s="19"/>
      <c r="H1265" s="19"/>
      <c r="I1265" s="19"/>
      <c r="J1265" s="19"/>
      <c r="K1265" s="19"/>
      <c r="L1265" s="19"/>
      <c r="M1265" s="19"/>
      <c r="N1265" s="19"/>
      <c r="O1265" s="19"/>
      <c r="P1265" s="19"/>
      <c r="Q1265" s="19"/>
      <c r="R1265" s="19"/>
      <c r="S1265" s="19"/>
      <c r="T1265" s="19"/>
      <c r="U1265" s="19"/>
      <c r="V1265" s="19"/>
      <c r="W1265" s="19"/>
      <c r="X1265" s="19"/>
      <c r="Y1265" s="19"/>
      <c r="Z1265" s="19"/>
      <c r="AA1265" s="19"/>
      <c r="AB1265" s="19"/>
      <c r="AC1265" s="19"/>
      <c r="AD1265" s="19"/>
      <c r="AE1265" s="22"/>
    </row>
    <row r="1266" spans="1:31" outlineLevel="2" x14ac:dyDescent="0.2">
      <c r="A1266" s="19"/>
      <c r="B1266" s="19"/>
      <c r="C1266" s="19"/>
      <c r="D1266" s="19"/>
      <c r="E1266" s="19"/>
      <c r="F1266" s="19"/>
      <c r="G1266" s="19"/>
      <c r="H1266" s="19"/>
      <c r="I1266" s="19"/>
      <c r="J1266" s="19"/>
      <c r="K1266" s="19"/>
      <c r="L1266" s="19"/>
      <c r="M1266" s="19"/>
      <c r="N1266" s="19"/>
      <c r="O1266" s="19"/>
      <c r="P1266" s="19"/>
      <c r="Q1266" s="19"/>
      <c r="R1266" s="19"/>
      <c r="S1266" s="19"/>
      <c r="T1266" s="19"/>
      <c r="U1266" s="19"/>
      <c r="V1266" s="19"/>
      <c r="W1266" s="19"/>
      <c r="X1266" s="19"/>
      <c r="Y1266" s="19"/>
      <c r="Z1266" s="19"/>
      <c r="AA1266" s="19"/>
      <c r="AB1266" s="19"/>
      <c r="AC1266" s="19"/>
      <c r="AD1266" s="19"/>
      <c r="AE1266" s="22"/>
    </row>
    <row r="1267" spans="1:31" outlineLevel="2" x14ac:dyDescent="0.2">
      <c r="A1267" s="19"/>
      <c r="B1267" s="19"/>
      <c r="C1267" s="19"/>
      <c r="D1267" s="19"/>
      <c r="E1267" s="19"/>
      <c r="F1267" s="19"/>
      <c r="G1267" s="19"/>
      <c r="H1267" s="19"/>
      <c r="I1267" s="19"/>
      <c r="J1267" s="19"/>
      <c r="K1267" s="19"/>
      <c r="L1267" s="19"/>
      <c r="M1267" s="19"/>
      <c r="N1267" s="19"/>
      <c r="O1267" s="19"/>
      <c r="P1267" s="19"/>
      <c r="Q1267" s="19"/>
      <c r="R1267" s="19"/>
      <c r="S1267" s="19"/>
      <c r="T1267" s="19"/>
      <c r="U1267" s="19"/>
      <c r="V1267" s="19"/>
      <c r="W1267" s="19"/>
      <c r="X1267" s="19"/>
      <c r="Y1267" s="19"/>
      <c r="Z1267" s="19"/>
      <c r="AA1267" s="19"/>
      <c r="AB1267" s="19"/>
      <c r="AC1267" s="19"/>
      <c r="AD1267" s="19"/>
      <c r="AE1267" s="22"/>
    </row>
    <row r="1268" spans="1:31" outlineLevel="2" x14ac:dyDescent="0.2">
      <c r="A1268" s="19"/>
      <c r="B1268" s="19"/>
      <c r="C1268" s="19"/>
      <c r="D1268" s="19"/>
      <c r="E1268" s="19"/>
      <c r="F1268" s="19"/>
      <c r="G1268" s="19"/>
      <c r="H1268" s="19"/>
      <c r="I1268" s="19"/>
      <c r="J1268" s="19"/>
      <c r="K1268" s="19"/>
      <c r="L1268" s="19"/>
      <c r="M1268" s="19"/>
      <c r="N1268" s="19"/>
      <c r="O1268" s="19"/>
      <c r="P1268" s="19"/>
      <c r="Q1268" s="19"/>
      <c r="R1268" s="19"/>
      <c r="S1268" s="19"/>
      <c r="T1268" s="19"/>
      <c r="U1268" s="19"/>
      <c r="V1268" s="19"/>
      <c r="W1268" s="19"/>
      <c r="X1268" s="19"/>
      <c r="Y1268" s="19"/>
      <c r="Z1268" s="19"/>
      <c r="AA1268" s="19"/>
      <c r="AB1268" s="19"/>
      <c r="AC1268" s="19"/>
      <c r="AD1268" s="19"/>
      <c r="AE1268" s="22"/>
    </row>
    <row r="1269" spans="1:31" outlineLevel="2" x14ac:dyDescent="0.2">
      <c r="A1269" s="19"/>
      <c r="B1269" s="19"/>
      <c r="C1269" s="19"/>
      <c r="D1269" s="19"/>
      <c r="E1269" s="19"/>
      <c r="F1269" s="19"/>
      <c r="G1269" s="19"/>
      <c r="H1269" s="19"/>
      <c r="I1269" s="19"/>
      <c r="J1269" s="19"/>
      <c r="K1269" s="19"/>
      <c r="L1269" s="19"/>
      <c r="M1269" s="19"/>
      <c r="N1269" s="19"/>
      <c r="O1269" s="19"/>
      <c r="P1269" s="19"/>
      <c r="Q1269" s="19"/>
      <c r="R1269" s="19"/>
      <c r="S1269" s="19"/>
      <c r="T1269" s="19"/>
      <c r="U1269" s="19"/>
      <c r="V1269" s="19"/>
      <c r="W1269" s="19"/>
      <c r="X1269" s="19"/>
      <c r="Y1269" s="19"/>
      <c r="Z1269" s="19"/>
      <c r="AA1269" s="19"/>
      <c r="AB1269" s="19"/>
      <c r="AC1269" s="19"/>
      <c r="AD1269" s="19"/>
      <c r="AE1269" s="22"/>
    </row>
    <row r="1270" spans="1:31" outlineLevel="2" x14ac:dyDescent="0.2">
      <c r="A1270" s="19"/>
      <c r="B1270" s="19"/>
      <c r="C1270" s="19"/>
      <c r="D1270" s="19"/>
      <c r="E1270" s="19"/>
      <c r="F1270" s="19"/>
      <c r="G1270" s="19"/>
      <c r="H1270" s="19"/>
      <c r="I1270" s="19"/>
      <c r="J1270" s="19"/>
      <c r="K1270" s="19"/>
      <c r="L1270" s="19"/>
      <c r="M1270" s="19"/>
      <c r="N1270" s="19"/>
      <c r="O1270" s="19"/>
      <c r="P1270" s="19"/>
      <c r="Q1270" s="19"/>
      <c r="R1270" s="19"/>
      <c r="S1270" s="19"/>
      <c r="T1270" s="19"/>
      <c r="U1270" s="19"/>
      <c r="V1270" s="19"/>
      <c r="W1270" s="19"/>
      <c r="X1270" s="19"/>
      <c r="Y1270" s="19"/>
      <c r="Z1270" s="19"/>
      <c r="AA1270" s="19"/>
      <c r="AB1270" s="19"/>
      <c r="AC1270" s="19"/>
      <c r="AD1270" s="19"/>
      <c r="AE1270" s="22"/>
    </row>
    <row r="1271" spans="1:31" outlineLevel="2" x14ac:dyDescent="0.2">
      <c r="A1271" s="19"/>
      <c r="B1271" s="19"/>
      <c r="C1271" s="19"/>
      <c r="D1271" s="19"/>
      <c r="E1271" s="19"/>
      <c r="F1271" s="19"/>
      <c r="G1271" s="19"/>
      <c r="H1271" s="19"/>
      <c r="I1271" s="19"/>
      <c r="J1271" s="19"/>
      <c r="K1271" s="19"/>
      <c r="L1271" s="19"/>
      <c r="M1271" s="19"/>
      <c r="N1271" s="19"/>
      <c r="O1271" s="19"/>
      <c r="P1271" s="19"/>
      <c r="Q1271" s="19"/>
      <c r="R1271" s="19"/>
      <c r="S1271" s="19"/>
      <c r="T1271" s="19"/>
      <c r="U1271" s="19"/>
      <c r="V1271" s="19"/>
      <c r="W1271" s="19"/>
      <c r="X1271" s="19"/>
      <c r="Y1271" s="19"/>
      <c r="Z1271" s="19"/>
      <c r="AA1271" s="19"/>
      <c r="AB1271" s="19"/>
      <c r="AC1271" s="19"/>
      <c r="AD1271" s="19"/>
      <c r="AE1271" s="22"/>
    </row>
    <row r="1272" spans="1:31" outlineLevel="2" x14ac:dyDescent="0.2">
      <c r="A1272" s="19"/>
      <c r="B1272" s="19"/>
      <c r="C1272" s="19"/>
      <c r="D1272" s="19"/>
      <c r="E1272" s="19"/>
      <c r="F1272" s="19"/>
      <c r="G1272" s="19"/>
      <c r="H1272" s="19"/>
      <c r="I1272" s="19"/>
      <c r="J1272" s="19"/>
      <c r="K1272" s="19"/>
      <c r="L1272" s="19"/>
      <c r="M1272" s="19"/>
      <c r="N1272" s="19"/>
      <c r="O1272" s="19"/>
      <c r="P1272" s="19"/>
      <c r="Q1272" s="19"/>
      <c r="R1272" s="19"/>
      <c r="S1272" s="19"/>
      <c r="T1272" s="19"/>
      <c r="U1272" s="19"/>
      <c r="V1272" s="19"/>
      <c r="W1272" s="19"/>
      <c r="X1272" s="19"/>
      <c r="Y1272" s="19"/>
      <c r="Z1272" s="19"/>
      <c r="AA1272" s="19"/>
      <c r="AB1272" s="19"/>
      <c r="AC1272" s="19"/>
      <c r="AD1272" s="19"/>
      <c r="AE1272" s="22"/>
    </row>
    <row r="1273" spans="1:31" outlineLevel="1" x14ac:dyDescent="0.2">
      <c r="A1273" s="19"/>
      <c r="B1273" s="19"/>
      <c r="C1273" s="19"/>
      <c r="D1273" s="19"/>
      <c r="E1273" s="19"/>
      <c r="F1273" s="19"/>
      <c r="G1273" s="19"/>
      <c r="H1273" s="19"/>
      <c r="I1273" s="19"/>
      <c r="J1273" s="19"/>
      <c r="K1273" s="19"/>
      <c r="L1273" s="19"/>
      <c r="M1273" s="19"/>
      <c r="N1273" s="19"/>
      <c r="O1273" s="19"/>
      <c r="P1273" s="19"/>
      <c r="Q1273" s="19"/>
      <c r="R1273" s="19"/>
      <c r="S1273" s="19"/>
      <c r="T1273" s="19"/>
      <c r="U1273" s="19"/>
      <c r="V1273" s="19"/>
      <c r="W1273" s="19"/>
      <c r="X1273" s="19"/>
      <c r="Y1273" s="19"/>
      <c r="Z1273" s="19"/>
      <c r="AA1273" s="19"/>
      <c r="AB1273" s="19"/>
      <c r="AC1273" s="19"/>
      <c r="AD1273" s="19"/>
      <c r="AE1273" s="22"/>
    </row>
    <row r="1274" spans="1:31" outlineLevel="1" x14ac:dyDescent="0.2">
      <c r="A1274" s="19"/>
      <c r="B1274" s="19"/>
      <c r="C1274" s="19"/>
      <c r="D1274" s="19"/>
      <c r="E1274" s="19"/>
      <c r="F1274" s="19"/>
      <c r="G1274" s="19"/>
      <c r="H1274" s="19"/>
      <c r="I1274" s="19"/>
      <c r="J1274" s="19"/>
      <c r="K1274" s="19"/>
      <c r="L1274" s="19"/>
      <c r="M1274" s="19"/>
      <c r="N1274" s="19"/>
      <c r="O1274" s="19"/>
      <c r="P1274" s="19"/>
      <c r="Q1274" s="19"/>
      <c r="R1274" s="19"/>
      <c r="S1274" s="19"/>
      <c r="T1274" s="19"/>
      <c r="U1274" s="19"/>
      <c r="V1274" s="19"/>
      <c r="W1274" s="19"/>
      <c r="X1274" s="19"/>
      <c r="Y1274" s="19"/>
      <c r="Z1274" s="19"/>
      <c r="AA1274" s="19"/>
      <c r="AB1274" s="19"/>
      <c r="AC1274" s="19"/>
      <c r="AD1274" s="19"/>
      <c r="AE1274" s="22"/>
    </row>
    <row r="1275" spans="1:31" s="4" customFormat="1" ht="15.95" customHeight="1" thickBot="1" x14ac:dyDescent="0.25">
      <c r="A1275" s="165" t="str">
        <f ca="1">Language!A737</f>
        <v xml:space="preserve">         ПРИЛОЖЕНИЕ К ОТЧЕТУ О ПРИБЫЛЯХ И УБЫТКАХ</v>
      </c>
      <c r="B1275" s="165"/>
      <c r="C1275" s="165"/>
      <c r="D1275" s="165"/>
      <c r="E1275" s="165"/>
      <c r="F1275" s="177" t="str">
        <f t="shared" ref="F1275:AC1275" ca="1" si="3839">PeriodTitle</f>
        <v>1 кв. 2016</v>
      </c>
      <c r="G1275" s="177" t="str">
        <f t="shared" ca="1" si="3839"/>
        <v>2 кв. 2016</v>
      </c>
      <c r="H1275" s="177" t="str">
        <f t="shared" ca="1" si="3839"/>
        <v>3 кв. 2016</v>
      </c>
      <c r="I1275" s="177" t="str">
        <f t="shared" ca="1" si="3839"/>
        <v>4 кв. 2016</v>
      </c>
      <c r="J1275" s="177" t="str">
        <f t="shared" ca="1" si="3839"/>
        <v>1 кв. 2017</v>
      </c>
      <c r="K1275" s="177" t="str">
        <f t="shared" ca="1" si="3839"/>
        <v>2 кв. 2017</v>
      </c>
      <c r="L1275" s="177" t="str">
        <f t="shared" ca="1" si="3839"/>
        <v>3 кв. 2017</v>
      </c>
      <c r="M1275" s="177" t="str">
        <f t="shared" ca="1" si="3839"/>
        <v>4 кв. 2017</v>
      </c>
      <c r="N1275" s="177" t="str">
        <f t="shared" ca="1" si="3839"/>
        <v>1 кв. 2018</v>
      </c>
      <c r="O1275" s="177" t="str">
        <f t="shared" ca="1" si="3839"/>
        <v>2 кв. 2018</v>
      </c>
      <c r="P1275" s="177" t="str">
        <f t="shared" ca="1" si="3839"/>
        <v>3 кв. 2018</v>
      </c>
      <c r="Q1275" s="177" t="str">
        <f t="shared" ca="1" si="3839"/>
        <v>4 кв. 2018</v>
      </c>
      <c r="R1275" s="177" t="str">
        <f t="shared" ca="1" si="3839"/>
        <v>1 кв. 2019</v>
      </c>
      <c r="S1275" s="177" t="str">
        <f t="shared" ca="1" si="3839"/>
        <v>2 кв. 2019</v>
      </c>
      <c r="T1275" s="177" t="str">
        <f t="shared" ca="1" si="3839"/>
        <v>3 кв. 2019</v>
      </c>
      <c r="U1275" s="177" t="str">
        <f t="shared" ca="1" si="3839"/>
        <v>4 кв. 2019</v>
      </c>
      <c r="V1275" s="177" t="str">
        <f t="shared" ca="1" si="3839"/>
        <v>1 кв. 2020</v>
      </c>
      <c r="W1275" s="177" t="str">
        <f t="shared" ca="1" si="3839"/>
        <v>2 кв. 2020</v>
      </c>
      <c r="X1275" s="177" t="str">
        <f t="shared" ca="1" si="3839"/>
        <v>3 кв. 2020</v>
      </c>
      <c r="Y1275" s="177" t="str">
        <f t="shared" ca="1" si="3839"/>
        <v>4 кв. 2020</v>
      </c>
      <c r="Z1275" s="177" t="str">
        <f t="shared" ca="1" si="3839"/>
        <v>1 кв. 2021</v>
      </c>
      <c r="AA1275" s="177" t="str">
        <f t="shared" ca="1" si="3839"/>
        <v>2 кв. 2021</v>
      </c>
      <c r="AB1275" s="177" t="str">
        <f t="shared" ca="1" si="3839"/>
        <v>3 кв. 2021</v>
      </c>
      <c r="AC1275" s="177" t="str">
        <f t="shared" ca="1" si="3839"/>
        <v>4 кв. 2021</v>
      </c>
      <c r="AD1275" s="165"/>
      <c r="AE1275" s="194" t="str">
        <f ca="1">Language!A372</f>
        <v>ИТОГО</v>
      </c>
    </row>
    <row r="1276" spans="1:31" ht="12" outlineLevel="1" thickTop="1" x14ac:dyDescent="0.2">
      <c r="A1276" s="19"/>
      <c r="B1276" s="36" t="str">
        <f ca="1">Language!A$73</f>
        <v>Валюта</v>
      </c>
      <c r="C1276" s="73"/>
      <c r="D1276" s="19"/>
      <c r="E1276" s="19"/>
      <c r="F1276" s="19"/>
      <c r="G1276" s="19"/>
      <c r="H1276" s="19"/>
      <c r="I1276" s="19"/>
      <c r="J1276" s="19"/>
      <c r="K1276" s="19"/>
      <c r="L1276" s="19"/>
      <c r="M1276" s="19"/>
      <c r="N1276" s="19"/>
      <c r="O1276" s="19"/>
      <c r="P1276" s="19"/>
      <c r="Q1276" s="19"/>
      <c r="R1276" s="19"/>
      <c r="S1276" s="19"/>
      <c r="T1276" s="19"/>
      <c r="U1276" s="19"/>
      <c r="V1276" s="19"/>
      <c r="W1276" s="19"/>
      <c r="X1276" s="19"/>
      <c r="Y1276" s="19"/>
      <c r="Z1276" s="19"/>
      <c r="AA1276" s="19"/>
      <c r="AB1276" s="19"/>
      <c r="AC1276" s="19"/>
      <c r="AD1276" s="19"/>
      <c r="AE1276" s="22"/>
    </row>
    <row r="1277" spans="1:31" outlineLevel="1" collapsed="1" x14ac:dyDescent="0.2">
      <c r="A1277" t="str">
        <f ca="1">Language!A738</f>
        <v>Прочие доходы (без НДС)</v>
      </c>
      <c r="B1277" s="254">
        <v>1</v>
      </c>
      <c r="C1277" s="17" t="str">
        <f ca="1">CHOOSE(B1277,CUR_Main,CUR_Foreign)</f>
        <v>тыс. EUR</v>
      </c>
      <c r="F1277" s="271">
        <v>0</v>
      </c>
      <c r="G1277" s="271">
        <v>0</v>
      </c>
      <c r="H1277" s="271">
        <v>0</v>
      </c>
      <c r="I1277" s="271">
        <v>0</v>
      </c>
      <c r="J1277" s="271">
        <v>0</v>
      </c>
      <c r="K1277" s="271">
        <v>0</v>
      </c>
      <c r="L1277" s="271">
        <v>0</v>
      </c>
      <c r="M1277" s="271">
        <v>0</v>
      </c>
      <c r="N1277" s="271">
        <v>0</v>
      </c>
      <c r="O1277" s="271">
        <v>0</v>
      </c>
      <c r="P1277" s="271">
        <v>0</v>
      </c>
      <c r="Q1277" s="271">
        <v>0</v>
      </c>
      <c r="R1277" s="271">
        <v>0</v>
      </c>
      <c r="S1277" s="271">
        <v>0</v>
      </c>
      <c r="T1277" s="271">
        <v>0</v>
      </c>
      <c r="U1277" s="271">
        <v>0</v>
      </c>
      <c r="V1277" s="271">
        <v>0</v>
      </c>
      <c r="W1277" s="271">
        <v>0</v>
      </c>
      <c r="X1277" s="271">
        <v>0</v>
      </c>
      <c r="Y1277" s="271">
        <v>0</v>
      </c>
      <c r="Z1277" s="271">
        <v>0</v>
      </c>
      <c r="AA1277" s="271">
        <v>0</v>
      </c>
      <c r="AB1277" s="271">
        <v>0</v>
      </c>
      <c r="AC1277" s="271">
        <v>0</v>
      </c>
      <c r="AD1277" s="43"/>
      <c r="AE1277" s="54">
        <f>SUM(F1277:AC1277)</f>
        <v>0</v>
      </c>
    </row>
    <row r="1278" spans="1:31" hidden="1" outlineLevel="2" x14ac:dyDescent="0.2">
      <c r="A1278" t="str">
        <f ca="1">Language!A739</f>
        <v xml:space="preserve">   НДС</v>
      </c>
      <c r="B1278" s="283">
        <f>VAT</f>
        <v>0.23</v>
      </c>
      <c r="C1278" s="5" t="str">
        <f ca="1">CHOOSE(B1277,CUR_Main,CUR_Foreign)</f>
        <v>тыс. EUR</v>
      </c>
      <c r="F1278" s="105">
        <f t="shared" ref="F1278:T1278" si="3840">F1277*$B1278</f>
        <v>0</v>
      </c>
      <c r="G1278" s="105">
        <f t="shared" si="3840"/>
        <v>0</v>
      </c>
      <c r="H1278" s="105">
        <f t="shared" si="3840"/>
        <v>0</v>
      </c>
      <c r="I1278" s="105">
        <f t="shared" si="3840"/>
        <v>0</v>
      </c>
      <c r="J1278" s="105">
        <f t="shared" si="3840"/>
        <v>0</v>
      </c>
      <c r="K1278" s="105">
        <f t="shared" si="3840"/>
        <v>0</v>
      </c>
      <c r="L1278" s="105">
        <f t="shared" si="3840"/>
        <v>0</v>
      </c>
      <c r="M1278" s="105">
        <f t="shared" si="3840"/>
        <v>0</v>
      </c>
      <c r="N1278" s="105">
        <f t="shared" si="3840"/>
        <v>0</v>
      </c>
      <c r="O1278" s="105">
        <f t="shared" si="3840"/>
        <v>0</v>
      </c>
      <c r="P1278" s="105">
        <f t="shared" si="3840"/>
        <v>0</v>
      </c>
      <c r="Q1278" s="105">
        <f t="shared" si="3840"/>
        <v>0</v>
      </c>
      <c r="R1278" s="105">
        <f t="shared" si="3840"/>
        <v>0</v>
      </c>
      <c r="S1278" s="105">
        <f t="shared" si="3840"/>
        <v>0</v>
      </c>
      <c r="T1278" s="105">
        <f t="shared" si="3840"/>
        <v>0</v>
      </c>
      <c r="U1278" s="105">
        <f t="shared" ref="U1278" si="3841">U1277*$B1278</f>
        <v>0</v>
      </c>
      <c r="V1278" s="105">
        <f t="shared" ref="V1278" si="3842">V1277*$B1278</f>
        <v>0</v>
      </c>
      <c r="W1278" s="105">
        <f t="shared" ref="W1278" si="3843">W1277*$B1278</f>
        <v>0</v>
      </c>
      <c r="X1278" s="105">
        <f t="shared" ref="X1278" si="3844">X1277*$B1278</f>
        <v>0</v>
      </c>
      <c r="Y1278" s="105">
        <f t="shared" ref="Y1278" si="3845">Y1277*$B1278</f>
        <v>0</v>
      </c>
      <c r="Z1278" s="105">
        <f t="shared" ref="Z1278" si="3846">Z1277*$B1278</f>
        <v>0</v>
      </c>
      <c r="AA1278" s="105">
        <f t="shared" ref="AA1278" si="3847">AA1277*$B1278</f>
        <v>0</v>
      </c>
      <c r="AB1278" s="105">
        <f t="shared" ref="AB1278:AC1278" si="3848">AB1277*$B1278</f>
        <v>0</v>
      </c>
      <c r="AC1278" s="105">
        <f t="shared" si="3848"/>
        <v>0</v>
      </c>
      <c r="AD1278" s="43"/>
      <c r="AE1278" s="54">
        <f>SUM(F1278:AC1278)</f>
        <v>0</v>
      </c>
    </row>
    <row r="1279" spans="1:31" outlineLevel="1" collapsed="1" x14ac:dyDescent="0.2">
      <c r="A1279" t="str">
        <f ca="1">Language!A740</f>
        <v>Прочие расходы (без НДС)</v>
      </c>
      <c r="B1279" s="254">
        <v>1</v>
      </c>
      <c r="C1279" s="17" t="str">
        <f ca="1">CHOOSE(B1279,CUR_Main,CUR_Foreign)</f>
        <v>тыс. EUR</v>
      </c>
      <c r="F1279" s="271">
        <v>0</v>
      </c>
      <c r="G1279" s="271">
        <v>0</v>
      </c>
      <c r="H1279" s="271">
        <v>0</v>
      </c>
      <c r="I1279" s="271">
        <v>0</v>
      </c>
      <c r="J1279" s="271">
        <v>0</v>
      </c>
      <c r="K1279" s="271">
        <v>0</v>
      </c>
      <c r="L1279" s="271">
        <v>0</v>
      </c>
      <c r="M1279" s="271">
        <v>0</v>
      </c>
      <c r="N1279" s="271">
        <v>0</v>
      </c>
      <c r="O1279" s="271">
        <v>0</v>
      </c>
      <c r="P1279" s="271">
        <v>0</v>
      </c>
      <c r="Q1279" s="271">
        <v>0</v>
      </c>
      <c r="R1279" s="271">
        <v>0</v>
      </c>
      <c r="S1279" s="271">
        <v>0</v>
      </c>
      <c r="T1279" s="271">
        <v>0</v>
      </c>
      <c r="U1279" s="271">
        <v>0</v>
      </c>
      <c r="V1279" s="271">
        <v>0</v>
      </c>
      <c r="W1279" s="271">
        <v>0</v>
      </c>
      <c r="X1279" s="271">
        <v>0</v>
      </c>
      <c r="Y1279" s="271">
        <v>0</v>
      </c>
      <c r="Z1279" s="271">
        <v>0</v>
      </c>
      <c r="AA1279" s="271">
        <v>0</v>
      </c>
      <c r="AB1279" s="271">
        <v>0</v>
      </c>
      <c r="AC1279" s="271">
        <v>0</v>
      </c>
      <c r="AD1279" s="43"/>
      <c r="AE1279" s="54">
        <f>SUM(F1279:AC1279)</f>
        <v>0</v>
      </c>
    </row>
    <row r="1280" spans="1:31" hidden="1" outlineLevel="2" x14ac:dyDescent="0.2">
      <c r="A1280" t="str">
        <f ca="1">Language!A739</f>
        <v xml:space="preserve">   НДС</v>
      </c>
      <c r="B1280" s="283">
        <f>VAT</f>
        <v>0.23</v>
      </c>
      <c r="C1280" s="5" t="str">
        <f ca="1">CHOOSE(B1279,CUR_Main,CUR_Foreign)</f>
        <v>тыс. EUR</v>
      </c>
      <c r="F1280" s="105">
        <f t="shared" ref="F1280:T1280" si="3849">F1279*$B1280</f>
        <v>0</v>
      </c>
      <c r="G1280" s="105">
        <f t="shared" si="3849"/>
        <v>0</v>
      </c>
      <c r="H1280" s="105">
        <f t="shared" si="3849"/>
        <v>0</v>
      </c>
      <c r="I1280" s="105">
        <f t="shared" si="3849"/>
        <v>0</v>
      </c>
      <c r="J1280" s="105">
        <f t="shared" si="3849"/>
        <v>0</v>
      </c>
      <c r="K1280" s="105">
        <f t="shared" si="3849"/>
        <v>0</v>
      </c>
      <c r="L1280" s="105">
        <f t="shared" si="3849"/>
        <v>0</v>
      </c>
      <c r="M1280" s="105">
        <f t="shared" si="3849"/>
        <v>0</v>
      </c>
      <c r="N1280" s="105">
        <f t="shared" si="3849"/>
        <v>0</v>
      </c>
      <c r="O1280" s="105">
        <f t="shared" si="3849"/>
        <v>0</v>
      </c>
      <c r="P1280" s="105">
        <f t="shared" si="3849"/>
        <v>0</v>
      </c>
      <c r="Q1280" s="105">
        <f t="shared" si="3849"/>
        <v>0</v>
      </c>
      <c r="R1280" s="105">
        <f t="shared" si="3849"/>
        <v>0</v>
      </c>
      <c r="S1280" s="105">
        <f t="shared" si="3849"/>
        <v>0</v>
      </c>
      <c r="T1280" s="105">
        <f t="shared" si="3849"/>
        <v>0</v>
      </c>
      <c r="U1280" s="105">
        <f t="shared" ref="U1280" si="3850">U1279*$B1280</f>
        <v>0</v>
      </c>
      <c r="V1280" s="105">
        <f t="shared" ref="V1280" si="3851">V1279*$B1280</f>
        <v>0</v>
      </c>
      <c r="W1280" s="105">
        <f t="shared" ref="W1280" si="3852">W1279*$B1280</f>
        <v>0</v>
      </c>
      <c r="X1280" s="105">
        <f t="shared" ref="X1280" si="3853">X1279*$B1280</f>
        <v>0</v>
      </c>
      <c r="Y1280" s="105">
        <f t="shared" ref="Y1280" si="3854">Y1279*$B1280</f>
        <v>0</v>
      </c>
      <c r="Z1280" s="105">
        <f t="shared" ref="Z1280" si="3855">Z1279*$B1280</f>
        <v>0</v>
      </c>
      <c r="AA1280" s="105">
        <f t="shared" ref="AA1280" si="3856">AA1279*$B1280</f>
        <v>0</v>
      </c>
      <c r="AB1280" s="105">
        <f t="shared" ref="AB1280:AC1280" si="3857">AB1279*$B1280</f>
        <v>0</v>
      </c>
      <c r="AC1280" s="105">
        <f t="shared" si="3857"/>
        <v>0</v>
      </c>
      <c r="AD1280" s="43"/>
      <c r="AE1280" s="54">
        <f>SUM(F1280:AC1280)</f>
        <v>0</v>
      </c>
    </row>
    <row r="1281" spans="1:31" outlineLevel="1" x14ac:dyDescent="0.2">
      <c r="A1281" s="19"/>
      <c r="B1281" s="19"/>
      <c r="C1281" s="19"/>
      <c r="D1281" s="19"/>
      <c r="E1281" s="19"/>
      <c r="F1281" s="19"/>
      <c r="G1281" s="19"/>
      <c r="H1281" s="19"/>
      <c r="I1281" s="19"/>
      <c r="J1281" s="19"/>
      <c r="K1281" s="19"/>
      <c r="L1281" s="19"/>
      <c r="M1281" s="19"/>
      <c r="N1281" s="19"/>
      <c r="O1281" s="19"/>
      <c r="P1281" s="19"/>
      <c r="Q1281" s="19"/>
      <c r="R1281" s="19"/>
      <c r="S1281" s="19"/>
      <c r="T1281" s="19"/>
      <c r="U1281" s="19"/>
      <c r="V1281" s="19"/>
      <c r="W1281" s="19"/>
      <c r="X1281" s="19"/>
      <c r="Y1281" s="19"/>
      <c r="Z1281" s="19"/>
      <c r="AA1281" s="19"/>
      <c r="AB1281" s="19"/>
      <c r="AC1281" s="19"/>
      <c r="AD1281" s="19"/>
      <c r="AE1281" s="22"/>
    </row>
    <row r="1282" spans="1:31" outlineLevel="1" x14ac:dyDescent="0.2">
      <c r="A1282" t="str">
        <f ca="1">Language!A741</f>
        <v>Курсовые разницы</v>
      </c>
      <c r="C1282" s="5" t="str">
        <f ca="1">CUR_Main</f>
        <v>тыс. EUR</v>
      </c>
      <c r="F1282" s="84">
        <f>SUM($E1122:F1122)-SUM($E1123:F1123)-F1129+SUM($E1126:F1126)-SUM($E1124:F1124)-(SUM($E1122:E1122)-SUM($E1123:E1123)-E1129+SUM($E1126:E1126)-SUM($E1124:E1124))</f>
        <v>0</v>
      </c>
      <c r="G1282" s="84">
        <f>SUM($E1122:G1122)-SUM($E1123:G1123)-G1129+SUM($E1126:G1126)-SUM($E1124:G1124)-(SUM($E1122:F1122)-SUM($E1123:F1123)-F1129+SUM($E1126:F1126)-SUM($E1124:F1124))</f>
        <v>0</v>
      </c>
      <c r="H1282" s="84">
        <f>SUM($E1122:H1122)-SUM($E1123:H1123)-H1129+SUM($E1126:H1126)-SUM($E1124:H1124)-(SUM($E1122:G1122)-SUM($E1123:G1123)-G1129+SUM($E1126:G1126)-SUM($E1124:G1124))</f>
        <v>0</v>
      </c>
      <c r="I1282" s="84">
        <f>SUM($E1122:I1122)-SUM($E1123:I1123)-I1129+SUM($E1126:I1126)-SUM($E1124:I1124)-(SUM($E1122:H1122)-SUM($E1123:H1123)-H1129+SUM($E1126:H1126)-SUM($E1124:H1124))</f>
        <v>0</v>
      </c>
      <c r="J1282" s="84">
        <f>SUM($E1122:J1122)-SUM($E1123:J1123)-J1129+SUM($E1126:J1126)-SUM($E1124:J1124)-(SUM($E1122:I1122)-SUM($E1123:I1123)-I1129+SUM($E1126:I1126)-SUM($E1124:I1124))</f>
        <v>0</v>
      </c>
      <c r="K1282" s="84">
        <f>SUM($E1122:K1122)-SUM($E1123:K1123)-K1129+SUM($E1126:K1126)-SUM($E1124:K1124)-(SUM($E1122:J1122)-SUM($E1123:J1123)-J1129+SUM($E1126:J1126)-SUM($E1124:J1124))</f>
        <v>0</v>
      </c>
      <c r="L1282" s="84">
        <f>SUM($E1122:L1122)-SUM($E1123:L1123)-L1129+SUM($E1126:L1126)-SUM($E1124:L1124)-(SUM($E1122:K1122)-SUM($E1123:K1123)-K1129+SUM($E1126:K1126)-SUM($E1124:K1124))</f>
        <v>0</v>
      </c>
      <c r="M1282" s="84">
        <f>SUM($E1122:M1122)-SUM($E1123:M1123)-M1129+SUM($E1126:M1126)-SUM($E1124:M1124)-(SUM($E1122:L1122)-SUM($E1123:L1123)-L1129+SUM($E1126:L1126)-SUM($E1124:L1124))</f>
        <v>0</v>
      </c>
      <c r="N1282" s="84">
        <f>SUM($E1122:N1122)-SUM($E1123:N1123)-N1129+SUM($E1126:N1126)-SUM($E1124:N1124)-(SUM($E1122:M1122)-SUM($E1123:M1123)-M1129+SUM($E1126:M1126)-SUM($E1124:M1124))</f>
        <v>0</v>
      </c>
      <c r="O1282" s="84">
        <f>SUM($E1122:O1122)-SUM($E1123:O1123)-O1129+SUM($E1126:O1126)-SUM($E1124:O1124)-(SUM($E1122:N1122)-SUM($E1123:N1123)-N1129+SUM($E1126:N1126)-SUM($E1124:N1124))</f>
        <v>0</v>
      </c>
      <c r="P1282" s="84">
        <f>SUM($E1122:P1122)-SUM($E1123:P1123)-P1129+SUM($E1126:P1126)-SUM($E1124:P1124)-(SUM($E1122:O1122)-SUM($E1123:O1123)-O1129+SUM($E1126:O1126)-SUM($E1124:O1124))</f>
        <v>0</v>
      </c>
      <c r="Q1282" s="84">
        <f>SUM($E1122:Q1122)-SUM($E1123:Q1123)-Q1129+SUM($E1126:Q1126)-SUM($E1124:Q1124)-(SUM($E1122:P1122)-SUM($E1123:P1123)-P1129+SUM($E1126:P1126)-SUM($E1124:P1124))</f>
        <v>0</v>
      </c>
      <c r="R1282" s="84">
        <f>SUM($E1122:R1122)-SUM($E1123:R1123)-R1129+SUM($E1126:R1126)-SUM($E1124:R1124)-(SUM($E1122:Q1122)-SUM($E1123:Q1123)-Q1129+SUM($E1126:Q1126)-SUM($E1124:Q1124))</f>
        <v>0</v>
      </c>
      <c r="S1282" s="84">
        <f>SUM($E1122:S1122)-SUM($E1123:S1123)-S1129+SUM($E1126:S1126)-SUM($E1124:S1124)-(SUM($E1122:R1122)-SUM($E1123:R1123)-R1129+SUM($E1126:R1126)-SUM($E1124:R1124))</f>
        <v>0</v>
      </c>
      <c r="T1282" s="84">
        <f>SUM($E1122:T1122)-SUM($E1123:T1123)-T1129+SUM($E1126:T1126)-SUM($E1124:T1124)-(SUM($E1122:S1122)-SUM($E1123:S1123)-S1129+SUM($E1126:S1126)-SUM($E1124:S1124))</f>
        <v>0</v>
      </c>
      <c r="U1282" s="84">
        <f>SUM($E1122:U1122)-SUM($E1123:U1123)-U1129+SUM($E1126:U1126)-SUM($E1124:U1124)-(SUM($E1122:T1122)-SUM($E1123:T1123)-T1129+SUM($E1126:T1126)-SUM($E1124:T1124))</f>
        <v>0</v>
      </c>
      <c r="V1282" s="84">
        <f>SUM($E1122:V1122)-SUM($E1123:V1123)-V1129+SUM($E1126:V1126)-SUM($E1124:V1124)-(SUM($E1122:U1122)-SUM($E1123:U1123)-U1129+SUM($E1126:U1126)-SUM($E1124:U1124))</f>
        <v>0</v>
      </c>
      <c r="W1282" s="84">
        <f>SUM($E1122:W1122)-SUM($E1123:W1123)-W1129+SUM($E1126:W1126)-SUM($E1124:W1124)-(SUM($E1122:V1122)-SUM($E1123:V1123)-V1129+SUM($E1126:V1126)-SUM($E1124:V1124))</f>
        <v>0</v>
      </c>
      <c r="X1282" s="84">
        <f>SUM($E1122:X1122)-SUM($E1123:X1123)-X1129+SUM($E1126:X1126)-SUM($E1124:X1124)-(SUM($E1122:W1122)-SUM($E1123:W1123)-W1129+SUM($E1126:W1126)-SUM($E1124:W1124))</f>
        <v>0</v>
      </c>
      <c r="Y1282" s="84">
        <f>SUM($E1122:Y1122)-SUM($E1123:Y1123)-Y1129+SUM($E1126:Y1126)-SUM($E1124:Y1124)-(SUM($E1122:X1122)-SUM($E1123:X1123)-X1129+SUM($E1126:X1126)-SUM($E1124:X1124))</f>
        <v>0</v>
      </c>
      <c r="Z1282" s="84">
        <f>SUM($E1122:Z1122)-SUM($E1123:Z1123)-Z1129+SUM($E1126:Z1126)-SUM($E1124:Z1124)-(SUM($E1122:Y1122)-SUM($E1123:Y1123)-Y1129+SUM($E1126:Y1126)-SUM($E1124:Y1124))</f>
        <v>0</v>
      </c>
      <c r="AA1282" s="84">
        <f>SUM($E1122:AA1122)-SUM($E1123:AA1123)-AA1129+SUM($E1126:AA1126)-SUM($E1124:AA1124)-(SUM($E1122:Z1122)-SUM($E1123:Z1123)-Z1129+SUM($E1126:Z1126)-SUM($E1124:Z1124))</f>
        <v>0</v>
      </c>
      <c r="AB1282" s="84">
        <f>SUM($E1122:AB1122)-SUM($E1123:AB1123)-AB1129+SUM($E1126:AB1126)-SUM($E1124:AB1124)-(SUM($E1122:AA1122)-SUM($E1123:AA1123)-AA1129+SUM($E1126:AA1126)-SUM($E1124:AA1124))</f>
        <v>0</v>
      </c>
      <c r="AC1282" s="84">
        <f>SUM($E1122:AC1122)-SUM($E1123:AC1123)-AC1129+SUM($E1126:AC1126)-SUM($E1124:AC1124)-(SUM($E1122:AB1122)-SUM($E1123:AB1123)-AB1129+SUM($E1126:AB1126)-SUM($E1124:AB1124))</f>
        <v>0</v>
      </c>
      <c r="AD1282" s="43"/>
      <c r="AE1282" s="54">
        <f>SUM(F1282:AC1282)</f>
        <v>0</v>
      </c>
    </row>
    <row r="1283" spans="1:31" outlineLevel="1" x14ac:dyDescent="0.2">
      <c r="A1283" t="str">
        <f ca="1">Language!A742</f>
        <v>Дивиденды</v>
      </c>
      <c r="B1283" s="272">
        <v>0</v>
      </c>
      <c r="C1283" s="5" t="str">
        <f ca="1">CUR_Report</f>
        <v>тыс. EUR</v>
      </c>
      <c r="F1283" s="53">
        <f t="shared" ref="F1283:AC1283" ca="1" si="3858">IF(F1222&gt;0,MIN(F1222*$B1283,MAX((E1355+F1331+F1342+SUM(F1344:F1349)),0)),0)</f>
        <v>0</v>
      </c>
      <c r="G1283" s="53">
        <f t="shared" ca="1" si="3858"/>
        <v>0</v>
      </c>
      <c r="H1283" s="53">
        <f t="shared" ca="1" si="3858"/>
        <v>0</v>
      </c>
      <c r="I1283" s="53">
        <f t="shared" ca="1" si="3858"/>
        <v>0</v>
      </c>
      <c r="J1283" s="53">
        <f t="shared" ca="1" si="3858"/>
        <v>0</v>
      </c>
      <c r="K1283" s="53">
        <f t="shared" ca="1" si="3858"/>
        <v>0</v>
      </c>
      <c r="L1283" s="53">
        <f t="shared" ca="1" si="3858"/>
        <v>0</v>
      </c>
      <c r="M1283" s="53">
        <f t="shared" ca="1" si="3858"/>
        <v>0</v>
      </c>
      <c r="N1283" s="53">
        <f t="shared" ca="1" si="3858"/>
        <v>0</v>
      </c>
      <c r="O1283" s="53">
        <f t="shared" ca="1" si="3858"/>
        <v>0</v>
      </c>
      <c r="P1283" s="53">
        <f t="shared" ca="1" si="3858"/>
        <v>0</v>
      </c>
      <c r="Q1283" s="53">
        <f t="shared" ca="1" si="3858"/>
        <v>0</v>
      </c>
      <c r="R1283" s="53">
        <f t="shared" ca="1" si="3858"/>
        <v>0</v>
      </c>
      <c r="S1283" s="53">
        <f t="shared" ca="1" si="3858"/>
        <v>0</v>
      </c>
      <c r="T1283" s="53">
        <f t="shared" ca="1" si="3858"/>
        <v>0</v>
      </c>
      <c r="U1283" s="53">
        <f t="shared" ca="1" si="3858"/>
        <v>0</v>
      </c>
      <c r="V1283" s="53">
        <f t="shared" ca="1" si="3858"/>
        <v>0</v>
      </c>
      <c r="W1283" s="53">
        <f t="shared" ca="1" si="3858"/>
        <v>0</v>
      </c>
      <c r="X1283" s="53">
        <f t="shared" ca="1" si="3858"/>
        <v>0</v>
      </c>
      <c r="Y1283" s="53">
        <f t="shared" ca="1" si="3858"/>
        <v>0</v>
      </c>
      <c r="Z1283" s="53">
        <f t="shared" ca="1" si="3858"/>
        <v>0</v>
      </c>
      <c r="AA1283" s="53">
        <f t="shared" ca="1" si="3858"/>
        <v>0</v>
      </c>
      <c r="AB1283" s="53">
        <f t="shared" ca="1" si="3858"/>
        <v>0</v>
      </c>
      <c r="AC1283" s="53">
        <f t="shared" ca="1" si="3858"/>
        <v>0</v>
      </c>
      <c r="AD1283" s="43"/>
      <c r="AE1283" s="54">
        <f ca="1">SUM(F1283:AC1283)</f>
        <v>0</v>
      </c>
    </row>
    <row r="1284" spans="1:31" outlineLevel="1" x14ac:dyDescent="0.2">
      <c r="B1284" s="134"/>
      <c r="C1284" s="5"/>
      <c r="F1284" s="53"/>
      <c r="G1284" s="53"/>
      <c r="H1284" s="53"/>
      <c r="I1284" s="53"/>
      <c r="J1284" s="53"/>
      <c r="K1284" s="53"/>
      <c r="L1284" s="53"/>
      <c r="M1284" s="53"/>
      <c r="N1284" s="53"/>
      <c r="O1284" s="53"/>
      <c r="P1284" s="53"/>
      <c r="Q1284" s="53"/>
      <c r="R1284" s="53"/>
      <c r="S1284" s="53"/>
      <c r="T1284" s="53"/>
      <c r="U1284" s="53"/>
      <c r="V1284" s="53"/>
      <c r="W1284" s="53"/>
      <c r="X1284" s="53"/>
      <c r="Y1284" s="53"/>
      <c r="Z1284" s="53"/>
      <c r="AA1284" s="53"/>
      <c r="AB1284" s="53"/>
      <c r="AC1284" s="53"/>
      <c r="AD1284" s="43"/>
      <c r="AE1284" s="54"/>
    </row>
    <row r="1285" spans="1:31" outlineLevel="1" x14ac:dyDescent="0.2">
      <c r="A1285" s="23" t="str">
        <f ca="1">Language!A728</f>
        <v>Прибыль до налога, процентов и амортизации (EBITDA)</v>
      </c>
      <c r="B1285" s="179"/>
      <c r="C1285" s="294" t="str">
        <f ca="1">CUR_Report</f>
        <v>тыс. EUR</v>
      </c>
      <c r="D1285" s="179"/>
      <c r="E1285" s="179"/>
      <c r="F1285" s="108">
        <f t="shared" ref="F1285:T1285" ca="1" si="3859">F1214+F1213+F1207</f>
        <v>0</v>
      </c>
      <c r="G1285" s="108">
        <f t="shared" ca="1" si="3859"/>
        <v>0</v>
      </c>
      <c r="H1285" s="108">
        <f t="shared" ca="1" si="3859"/>
        <v>0</v>
      </c>
      <c r="I1285" s="108">
        <f t="shared" ca="1" si="3859"/>
        <v>0</v>
      </c>
      <c r="J1285" s="108">
        <f t="shared" ca="1" si="3859"/>
        <v>0</v>
      </c>
      <c r="K1285" s="108">
        <f t="shared" ca="1" si="3859"/>
        <v>-233.36949643868491</v>
      </c>
      <c r="L1285" s="108">
        <f t="shared" ca="1" si="3859"/>
        <v>346.16123649852915</v>
      </c>
      <c r="M1285" s="108">
        <f t="shared" ca="1" si="3859"/>
        <v>825.22857569003531</v>
      </c>
      <c r="N1285" s="108">
        <f t="shared" ca="1" si="3859"/>
        <v>1365.1259965496097</v>
      </c>
      <c r="O1285" s="108">
        <f t="shared" ca="1" si="3859"/>
        <v>1723.4539653965358</v>
      </c>
      <c r="P1285" s="108">
        <f t="shared" ca="1" si="3859"/>
        <v>1723.4539653965358</v>
      </c>
      <c r="Q1285" s="108">
        <f t="shared" ca="1" si="3859"/>
        <v>1723.4539653965358</v>
      </c>
      <c r="R1285" s="108">
        <f t="shared" ca="1" si="3859"/>
        <v>1723.4539653965358</v>
      </c>
      <c r="S1285" s="108">
        <f t="shared" ca="1" si="3859"/>
        <v>1723.4539653965358</v>
      </c>
      <c r="T1285" s="108">
        <f t="shared" ca="1" si="3859"/>
        <v>1723.4539653965358</v>
      </c>
      <c r="U1285" s="108">
        <f t="shared" ref="U1285" ca="1" si="3860">U1214+U1213+U1207</f>
        <v>1723.4539653965358</v>
      </c>
      <c r="V1285" s="108">
        <f t="shared" ref="V1285" ca="1" si="3861">V1214+V1213+V1207</f>
        <v>1723.4539653965358</v>
      </c>
      <c r="W1285" s="108">
        <f t="shared" ref="W1285" ca="1" si="3862">W1214+W1213+W1207</f>
        <v>1723.4539653965358</v>
      </c>
      <c r="X1285" s="108">
        <f t="shared" ref="X1285" ca="1" si="3863">X1214+X1213+X1207</f>
        <v>1723.4539653965358</v>
      </c>
      <c r="Y1285" s="108">
        <f t="shared" ref="Y1285" ca="1" si="3864">Y1214+Y1213+Y1207</f>
        <v>1723.4539653965358</v>
      </c>
      <c r="Z1285" s="108">
        <f t="shared" ref="Z1285" ca="1" si="3865">Z1214+Z1213+Z1207</f>
        <v>1723.4539653965358</v>
      </c>
      <c r="AA1285" s="108">
        <f t="shared" ref="AA1285" ca="1" si="3866">AA1214+AA1213+AA1207</f>
        <v>1723.4539653965358</v>
      </c>
      <c r="AB1285" s="108">
        <f t="shared" ref="AB1285:AC1285" ca="1" si="3867">AB1214+AB1213+AB1207</f>
        <v>1723.4539653965358</v>
      </c>
      <c r="AC1285" s="108">
        <f t="shared" ca="1" si="3867"/>
        <v>1723.4539653965358</v>
      </c>
      <c r="AD1285" s="298"/>
      <c r="AE1285" s="54">
        <f ca="1">SUM(F1285:AC1285)</f>
        <v>28154.955793247536</v>
      </c>
    </row>
    <row r="1286" spans="1:31" outlineLevel="1" x14ac:dyDescent="0.2">
      <c r="A1286" s="23" t="str">
        <f ca="1">Language!A730</f>
        <v>Прибыль до процентов и налога (EBIT)</v>
      </c>
      <c r="B1286" s="179"/>
      <c r="C1286" s="294" t="str">
        <f ca="1">CUR_Report</f>
        <v>тыс. EUR</v>
      </c>
      <c r="D1286" s="179"/>
      <c r="E1286" s="179"/>
      <c r="F1286" s="108">
        <f t="shared" ref="F1286:T1286" ca="1" si="3868">F1285-F1207</f>
        <v>0</v>
      </c>
      <c r="G1286" s="108">
        <f t="shared" ca="1" si="3868"/>
        <v>0</v>
      </c>
      <c r="H1286" s="108">
        <f t="shared" ca="1" si="3868"/>
        <v>0</v>
      </c>
      <c r="I1286" s="108">
        <f t="shared" ca="1" si="3868"/>
        <v>0</v>
      </c>
      <c r="J1286" s="108">
        <f t="shared" ca="1" si="3868"/>
        <v>-309.35251270876392</v>
      </c>
      <c r="K1286" s="108">
        <f t="shared" ca="1" si="3868"/>
        <v>-542.72200914744883</v>
      </c>
      <c r="L1286" s="108">
        <f t="shared" ca="1" si="3868"/>
        <v>36.808723789765224</v>
      </c>
      <c r="M1286" s="108">
        <f t="shared" ca="1" si="3868"/>
        <v>515.87606298127139</v>
      </c>
      <c r="N1286" s="108">
        <f t="shared" ca="1" si="3868"/>
        <v>1055.7734838408458</v>
      </c>
      <c r="O1286" s="108">
        <f t="shared" ca="1" si="3868"/>
        <v>1414.1014526877718</v>
      </c>
      <c r="P1286" s="108">
        <f t="shared" ca="1" si="3868"/>
        <v>1414.1014526877718</v>
      </c>
      <c r="Q1286" s="108">
        <f t="shared" ca="1" si="3868"/>
        <v>1414.1014526877718</v>
      </c>
      <c r="R1286" s="108">
        <f t="shared" ca="1" si="3868"/>
        <v>1414.1014526877718</v>
      </c>
      <c r="S1286" s="108">
        <f t="shared" ca="1" si="3868"/>
        <v>1414.1014526877718</v>
      </c>
      <c r="T1286" s="108">
        <f t="shared" ca="1" si="3868"/>
        <v>1414.1014526877718</v>
      </c>
      <c r="U1286" s="108">
        <f t="shared" ref="U1286" ca="1" si="3869">U1285-U1207</f>
        <v>1414.1014526877718</v>
      </c>
      <c r="V1286" s="108">
        <f t="shared" ref="V1286" ca="1" si="3870">V1285-V1207</f>
        <v>1414.1014526877718</v>
      </c>
      <c r="W1286" s="108">
        <f t="shared" ref="W1286" ca="1" si="3871">W1285-W1207</f>
        <v>1414.1014526877718</v>
      </c>
      <c r="X1286" s="108">
        <f t="shared" ref="X1286" ca="1" si="3872">X1285-X1207</f>
        <v>1414.1014526877718</v>
      </c>
      <c r="Y1286" s="108">
        <f t="shared" ref="Y1286" ca="1" si="3873">Y1285-Y1207</f>
        <v>1414.1014526877718</v>
      </c>
      <c r="Z1286" s="108">
        <f t="shared" ref="Z1286" ca="1" si="3874">Z1285-Z1207</f>
        <v>1414.1014526877718</v>
      </c>
      <c r="AA1286" s="108">
        <f t="shared" ref="AA1286" ca="1" si="3875">AA1285-AA1207</f>
        <v>1414.1014526877718</v>
      </c>
      <c r="AB1286" s="108">
        <f t="shared" ref="AB1286:AC1286" ca="1" si="3876">AB1285-AB1207</f>
        <v>1414.1014526877718</v>
      </c>
      <c r="AC1286" s="108">
        <f t="shared" ca="1" si="3876"/>
        <v>1414.1014526877718</v>
      </c>
      <c r="AD1286" s="298"/>
      <c r="AE1286" s="54">
        <f ca="1">SUM(F1286:AC1286)</f>
        <v>21967.90553907225</v>
      </c>
    </row>
    <row r="1287" spans="1:31" outlineLevel="1" collapsed="1" x14ac:dyDescent="0.2">
      <c r="A1287" s="23" t="str">
        <f ca="1">Language!A894</f>
        <v>Посленалоговая операционная прибыль (NOPLAT)</v>
      </c>
      <c r="B1287" s="179"/>
      <c r="C1287" s="294" t="str">
        <f ca="1">CUR_Report</f>
        <v>тыс. EUR</v>
      </c>
      <c r="D1287" s="179"/>
      <c r="E1287" s="179"/>
      <c r="F1287" s="108">
        <f t="shared" ref="F1287:X1287" ca="1" si="3877">F1286-F1286*F171</f>
        <v>0</v>
      </c>
      <c r="G1287" s="108">
        <f t="shared" ca="1" si="3877"/>
        <v>0</v>
      </c>
      <c r="H1287" s="108">
        <f t="shared" ca="1" si="3877"/>
        <v>0</v>
      </c>
      <c r="I1287" s="108">
        <f t="shared" ca="1" si="3877"/>
        <v>0</v>
      </c>
      <c r="J1287" s="108">
        <f t="shared" ca="1" si="3877"/>
        <v>-250.57553529409878</v>
      </c>
      <c r="K1287" s="108">
        <f t="shared" ca="1" si="3877"/>
        <v>-439.60482740943354</v>
      </c>
      <c r="L1287" s="108">
        <f t="shared" ca="1" si="3877"/>
        <v>29.815066269709831</v>
      </c>
      <c r="M1287" s="108">
        <f t="shared" ca="1" si="3877"/>
        <v>417.85961101482985</v>
      </c>
      <c r="N1287" s="108">
        <f t="shared" ca="1" si="3877"/>
        <v>855.17652191108505</v>
      </c>
      <c r="O1287" s="108">
        <f t="shared" ca="1" si="3877"/>
        <v>1145.4221766770952</v>
      </c>
      <c r="P1287" s="108">
        <f t="shared" ca="1" si="3877"/>
        <v>1145.4221766770952</v>
      </c>
      <c r="Q1287" s="108">
        <f t="shared" ca="1" si="3877"/>
        <v>1145.4221766770952</v>
      </c>
      <c r="R1287" s="108">
        <f t="shared" ca="1" si="3877"/>
        <v>1145.4221766770952</v>
      </c>
      <c r="S1287" s="108">
        <f t="shared" ca="1" si="3877"/>
        <v>1145.4221766770952</v>
      </c>
      <c r="T1287" s="108">
        <f t="shared" ca="1" si="3877"/>
        <v>1145.4221766770952</v>
      </c>
      <c r="U1287" s="108">
        <f t="shared" ca="1" si="3877"/>
        <v>1145.4221766770952</v>
      </c>
      <c r="V1287" s="108">
        <f t="shared" ca="1" si="3877"/>
        <v>1145.4221766770952</v>
      </c>
      <c r="W1287" s="108">
        <f t="shared" ca="1" si="3877"/>
        <v>1145.4221766770952</v>
      </c>
      <c r="X1287" s="108">
        <f t="shared" ca="1" si="3877"/>
        <v>1145.4221766770952</v>
      </c>
      <c r="Y1287" s="108">
        <f t="shared" ref="Y1287" ca="1" si="3878">Y1286-Y1286*Y171</f>
        <v>1145.4221766770952</v>
      </c>
      <c r="Z1287" s="108">
        <f t="shared" ref="Z1287" ca="1" si="3879">Z1286-Z1286*Z171</f>
        <v>1145.4221766770952</v>
      </c>
      <c r="AA1287" s="108">
        <f t="shared" ref="AA1287" ca="1" si="3880">AA1286-AA1286*AA171</f>
        <v>1145.4221766770952</v>
      </c>
      <c r="AB1287" s="108">
        <f t="shared" ref="AB1287:AC1287" ca="1" si="3881">AB1286-AB1286*AB171</f>
        <v>1145.4221766770952</v>
      </c>
      <c r="AC1287" s="108">
        <f t="shared" ca="1" si="3881"/>
        <v>1145.4221766770952</v>
      </c>
      <c r="AD1287" s="298"/>
      <c r="AE1287" s="54">
        <f ca="1">SUM(F1287:AC1287)</f>
        <v>17794.003486648522</v>
      </c>
    </row>
    <row r="1288" spans="1:31" hidden="1" outlineLevel="2" x14ac:dyDescent="0.2">
      <c r="B1288" s="134"/>
      <c r="C1288" s="5"/>
      <c r="F1288" s="53"/>
      <c r="G1288" s="53"/>
      <c r="H1288" s="53"/>
      <c r="I1288" s="53"/>
      <c r="J1288" s="53"/>
      <c r="K1288" s="53"/>
      <c r="L1288" s="53"/>
      <c r="M1288" s="53"/>
      <c r="N1288" s="53"/>
      <c r="O1288" s="53"/>
      <c r="P1288" s="53"/>
      <c r="Q1288" s="53"/>
      <c r="R1288" s="53"/>
      <c r="S1288" s="53"/>
      <c r="T1288" s="53"/>
      <c r="U1288" s="53"/>
      <c r="V1288" s="53"/>
      <c r="W1288" s="53"/>
      <c r="X1288" s="53"/>
      <c r="Y1288" s="53"/>
      <c r="Z1288" s="53"/>
      <c r="AA1288" s="53"/>
      <c r="AB1288" s="53"/>
      <c r="AC1288" s="53"/>
      <c r="AD1288" s="43"/>
      <c r="AE1288" s="54"/>
    </row>
    <row r="1289" spans="1:31" hidden="1" outlineLevel="2" x14ac:dyDescent="0.2">
      <c r="A1289" s="23" t="str">
        <f ca="1">Language!A743</f>
        <v>Нераспределенная прибыль (за период)</v>
      </c>
      <c r="C1289" s="5" t="str">
        <f ca="1">CUR_Report</f>
        <v>тыс. EUR</v>
      </c>
      <c r="F1289" s="108">
        <f t="shared" ref="F1289:T1289" ca="1" si="3882">F1222-F1283</f>
        <v>0</v>
      </c>
      <c r="G1289" s="108">
        <f t="shared" ca="1" si="3882"/>
        <v>0</v>
      </c>
      <c r="H1289" s="108">
        <f t="shared" ca="1" si="3882"/>
        <v>0</v>
      </c>
      <c r="I1289" s="108">
        <f t="shared" ca="1" si="3882"/>
        <v>0</v>
      </c>
      <c r="J1289" s="108">
        <f t="shared" ca="1" si="3882"/>
        <v>-309.35251270876392</v>
      </c>
      <c r="K1289" s="108">
        <f t="shared" ca="1" si="3882"/>
        <v>-542.72200914744883</v>
      </c>
      <c r="L1289" s="108">
        <f t="shared" ca="1" si="3882"/>
        <v>36.808723789765239</v>
      </c>
      <c r="M1289" s="108">
        <f t="shared" ca="1" si="3882"/>
        <v>515.87606298127139</v>
      </c>
      <c r="N1289" s="108">
        <f t="shared" ca="1" si="3882"/>
        <v>912.06057157726855</v>
      </c>
      <c r="O1289" s="108">
        <f t="shared" ca="1" si="3882"/>
        <v>1145.4221766770952</v>
      </c>
      <c r="P1289" s="108">
        <f t="shared" ca="1" si="3882"/>
        <v>1145.4221766770952</v>
      </c>
      <c r="Q1289" s="108">
        <f t="shared" ca="1" si="3882"/>
        <v>1145.4221766770952</v>
      </c>
      <c r="R1289" s="108">
        <f t="shared" ca="1" si="3882"/>
        <v>1145.4221766770952</v>
      </c>
      <c r="S1289" s="108">
        <f t="shared" ca="1" si="3882"/>
        <v>1145.4221766770952</v>
      </c>
      <c r="T1289" s="108">
        <f t="shared" ca="1" si="3882"/>
        <v>1145.4221766770952</v>
      </c>
      <c r="U1289" s="108">
        <f t="shared" ref="U1289" ca="1" si="3883">U1222-U1283</f>
        <v>1145.4221766770952</v>
      </c>
      <c r="V1289" s="108">
        <f t="shared" ref="V1289" ca="1" si="3884">V1222-V1283</f>
        <v>1145.4221766770952</v>
      </c>
      <c r="W1289" s="108">
        <f t="shared" ref="W1289" ca="1" si="3885">W1222-W1283</f>
        <v>1145.4221766770952</v>
      </c>
      <c r="X1289" s="108">
        <f t="shared" ref="X1289" ca="1" si="3886">X1222-X1283</f>
        <v>1145.4221766770952</v>
      </c>
      <c r="Y1289" s="108">
        <f t="shared" ref="Y1289" ca="1" si="3887">Y1222-Y1283</f>
        <v>1145.4221766770952</v>
      </c>
      <c r="Z1289" s="108">
        <f t="shared" ref="Z1289" ca="1" si="3888">Z1222-Z1283</f>
        <v>1145.4221766770952</v>
      </c>
      <c r="AA1289" s="108">
        <f t="shared" ref="AA1289" ca="1" si="3889">AA1222-AA1283</f>
        <v>1145.4221766770952</v>
      </c>
      <c r="AB1289" s="108">
        <f t="shared" ref="AB1289:AC1289" ca="1" si="3890">AB1222-AB1283</f>
        <v>1145.4221766770952</v>
      </c>
      <c r="AC1289" s="108">
        <f t="shared" ca="1" si="3890"/>
        <v>1145.4221766770952</v>
      </c>
      <c r="AD1289" s="108"/>
      <c r="AE1289" s="54">
        <f ca="1">SUM(F1289:AC1289)</f>
        <v>17794.003486648522</v>
      </c>
    </row>
    <row r="1290" spans="1:31" hidden="1" outlineLevel="2" x14ac:dyDescent="0.2">
      <c r="A1290" s="23" t="str">
        <f ca="1">Language!A744</f>
        <v>Нераспределенная прибыль (на начало периода, нарастающим итогом)</v>
      </c>
      <c r="C1290" s="5" t="str">
        <f ca="1">CUR_Report</f>
        <v>тыс. EUR</v>
      </c>
      <c r="D1290" s="16" t="s">
        <v>2710</v>
      </c>
      <c r="F1290" s="246">
        <f>E1291+F1215</f>
        <v>0</v>
      </c>
      <c r="G1290" s="247">
        <f t="shared" ref="G1290:AC1290" ca="1" si="3891">F1291*IF(CUR_I_Report=2,F$88/G$88,1)+G1215</f>
        <v>0</v>
      </c>
      <c r="H1290" s="247">
        <f t="shared" ca="1" si="3891"/>
        <v>0</v>
      </c>
      <c r="I1290" s="247">
        <f t="shared" ca="1" si="3891"/>
        <v>0</v>
      </c>
      <c r="J1290" s="247">
        <f t="shared" ca="1" si="3891"/>
        <v>0</v>
      </c>
      <c r="K1290" s="247">
        <f t="shared" ca="1" si="3891"/>
        <v>-309.35251270876392</v>
      </c>
      <c r="L1290" s="247">
        <f t="shared" ca="1" si="3891"/>
        <v>-852.07452185621275</v>
      </c>
      <c r="M1290" s="247">
        <f t="shared" ca="1" si="3891"/>
        <v>-815.26579806644747</v>
      </c>
      <c r="N1290" s="247">
        <f t="shared" ca="1" si="3891"/>
        <v>-299.38973508517608</v>
      </c>
      <c r="O1290" s="247">
        <f t="shared" ca="1" si="3891"/>
        <v>612.67083649209246</v>
      </c>
      <c r="P1290" s="247">
        <f t="shared" ca="1" si="3891"/>
        <v>1758.0930131691875</v>
      </c>
      <c r="Q1290" s="247">
        <f t="shared" ca="1" si="3891"/>
        <v>2903.5151898462827</v>
      </c>
      <c r="R1290" s="247">
        <f t="shared" ca="1" si="3891"/>
        <v>4048.9373665233779</v>
      </c>
      <c r="S1290" s="247">
        <f t="shared" ca="1" si="3891"/>
        <v>5194.3595432004731</v>
      </c>
      <c r="T1290" s="247">
        <f t="shared" ca="1" si="3891"/>
        <v>6339.7817198775683</v>
      </c>
      <c r="U1290" s="247">
        <f t="shared" ca="1" si="3891"/>
        <v>7485.2038965546635</v>
      </c>
      <c r="V1290" s="247">
        <f t="shared" ca="1" si="3891"/>
        <v>8630.6260732317587</v>
      </c>
      <c r="W1290" s="247">
        <f t="shared" ca="1" si="3891"/>
        <v>9776.0482499088539</v>
      </c>
      <c r="X1290" s="247">
        <f t="shared" ca="1" si="3891"/>
        <v>10921.470426585949</v>
      </c>
      <c r="Y1290" s="247">
        <f t="shared" ca="1" si="3891"/>
        <v>12066.892603263044</v>
      </c>
      <c r="Z1290" s="247">
        <f t="shared" ca="1" si="3891"/>
        <v>13212.314779940139</v>
      </c>
      <c r="AA1290" s="247">
        <f t="shared" ca="1" si="3891"/>
        <v>14357.736956617235</v>
      </c>
      <c r="AB1290" s="247">
        <f t="shared" ca="1" si="3891"/>
        <v>15503.15913329433</v>
      </c>
      <c r="AC1290" s="247">
        <f t="shared" ca="1" si="3891"/>
        <v>16648.581309971425</v>
      </c>
      <c r="AD1290" s="246"/>
      <c r="AE1290" s="202"/>
    </row>
    <row r="1291" spans="1:31" hidden="1" outlineLevel="2" x14ac:dyDescent="0.2">
      <c r="A1291" s="23" t="str">
        <f ca="1">Language!A745</f>
        <v>Нераспределенная прибыль (на конец периода, нарастающим итогом)</v>
      </c>
      <c r="C1291" s="5" t="str">
        <f ca="1">CUR_Report</f>
        <v>тыс. EUR</v>
      </c>
      <c r="D1291" s="16" t="s">
        <v>2594</v>
      </c>
      <c r="E1291">
        <f>F62*IF(B37=1,1,F$88)/IF(CUR_I_Report=2,F$88,1)</f>
        <v>0</v>
      </c>
      <c r="F1291" s="248">
        <f ca="1">E1291+F1289</f>
        <v>0</v>
      </c>
      <c r="G1291" s="249">
        <f t="shared" ref="G1291:AC1291" ca="1" si="3892">F1291*IF(CUR_I_Report=2,F$88/G$88,1)+G1289</f>
        <v>0</v>
      </c>
      <c r="H1291" s="249">
        <f t="shared" ca="1" si="3892"/>
        <v>0</v>
      </c>
      <c r="I1291" s="249">
        <f t="shared" ca="1" si="3892"/>
        <v>0</v>
      </c>
      <c r="J1291" s="249">
        <f t="shared" ca="1" si="3892"/>
        <v>-309.35251270876392</v>
      </c>
      <c r="K1291" s="249">
        <f t="shared" ca="1" si="3892"/>
        <v>-852.07452185621275</v>
      </c>
      <c r="L1291" s="249">
        <f t="shared" ca="1" si="3892"/>
        <v>-815.26579806644747</v>
      </c>
      <c r="M1291" s="249">
        <f t="shared" ca="1" si="3892"/>
        <v>-299.38973508517608</v>
      </c>
      <c r="N1291" s="249">
        <f t="shared" ca="1" si="3892"/>
        <v>612.67083649209246</v>
      </c>
      <c r="O1291" s="249">
        <f t="shared" ca="1" si="3892"/>
        <v>1758.0930131691875</v>
      </c>
      <c r="P1291" s="249">
        <f t="shared" ca="1" si="3892"/>
        <v>2903.5151898462827</v>
      </c>
      <c r="Q1291" s="249">
        <f t="shared" ca="1" si="3892"/>
        <v>4048.9373665233779</v>
      </c>
      <c r="R1291" s="249">
        <f t="shared" ca="1" si="3892"/>
        <v>5194.3595432004731</v>
      </c>
      <c r="S1291" s="249">
        <f t="shared" ca="1" si="3892"/>
        <v>6339.7817198775683</v>
      </c>
      <c r="T1291" s="249">
        <f t="shared" ca="1" si="3892"/>
        <v>7485.2038965546635</v>
      </c>
      <c r="U1291" s="249">
        <f t="shared" ca="1" si="3892"/>
        <v>8630.6260732317587</v>
      </c>
      <c r="V1291" s="249">
        <f t="shared" ca="1" si="3892"/>
        <v>9776.0482499088539</v>
      </c>
      <c r="W1291" s="249">
        <f t="shared" ca="1" si="3892"/>
        <v>10921.470426585949</v>
      </c>
      <c r="X1291" s="249">
        <f t="shared" ca="1" si="3892"/>
        <v>12066.892603263044</v>
      </c>
      <c r="Y1291" s="249">
        <f t="shared" ca="1" si="3892"/>
        <v>13212.314779940139</v>
      </c>
      <c r="Z1291" s="249">
        <f t="shared" ca="1" si="3892"/>
        <v>14357.736956617235</v>
      </c>
      <c r="AA1291" s="249">
        <f t="shared" ca="1" si="3892"/>
        <v>15503.15913329433</v>
      </c>
      <c r="AB1291" s="249">
        <f t="shared" ca="1" si="3892"/>
        <v>16648.581309971425</v>
      </c>
      <c r="AC1291" s="249">
        <f t="shared" ca="1" si="3892"/>
        <v>17794.003486648522</v>
      </c>
      <c r="AD1291" s="248"/>
      <c r="AE1291" s="237"/>
    </row>
    <row r="1292" spans="1:31" outlineLevel="1" x14ac:dyDescent="0.2">
      <c r="A1292" s="63"/>
      <c r="B1292" s="63"/>
      <c r="C1292" s="63"/>
      <c r="D1292" s="63"/>
      <c r="E1292" s="63"/>
      <c r="F1292" s="63"/>
      <c r="G1292" s="63"/>
      <c r="H1292" s="63"/>
      <c r="I1292" s="63"/>
      <c r="J1292" s="63"/>
      <c r="K1292" s="63"/>
      <c r="L1292" s="63"/>
      <c r="M1292" s="63"/>
      <c r="N1292" s="63"/>
      <c r="O1292" s="63"/>
      <c r="P1292" s="63"/>
      <c r="Q1292" s="63"/>
      <c r="R1292" s="63"/>
      <c r="S1292" s="63"/>
      <c r="T1292" s="63"/>
      <c r="U1292" s="63"/>
      <c r="V1292" s="63"/>
      <c r="W1292" s="63"/>
      <c r="X1292" s="63"/>
      <c r="Y1292" s="63"/>
      <c r="Z1292" s="63"/>
      <c r="AA1292" s="63"/>
      <c r="AB1292" s="63"/>
      <c r="AC1292" s="63"/>
      <c r="AD1292" s="63"/>
      <c r="AE1292" s="64"/>
    </row>
    <row r="1293" spans="1:31" outlineLevel="1" x14ac:dyDescent="0.2">
      <c r="A1293" s="22" t="str">
        <f ca="1">Language!A$1015 &amp; ", " &amp; Проект!CUR_Report</f>
        <v>График: EBITDA, тыс. EUR</v>
      </c>
      <c r="B1293" s="19"/>
      <c r="C1293" s="19"/>
      <c r="D1293" s="19"/>
      <c r="E1293" s="19"/>
      <c r="F1293" s="19"/>
      <c r="G1293" s="19"/>
      <c r="H1293" s="19"/>
      <c r="I1293" s="19"/>
      <c r="J1293" s="19"/>
      <c r="K1293" s="19"/>
      <c r="L1293" s="19"/>
      <c r="M1293" s="19"/>
      <c r="N1293" s="19"/>
      <c r="O1293" s="19"/>
      <c r="P1293" s="19"/>
      <c r="Q1293" s="19"/>
      <c r="R1293" s="19"/>
      <c r="S1293" s="19"/>
      <c r="T1293" s="19"/>
      <c r="U1293" s="19"/>
      <c r="V1293" s="19"/>
      <c r="W1293" s="19"/>
      <c r="X1293" s="19"/>
      <c r="Y1293" s="19"/>
      <c r="Z1293" s="19"/>
      <c r="AA1293" s="19"/>
      <c r="AB1293" s="19"/>
      <c r="AC1293" s="19"/>
      <c r="AD1293" s="19"/>
      <c r="AE1293" s="22"/>
    </row>
    <row r="1294" spans="1:31" outlineLevel="2" x14ac:dyDescent="0.2">
      <c r="A1294" s="19"/>
      <c r="B1294" s="19"/>
      <c r="C1294" s="19"/>
      <c r="D1294" s="19"/>
      <c r="E1294" s="19"/>
      <c r="F1294" s="19"/>
      <c r="G1294" s="19"/>
      <c r="H1294" s="19"/>
      <c r="I1294" s="19"/>
      <c r="J1294" s="19"/>
      <c r="K1294" s="19"/>
      <c r="L1294" s="19"/>
      <c r="M1294" s="19"/>
      <c r="N1294" s="19"/>
      <c r="O1294" s="19"/>
      <c r="P1294" s="19"/>
      <c r="Q1294" s="19"/>
      <c r="R1294" s="19"/>
      <c r="S1294" s="19"/>
      <c r="T1294" s="19"/>
      <c r="U1294" s="19"/>
      <c r="V1294" s="19"/>
      <c r="W1294" s="19"/>
      <c r="X1294" s="19"/>
      <c r="Y1294" s="19"/>
      <c r="Z1294" s="19"/>
      <c r="AA1294" s="19"/>
      <c r="AB1294" s="19"/>
      <c r="AC1294" s="19"/>
      <c r="AD1294" s="19"/>
      <c r="AE1294" s="22"/>
    </row>
    <row r="1295" spans="1:31" outlineLevel="2" x14ac:dyDescent="0.2">
      <c r="A1295" s="19"/>
      <c r="B1295" s="19"/>
      <c r="C1295" s="19"/>
      <c r="D1295" s="19"/>
      <c r="E1295" s="19"/>
      <c r="F1295" s="19"/>
      <c r="G1295" s="19"/>
      <c r="H1295" s="19"/>
      <c r="I1295" s="19"/>
      <c r="J1295" s="19"/>
      <c r="K1295" s="19"/>
      <c r="L1295" s="19"/>
      <c r="M1295" s="19"/>
      <c r="N1295" s="19"/>
      <c r="O1295" s="19"/>
      <c r="P1295" s="19"/>
      <c r="Q1295" s="19"/>
      <c r="R1295" s="19"/>
      <c r="S1295" s="19"/>
      <c r="T1295" s="19"/>
      <c r="U1295" s="19"/>
      <c r="V1295" s="19"/>
      <c r="W1295" s="19"/>
      <c r="X1295" s="19"/>
      <c r="Y1295" s="19"/>
      <c r="Z1295" s="19"/>
      <c r="AA1295" s="19"/>
      <c r="AB1295" s="19"/>
      <c r="AC1295" s="19"/>
      <c r="AD1295" s="19"/>
      <c r="AE1295" s="22"/>
    </row>
    <row r="1296" spans="1:31" outlineLevel="2" x14ac:dyDescent="0.2">
      <c r="A1296" s="19"/>
      <c r="B1296" s="19"/>
      <c r="C1296" s="19"/>
      <c r="D1296" s="19"/>
      <c r="E1296" s="19"/>
      <c r="F1296" s="19"/>
      <c r="G1296" s="19"/>
      <c r="H1296" s="19"/>
      <c r="I1296" s="19"/>
      <c r="J1296" s="19"/>
      <c r="K1296" s="19"/>
      <c r="L1296" s="19"/>
      <c r="M1296" s="19"/>
      <c r="N1296" s="19"/>
      <c r="O1296" s="19"/>
      <c r="P1296" s="19"/>
      <c r="Q1296" s="19"/>
      <c r="R1296" s="19"/>
      <c r="S1296" s="19"/>
      <c r="T1296" s="19"/>
      <c r="U1296" s="19"/>
      <c r="V1296" s="19"/>
      <c r="W1296" s="19"/>
      <c r="X1296" s="19"/>
      <c r="Y1296" s="19"/>
      <c r="Z1296" s="19"/>
      <c r="AA1296" s="19"/>
      <c r="AB1296" s="19"/>
      <c r="AC1296" s="19"/>
      <c r="AD1296" s="19"/>
      <c r="AE1296" s="22"/>
    </row>
    <row r="1297" spans="1:31" outlineLevel="2" x14ac:dyDescent="0.2">
      <c r="A1297" s="19"/>
      <c r="B1297" s="19"/>
      <c r="C1297" s="19"/>
      <c r="D1297" s="19"/>
      <c r="E1297" s="19"/>
      <c r="F1297" s="19"/>
      <c r="G1297" s="19"/>
      <c r="H1297" s="19"/>
      <c r="I1297" s="19"/>
      <c r="J1297" s="19"/>
      <c r="K1297" s="19"/>
      <c r="L1297" s="19"/>
      <c r="M1297" s="19"/>
      <c r="N1297" s="19"/>
      <c r="O1297" s="19"/>
      <c r="P1297" s="19"/>
      <c r="Q1297" s="19"/>
      <c r="R1297" s="19"/>
      <c r="S1297" s="19"/>
      <c r="T1297" s="19"/>
      <c r="U1297" s="19"/>
      <c r="V1297" s="19"/>
      <c r="W1297" s="19"/>
      <c r="X1297" s="19"/>
      <c r="Y1297" s="19"/>
      <c r="Z1297" s="19"/>
      <c r="AA1297" s="19"/>
      <c r="AB1297" s="19"/>
      <c r="AC1297" s="19"/>
      <c r="AD1297" s="19"/>
      <c r="AE1297" s="22"/>
    </row>
    <row r="1298" spans="1:31" outlineLevel="2" x14ac:dyDescent="0.2">
      <c r="A1298" s="19"/>
      <c r="B1298" s="19"/>
      <c r="C1298" s="19"/>
      <c r="D1298" s="19"/>
      <c r="E1298" s="19"/>
      <c r="F1298" s="19"/>
      <c r="G1298" s="19"/>
      <c r="H1298" s="19"/>
      <c r="I1298" s="19"/>
      <c r="J1298" s="19"/>
      <c r="K1298" s="19"/>
      <c r="L1298" s="19"/>
      <c r="M1298" s="19"/>
      <c r="N1298" s="19"/>
      <c r="O1298" s="19"/>
      <c r="P1298" s="19"/>
      <c r="Q1298" s="19"/>
      <c r="R1298" s="19"/>
      <c r="S1298" s="19"/>
      <c r="T1298" s="19"/>
      <c r="U1298" s="19"/>
      <c r="V1298" s="19"/>
      <c r="W1298" s="19"/>
      <c r="X1298" s="19"/>
      <c r="Y1298" s="19"/>
      <c r="Z1298" s="19"/>
      <c r="AA1298" s="19"/>
      <c r="AB1298" s="19"/>
      <c r="AC1298" s="19"/>
      <c r="AD1298" s="19"/>
      <c r="AE1298" s="22"/>
    </row>
    <row r="1299" spans="1:31" outlineLevel="2" x14ac:dyDescent="0.2">
      <c r="A1299" s="19"/>
      <c r="B1299" s="19"/>
      <c r="C1299" s="19"/>
      <c r="D1299" s="19"/>
      <c r="E1299" s="19"/>
      <c r="F1299" s="19"/>
      <c r="G1299" s="19"/>
      <c r="H1299" s="19"/>
      <c r="I1299" s="19"/>
      <c r="J1299" s="19"/>
      <c r="K1299" s="19"/>
      <c r="L1299" s="19"/>
      <c r="M1299" s="19"/>
      <c r="N1299" s="19"/>
      <c r="O1299" s="19"/>
      <c r="P1299" s="19"/>
      <c r="Q1299" s="19"/>
      <c r="R1299" s="19"/>
      <c r="S1299" s="19"/>
      <c r="T1299" s="19"/>
      <c r="U1299" s="19"/>
      <c r="V1299" s="19"/>
      <c r="W1299" s="19"/>
      <c r="X1299" s="19"/>
      <c r="Y1299" s="19"/>
      <c r="Z1299" s="19"/>
      <c r="AA1299" s="19"/>
      <c r="AB1299" s="19"/>
      <c r="AC1299" s="19"/>
      <c r="AD1299" s="19"/>
      <c r="AE1299" s="22"/>
    </row>
    <row r="1300" spans="1:31" outlineLevel="2" x14ac:dyDescent="0.2">
      <c r="A1300" s="19"/>
      <c r="B1300" s="19"/>
      <c r="C1300" s="19"/>
      <c r="D1300" s="19"/>
      <c r="E1300" s="19"/>
      <c r="F1300" s="19"/>
      <c r="G1300" s="19"/>
      <c r="H1300" s="19"/>
      <c r="I1300" s="19"/>
      <c r="J1300" s="19"/>
      <c r="K1300" s="19"/>
      <c r="L1300" s="19"/>
      <c r="M1300" s="19"/>
      <c r="N1300" s="19"/>
      <c r="O1300" s="19"/>
      <c r="P1300" s="19"/>
      <c r="Q1300" s="19"/>
      <c r="R1300" s="19"/>
      <c r="S1300" s="19"/>
      <c r="T1300" s="19"/>
      <c r="U1300" s="19"/>
      <c r="V1300" s="19"/>
      <c r="W1300" s="19"/>
      <c r="X1300" s="19"/>
      <c r="Y1300" s="19"/>
      <c r="Z1300" s="19"/>
      <c r="AA1300" s="19"/>
      <c r="AB1300" s="19"/>
      <c r="AC1300" s="19"/>
      <c r="AD1300" s="19"/>
      <c r="AE1300" s="22"/>
    </row>
    <row r="1301" spans="1:31" outlineLevel="2" x14ac:dyDescent="0.2">
      <c r="A1301" s="19"/>
      <c r="B1301" s="19"/>
      <c r="C1301" s="19"/>
      <c r="D1301" s="19"/>
      <c r="E1301" s="19"/>
      <c r="F1301" s="19"/>
      <c r="G1301" s="19"/>
      <c r="H1301" s="19"/>
      <c r="I1301" s="19"/>
      <c r="J1301" s="19"/>
      <c r="K1301" s="19"/>
      <c r="L1301" s="19"/>
      <c r="M1301" s="19"/>
      <c r="N1301" s="19"/>
      <c r="O1301" s="19"/>
      <c r="P1301" s="19"/>
      <c r="Q1301" s="19"/>
      <c r="R1301" s="19"/>
      <c r="S1301" s="19"/>
      <c r="T1301" s="19"/>
      <c r="U1301" s="19"/>
      <c r="V1301" s="19"/>
      <c r="W1301" s="19"/>
      <c r="X1301" s="19"/>
      <c r="Y1301" s="19"/>
      <c r="Z1301" s="19"/>
      <c r="AA1301" s="19"/>
      <c r="AB1301" s="19"/>
      <c r="AC1301" s="19"/>
      <c r="AD1301" s="19"/>
      <c r="AE1301" s="22"/>
    </row>
    <row r="1302" spans="1:31" outlineLevel="2" x14ac:dyDescent="0.2">
      <c r="A1302" s="19"/>
      <c r="B1302" s="19"/>
      <c r="C1302" s="19"/>
      <c r="D1302" s="19"/>
      <c r="E1302" s="19"/>
      <c r="F1302" s="19"/>
      <c r="G1302" s="19"/>
      <c r="H1302" s="19"/>
      <c r="I1302" s="19"/>
      <c r="J1302" s="19"/>
      <c r="K1302" s="19"/>
      <c r="L1302" s="19"/>
      <c r="M1302" s="19"/>
      <c r="N1302" s="19"/>
      <c r="O1302" s="19"/>
      <c r="P1302" s="19"/>
      <c r="Q1302" s="19"/>
      <c r="R1302" s="19"/>
      <c r="S1302" s="19"/>
      <c r="T1302" s="19"/>
      <c r="U1302" s="19"/>
      <c r="V1302" s="19"/>
      <c r="W1302" s="19"/>
      <c r="X1302" s="19"/>
      <c r="Y1302" s="19"/>
      <c r="Z1302" s="19"/>
      <c r="AA1302" s="19"/>
      <c r="AB1302" s="19"/>
      <c r="AC1302" s="19"/>
      <c r="AD1302" s="19"/>
      <c r="AE1302" s="22"/>
    </row>
    <row r="1303" spans="1:31" outlineLevel="2" x14ac:dyDescent="0.2">
      <c r="A1303" s="19"/>
      <c r="B1303" s="19"/>
      <c r="C1303" s="19"/>
      <c r="D1303" s="19"/>
      <c r="E1303" s="19"/>
      <c r="F1303" s="19"/>
      <c r="G1303" s="19"/>
      <c r="H1303" s="19"/>
      <c r="I1303" s="19"/>
      <c r="J1303" s="19"/>
      <c r="K1303" s="19"/>
      <c r="L1303" s="19"/>
      <c r="M1303" s="19"/>
      <c r="N1303" s="19"/>
      <c r="O1303" s="19"/>
      <c r="P1303" s="19"/>
      <c r="Q1303" s="19"/>
      <c r="R1303" s="19"/>
      <c r="S1303" s="19"/>
      <c r="T1303" s="19"/>
      <c r="U1303" s="19"/>
      <c r="V1303" s="19"/>
      <c r="W1303" s="19"/>
      <c r="X1303" s="19"/>
      <c r="Y1303" s="19"/>
      <c r="Z1303" s="19"/>
      <c r="AA1303" s="19"/>
      <c r="AB1303" s="19"/>
      <c r="AC1303" s="19"/>
      <c r="AD1303" s="19"/>
      <c r="AE1303" s="22"/>
    </row>
    <row r="1304" spans="1:31" outlineLevel="2" x14ac:dyDescent="0.2">
      <c r="A1304" s="19"/>
      <c r="B1304" s="19"/>
      <c r="C1304" s="19"/>
      <c r="D1304" s="19"/>
      <c r="E1304" s="19"/>
      <c r="F1304" s="19"/>
      <c r="G1304" s="19"/>
      <c r="H1304" s="19"/>
      <c r="I1304" s="19"/>
      <c r="J1304" s="19"/>
      <c r="K1304" s="19"/>
      <c r="L1304" s="19"/>
      <c r="M1304" s="19"/>
      <c r="N1304" s="19"/>
      <c r="O1304" s="19"/>
      <c r="P1304" s="19"/>
      <c r="Q1304" s="19"/>
      <c r="R1304" s="19"/>
      <c r="S1304" s="19"/>
      <c r="T1304" s="19"/>
      <c r="U1304" s="19"/>
      <c r="V1304" s="19"/>
      <c r="W1304" s="19"/>
      <c r="X1304" s="19"/>
      <c r="Y1304" s="19"/>
      <c r="Z1304" s="19"/>
      <c r="AA1304" s="19"/>
      <c r="AB1304" s="19"/>
      <c r="AC1304" s="19"/>
      <c r="AD1304" s="19"/>
      <c r="AE1304" s="22"/>
    </row>
    <row r="1305" spans="1:31" outlineLevel="2" x14ac:dyDescent="0.2">
      <c r="A1305" s="19"/>
      <c r="B1305" s="19"/>
      <c r="C1305" s="19"/>
      <c r="D1305" s="19"/>
      <c r="E1305" s="19"/>
      <c r="F1305" s="19"/>
      <c r="G1305" s="19"/>
      <c r="H1305" s="19"/>
      <c r="I1305" s="19"/>
      <c r="J1305" s="19"/>
      <c r="K1305" s="19"/>
      <c r="L1305" s="19"/>
      <c r="M1305" s="19"/>
      <c r="N1305" s="19"/>
      <c r="O1305" s="19"/>
      <c r="P1305" s="19"/>
      <c r="Q1305" s="19"/>
      <c r="R1305" s="19"/>
      <c r="S1305" s="19"/>
      <c r="T1305" s="19"/>
      <c r="U1305" s="19"/>
      <c r="V1305" s="19"/>
      <c r="W1305" s="19"/>
      <c r="X1305" s="19"/>
      <c r="Y1305" s="19"/>
      <c r="Z1305" s="19"/>
      <c r="AA1305" s="19"/>
      <c r="AB1305" s="19"/>
      <c r="AC1305" s="19"/>
      <c r="AD1305" s="19"/>
      <c r="AE1305" s="22"/>
    </row>
    <row r="1306" spans="1:31" outlineLevel="2" x14ac:dyDescent="0.2">
      <c r="A1306" s="19"/>
      <c r="B1306" s="19"/>
      <c r="C1306" s="19"/>
      <c r="D1306" s="19"/>
      <c r="E1306" s="19"/>
      <c r="F1306" s="19"/>
      <c r="G1306" s="19"/>
      <c r="H1306" s="19"/>
      <c r="I1306" s="19"/>
      <c r="J1306" s="19"/>
      <c r="K1306" s="19"/>
      <c r="L1306" s="19"/>
      <c r="M1306" s="19"/>
      <c r="N1306" s="19"/>
      <c r="O1306" s="19"/>
      <c r="P1306" s="19"/>
      <c r="Q1306" s="19"/>
      <c r="R1306" s="19"/>
      <c r="S1306" s="19"/>
      <c r="T1306" s="19"/>
      <c r="U1306" s="19"/>
      <c r="V1306" s="19"/>
      <c r="W1306" s="19"/>
      <c r="X1306" s="19"/>
      <c r="Y1306" s="19"/>
      <c r="Z1306" s="19"/>
      <c r="AA1306" s="19"/>
      <c r="AB1306" s="19"/>
      <c r="AC1306" s="19"/>
      <c r="AD1306" s="19"/>
      <c r="AE1306" s="22"/>
    </row>
    <row r="1307" spans="1:31" outlineLevel="2" x14ac:dyDescent="0.2">
      <c r="A1307" s="19"/>
      <c r="B1307" s="19"/>
      <c r="C1307" s="19"/>
      <c r="D1307" s="19"/>
      <c r="E1307" s="19"/>
      <c r="F1307" s="19"/>
      <c r="G1307" s="19"/>
      <c r="H1307" s="19"/>
      <c r="I1307" s="19"/>
      <c r="J1307" s="19"/>
      <c r="K1307" s="19"/>
      <c r="L1307" s="19"/>
      <c r="M1307" s="19"/>
      <c r="N1307" s="19"/>
      <c r="O1307" s="19"/>
      <c r="P1307" s="19"/>
      <c r="Q1307" s="19"/>
      <c r="R1307" s="19"/>
      <c r="S1307" s="19"/>
      <c r="T1307" s="19"/>
      <c r="U1307" s="19"/>
      <c r="V1307" s="19"/>
      <c r="W1307" s="19"/>
      <c r="X1307" s="19"/>
      <c r="Y1307" s="19"/>
      <c r="Z1307" s="19"/>
      <c r="AA1307" s="19"/>
      <c r="AB1307" s="19"/>
      <c r="AC1307" s="19"/>
      <c r="AD1307" s="19"/>
      <c r="AE1307" s="22"/>
    </row>
    <row r="1308" spans="1:31" outlineLevel="2" x14ac:dyDescent="0.2">
      <c r="A1308" s="19"/>
      <c r="B1308" s="19"/>
      <c r="C1308" s="19"/>
      <c r="D1308" s="19"/>
      <c r="E1308" s="19"/>
      <c r="F1308" s="19"/>
      <c r="G1308" s="19"/>
      <c r="H1308" s="19"/>
      <c r="I1308" s="19"/>
      <c r="J1308" s="19"/>
      <c r="K1308" s="19"/>
      <c r="L1308" s="19"/>
      <c r="M1308" s="19"/>
      <c r="N1308" s="19"/>
      <c r="O1308" s="19"/>
      <c r="P1308" s="19"/>
      <c r="Q1308" s="19"/>
      <c r="R1308" s="19"/>
      <c r="S1308" s="19"/>
      <c r="T1308" s="19"/>
      <c r="U1308" s="19"/>
      <c r="V1308" s="19"/>
      <c r="W1308" s="19"/>
      <c r="X1308" s="19"/>
      <c r="Y1308" s="19"/>
      <c r="Z1308" s="19"/>
      <c r="AA1308" s="19"/>
      <c r="AB1308" s="19"/>
      <c r="AC1308" s="19"/>
      <c r="AD1308" s="19"/>
      <c r="AE1308" s="22"/>
    </row>
    <row r="1309" spans="1:31" outlineLevel="2" x14ac:dyDescent="0.2">
      <c r="A1309" s="19"/>
      <c r="B1309" s="19"/>
      <c r="C1309" s="19"/>
      <c r="D1309" s="19"/>
      <c r="E1309" s="19"/>
      <c r="F1309" s="19"/>
      <c r="G1309" s="19"/>
      <c r="H1309" s="19"/>
      <c r="I1309" s="19"/>
      <c r="J1309" s="19"/>
      <c r="K1309" s="19"/>
      <c r="L1309" s="19"/>
      <c r="M1309" s="19"/>
      <c r="N1309" s="19"/>
      <c r="O1309" s="19"/>
      <c r="P1309" s="19"/>
      <c r="Q1309" s="19"/>
      <c r="R1309" s="19"/>
      <c r="S1309" s="19"/>
      <c r="T1309" s="19"/>
      <c r="U1309" s="19"/>
      <c r="V1309" s="19"/>
      <c r="W1309" s="19"/>
      <c r="X1309" s="19"/>
      <c r="Y1309" s="19"/>
      <c r="Z1309" s="19"/>
      <c r="AA1309" s="19"/>
      <c r="AB1309" s="19"/>
      <c r="AC1309" s="19"/>
      <c r="AD1309" s="19"/>
      <c r="AE1309" s="22"/>
    </row>
    <row r="1310" spans="1:31" outlineLevel="2" x14ac:dyDescent="0.2">
      <c r="A1310" s="19"/>
      <c r="B1310" s="19"/>
      <c r="C1310" s="19"/>
      <c r="D1310" s="19"/>
      <c r="E1310" s="19"/>
      <c r="F1310" s="19"/>
      <c r="G1310" s="19"/>
      <c r="H1310" s="19"/>
      <c r="I1310" s="19"/>
      <c r="J1310" s="19"/>
      <c r="K1310" s="19"/>
      <c r="L1310" s="19"/>
      <c r="M1310" s="19"/>
      <c r="N1310" s="19"/>
      <c r="O1310" s="19"/>
      <c r="P1310" s="19"/>
      <c r="Q1310" s="19"/>
      <c r="R1310" s="19"/>
      <c r="S1310" s="19"/>
      <c r="T1310" s="19"/>
      <c r="U1310" s="19"/>
      <c r="V1310" s="19"/>
      <c r="W1310" s="19"/>
      <c r="X1310" s="19"/>
      <c r="Y1310" s="19"/>
      <c r="Z1310" s="19"/>
      <c r="AA1310" s="19"/>
      <c r="AB1310" s="19"/>
      <c r="AC1310" s="19"/>
      <c r="AD1310" s="19"/>
      <c r="AE1310" s="22"/>
    </row>
    <row r="1311" spans="1:31" outlineLevel="2" x14ac:dyDescent="0.2">
      <c r="A1311" s="19"/>
      <c r="B1311" s="19"/>
      <c r="C1311" s="19"/>
      <c r="D1311" s="19"/>
      <c r="E1311" s="19"/>
      <c r="F1311" s="19"/>
      <c r="G1311" s="19"/>
      <c r="H1311" s="19"/>
      <c r="I1311" s="19"/>
      <c r="J1311" s="19"/>
      <c r="K1311" s="19"/>
      <c r="L1311" s="19"/>
      <c r="M1311" s="19"/>
      <c r="N1311" s="19"/>
      <c r="O1311" s="19"/>
      <c r="P1311" s="19"/>
      <c r="Q1311" s="19"/>
      <c r="R1311" s="19"/>
      <c r="S1311" s="19"/>
      <c r="T1311" s="19"/>
      <c r="U1311" s="19"/>
      <c r="V1311" s="19"/>
      <c r="W1311" s="19"/>
      <c r="X1311" s="19"/>
      <c r="Y1311" s="19"/>
      <c r="Z1311" s="19"/>
      <c r="AA1311" s="19"/>
      <c r="AB1311" s="19"/>
      <c r="AC1311" s="19"/>
      <c r="AD1311" s="19"/>
      <c r="AE1311" s="22"/>
    </row>
    <row r="1312" spans="1:31" outlineLevel="2" x14ac:dyDescent="0.2">
      <c r="A1312" s="19"/>
      <c r="B1312" s="19"/>
      <c r="C1312" s="19"/>
      <c r="D1312" s="19"/>
      <c r="E1312" s="19"/>
      <c r="F1312" s="19"/>
      <c r="G1312" s="19"/>
      <c r="H1312" s="19"/>
      <c r="I1312" s="19"/>
      <c r="J1312" s="19"/>
      <c r="K1312" s="19"/>
      <c r="L1312" s="19"/>
      <c r="M1312" s="19"/>
      <c r="N1312" s="19"/>
      <c r="O1312" s="19"/>
      <c r="P1312" s="19"/>
      <c r="Q1312" s="19"/>
      <c r="R1312" s="19"/>
      <c r="S1312" s="19"/>
      <c r="T1312" s="19"/>
      <c r="U1312" s="19"/>
      <c r="V1312" s="19"/>
      <c r="W1312" s="19"/>
      <c r="X1312" s="19"/>
      <c r="Y1312" s="19"/>
      <c r="Z1312" s="19"/>
      <c r="AA1312" s="19"/>
      <c r="AB1312" s="19"/>
      <c r="AC1312" s="19"/>
      <c r="AD1312" s="19"/>
      <c r="AE1312" s="22"/>
    </row>
    <row r="1313" spans="1:31" outlineLevel="2" x14ac:dyDescent="0.2">
      <c r="A1313" s="19"/>
      <c r="B1313" s="19"/>
      <c r="C1313" s="19"/>
      <c r="D1313" s="19"/>
      <c r="E1313" s="19"/>
      <c r="F1313" s="19"/>
      <c r="G1313" s="19"/>
      <c r="H1313" s="19"/>
      <c r="I1313" s="19"/>
      <c r="J1313" s="19"/>
      <c r="K1313" s="19"/>
      <c r="L1313" s="19"/>
      <c r="M1313" s="19"/>
      <c r="N1313" s="19"/>
      <c r="O1313" s="19"/>
      <c r="P1313" s="19"/>
      <c r="Q1313" s="19"/>
      <c r="R1313" s="19"/>
      <c r="S1313" s="19"/>
      <c r="T1313" s="19"/>
      <c r="U1313" s="19"/>
      <c r="V1313" s="19"/>
      <c r="W1313" s="19"/>
      <c r="X1313" s="19"/>
      <c r="Y1313" s="19"/>
      <c r="Z1313" s="19"/>
      <c r="AA1313" s="19"/>
      <c r="AB1313" s="19"/>
      <c r="AC1313" s="19"/>
      <c r="AD1313" s="19"/>
      <c r="AE1313" s="22"/>
    </row>
    <row r="1314" spans="1:31" outlineLevel="2" x14ac:dyDescent="0.2">
      <c r="A1314" s="19"/>
      <c r="B1314" s="19"/>
      <c r="C1314" s="19"/>
      <c r="D1314" s="19"/>
      <c r="E1314" s="19"/>
      <c r="F1314" s="19"/>
      <c r="G1314" s="19"/>
      <c r="H1314" s="19"/>
      <c r="I1314" s="19"/>
      <c r="J1314" s="19"/>
      <c r="K1314" s="19"/>
      <c r="L1314" s="19"/>
      <c r="M1314" s="19"/>
      <c r="N1314" s="19"/>
      <c r="O1314" s="19"/>
      <c r="P1314" s="19"/>
      <c r="Q1314" s="19"/>
      <c r="R1314" s="19"/>
      <c r="S1314" s="19"/>
      <c r="T1314" s="19"/>
      <c r="U1314" s="19"/>
      <c r="V1314" s="19"/>
      <c r="W1314" s="19"/>
      <c r="X1314" s="19"/>
      <c r="Y1314" s="19"/>
      <c r="Z1314" s="19"/>
      <c r="AA1314" s="19"/>
      <c r="AB1314" s="19"/>
      <c r="AC1314" s="19"/>
      <c r="AD1314" s="19"/>
      <c r="AE1314" s="22"/>
    </row>
    <row r="1315" spans="1:31" outlineLevel="2" x14ac:dyDescent="0.2">
      <c r="A1315" s="19"/>
      <c r="B1315" s="19"/>
      <c r="C1315" s="19"/>
      <c r="D1315" s="19"/>
      <c r="E1315" s="19"/>
      <c r="F1315" s="19"/>
      <c r="G1315" s="19"/>
      <c r="H1315" s="19"/>
      <c r="I1315" s="19"/>
      <c r="J1315" s="19"/>
      <c r="K1315" s="19"/>
      <c r="L1315" s="19"/>
      <c r="M1315" s="19"/>
      <c r="N1315" s="19"/>
      <c r="O1315" s="19"/>
      <c r="P1315" s="19"/>
      <c r="Q1315" s="19"/>
      <c r="R1315" s="19"/>
      <c r="S1315" s="19"/>
      <c r="T1315" s="19"/>
      <c r="U1315" s="19"/>
      <c r="V1315" s="19"/>
      <c r="W1315" s="19"/>
      <c r="X1315" s="19"/>
      <c r="Y1315" s="19"/>
      <c r="Z1315" s="19"/>
      <c r="AA1315" s="19"/>
      <c r="AB1315" s="19"/>
      <c r="AC1315" s="19"/>
      <c r="AD1315" s="19"/>
      <c r="AE1315" s="22"/>
    </row>
    <row r="1316" spans="1:31" outlineLevel="2" x14ac:dyDescent="0.2">
      <c r="A1316" s="19"/>
      <c r="B1316" s="19"/>
      <c r="C1316" s="19"/>
      <c r="D1316" s="19"/>
      <c r="E1316" s="19"/>
      <c r="F1316" s="19"/>
      <c r="G1316" s="19"/>
      <c r="H1316" s="19"/>
      <c r="I1316" s="19"/>
      <c r="J1316" s="19"/>
      <c r="K1316" s="19"/>
      <c r="L1316" s="19"/>
      <c r="M1316" s="19"/>
      <c r="N1316" s="19"/>
      <c r="O1316" s="19"/>
      <c r="P1316" s="19"/>
      <c r="Q1316" s="19"/>
      <c r="R1316" s="19"/>
      <c r="S1316" s="19"/>
      <c r="T1316" s="19"/>
      <c r="U1316" s="19"/>
      <c r="V1316" s="19"/>
      <c r="W1316" s="19"/>
      <c r="X1316" s="19"/>
      <c r="Y1316" s="19"/>
      <c r="Z1316" s="19"/>
      <c r="AA1316" s="19"/>
      <c r="AB1316" s="19"/>
      <c r="AC1316" s="19"/>
      <c r="AD1316" s="19"/>
      <c r="AE1316" s="22"/>
    </row>
    <row r="1317" spans="1:31" outlineLevel="1" x14ac:dyDescent="0.2">
      <c r="A1317" s="19"/>
      <c r="B1317" s="19"/>
      <c r="C1317" s="19"/>
      <c r="D1317" s="19"/>
      <c r="E1317" s="19"/>
      <c r="F1317" s="19"/>
      <c r="G1317" s="19"/>
      <c r="H1317" s="19"/>
      <c r="I1317" s="19"/>
      <c r="J1317" s="19"/>
      <c r="K1317" s="19"/>
      <c r="L1317" s="19"/>
      <c r="M1317" s="19"/>
      <c r="N1317" s="19"/>
      <c r="O1317" s="19"/>
      <c r="P1317" s="19"/>
      <c r="Q1317" s="19"/>
      <c r="R1317" s="19"/>
      <c r="S1317" s="19"/>
      <c r="T1317" s="19"/>
      <c r="U1317" s="19"/>
      <c r="V1317" s="19"/>
      <c r="W1317" s="19"/>
      <c r="X1317" s="19"/>
      <c r="Y1317" s="19"/>
      <c r="Z1317" s="19"/>
      <c r="AA1317" s="19"/>
      <c r="AB1317" s="19"/>
      <c r="AC1317" s="19"/>
      <c r="AD1317" s="19"/>
      <c r="AE1317" s="22"/>
    </row>
    <row r="1318" spans="1:31" outlineLevel="1" x14ac:dyDescent="0.2">
      <c r="A1318" s="19"/>
      <c r="B1318" s="19"/>
      <c r="C1318" s="19"/>
      <c r="D1318" s="19"/>
      <c r="E1318" s="19"/>
      <c r="F1318" s="19"/>
      <c r="G1318" s="19"/>
      <c r="H1318" s="19"/>
      <c r="I1318" s="19"/>
      <c r="J1318" s="19"/>
      <c r="K1318" s="19"/>
      <c r="L1318" s="19"/>
      <c r="M1318" s="19"/>
      <c r="N1318" s="19"/>
      <c r="O1318" s="19"/>
      <c r="P1318" s="19"/>
      <c r="Q1318" s="19"/>
      <c r="R1318" s="19"/>
      <c r="S1318" s="19"/>
      <c r="T1318" s="19"/>
      <c r="U1318" s="19"/>
      <c r="V1318" s="19"/>
      <c r="W1318" s="19"/>
      <c r="X1318" s="19"/>
      <c r="Y1318" s="19"/>
      <c r="Z1318" s="19"/>
      <c r="AA1318" s="19"/>
      <c r="AB1318" s="19"/>
      <c r="AC1318" s="19"/>
      <c r="AD1318" s="19"/>
      <c r="AE1318" s="22"/>
    </row>
    <row r="1319" spans="1:31" s="4" customFormat="1" ht="15.95" customHeight="1" thickBot="1" x14ac:dyDescent="0.25">
      <c r="A1319" s="165" t="str">
        <f ca="1">Language!A746</f>
        <v xml:space="preserve">         ОТЧЕТ О ДВИЖЕНИИ ДЕНЕЖНЫХ СРЕДСТВ</v>
      </c>
      <c r="B1319" s="165"/>
      <c r="C1319" s="165"/>
      <c r="D1319" s="165"/>
      <c r="E1319" s="165"/>
      <c r="F1319" s="177" t="str">
        <f t="shared" ref="F1319:AC1319" ca="1" si="3893">PeriodTitle</f>
        <v>1 кв. 2016</v>
      </c>
      <c r="G1319" s="177" t="str">
        <f t="shared" ca="1" si="3893"/>
        <v>2 кв. 2016</v>
      </c>
      <c r="H1319" s="177" t="str">
        <f t="shared" ca="1" si="3893"/>
        <v>3 кв. 2016</v>
      </c>
      <c r="I1319" s="177" t="str">
        <f t="shared" ca="1" si="3893"/>
        <v>4 кв. 2016</v>
      </c>
      <c r="J1319" s="177" t="str">
        <f t="shared" ca="1" si="3893"/>
        <v>1 кв. 2017</v>
      </c>
      <c r="K1319" s="177" t="str">
        <f t="shared" ca="1" si="3893"/>
        <v>2 кв. 2017</v>
      </c>
      <c r="L1319" s="177" t="str">
        <f t="shared" ca="1" si="3893"/>
        <v>3 кв. 2017</v>
      </c>
      <c r="M1319" s="177" t="str">
        <f t="shared" ca="1" si="3893"/>
        <v>4 кв. 2017</v>
      </c>
      <c r="N1319" s="177" t="str">
        <f t="shared" ca="1" si="3893"/>
        <v>1 кв. 2018</v>
      </c>
      <c r="O1319" s="177" t="str">
        <f t="shared" ca="1" si="3893"/>
        <v>2 кв. 2018</v>
      </c>
      <c r="P1319" s="177" t="str">
        <f t="shared" ca="1" si="3893"/>
        <v>3 кв. 2018</v>
      </c>
      <c r="Q1319" s="177" t="str">
        <f t="shared" ca="1" si="3893"/>
        <v>4 кв. 2018</v>
      </c>
      <c r="R1319" s="177" t="str">
        <f t="shared" ca="1" si="3893"/>
        <v>1 кв. 2019</v>
      </c>
      <c r="S1319" s="177" t="str">
        <f t="shared" ca="1" si="3893"/>
        <v>2 кв. 2019</v>
      </c>
      <c r="T1319" s="177" t="str">
        <f t="shared" ca="1" si="3893"/>
        <v>3 кв. 2019</v>
      </c>
      <c r="U1319" s="177" t="str">
        <f t="shared" ca="1" si="3893"/>
        <v>4 кв. 2019</v>
      </c>
      <c r="V1319" s="177" t="str">
        <f t="shared" ca="1" si="3893"/>
        <v>1 кв. 2020</v>
      </c>
      <c r="W1319" s="177" t="str">
        <f t="shared" ca="1" si="3893"/>
        <v>2 кв. 2020</v>
      </c>
      <c r="X1319" s="177" t="str">
        <f t="shared" ca="1" si="3893"/>
        <v>3 кв. 2020</v>
      </c>
      <c r="Y1319" s="177" t="str">
        <f t="shared" ca="1" si="3893"/>
        <v>4 кв. 2020</v>
      </c>
      <c r="Z1319" s="177" t="str">
        <f t="shared" ca="1" si="3893"/>
        <v>1 кв. 2021</v>
      </c>
      <c r="AA1319" s="177" t="str">
        <f t="shared" ca="1" si="3893"/>
        <v>2 кв. 2021</v>
      </c>
      <c r="AB1319" s="177" t="str">
        <f t="shared" ca="1" si="3893"/>
        <v>3 кв. 2021</v>
      </c>
      <c r="AC1319" s="177" t="str">
        <f t="shared" ca="1" si="3893"/>
        <v>4 кв. 2021</v>
      </c>
      <c r="AD1319" s="165"/>
      <c r="AE1319" s="194" t="str">
        <f ca="1">Language!A372</f>
        <v>ИТОГО</v>
      </c>
    </row>
    <row r="1320" spans="1:31" ht="12" outlineLevel="1" thickTop="1" x14ac:dyDescent="0.2"/>
    <row r="1321" spans="1:31" outlineLevel="1" x14ac:dyDescent="0.2">
      <c r="A1321" t="str">
        <f ca="1">Language!A$747</f>
        <v>Поступления от продаж</v>
      </c>
      <c r="C1321" s="5" t="str">
        <f t="shared" ref="C1321:C1329" ca="1" si="3894">CUR_Report</f>
        <v>тыс. EUR</v>
      </c>
      <c r="F1321" s="53">
        <f t="shared" ref="F1321:X1321" si="3895">(F718+F719)/IF(CUR_I_Report=2,F$88,1)</f>
        <v>0</v>
      </c>
      <c r="G1321" s="53">
        <f t="shared" si="3895"/>
        <v>0</v>
      </c>
      <c r="H1321" s="53">
        <f t="shared" si="3895"/>
        <v>0</v>
      </c>
      <c r="I1321" s="53">
        <f t="shared" si="3895"/>
        <v>0</v>
      </c>
      <c r="J1321" s="53">
        <f t="shared" si="3895"/>
        <v>0</v>
      </c>
      <c r="K1321" s="53">
        <f t="shared" si="3895"/>
        <v>714.56092469127964</v>
      </c>
      <c r="L1321" s="53">
        <f t="shared" si="3895"/>
        <v>2731.2132863136535</v>
      </c>
      <c r="M1321" s="53">
        <f t="shared" si="3895"/>
        <v>4381.7008046824012</v>
      </c>
      <c r="N1321" s="53">
        <f t="shared" si="3895"/>
        <v>6249.0205978072227</v>
      </c>
      <c r="O1321" s="53">
        <f t="shared" si="3895"/>
        <v>7525.4219523772372</v>
      </c>
      <c r="P1321" s="53">
        <f t="shared" si="3895"/>
        <v>7525.4219523772372</v>
      </c>
      <c r="Q1321" s="53">
        <f t="shared" si="3895"/>
        <v>7525.4219523772372</v>
      </c>
      <c r="R1321" s="53">
        <f t="shared" si="3895"/>
        <v>7525.4219523772372</v>
      </c>
      <c r="S1321" s="53">
        <f t="shared" si="3895"/>
        <v>7525.4219523772372</v>
      </c>
      <c r="T1321" s="53">
        <f t="shared" si="3895"/>
        <v>7525.4219523772372</v>
      </c>
      <c r="U1321" s="53">
        <f t="shared" si="3895"/>
        <v>7525.4219523772372</v>
      </c>
      <c r="V1321" s="53">
        <f t="shared" si="3895"/>
        <v>7525.4219523772372</v>
      </c>
      <c r="W1321" s="53">
        <f t="shared" si="3895"/>
        <v>7525.4219523772372</v>
      </c>
      <c r="X1321" s="53">
        <f t="shared" si="3895"/>
        <v>7525.4219523772372</v>
      </c>
      <c r="Y1321" s="53">
        <f t="shared" ref="Y1321" si="3896">(Y718+Y719)/IF(CUR_I_Report=2,Y$88,1)</f>
        <v>7525.4219523772372</v>
      </c>
      <c r="Z1321" s="53">
        <f t="shared" ref="Z1321" si="3897">(Z718+Z719)/IF(CUR_I_Report=2,Z$88,1)</f>
        <v>7525.4219523772372</v>
      </c>
      <c r="AA1321" s="53">
        <f t="shared" ref="AA1321" si="3898">(AA718+AA719)/IF(CUR_I_Report=2,AA$88,1)</f>
        <v>7525.4219523772372</v>
      </c>
      <c r="AB1321" s="53">
        <f t="shared" ref="AB1321:AC1321" si="3899">(AB718+AB719)/IF(CUR_I_Report=2,AB$88,1)</f>
        <v>7525.4219523772372</v>
      </c>
      <c r="AC1321" s="53">
        <f t="shared" si="3899"/>
        <v>7525.4219523772372</v>
      </c>
      <c r="AE1321" s="54">
        <f t="shared" ref="AE1321:AE1329" si="3900">SUM(F1321:AC1321)</f>
        <v>126957.82489915307</v>
      </c>
    </row>
    <row r="1322" spans="1:31" outlineLevel="1" x14ac:dyDescent="0.2">
      <c r="A1322" t="str">
        <f ca="1">Language!A$748</f>
        <v>Затраты на материалы и комплектующие</v>
      </c>
      <c r="C1322" s="5" t="str">
        <f t="shared" ca="1" si="3894"/>
        <v>тыс. EUR</v>
      </c>
      <c r="F1322" s="53">
        <f t="shared" ref="F1322:J1324" ca="1" si="3901">-F992/IF(CUR_I_Report=2,F$88,1)</f>
        <v>0</v>
      </c>
      <c r="G1322" s="53">
        <f t="shared" ca="1" si="3901"/>
        <v>0</v>
      </c>
      <c r="H1322" s="53">
        <f t="shared" ca="1" si="3901"/>
        <v>0</v>
      </c>
      <c r="I1322" s="53">
        <f t="shared" ca="1" si="3901"/>
        <v>0</v>
      </c>
      <c r="J1322" s="53">
        <f t="shared" ca="1" si="3901"/>
        <v>0</v>
      </c>
      <c r="K1322" s="53">
        <f t="shared" ref="K1322:T1322" ca="1" si="3902">-K992/IF(CUR_I_Report=2,K$88,1)</f>
        <v>-581.99128181252672</v>
      </c>
      <c r="L1322" s="53">
        <f t="shared" ca="1" si="3902"/>
        <v>-2271.9144207061654</v>
      </c>
      <c r="M1322" s="53">
        <f t="shared" ca="1" si="3902"/>
        <v>-3649.3970405799773</v>
      </c>
      <c r="N1322" s="53">
        <f t="shared" ca="1" si="3902"/>
        <v>-5210.3239219243878</v>
      </c>
      <c r="O1322" s="53">
        <f t="shared" ca="1" si="3902"/>
        <v>-6289.8939644094735</v>
      </c>
      <c r="P1322" s="53">
        <f t="shared" ca="1" si="3902"/>
        <v>-6289.8939644094735</v>
      </c>
      <c r="Q1322" s="53">
        <f t="shared" ca="1" si="3902"/>
        <v>-6289.8939644094735</v>
      </c>
      <c r="R1322" s="53">
        <f t="shared" ca="1" si="3902"/>
        <v>-6289.8939644094735</v>
      </c>
      <c r="S1322" s="53">
        <f t="shared" ca="1" si="3902"/>
        <v>-6289.8939644094735</v>
      </c>
      <c r="T1322" s="53">
        <f t="shared" ca="1" si="3902"/>
        <v>-6289.8939644094735</v>
      </c>
      <c r="U1322" s="53">
        <f t="shared" ref="U1322" ca="1" si="3903">-U992/IF(CUR_I_Report=2,U$88,1)</f>
        <v>-6289.8939644094735</v>
      </c>
      <c r="V1322" s="53">
        <f t="shared" ref="V1322" ca="1" si="3904">-V992/IF(CUR_I_Report=2,V$88,1)</f>
        <v>-6289.8939644094735</v>
      </c>
      <c r="W1322" s="53">
        <f t="shared" ref="W1322" ca="1" si="3905">-W992/IF(CUR_I_Report=2,W$88,1)</f>
        <v>-6289.8939644094735</v>
      </c>
      <c r="X1322" s="53">
        <f t="shared" ref="X1322" ca="1" si="3906">-X992/IF(CUR_I_Report=2,X$88,1)</f>
        <v>-6289.8939644094735</v>
      </c>
      <c r="Y1322" s="53">
        <f t="shared" ref="Y1322" ca="1" si="3907">-Y992/IF(CUR_I_Report=2,Y$88,1)</f>
        <v>-6289.8939644094735</v>
      </c>
      <c r="Z1322" s="53">
        <f t="shared" ref="Z1322" ca="1" si="3908">-Z992/IF(CUR_I_Report=2,Z$88,1)</f>
        <v>-6289.8939644094735</v>
      </c>
      <c r="AA1322" s="53">
        <f t="shared" ref="AA1322" ca="1" si="3909">-AA992/IF(CUR_I_Report=2,AA$88,1)</f>
        <v>-6289.8939644094735</v>
      </c>
      <c r="AB1322" s="53">
        <f t="shared" ref="AB1322:AC1322" ca="1" si="3910">-AB992/IF(CUR_I_Report=2,AB$88,1)</f>
        <v>-6289.8939644094735</v>
      </c>
      <c r="AC1322" s="53">
        <f t="shared" ca="1" si="3910"/>
        <v>-6289.8939644094735</v>
      </c>
      <c r="AE1322" s="54">
        <f t="shared" ca="1" si="3900"/>
        <v>-106062.03613116518</v>
      </c>
    </row>
    <row r="1323" spans="1:31" outlineLevel="1" x14ac:dyDescent="0.2">
      <c r="A1323" t="str">
        <f ca="1">Language!A$600</f>
        <v>Прочие переменные затраты</v>
      </c>
      <c r="C1323" s="5" t="str">
        <f t="shared" ca="1" si="3894"/>
        <v>тыс. EUR</v>
      </c>
      <c r="F1323" s="53">
        <f t="shared" ca="1" si="3901"/>
        <v>0</v>
      </c>
      <c r="G1323" s="53">
        <f t="shared" ca="1" si="3901"/>
        <v>0</v>
      </c>
      <c r="H1323" s="53">
        <f t="shared" ca="1" si="3901"/>
        <v>0</v>
      </c>
      <c r="I1323" s="53">
        <f t="shared" ca="1" si="3901"/>
        <v>0</v>
      </c>
      <c r="J1323" s="53">
        <f t="shared" ca="1" si="3901"/>
        <v>0</v>
      </c>
      <c r="K1323" s="53">
        <f t="shared" ref="K1323:T1323" ca="1" si="3911">-K993/IF(CUR_I_Report=2,K$88,1)</f>
        <v>0</v>
      </c>
      <c r="L1323" s="53">
        <f t="shared" ca="1" si="3911"/>
        <v>0</v>
      </c>
      <c r="M1323" s="53">
        <f t="shared" ca="1" si="3911"/>
        <v>0</v>
      </c>
      <c r="N1323" s="53">
        <f t="shared" ca="1" si="3911"/>
        <v>0</v>
      </c>
      <c r="O1323" s="53">
        <f t="shared" ca="1" si="3911"/>
        <v>0</v>
      </c>
      <c r="P1323" s="53">
        <f t="shared" ca="1" si="3911"/>
        <v>0</v>
      </c>
      <c r="Q1323" s="53">
        <f t="shared" ca="1" si="3911"/>
        <v>0</v>
      </c>
      <c r="R1323" s="53">
        <f t="shared" ca="1" si="3911"/>
        <v>0</v>
      </c>
      <c r="S1323" s="53">
        <f t="shared" ca="1" si="3911"/>
        <v>0</v>
      </c>
      <c r="T1323" s="53">
        <f t="shared" ca="1" si="3911"/>
        <v>0</v>
      </c>
      <c r="U1323" s="53">
        <f t="shared" ref="U1323" ca="1" si="3912">-U993/IF(CUR_I_Report=2,U$88,1)</f>
        <v>0</v>
      </c>
      <c r="V1323" s="53">
        <f t="shared" ref="V1323" ca="1" si="3913">-V993/IF(CUR_I_Report=2,V$88,1)</f>
        <v>0</v>
      </c>
      <c r="W1323" s="53">
        <f t="shared" ref="W1323" ca="1" si="3914">-W993/IF(CUR_I_Report=2,W$88,1)</f>
        <v>0</v>
      </c>
      <c r="X1323" s="53">
        <f t="shared" ref="X1323" ca="1" si="3915">-X993/IF(CUR_I_Report=2,X$88,1)</f>
        <v>0</v>
      </c>
      <c r="Y1323" s="53">
        <f t="shared" ref="Y1323" ca="1" si="3916">-Y993/IF(CUR_I_Report=2,Y$88,1)</f>
        <v>0</v>
      </c>
      <c r="Z1323" s="53">
        <f t="shared" ref="Z1323" ca="1" si="3917">-Z993/IF(CUR_I_Report=2,Z$88,1)</f>
        <v>0</v>
      </c>
      <c r="AA1323" s="53">
        <f t="shared" ref="AA1323" ca="1" si="3918">-AA993/IF(CUR_I_Report=2,AA$88,1)</f>
        <v>0</v>
      </c>
      <c r="AB1323" s="53">
        <f t="shared" ref="AB1323:AC1323" ca="1" si="3919">-AB993/IF(CUR_I_Report=2,AB$88,1)</f>
        <v>0</v>
      </c>
      <c r="AC1323" s="53">
        <f t="shared" ca="1" si="3919"/>
        <v>0</v>
      </c>
      <c r="AE1323" s="54">
        <f t="shared" ca="1" si="3900"/>
        <v>0</v>
      </c>
    </row>
    <row r="1324" spans="1:31" outlineLevel="1" x14ac:dyDescent="0.2">
      <c r="A1324" t="str">
        <f ca="1">Language!A$749</f>
        <v>Зарплата</v>
      </c>
      <c r="C1324" s="5" t="str">
        <f t="shared" ca="1" si="3894"/>
        <v>тыс. EUR</v>
      </c>
      <c r="F1324" s="53">
        <f t="shared" si="3901"/>
        <v>0</v>
      </c>
      <c r="G1324" s="53">
        <f t="shared" si="3901"/>
        <v>0</v>
      </c>
      <c r="H1324" s="53">
        <f t="shared" si="3901"/>
        <v>0</v>
      </c>
      <c r="I1324" s="53">
        <f t="shared" si="3901"/>
        <v>0</v>
      </c>
      <c r="J1324" s="53">
        <f t="shared" si="3901"/>
        <v>0</v>
      </c>
      <c r="K1324" s="53">
        <f t="shared" ref="K1324:T1324" si="3920">-K994/IF(CUR_I_Report=2,K$88,1)</f>
        <v>-366.15</v>
      </c>
      <c r="L1324" s="53">
        <f t="shared" si="3920"/>
        <v>-366.15</v>
      </c>
      <c r="M1324" s="53">
        <f t="shared" si="3920"/>
        <v>-366.15</v>
      </c>
      <c r="N1324" s="53">
        <f t="shared" si="3920"/>
        <v>-366.15</v>
      </c>
      <c r="O1324" s="53">
        <f t="shared" si="3920"/>
        <v>-366.15</v>
      </c>
      <c r="P1324" s="53">
        <f t="shared" si="3920"/>
        <v>-366.15</v>
      </c>
      <c r="Q1324" s="53">
        <f t="shared" si="3920"/>
        <v>-366.15</v>
      </c>
      <c r="R1324" s="53">
        <f t="shared" si="3920"/>
        <v>-366.15</v>
      </c>
      <c r="S1324" s="53">
        <f t="shared" si="3920"/>
        <v>-366.15</v>
      </c>
      <c r="T1324" s="53">
        <f t="shared" si="3920"/>
        <v>-366.15</v>
      </c>
      <c r="U1324" s="53">
        <f t="shared" ref="U1324" si="3921">-U994/IF(CUR_I_Report=2,U$88,1)</f>
        <v>-366.15</v>
      </c>
      <c r="V1324" s="53">
        <f t="shared" ref="V1324" si="3922">-V994/IF(CUR_I_Report=2,V$88,1)</f>
        <v>-366.15</v>
      </c>
      <c r="W1324" s="53">
        <f t="shared" ref="W1324" si="3923">-W994/IF(CUR_I_Report=2,W$88,1)</f>
        <v>-366.15</v>
      </c>
      <c r="X1324" s="53">
        <f t="shared" ref="X1324" si="3924">-X994/IF(CUR_I_Report=2,X$88,1)</f>
        <v>-366.15</v>
      </c>
      <c r="Y1324" s="53">
        <f t="shared" ref="Y1324" si="3925">-Y994/IF(CUR_I_Report=2,Y$88,1)</f>
        <v>-366.15</v>
      </c>
      <c r="Z1324" s="53">
        <f t="shared" ref="Z1324" si="3926">-Z994/IF(CUR_I_Report=2,Z$88,1)</f>
        <v>-366.15</v>
      </c>
      <c r="AA1324" s="53">
        <f t="shared" ref="AA1324" si="3927">-AA994/IF(CUR_I_Report=2,AA$88,1)</f>
        <v>-366.15</v>
      </c>
      <c r="AB1324" s="53">
        <f t="shared" ref="AB1324:AC1324" si="3928">-AB994/IF(CUR_I_Report=2,AB$88,1)</f>
        <v>-366.15</v>
      </c>
      <c r="AC1324" s="53">
        <f t="shared" si="3928"/>
        <v>-366.15</v>
      </c>
      <c r="AE1324" s="54">
        <f t="shared" si="3900"/>
        <v>-6956.8499999999976</v>
      </c>
    </row>
    <row r="1325" spans="1:31" outlineLevel="1" x14ac:dyDescent="0.2">
      <c r="A1325" t="str">
        <f ca="1">Language!A$750</f>
        <v>Общие затраты</v>
      </c>
      <c r="C1325" s="5" t="str">
        <f t="shared" ca="1" si="3894"/>
        <v>тыс. EUR</v>
      </c>
      <c r="F1325" s="53">
        <f t="shared" ref="F1325:T1325" ca="1" si="3929">-(F997+F1000+F1003)/IF(CUR_I_Report=2,F$88,1)</f>
        <v>0</v>
      </c>
      <c r="G1325" s="53">
        <f t="shared" ca="1" si="3929"/>
        <v>0</v>
      </c>
      <c r="H1325" s="53">
        <f t="shared" ca="1" si="3929"/>
        <v>0</v>
      </c>
      <c r="I1325" s="53">
        <f t="shared" ca="1" si="3929"/>
        <v>0</v>
      </c>
      <c r="J1325" s="53">
        <f t="shared" ca="1" si="3929"/>
        <v>0</v>
      </c>
      <c r="K1325" s="53">
        <f t="shared" ca="1" si="3929"/>
        <v>-26.771598963376231</v>
      </c>
      <c r="L1325" s="53">
        <f t="shared" ca="1" si="3929"/>
        <v>-104.50806335248362</v>
      </c>
      <c r="M1325" s="53">
        <f t="shared" ca="1" si="3929"/>
        <v>-167.87226386667896</v>
      </c>
      <c r="N1325" s="53">
        <f t="shared" ca="1" si="3929"/>
        <v>-239.67490040852189</v>
      </c>
      <c r="O1325" s="53">
        <f t="shared" ca="1" si="3929"/>
        <v>-289.33512236283576</v>
      </c>
      <c r="P1325" s="53">
        <f t="shared" ca="1" si="3929"/>
        <v>-289.33512236283576</v>
      </c>
      <c r="Q1325" s="53">
        <f t="shared" ca="1" si="3929"/>
        <v>-289.33512236283576</v>
      </c>
      <c r="R1325" s="53">
        <f t="shared" ca="1" si="3929"/>
        <v>-289.33512236283576</v>
      </c>
      <c r="S1325" s="53">
        <f t="shared" ca="1" si="3929"/>
        <v>-289.33512236283576</v>
      </c>
      <c r="T1325" s="53">
        <f t="shared" ca="1" si="3929"/>
        <v>-289.33512236283576</v>
      </c>
      <c r="U1325" s="53">
        <f t="shared" ref="U1325" ca="1" si="3930">-(U997+U1000+U1003)/IF(CUR_I_Report=2,U$88,1)</f>
        <v>-289.33512236283576</v>
      </c>
      <c r="V1325" s="53">
        <f t="shared" ref="V1325" ca="1" si="3931">-(V997+V1000+V1003)/IF(CUR_I_Report=2,V$88,1)</f>
        <v>-289.33512236283576</v>
      </c>
      <c r="W1325" s="53">
        <f t="shared" ref="W1325" ca="1" si="3932">-(W997+W1000+W1003)/IF(CUR_I_Report=2,W$88,1)</f>
        <v>-289.33512236283576</v>
      </c>
      <c r="X1325" s="53">
        <f t="shared" ref="X1325" ca="1" si="3933">-(X997+X1000+X1003)/IF(CUR_I_Report=2,X$88,1)</f>
        <v>-289.33512236283576</v>
      </c>
      <c r="Y1325" s="53">
        <f t="shared" ref="Y1325" ca="1" si="3934">-(Y997+Y1000+Y1003)/IF(CUR_I_Report=2,Y$88,1)</f>
        <v>-289.33512236283576</v>
      </c>
      <c r="Z1325" s="53">
        <f t="shared" ref="Z1325" ca="1" si="3935">-(Z997+Z1000+Z1003)/IF(CUR_I_Report=2,Z$88,1)</f>
        <v>-289.33512236283576</v>
      </c>
      <c r="AA1325" s="53">
        <f t="shared" ref="AA1325" ca="1" si="3936">-(AA997+AA1000+AA1003)/IF(CUR_I_Report=2,AA$88,1)</f>
        <v>-289.33512236283576</v>
      </c>
      <c r="AB1325" s="53">
        <f t="shared" ref="AB1325:AC1325" ca="1" si="3937">-(AB997+AB1000+AB1003)/IF(CUR_I_Report=2,AB$88,1)</f>
        <v>-289.33512236283576</v>
      </c>
      <c r="AC1325" s="53">
        <f t="shared" ca="1" si="3937"/>
        <v>-289.33512236283576</v>
      </c>
      <c r="AE1325" s="54">
        <f t="shared" ca="1" si="3900"/>
        <v>-4878.8536620335972</v>
      </c>
    </row>
    <row r="1326" spans="1:31" outlineLevel="1" x14ac:dyDescent="0.2">
      <c r="A1326" t="str">
        <f ca="1">Language!A$751</f>
        <v>Налоги</v>
      </c>
      <c r="C1326" s="5" t="str">
        <f t="shared" ca="1" si="3894"/>
        <v>тыс. EUR</v>
      </c>
      <c r="F1326" s="53">
        <f t="shared" ref="F1326:X1326" ca="1" si="3938">(-F995-F996-(F227-F136-F143-F147-F203-F222)+F108)/IF(CUR_I_Report=2,F$88,1)</f>
        <v>0</v>
      </c>
      <c r="G1326" s="53">
        <f t="shared" ca="1" si="3938"/>
        <v>0</v>
      </c>
      <c r="H1326" s="53">
        <f t="shared" ca="1" si="3938"/>
        <v>0</v>
      </c>
      <c r="I1326" s="53">
        <f t="shared" ca="1" si="3938"/>
        <v>0</v>
      </c>
      <c r="J1326" s="53">
        <f t="shared" ca="1" si="3938"/>
        <v>0</v>
      </c>
      <c r="K1326" s="53">
        <f t="shared" ca="1" si="3938"/>
        <v>2989.0006576008236</v>
      </c>
      <c r="L1326" s="53">
        <f t="shared" ca="1" si="3938"/>
        <v>26.982459645938377</v>
      </c>
      <c r="M1326" s="53">
        <f t="shared" ca="1" si="3938"/>
        <v>464.71153767040261</v>
      </c>
      <c r="N1326" s="53">
        <f t="shared" ca="1" si="3938"/>
        <v>483.23416319071345</v>
      </c>
      <c r="O1326" s="53">
        <f t="shared" ca="1" si="3938"/>
        <v>663.57494506462081</v>
      </c>
      <c r="P1326" s="53">
        <f t="shared" ca="1" si="3938"/>
        <v>874.73182378093111</v>
      </c>
      <c r="Q1326" s="53">
        <f t="shared" ca="1" si="3938"/>
        <v>874.73182378093111</v>
      </c>
      <c r="R1326" s="53">
        <f t="shared" ca="1" si="3938"/>
        <v>874.73182378093111</v>
      </c>
      <c r="S1326" s="53">
        <f t="shared" ca="1" si="3938"/>
        <v>874.73182378093111</v>
      </c>
      <c r="T1326" s="53">
        <f t="shared" ca="1" si="3938"/>
        <v>874.73182378093111</v>
      </c>
      <c r="U1326" s="53">
        <f t="shared" ca="1" si="3938"/>
        <v>874.73182378093111</v>
      </c>
      <c r="V1326" s="53">
        <f t="shared" ca="1" si="3938"/>
        <v>874.73182378093111</v>
      </c>
      <c r="W1326" s="53">
        <f t="shared" ca="1" si="3938"/>
        <v>874.73182378093111</v>
      </c>
      <c r="X1326" s="53">
        <f t="shared" ca="1" si="3938"/>
        <v>874.73182378093111</v>
      </c>
      <c r="Y1326" s="53">
        <f t="shared" ref="Y1326" ca="1" si="3939">(-Y995-Y996-(Y227-Y136-Y143-Y147-Y203-Y222)+Y108)/IF(CUR_I_Report=2,Y$88,1)</f>
        <v>874.73182378093111</v>
      </c>
      <c r="Z1326" s="53">
        <f t="shared" ref="Z1326" ca="1" si="3940">(-Z995-Z996-(Z227-Z136-Z143-Z147-Z203-Z222)+Z108)/IF(CUR_I_Report=2,Z$88,1)</f>
        <v>874.73182378093111</v>
      </c>
      <c r="AA1326" s="53">
        <f t="shared" ref="AA1326" ca="1" si="3941">(-AA995-AA996-(AA227-AA136-AA143-AA147-AA203-AA222)+AA108)/IF(CUR_I_Report=2,AA$88,1)</f>
        <v>874.73182378093111</v>
      </c>
      <c r="AB1326" s="53">
        <f t="shared" ref="AB1326:AC1326" ca="1" si="3942">(-AB995-AB996-(AB227-AB136-AB143-AB147-AB203-AB222)+AB108)/IF(CUR_I_Report=2,AB$88,1)</f>
        <v>874.73182378093111</v>
      </c>
      <c r="AC1326" s="53">
        <f t="shared" ca="1" si="3942"/>
        <v>874.73182378093111</v>
      </c>
      <c r="AE1326" s="54">
        <f t="shared" ca="1" si="3900"/>
        <v>16873.749296105529</v>
      </c>
    </row>
    <row r="1327" spans="1:31" outlineLevel="1" x14ac:dyDescent="0.2">
      <c r="A1327" t="str">
        <f ca="1">Language!A$752</f>
        <v>Выплата процентов по кредитам</v>
      </c>
      <c r="C1327" s="5" t="str">
        <f t="shared" ca="1" si="3894"/>
        <v>тыс. EUR</v>
      </c>
      <c r="F1327" s="53">
        <f t="shared" ref="F1327:T1327" si="3943">-F1124/IF(CUR_I_Report=2,F$88,1)</f>
        <v>0</v>
      </c>
      <c r="G1327" s="53">
        <f t="shared" si="3943"/>
        <v>0</v>
      </c>
      <c r="H1327" s="53">
        <f t="shared" si="3943"/>
        <v>0</v>
      </c>
      <c r="I1327" s="53">
        <f t="shared" si="3943"/>
        <v>0</v>
      </c>
      <c r="J1327" s="53">
        <f t="shared" si="3943"/>
        <v>0</v>
      </c>
      <c r="K1327" s="53">
        <f t="shared" si="3943"/>
        <v>0</v>
      </c>
      <c r="L1327" s="53">
        <f t="shared" si="3943"/>
        <v>0</v>
      </c>
      <c r="M1327" s="53">
        <f t="shared" si="3943"/>
        <v>0</v>
      </c>
      <c r="N1327" s="53">
        <f t="shared" si="3943"/>
        <v>0</v>
      </c>
      <c r="O1327" s="53">
        <f t="shared" si="3943"/>
        <v>0</v>
      </c>
      <c r="P1327" s="53">
        <f t="shared" si="3943"/>
        <v>0</v>
      </c>
      <c r="Q1327" s="53">
        <f t="shared" si="3943"/>
        <v>0</v>
      </c>
      <c r="R1327" s="53">
        <f t="shared" si="3943"/>
        <v>0</v>
      </c>
      <c r="S1327" s="53">
        <f t="shared" si="3943"/>
        <v>0</v>
      </c>
      <c r="T1327" s="53">
        <f t="shared" si="3943"/>
        <v>0</v>
      </c>
      <c r="U1327" s="53">
        <f t="shared" ref="U1327" si="3944">-U1124/IF(CUR_I_Report=2,U$88,1)</f>
        <v>0</v>
      </c>
      <c r="V1327" s="53">
        <f t="shared" ref="V1327" si="3945">-V1124/IF(CUR_I_Report=2,V$88,1)</f>
        <v>0</v>
      </c>
      <c r="W1327" s="53">
        <f t="shared" ref="W1327" si="3946">-W1124/IF(CUR_I_Report=2,W$88,1)</f>
        <v>0</v>
      </c>
      <c r="X1327" s="53">
        <f t="shared" ref="X1327" si="3947">-X1124/IF(CUR_I_Report=2,X$88,1)</f>
        <v>0</v>
      </c>
      <c r="Y1327" s="53">
        <f t="shared" ref="Y1327" si="3948">-Y1124/IF(CUR_I_Report=2,Y$88,1)</f>
        <v>0</v>
      </c>
      <c r="Z1327" s="53">
        <f t="shared" ref="Z1327" si="3949">-Z1124/IF(CUR_I_Report=2,Z$88,1)</f>
        <v>0</v>
      </c>
      <c r="AA1327" s="53">
        <f t="shared" ref="AA1327" si="3950">-AA1124/IF(CUR_I_Report=2,AA$88,1)</f>
        <v>0</v>
      </c>
      <c r="AB1327" s="53">
        <f t="shared" ref="AB1327:AC1327" si="3951">-AB1124/IF(CUR_I_Report=2,AB$88,1)</f>
        <v>0</v>
      </c>
      <c r="AC1327" s="53">
        <f t="shared" si="3951"/>
        <v>0</v>
      </c>
      <c r="AE1327" s="54">
        <f t="shared" si="3900"/>
        <v>0</v>
      </c>
    </row>
    <row r="1328" spans="1:31" outlineLevel="1" x14ac:dyDescent="0.2">
      <c r="A1328" t="str">
        <f ca="1">Language!A$753</f>
        <v>Прочие поступления</v>
      </c>
      <c r="C1328" s="5" t="str">
        <f t="shared" ca="1" si="3894"/>
        <v>тыс. EUR</v>
      </c>
      <c r="F1328" s="43">
        <f t="shared" ref="F1328:X1328" ca="1" si="3952">(F273+F601+(F1277+F1278)*CHOOSE($B1277,1,F$88))/IF(CUR_I_Report=2,F$88,1)</f>
        <v>0</v>
      </c>
      <c r="G1328" s="43">
        <f t="shared" ca="1" si="3952"/>
        <v>0</v>
      </c>
      <c r="H1328" s="43">
        <f t="shared" ca="1" si="3952"/>
        <v>0</v>
      </c>
      <c r="I1328" s="43">
        <f t="shared" ca="1" si="3952"/>
        <v>0</v>
      </c>
      <c r="J1328" s="43">
        <f t="shared" ca="1" si="3952"/>
        <v>0</v>
      </c>
      <c r="K1328" s="43">
        <f t="shared" ca="1" si="3952"/>
        <v>0</v>
      </c>
      <c r="L1328" s="43">
        <f t="shared" ca="1" si="3952"/>
        <v>0</v>
      </c>
      <c r="M1328" s="43">
        <f t="shared" ca="1" si="3952"/>
        <v>0</v>
      </c>
      <c r="N1328" s="43">
        <f t="shared" ca="1" si="3952"/>
        <v>0</v>
      </c>
      <c r="O1328" s="43">
        <f t="shared" ca="1" si="3952"/>
        <v>0</v>
      </c>
      <c r="P1328" s="43">
        <f t="shared" ca="1" si="3952"/>
        <v>0</v>
      </c>
      <c r="Q1328" s="43">
        <f t="shared" ca="1" si="3952"/>
        <v>0</v>
      </c>
      <c r="R1328" s="43">
        <f t="shared" ca="1" si="3952"/>
        <v>0</v>
      </c>
      <c r="S1328" s="43">
        <f t="shared" ca="1" si="3952"/>
        <v>0</v>
      </c>
      <c r="T1328" s="43">
        <f t="shared" ca="1" si="3952"/>
        <v>0</v>
      </c>
      <c r="U1328" s="43">
        <f t="shared" ca="1" si="3952"/>
        <v>0</v>
      </c>
      <c r="V1328" s="43">
        <f t="shared" ca="1" si="3952"/>
        <v>0</v>
      </c>
      <c r="W1328" s="43">
        <f t="shared" ca="1" si="3952"/>
        <v>0</v>
      </c>
      <c r="X1328" s="43">
        <f t="shared" ca="1" si="3952"/>
        <v>0</v>
      </c>
      <c r="Y1328" s="43">
        <f t="shared" ref="Y1328" ca="1" si="3953">(Y273+Y601+(Y1277+Y1278)*CHOOSE($B1277,1,Y$88))/IF(CUR_I_Report=2,Y$88,1)</f>
        <v>0</v>
      </c>
      <c r="Z1328" s="43">
        <f t="shared" ref="Z1328" ca="1" si="3954">(Z273+Z601+(Z1277+Z1278)*CHOOSE($B1277,1,Z$88))/IF(CUR_I_Report=2,Z$88,1)</f>
        <v>0</v>
      </c>
      <c r="AA1328" s="43">
        <f t="shared" ref="AA1328" ca="1" si="3955">(AA273+AA601+(AA1277+AA1278)*CHOOSE($B1277,1,AA$88))/IF(CUR_I_Report=2,AA$88,1)</f>
        <v>0</v>
      </c>
      <c r="AB1328" s="43">
        <f t="shared" ref="AB1328:AC1328" ca="1" si="3956">(AB273+AB601+(AB1277+AB1278)*CHOOSE($B1277,1,AB$88))/IF(CUR_I_Report=2,AB$88,1)</f>
        <v>0</v>
      </c>
      <c r="AC1328" s="43">
        <f t="shared" ca="1" si="3956"/>
        <v>0</v>
      </c>
      <c r="AE1328" s="54">
        <f t="shared" ca="1" si="3900"/>
        <v>0</v>
      </c>
    </row>
    <row r="1329" spans="1:36" outlineLevel="1" x14ac:dyDescent="0.2">
      <c r="A1329" t="str">
        <f ca="1">Language!A$754</f>
        <v>Прочие затраты</v>
      </c>
      <c r="C1329" s="5" t="str">
        <f t="shared" ca="1" si="3894"/>
        <v>тыс. EUR</v>
      </c>
      <c r="F1329" s="43">
        <f t="shared" ref="F1329:T1329" si="3957">-(F1279+F1280)*CHOOSE($B1279,1,F$88)/IF(CUR_I_Report=2,F$88,1)</f>
        <v>0</v>
      </c>
      <c r="G1329" s="43">
        <f t="shared" si="3957"/>
        <v>0</v>
      </c>
      <c r="H1329" s="43">
        <f t="shared" si="3957"/>
        <v>0</v>
      </c>
      <c r="I1329" s="43">
        <f t="shared" si="3957"/>
        <v>0</v>
      </c>
      <c r="J1329" s="43">
        <f t="shared" si="3957"/>
        <v>0</v>
      </c>
      <c r="K1329" s="43">
        <f t="shared" si="3957"/>
        <v>0</v>
      </c>
      <c r="L1329" s="43">
        <f t="shared" si="3957"/>
        <v>0</v>
      </c>
      <c r="M1329" s="43">
        <f t="shared" si="3957"/>
        <v>0</v>
      </c>
      <c r="N1329" s="43">
        <f t="shared" si="3957"/>
        <v>0</v>
      </c>
      <c r="O1329" s="43">
        <f t="shared" si="3957"/>
        <v>0</v>
      </c>
      <c r="P1329" s="43">
        <f t="shared" si="3957"/>
        <v>0</v>
      </c>
      <c r="Q1329" s="43">
        <f t="shared" si="3957"/>
        <v>0</v>
      </c>
      <c r="R1329" s="43">
        <f t="shared" si="3957"/>
        <v>0</v>
      </c>
      <c r="S1329" s="43">
        <f t="shared" si="3957"/>
        <v>0</v>
      </c>
      <c r="T1329" s="43">
        <f t="shared" si="3957"/>
        <v>0</v>
      </c>
      <c r="U1329" s="43">
        <f t="shared" ref="U1329" si="3958">-(U1279+U1280)*CHOOSE($B1279,1,U$88)/IF(CUR_I_Report=2,U$88,1)</f>
        <v>0</v>
      </c>
      <c r="V1329" s="43">
        <f t="shared" ref="V1329" si="3959">-(V1279+V1280)*CHOOSE($B1279,1,V$88)/IF(CUR_I_Report=2,V$88,1)</f>
        <v>0</v>
      </c>
      <c r="W1329" s="43">
        <f t="shared" ref="W1329" si="3960">-(W1279+W1280)*CHOOSE($B1279,1,W$88)/IF(CUR_I_Report=2,W$88,1)</f>
        <v>0</v>
      </c>
      <c r="X1329" s="43">
        <f t="shared" ref="X1329" si="3961">-(X1279+X1280)*CHOOSE($B1279,1,X$88)/IF(CUR_I_Report=2,X$88,1)</f>
        <v>0</v>
      </c>
      <c r="Y1329" s="43">
        <f t="shared" ref="Y1329" si="3962">-(Y1279+Y1280)*CHOOSE($B1279,1,Y$88)/IF(CUR_I_Report=2,Y$88,1)</f>
        <v>0</v>
      </c>
      <c r="Z1329" s="43">
        <f t="shared" ref="Z1329" si="3963">-(Z1279+Z1280)*CHOOSE($B1279,1,Z$88)/IF(CUR_I_Report=2,Z$88,1)</f>
        <v>0</v>
      </c>
      <c r="AA1329" s="43">
        <f t="shared" ref="AA1329" si="3964">-(AA1279+AA1280)*CHOOSE($B1279,1,AA$88)/IF(CUR_I_Report=2,AA$88,1)</f>
        <v>0</v>
      </c>
      <c r="AB1329" s="43">
        <f t="shared" ref="AB1329:AC1329" si="3965">-(AB1279+AB1280)*CHOOSE($B1279,1,AB$88)/IF(CUR_I_Report=2,AB$88,1)</f>
        <v>0</v>
      </c>
      <c r="AC1329" s="43">
        <f t="shared" si="3965"/>
        <v>0</v>
      </c>
      <c r="AE1329" s="54">
        <f t="shared" si="3900"/>
        <v>0</v>
      </c>
    </row>
    <row r="1330" spans="1:36" outlineLevel="1" x14ac:dyDescent="0.2">
      <c r="AE1330" s="57"/>
      <c r="AF1330" s="58"/>
      <c r="AG1330" s="58"/>
      <c r="AH1330" s="58"/>
      <c r="AI1330" s="58"/>
      <c r="AJ1330" s="58"/>
    </row>
    <row r="1331" spans="1:36" outlineLevel="1" x14ac:dyDescent="0.2">
      <c r="A1331" s="35" t="str">
        <f ca="1">Language!A$755</f>
        <v>Денежные потоки от операционной деятельности</v>
      </c>
      <c r="C1331" s="5" t="str">
        <f ca="1">CUR_Report</f>
        <v>тыс. EUR</v>
      </c>
      <c r="F1331" s="58">
        <f t="shared" ref="F1331:T1331" ca="1" si="3966">SUM(F1321:F1329)</f>
        <v>0</v>
      </c>
      <c r="G1331" s="58">
        <f t="shared" ca="1" si="3966"/>
        <v>0</v>
      </c>
      <c r="H1331" s="58">
        <f t="shared" ca="1" si="3966"/>
        <v>0</v>
      </c>
      <c r="I1331" s="58">
        <f t="shared" ca="1" si="3966"/>
        <v>0</v>
      </c>
      <c r="J1331" s="58">
        <f t="shared" ca="1" si="3966"/>
        <v>0</v>
      </c>
      <c r="K1331" s="58">
        <f t="shared" ca="1" si="3966"/>
        <v>2728.6487015162002</v>
      </c>
      <c r="L1331" s="58">
        <f t="shared" ca="1" si="3966"/>
        <v>15.623261900942879</v>
      </c>
      <c r="M1331" s="58">
        <f t="shared" ca="1" si="3966"/>
        <v>662.99303790614749</v>
      </c>
      <c r="N1331" s="58">
        <f t="shared" ca="1" si="3966"/>
        <v>916.10593866502631</v>
      </c>
      <c r="O1331" s="58">
        <f t="shared" ca="1" si="3966"/>
        <v>1243.6178106695488</v>
      </c>
      <c r="P1331" s="58">
        <f t="shared" ca="1" si="3966"/>
        <v>1454.7746893858591</v>
      </c>
      <c r="Q1331" s="58">
        <f t="shared" ca="1" si="3966"/>
        <v>1454.7746893858591</v>
      </c>
      <c r="R1331" s="58">
        <f t="shared" ca="1" si="3966"/>
        <v>1454.7746893858591</v>
      </c>
      <c r="S1331" s="58">
        <f t="shared" ca="1" si="3966"/>
        <v>1454.7746893858591</v>
      </c>
      <c r="T1331" s="58">
        <f t="shared" ca="1" si="3966"/>
        <v>1454.7746893858591</v>
      </c>
      <c r="U1331" s="58">
        <f t="shared" ref="U1331" ca="1" si="3967">SUM(U1321:U1329)</f>
        <v>1454.7746893858591</v>
      </c>
      <c r="V1331" s="58">
        <f t="shared" ref="V1331" ca="1" si="3968">SUM(V1321:V1329)</f>
        <v>1454.7746893858591</v>
      </c>
      <c r="W1331" s="58">
        <f t="shared" ref="W1331" ca="1" si="3969">SUM(W1321:W1329)</f>
        <v>1454.7746893858591</v>
      </c>
      <c r="X1331" s="58">
        <f t="shared" ref="X1331" ca="1" si="3970">SUM(X1321:X1329)</f>
        <v>1454.7746893858591</v>
      </c>
      <c r="Y1331" s="58">
        <f t="shared" ref="Y1331" ca="1" si="3971">SUM(Y1321:Y1329)</f>
        <v>1454.7746893858591</v>
      </c>
      <c r="Z1331" s="58">
        <f t="shared" ref="Z1331" ca="1" si="3972">SUM(Z1321:Z1329)</f>
        <v>1454.7746893858591</v>
      </c>
      <c r="AA1331" s="58">
        <f t="shared" ref="AA1331" ca="1" si="3973">SUM(AA1321:AA1329)</f>
        <v>1454.7746893858591</v>
      </c>
      <c r="AB1331" s="58">
        <f t="shared" ref="AB1331:AC1331" ca="1" si="3974">SUM(AB1321:AB1329)</f>
        <v>1454.7746893858591</v>
      </c>
      <c r="AC1331" s="58">
        <f t="shared" ca="1" si="3974"/>
        <v>1454.7746893858591</v>
      </c>
      <c r="AE1331" s="57">
        <f ca="1">SUM(F1331:AC1331)</f>
        <v>25933.834402059896</v>
      </c>
    </row>
    <row r="1332" spans="1:36" outlineLevel="1" x14ac:dyDescent="0.2">
      <c r="AE1332" s="57"/>
      <c r="AF1332" s="58"/>
      <c r="AG1332" s="58"/>
      <c r="AH1332" s="58"/>
      <c r="AI1332" s="58"/>
      <c r="AJ1332" s="58"/>
    </row>
    <row r="1333" spans="1:36" outlineLevel="1" x14ac:dyDescent="0.2">
      <c r="A1333" t="str">
        <f ca="1">Language!A$693</f>
        <v>Инвестиции в земельные участки</v>
      </c>
      <c r="C1333" s="5" t="str">
        <f t="shared" ref="C1333:C1340" ca="1" si="3975">CUR_Report</f>
        <v>тыс. EUR</v>
      </c>
      <c r="F1333" s="53">
        <f t="shared" ref="F1333:X1333" si="3976">-F551/IF(CUR_I_Report=2,F$88,1)</f>
        <v>0</v>
      </c>
      <c r="G1333" s="53">
        <f t="shared" si="3976"/>
        <v>0</v>
      </c>
      <c r="H1333" s="53">
        <f t="shared" si="3976"/>
        <v>-200</v>
      </c>
      <c r="I1333" s="53">
        <f t="shared" si="3976"/>
        <v>0</v>
      </c>
      <c r="J1333" s="53">
        <f t="shared" si="3976"/>
        <v>0</v>
      </c>
      <c r="K1333" s="53">
        <f t="shared" si="3976"/>
        <v>0</v>
      </c>
      <c r="L1333" s="53">
        <f t="shared" si="3976"/>
        <v>0</v>
      </c>
      <c r="M1333" s="53">
        <f t="shared" si="3976"/>
        <v>0</v>
      </c>
      <c r="N1333" s="53">
        <f t="shared" si="3976"/>
        <v>0</v>
      </c>
      <c r="O1333" s="53">
        <f t="shared" si="3976"/>
        <v>0</v>
      </c>
      <c r="P1333" s="53">
        <f t="shared" si="3976"/>
        <v>0</v>
      </c>
      <c r="Q1333" s="53">
        <f t="shared" si="3976"/>
        <v>0</v>
      </c>
      <c r="R1333" s="53">
        <f t="shared" si="3976"/>
        <v>0</v>
      </c>
      <c r="S1333" s="53">
        <f t="shared" si="3976"/>
        <v>0</v>
      </c>
      <c r="T1333" s="53">
        <f t="shared" si="3976"/>
        <v>0</v>
      </c>
      <c r="U1333" s="53">
        <f t="shared" si="3976"/>
        <v>0</v>
      </c>
      <c r="V1333" s="53">
        <f t="shared" si="3976"/>
        <v>0</v>
      </c>
      <c r="W1333" s="53">
        <f t="shared" si="3976"/>
        <v>0</v>
      </c>
      <c r="X1333" s="53">
        <f t="shared" si="3976"/>
        <v>0</v>
      </c>
      <c r="Y1333" s="53">
        <f t="shared" ref="Y1333" si="3977">-Y551/IF(CUR_I_Report=2,Y$88,1)</f>
        <v>0</v>
      </c>
      <c r="Z1333" s="53">
        <f t="shared" ref="Z1333" si="3978">-Z551/IF(CUR_I_Report=2,Z$88,1)</f>
        <v>0</v>
      </c>
      <c r="AA1333" s="53">
        <f t="shared" ref="AA1333" si="3979">-AA551/IF(CUR_I_Report=2,AA$88,1)</f>
        <v>0</v>
      </c>
      <c r="AB1333" s="53">
        <f t="shared" ref="AB1333:AC1333" si="3980">-AB551/IF(CUR_I_Report=2,AB$88,1)</f>
        <v>0</v>
      </c>
      <c r="AC1333" s="53">
        <f t="shared" si="3980"/>
        <v>0</v>
      </c>
      <c r="AE1333" s="54">
        <f t="shared" ref="AE1333:AE1340" si="3981">SUM(F1333:AC1333)</f>
        <v>-200</v>
      </c>
    </row>
    <row r="1334" spans="1:36" outlineLevel="1" x14ac:dyDescent="0.2">
      <c r="A1334" t="str">
        <f ca="1">Language!A$696</f>
        <v>Инвестиции в здания и сооружения</v>
      </c>
      <c r="C1334" s="5" t="str">
        <f ca="1">CUR_Report</f>
        <v>тыс. EUR</v>
      </c>
      <c r="F1334" s="53">
        <f t="shared" ref="F1334:X1334" si="3982">-F559/IF(CUR_I_Report=2,F$88,1)</f>
        <v>0</v>
      </c>
      <c r="G1334" s="53">
        <f t="shared" si="3982"/>
        <v>0</v>
      </c>
      <c r="H1334" s="53">
        <f t="shared" si="3982"/>
        <v>-1519.56</v>
      </c>
      <c r="I1334" s="53">
        <f t="shared" si="3982"/>
        <v>-1519.56</v>
      </c>
      <c r="J1334" s="53">
        <f t="shared" si="3982"/>
        <v>0</v>
      </c>
      <c r="K1334" s="53">
        <f t="shared" si="3982"/>
        <v>0</v>
      </c>
      <c r="L1334" s="53">
        <f t="shared" si="3982"/>
        <v>0</v>
      </c>
      <c r="M1334" s="53">
        <f t="shared" si="3982"/>
        <v>0</v>
      </c>
      <c r="N1334" s="53">
        <f t="shared" si="3982"/>
        <v>0</v>
      </c>
      <c r="O1334" s="53">
        <f t="shared" si="3982"/>
        <v>0</v>
      </c>
      <c r="P1334" s="53">
        <f t="shared" si="3982"/>
        <v>0</v>
      </c>
      <c r="Q1334" s="53">
        <f t="shared" si="3982"/>
        <v>0</v>
      </c>
      <c r="R1334" s="53">
        <f t="shared" si="3982"/>
        <v>0</v>
      </c>
      <c r="S1334" s="53">
        <f t="shared" si="3982"/>
        <v>0</v>
      </c>
      <c r="T1334" s="53">
        <f t="shared" si="3982"/>
        <v>0</v>
      </c>
      <c r="U1334" s="53">
        <f t="shared" si="3982"/>
        <v>0</v>
      </c>
      <c r="V1334" s="53">
        <f t="shared" si="3982"/>
        <v>0</v>
      </c>
      <c r="W1334" s="53">
        <f t="shared" si="3982"/>
        <v>0</v>
      </c>
      <c r="X1334" s="53">
        <f t="shared" si="3982"/>
        <v>0</v>
      </c>
      <c r="Y1334" s="53">
        <f t="shared" ref="Y1334" si="3983">-Y559/IF(CUR_I_Report=2,Y$88,1)</f>
        <v>0</v>
      </c>
      <c r="Z1334" s="53">
        <f t="shared" ref="Z1334" si="3984">-Z559/IF(CUR_I_Report=2,Z$88,1)</f>
        <v>0</v>
      </c>
      <c r="AA1334" s="53">
        <f t="shared" ref="AA1334" si="3985">-AA559/IF(CUR_I_Report=2,AA$88,1)</f>
        <v>0</v>
      </c>
      <c r="AB1334" s="53">
        <f t="shared" ref="AB1334:AC1334" si="3986">-AB559/IF(CUR_I_Report=2,AB$88,1)</f>
        <v>0</v>
      </c>
      <c r="AC1334" s="53">
        <f t="shared" si="3986"/>
        <v>0</v>
      </c>
      <c r="AE1334" s="54">
        <f>SUM(F1334:AC1334)</f>
        <v>-3039.12</v>
      </c>
    </row>
    <row r="1335" spans="1:36" outlineLevel="1" x14ac:dyDescent="0.2">
      <c r="A1335" t="str">
        <f ca="1">Language!A$697</f>
        <v>Инвестиции в оборудование и прочие активы</v>
      </c>
      <c r="C1335" s="5" t="str">
        <f ca="1">CUR_Report</f>
        <v>тыс. EUR</v>
      </c>
      <c r="F1335" s="53">
        <f t="shared" ref="F1335:X1335" si="3987">-(F574+F580+F582+F650)/IF(CUR_I_Report=2,F$88,1)</f>
        <v>0</v>
      </c>
      <c r="G1335" s="53">
        <f t="shared" si="3987"/>
        <v>0</v>
      </c>
      <c r="H1335" s="53">
        <f t="shared" si="3987"/>
        <v>-3875.8255543220339</v>
      </c>
      <c r="I1335" s="53">
        <f t="shared" si="3987"/>
        <v>0</v>
      </c>
      <c r="J1335" s="53">
        <f t="shared" si="3987"/>
        <v>-6850.2918126355935</v>
      </c>
      <c r="K1335" s="53">
        <f t="shared" si="3987"/>
        <v>-2583.8837028813559</v>
      </c>
      <c r="L1335" s="53">
        <f t="shared" si="3987"/>
        <v>0</v>
      </c>
      <c r="M1335" s="53">
        <f t="shared" si="3987"/>
        <v>0</v>
      </c>
      <c r="N1335" s="53">
        <f t="shared" si="3987"/>
        <v>0</v>
      </c>
      <c r="O1335" s="53">
        <f t="shared" si="3987"/>
        <v>0</v>
      </c>
      <c r="P1335" s="53">
        <f t="shared" si="3987"/>
        <v>0</v>
      </c>
      <c r="Q1335" s="53">
        <f t="shared" si="3987"/>
        <v>0</v>
      </c>
      <c r="R1335" s="53">
        <f t="shared" si="3987"/>
        <v>0</v>
      </c>
      <c r="S1335" s="53">
        <f t="shared" si="3987"/>
        <v>0</v>
      </c>
      <c r="T1335" s="53">
        <f t="shared" si="3987"/>
        <v>0</v>
      </c>
      <c r="U1335" s="53">
        <f t="shared" si="3987"/>
        <v>0</v>
      </c>
      <c r="V1335" s="53">
        <f t="shared" si="3987"/>
        <v>0</v>
      </c>
      <c r="W1335" s="53">
        <f t="shared" si="3987"/>
        <v>0</v>
      </c>
      <c r="X1335" s="53">
        <f t="shared" si="3987"/>
        <v>0</v>
      </c>
      <c r="Y1335" s="53">
        <f t="shared" ref="Y1335" si="3988">-(Y574+Y580+Y582+Y650)/IF(CUR_I_Report=2,Y$88,1)</f>
        <v>0</v>
      </c>
      <c r="Z1335" s="53">
        <f t="shared" ref="Z1335" si="3989">-(Z574+Z580+Z582+Z650)/IF(CUR_I_Report=2,Z$88,1)</f>
        <v>0</v>
      </c>
      <c r="AA1335" s="53">
        <f t="shared" ref="AA1335" si="3990">-(AA574+AA580+AA582+AA650)/IF(CUR_I_Report=2,AA$88,1)</f>
        <v>0</v>
      </c>
      <c r="AB1335" s="53">
        <f t="shared" ref="AB1335:AC1335" si="3991">-(AB574+AB580+AB582+AB650)/IF(CUR_I_Report=2,AB$88,1)</f>
        <v>0</v>
      </c>
      <c r="AC1335" s="53">
        <f t="shared" si="3991"/>
        <v>0</v>
      </c>
      <c r="AE1335" s="54">
        <f>SUM(F1335:AC1335)</f>
        <v>-13310.001069838983</v>
      </c>
    </row>
    <row r="1336" spans="1:36" outlineLevel="1" x14ac:dyDescent="0.2">
      <c r="A1336" t="str">
        <f ca="1">Language!A$694</f>
        <v>Инвестиции в нематериальные активы</v>
      </c>
      <c r="C1336" s="5" t="str">
        <f t="shared" ca="1" si="3975"/>
        <v>тыс. EUR</v>
      </c>
      <c r="F1336" s="53">
        <f t="shared" ref="F1336:X1336" si="3992">-F586/IF(CUR_I_Report=2,F$88,1)</f>
        <v>0</v>
      </c>
      <c r="G1336" s="53">
        <f t="shared" si="3992"/>
        <v>0</v>
      </c>
      <c r="H1336" s="53">
        <f t="shared" si="3992"/>
        <v>-100</v>
      </c>
      <c r="I1336" s="53">
        <f t="shared" si="3992"/>
        <v>0</v>
      </c>
      <c r="J1336" s="53">
        <f t="shared" si="3992"/>
        <v>0</v>
      </c>
      <c r="K1336" s="53">
        <f t="shared" si="3992"/>
        <v>0</v>
      </c>
      <c r="L1336" s="53">
        <f t="shared" si="3992"/>
        <v>0</v>
      </c>
      <c r="M1336" s="53">
        <f t="shared" si="3992"/>
        <v>0</v>
      </c>
      <c r="N1336" s="53">
        <f t="shared" si="3992"/>
        <v>0</v>
      </c>
      <c r="O1336" s="53">
        <f t="shared" si="3992"/>
        <v>0</v>
      </c>
      <c r="P1336" s="53">
        <f t="shared" si="3992"/>
        <v>0</v>
      </c>
      <c r="Q1336" s="53">
        <f t="shared" si="3992"/>
        <v>0</v>
      </c>
      <c r="R1336" s="53">
        <f t="shared" si="3992"/>
        <v>0</v>
      </c>
      <c r="S1336" s="53">
        <f t="shared" si="3992"/>
        <v>0</v>
      </c>
      <c r="T1336" s="53">
        <f t="shared" si="3992"/>
        <v>0</v>
      </c>
      <c r="U1336" s="53">
        <f t="shared" si="3992"/>
        <v>0</v>
      </c>
      <c r="V1336" s="53">
        <f t="shared" si="3992"/>
        <v>0</v>
      </c>
      <c r="W1336" s="53">
        <f t="shared" si="3992"/>
        <v>0</v>
      </c>
      <c r="X1336" s="53">
        <f t="shared" si="3992"/>
        <v>0</v>
      </c>
      <c r="Y1336" s="53">
        <f t="shared" ref="Y1336" si="3993">-Y586/IF(CUR_I_Report=2,Y$88,1)</f>
        <v>0</v>
      </c>
      <c r="Z1336" s="53">
        <f t="shared" ref="Z1336" si="3994">-Z586/IF(CUR_I_Report=2,Z$88,1)</f>
        <v>0</v>
      </c>
      <c r="AA1336" s="53">
        <f t="shared" ref="AA1336" si="3995">-AA586/IF(CUR_I_Report=2,AA$88,1)</f>
        <v>0</v>
      </c>
      <c r="AB1336" s="53">
        <f t="shared" ref="AB1336:AC1336" si="3996">-AB586/IF(CUR_I_Report=2,AB$88,1)</f>
        <v>0</v>
      </c>
      <c r="AC1336" s="53">
        <f t="shared" si="3996"/>
        <v>0</v>
      </c>
      <c r="AE1336" s="54">
        <f t="shared" si="3981"/>
        <v>-100</v>
      </c>
    </row>
    <row r="1337" spans="1:36" outlineLevel="1" x14ac:dyDescent="0.2">
      <c r="A1337" t="str">
        <f ca="1">Language!A$698</f>
        <v>Инвестиции в финансовые активы</v>
      </c>
      <c r="C1337" s="5" t="str">
        <f t="shared" ca="1" si="3975"/>
        <v>тыс. EUR</v>
      </c>
      <c r="F1337" s="53">
        <f t="shared" ref="F1337:X1337" si="3997">-F598/IF(CUR_I_Report=2,F$88,1)</f>
        <v>0</v>
      </c>
      <c r="G1337" s="53">
        <f t="shared" si="3997"/>
        <v>0</v>
      </c>
      <c r="H1337" s="53">
        <f t="shared" si="3997"/>
        <v>0</v>
      </c>
      <c r="I1337" s="53">
        <f t="shared" si="3997"/>
        <v>0</v>
      </c>
      <c r="J1337" s="53">
        <f t="shared" si="3997"/>
        <v>0</v>
      </c>
      <c r="K1337" s="53">
        <f t="shared" si="3997"/>
        <v>0</v>
      </c>
      <c r="L1337" s="53">
        <f t="shared" si="3997"/>
        <v>0</v>
      </c>
      <c r="M1337" s="53">
        <f t="shared" si="3997"/>
        <v>0</v>
      </c>
      <c r="N1337" s="53">
        <f t="shared" si="3997"/>
        <v>0</v>
      </c>
      <c r="O1337" s="53">
        <f t="shared" si="3997"/>
        <v>0</v>
      </c>
      <c r="P1337" s="53">
        <f t="shared" si="3997"/>
        <v>0</v>
      </c>
      <c r="Q1337" s="53">
        <f t="shared" si="3997"/>
        <v>0</v>
      </c>
      <c r="R1337" s="53">
        <f t="shared" si="3997"/>
        <v>0</v>
      </c>
      <c r="S1337" s="53">
        <f t="shared" si="3997"/>
        <v>0</v>
      </c>
      <c r="T1337" s="53">
        <f t="shared" si="3997"/>
        <v>0</v>
      </c>
      <c r="U1337" s="53">
        <f t="shared" si="3997"/>
        <v>0</v>
      </c>
      <c r="V1337" s="53">
        <f t="shared" si="3997"/>
        <v>0</v>
      </c>
      <c r="W1337" s="53">
        <f t="shared" si="3997"/>
        <v>0</v>
      </c>
      <c r="X1337" s="53">
        <f t="shared" si="3997"/>
        <v>0</v>
      </c>
      <c r="Y1337" s="53">
        <f t="shared" ref="Y1337" si="3998">-Y598/IF(CUR_I_Report=2,Y$88,1)</f>
        <v>0</v>
      </c>
      <c r="Z1337" s="53">
        <f t="shared" ref="Z1337" si="3999">-Z598/IF(CUR_I_Report=2,Z$88,1)</f>
        <v>0</v>
      </c>
      <c r="AA1337" s="53">
        <f t="shared" ref="AA1337" si="4000">-AA598/IF(CUR_I_Report=2,AA$88,1)</f>
        <v>0</v>
      </c>
      <c r="AB1337" s="53">
        <f t="shared" ref="AB1337:AC1337" si="4001">-AB598/IF(CUR_I_Report=2,AB$88,1)</f>
        <v>0</v>
      </c>
      <c r="AC1337" s="53">
        <f t="shared" si="4001"/>
        <v>0</v>
      </c>
      <c r="AE1337" s="54">
        <f t="shared" si="3981"/>
        <v>0</v>
      </c>
    </row>
    <row r="1338" spans="1:36" outlineLevel="1" x14ac:dyDescent="0.2">
      <c r="A1338" t="str">
        <f ca="1">Language!A$699</f>
        <v>Оплата расходов будущих периодов</v>
      </c>
      <c r="C1338" s="5" t="str">
        <f t="shared" ca="1" si="3975"/>
        <v>тыс. EUR</v>
      </c>
      <c r="F1338" s="53">
        <f t="shared" ref="F1338:X1338" si="4002">-F609/IF(CUR_I_Report=2,F$88,1)</f>
        <v>0</v>
      </c>
      <c r="G1338" s="53">
        <f t="shared" si="4002"/>
        <v>0</v>
      </c>
      <c r="H1338" s="53">
        <f t="shared" si="4002"/>
        <v>0</v>
      </c>
      <c r="I1338" s="53">
        <f t="shared" si="4002"/>
        <v>0</v>
      </c>
      <c r="J1338" s="53">
        <f t="shared" ca="1" si="4002"/>
        <v>-174.59738454375801</v>
      </c>
      <c r="K1338" s="53">
        <f t="shared" si="4002"/>
        <v>-398.64199465215285</v>
      </c>
      <c r="L1338" s="53">
        <f t="shared" si="4002"/>
        <v>0</v>
      </c>
      <c r="M1338" s="53">
        <f t="shared" si="4002"/>
        <v>0</v>
      </c>
      <c r="N1338" s="53">
        <f t="shared" si="4002"/>
        <v>0</v>
      </c>
      <c r="O1338" s="53">
        <f t="shared" si="4002"/>
        <v>0</v>
      </c>
      <c r="P1338" s="53">
        <f t="shared" si="4002"/>
        <v>0</v>
      </c>
      <c r="Q1338" s="53">
        <f t="shared" si="4002"/>
        <v>0</v>
      </c>
      <c r="R1338" s="53">
        <f t="shared" si="4002"/>
        <v>0</v>
      </c>
      <c r="S1338" s="53">
        <f t="shared" si="4002"/>
        <v>0</v>
      </c>
      <c r="T1338" s="53">
        <f t="shared" si="4002"/>
        <v>0</v>
      </c>
      <c r="U1338" s="53">
        <f t="shared" si="4002"/>
        <v>0</v>
      </c>
      <c r="V1338" s="53">
        <f t="shared" si="4002"/>
        <v>0</v>
      </c>
      <c r="W1338" s="53">
        <f t="shared" si="4002"/>
        <v>0</v>
      </c>
      <c r="X1338" s="53">
        <f t="shared" si="4002"/>
        <v>0</v>
      </c>
      <c r="Y1338" s="53">
        <f t="shared" ref="Y1338" si="4003">-Y609/IF(CUR_I_Report=2,Y$88,1)</f>
        <v>0</v>
      </c>
      <c r="Z1338" s="53">
        <f t="shared" ref="Z1338" si="4004">-Z609/IF(CUR_I_Report=2,Z$88,1)</f>
        <v>0</v>
      </c>
      <c r="AA1338" s="53">
        <f t="shared" ref="AA1338" si="4005">-AA609/IF(CUR_I_Report=2,AA$88,1)</f>
        <v>0</v>
      </c>
      <c r="AB1338" s="53">
        <f t="shared" ref="AB1338:AC1338" si="4006">-AB609/IF(CUR_I_Report=2,AB$88,1)</f>
        <v>0</v>
      </c>
      <c r="AC1338" s="53">
        <f t="shared" si="4006"/>
        <v>0</v>
      </c>
      <c r="AE1338" s="54">
        <f t="shared" ca="1" si="3981"/>
        <v>-573.23937919591083</v>
      </c>
    </row>
    <row r="1339" spans="1:36" outlineLevel="1" x14ac:dyDescent="0.2">
      <c r="A1339" t="str">
        <f ca="1">Language!A$700</f>
        <v>Прирост чистого оборотного капитала</v>
      </c>
      <c r="C1339" s="5" t="str">
        <f t="shared" ca="1" si="3975"/>
        <v>тыс. EUR</v>
      </c>
      <c r="F1339" s="53">
        <f t="shared" ref="F1339:T1339" ca="1" si="4007">-F1070/IF(CUR_I_Report=2,F$88,1)</f>
        <v>0</v>
      </c>
      <c r="G1339" s="53">
        <f t="shared" ca="1" si="4007"/>
        <v>0</v>
      </c>
      <c r="H1339" s="53">
        <f t="shared" ca="1" si="4007"/>
        <v>0</v>
      </c>
      <c r="I1339" s="53">
        <f t="shared" ca="1" si="4007"/>
        <v>0</v>
      </c>
      <c r="J1339" s="53">
        <f t="shared" ca="1" si="4007"/>
        <v>0</v>
      </c>
      <c r="K1339" s="53">
        <f t="shared" ca="1" si="4007"/>
        <v>98.76332976744186</v>
      </c>
      <c r="L1339" s="53">
        <f t="shared" ca="1" si="4007"/>
        <v>-5.6843418860808015E-14</v>
      </c>
      <c r="M1339" s="53">
        <f t="shared" ca="1" si="4007"/>
        <v>0</v>
      </c>
      <c r="N1339" s="53">
        <f t="shared" ca="1" si="4007"/>
        <v>47.90430408785906</v>
      </c>
      <c r="O1339" s="53">
        <f t="shared" ca="1" si="4007"/>
        <v>41.655454582366474</v>
      </c>
      <c r="P1339" s="53">
        <f t="shared" ca="1" si="4007"/>
        <v>0</v>
      </c>
      <c r="Q1339" s="53">
        <f t="shared" ca="1" si="4007"/>
        <v>0</v>
      </c>
      <c r="R1339" s="53">
        <f t="shared" ca="1" si="4007"/>
        <v>0</v>
      </c>
      <c r="S1339" s="53">
        <f t="shared" ca="1" si="4007"/>
        <v>0</v>
      </c>
      <c r="T1339" s="53">
        <f t="shared" ca="1" si="4007"/>
        <v>0</v>
      </c>
      <c r="U1339" s="53">
        <f t="shared" ref="U1339" ca="1" si="4008">-U1070/IF(CUR_I_Report=2,U$88,1)</f>
        <v>0</v>
      </c>
      <c r="V1339" s="53">
        <f t="shared" ref="V1339" ca="1" si="4009">-V1070/IF(CUR_I_Report=2,V$88,1)</f>
        <v>0</v>
      </c>
      <c r="W1339" s="53">
        <f t="shared" ref="W1339" ca="1" si="4010">-W1070/IF(CUR_I_Report=2,W$88,1)</f>
        <v>0</v>
      </c>
      <c r="X1339" s="53">
        <f t="shared" ref="X1339" ca="1" si="4011">-X1070/IF(CUR_I_Report=2,X$88,1)</f>
        <v>0</v>
      </c>
      <c r="Y1339" s="53">
        <f t="shared" ref="Y1339" ca="1" si="4012">-Y1070/IF(CUR_I_Report=2,Y$88,1)</f>
        <v>0</v>
      </c>
      <c r="Z1339" s="53">
        <f t="shared" ref="Z1339" ca="1" si="4013">-Z1070/IF(CUR_I_Report=2,Z$88,1)</f>
        <v>0</v>
      </c>
      <c r="AA1339" s="53">
        <f t="shared" ref="AA1339" ca="1" si="4014">-AA1070/IF(CUR_I_Report=2,AA$88,1)</f>
        <v>0</v>
      </c>
      <c r="AB1339" s="53">
        <f t="shared" ref="AB1339:AC1339" ca="1" si="4015">-AB1070/IF(CUR_I_Report=2,AB$88,1)</f>
        <v>0</v>
      </c>
      <c r="AC1339" s="53">
        <f t="shared" ca="1" si="4015"/>
        <v>0</v>
      </c>
      <c r="AE1339" s="54">
        <f t="shared" ca="1" si="3981"/>
        <v>188.32308843766734</v>
      </c>
    </row>
    <row r="1340" spans="1:36" outlineLevel="1" x14ac:dyDescent="0.2">
      <c r="A1340" t="str">
        <f ca="1">Language!A$756</f>
        <v>Выручка от реализации активов</v>
      </c>
      <c r="C1340" s="5" t="str">
        <f t="shared" ca="1" si="3975"/>
        <v>тыс. EUR</v>
      </c>
      <c r="F1340" s="53">
        <f t="shared" ref="F1340:X1340" si="4016">(F569+F572+F557+F595+F597+F606+F608+F583+F585+F240+F245+F234+F236+F249+F254+F258+F263+F274+F276)/IF(CUR_I_Report=2,F$88,1)</f>
        <v>0</v>
      </c>
      <c r="G1340" s="53">
        <f t="shared" si="4016"/>
        <v>0</v>
      </c>
      <c r="H1340" s="53">
        <f t="shared" si="4016"/>
        <v>0</v>
      </c>
      <c r="I1340" s="53">
        <f t="shared" si="4016"/>
        <v>0</v>
      </c>
      <c r="J1340" s="53">
        <f t="shared" si="4016"/>
        <v>0</v>
      </c>
      <c r="K1340" s="53">
        <f t="shared" si="4016"/>
        <v>0</v>
      </c>
      <c r="L1340" s="53">
        <f t="shared" si="4016"/>
        <v>0</v>
      </c>
      <c r="M1340" s="53">
        <f t="shared" si="4016"/>
        <v>0</v>
      </c>
      <c r="N1340" s="53">
        <f t="shared" si="4016"/>
        <v>0</v>
      </c>
      <c r="O1340" s="53">
        <f t="shared" si="4016"/>
        <v>0</v>
      </c>
      <c r="P1340" s="53">
        <f t="shared" si="4016"/>
        <v>0</v>
      </c>
      <c r="Q1340" s="53">
        <f t="shared" si="4016"/>
        <v>0</v>
      </c>
      <c r="R1340" s="53">
        <f t="shared" si="4016"/>
        <v>0</v>
      </c>
      <c r="S1340" s="53">
        <f t="shared" si="4016"/>
        <v>0</v>
      </c>
      <c r="T1340" s="53">
        <f t="shared" si="4016"/>
        <v>0</v>
      </c>
      <c r="U1340" s="53">
        <f t="shared" si="4016"/>
        <v>0</v>
      </c>
      <c r="V1340" s="53">
        <f t="shared" si="4016"/>
        <v>0</v>
      </c>
      <c r="W1340" s="53">
        <f t="shared" si="4016"/>
        <v>0</v>
      </c>
      <c r="X1340" s="53">
        <f t="shared" si="4016"/>
        <v>0</v>
      </c>
      <c r="Y1340" s="53">
        <f t="shared" ref="Y1340" si="4017">(Y569+Y572+Y557+Y595+Y597+Y606+Y608+Y583+Y585+Y240+Y245+Y234+Y236+Y249+Y254+Y258+Y263+Y274+Y276)/IF(CUR_I_Report=2,Y$88,1)</f>
        <v>0</v>
      </c>
      <c r="Z1340" s="53">
        <f t="shared" ref="Z1340" si="4018">(Z569+Z572+Z557+Z595+Z597+Z606+Z608+Z583+Z585+Z240+Z245+Z234+Z236+Z249+Z254+Z258+Z263+Z274+Z276)/IF(CUR_I_Report=2,Z$88,1)</f>
        <v>0</v>
      </c>
      <c r="AA1340" s="53">
        <f t="shared" ref="AA1340" si="4019">(AA569+AA572+AA557+AA595+AA597+AA606+AA608+AA583+AA585+AA240+AA245+AA234+AA236+AA249+AA254+AA258+AA263+AA274+AA276)/IF(CUR_I_Report=2,AA$88,1)</f>
        <v>0</v>
      </c>
      <c r="AB1340" s="53">
        <f t="shared" ref="AB1340:AC1340" si="4020">(AB569+AB572+AB557+AB595+AB597+AB606+AB608+AB583+AB585+AB240+AB245+AB234+AB236+AB249+AB254+AB258+AB263+AB274+AB276)/IF(CUR_I_Report=2,AB$88,1)</f>
        <v>0</v>
      </c>
      <c r="AC1340" s="53">
        <f t="shared" si="4020"/>
        <v>0</v>
      </c>
      <c r="AE1340" s="54">
        <f t="shared" si="3981"/>
        <v>0</v>
      </c>
    </row>
    <row r="1341" spans="1:36" outlineLevel="1" x14ac:dyDescent="0.2"/>
    <row r="1342" spans="1:36" outlineLevel="1" x14ac:dyDescent="0.2">
      <c r="A1342" s="35" t="str">
        <f ca="1">Language!A$757</f>
        <v>Денежные потоки от инвестиционной деятельности</v>
      </c>
      <c r="C1342" s="5" t="str">
        <f ca="1">CUR_Report</f>
        <v>тыс. EUR</v>
      </c>
      <c r="F1342" s="58">
        <f t="shared" ref="F1342:T1342" ca="1" si="4021">SUM(F1333:F1340)</f>
        <v>0</v>
      </c>
      <c r="G1342" s="58">
        <f t="shared" ca="1" si="4021"/>
        <v>0</v>
      </c>
      <c r="H1342" s="58">
        <f t="shared" ca="1" si="4021"/>
        <v>-5695.3855543220343</v>
      </c>
      <c r="I1342" s="58">
        <f t="shared" ca="1" si="4021"/>
        <v>-1519.56</v>
      </c>
      <c r="J1342" s="58">
        <f t="shared" ca="1" si="4021"/>
        <v>-7024.8891971793519</v>
      </c>
      <c r="K1342" s="58">
        <f t="shared" ca="1" si="4021"/>
        <v>-2883.7623677660667</v>
      </c>
      <c r="L1342" s="58">
        <f t="shared" ca="1" si="4021"/>
        <v>-5.6843418860808015E-14</v>
      </c>
      <c r="M1342" s="58">
        <f t="shared" ca="1" si="4021"/>
        <v>0</v>
      </c>
      <c r="N1342" s="58">
        <f t="shared" ca="1" si="4021"/>
        <v>47.90430408785906</v>
      </c>
      <c r="O1342" s="58">
        <f t="shared" ca="1" si="4021"/>
        <v>41.655454582366474</v>
      </c>
      <c r="P1342" s="58">
        <f t="shared" ca="1" si="4021"/>
        <v>0</v>
      </c>
      <c r="Q1342" s="58">
        <f t="shared" ca="1" si="4021"/>
        <v>0</v>
      </c>
      <c r="R1342" s="58">
        <f t="shared" ca="1" si="4021"/>
        <v>0</v>
      </c>
      <c r="S1342" s="58">
        <f t="shared" ca="1" si="4021"/>
        <v>0</v>
      </c>
      <c r="T1342" s="58">
        <f t="shared" ca="1" si="4021"/>
        <v>0</v>
      </c>
      <c r="U1342" s="58">
        <f t="shared" ref="U1342" ca="1" si="4022">SUM(U1333:U1340)</f>
        <v>0</v>
      </c>
      <c r="V1342" s="58">
        <f t="shared" ref="V1342" ca="1" si="4023">SUM(V1333:V1340)</f>
        <v>0</v>
      </c>
      <c r="W1342" s="58">
        <f t="shared" ref="W1342" ca="1" si="4024">SUM(W1333:W1340)</f>
        <v>0</v>
      </c>
      <c r="X1342" s="58">
        <f t="shared" ref="X1342" ca="1" si="4025">SUM(X1333:X1340)</f>
        <v>0</v>
      </c>
      <c r="Y1342" s="58">
        <f t="shared" ref="Y1342" ca="1" si="4026">SUM(Y1333:Y1340)</f>
        <v>0</v>
      </c>
      <c r="Z1342" s="58">
        <f t="shared" ref="Z1342" ca="1" si="4027">SUM(Z1333:Z1340)</f>
        <v>0</v>
      </c>
      <c r="AA1342" s="58">
        <f t="shared" ref="AA1342" ca="1" si="4028">SUM(AA1333:AA1340)</f>
        <v>0</v>
      </c>
      <c r="AB1342" s="58">
        <f t="shared" ref="AB1342:AC1342" ca="1" si="4029">SUM(AB1333:AB1340)</f>
        <v>0</v>
      </c>
      <c r="AC1342" s="58">
        <f t="shared" ca="1" si="4029"/>
        <v>0</v>
      </c>
      <c r="AE1342" s="57">
        <f ca="1">SUM(F1342:AC1342)</f>
        <v>-17034.037360597224</v>
      </c>
      <c r="AF1342" s="58"/>
      <c r="AG1342" s="58"/>
      <c r="AH1342" s="58"/>
      <c r="AI1342" s="58"/>
      <c r="AJ1342" s="58"/>
    </row>
    <row r="1343" spans="1:36" outlineLevel="1" x14ac:dyDescent="0.2"/>
    <row r="1344" spans="1:36" outlineLevel="1" x14ac:dyDescent="0.2">
      <c r="A1344" t="str">
        <f ca="1">Language!A$758</f>
        <v>Поступления собственного капитала</v>
      </c>
      <c r="C1344" s="5" t="str">
        <f t="shared" ref="C1344:C1350" ca="1" si="4030">CUR_Report</f>
        <v>тыс. EUR</v>
      </c>
      <c r="F1344" s="53">
        <f t="shared" ref="F1344:T1344" si="4031">(F1075+F1084)/IF(CUR_I_Report=2,F$88,1)</f>
        <v>0</v>
      </c>
      <c r="G1344" s="53">
        <f t="shared" si="4031"/>
        <v>0</v>
      </c>
      <c r="H1344" s="53">
        <f t="shared" si="4031"/>
        <v>0</v>
      </c>
      <c r="I1344" s="53">
        <f t="shared" si="4031"/>
        <v>0</v>
      </c>
      <c r="J1344" s="53">
        <f t="shared" si="4031"/>
        <v>0</v>
      </c>
      <c r="K1344" s="53">
        <f t="shared" si="4031"/>
        <v>0</v>
      </c>
      <c r="L1344" s="53">
        <f t="shared" si="4031"/>
        <v>0</v>
      </c>
      <c r="M1344" s="53">
        <f t="shared" si="4031"/>
        <v>0</v>
      </c>
      <c r="N1344" s="53">
        <f t="shared" si="4031"/>
        <v>0</v>
      </c>
      <c r="O1344" s="53">
        <f t="shared" si="4031"/>
        <v>0</v>
      </c>
      <c r="P1344" s="53">
        <f t="shared" si="4031"/>
        <v>0</v>
      </c>
      <c r="Q1344" s="53">
        <f t="shared" si="4031"/>
        <v>0</v>
      </c>
      <c r="R1344" s="53">
        <f t="shared" si="4031"/>
        <v>0</v>
      </c>
      <c r="S1344" s="53">
        <f t="shared" si="4031"/>
        <v>0</v>
      </c>
      <c r="T1344" s="53">
        <f t="shared" si="4031"/>
        <v>0</v>
      </c>
      <c r="U1344" s="53">
        <f t="shared" ref="U1344" si="4032">(U1075+U1084)/IF(CUR_I_Report=2,U$88,1)</f>
        <v>0</v>
      </c>
      <c r="V1344" s="53">
        <f t="shared" ref="V1344" si="4033">(V1075+V1084)/IF(CUR_I_Report=2,V$88,1)</f>
        <v>0</v>
      </c>
      <c r="W1344" s="53">
        <f t="shared" ref="W1344" si="4034">(W1075+W1084)/IF(CUR_I_Report=2,W$88,1)</f>
        <v>0</v>
      </c>
      <c r="X1344" s="53">
        <f t="shared" ref="X1344" si="4035">(X1075+X1084)/IF(CUR_I_Report=2,X$88,1)</f>
        <v>0</v>
      </c>
      <c r="Y1344" s="53">
        <f t="shared" ref="Y1344" si="4036">(Y1075+Y1084)/IF(CUR_I_Report=2,Y$88,1)</f>
        <v>0</v>
      </c>
      <c r="Z1344" s="53">
        <f t="shared" ref="Z1344" si="4037">(Z1075+Z1084)/IF(CUR_I_Report=2,Z$88,1)</f>
        <v>0</v>
      </c>
      <c r="AA1344" s="53">
        <f t="shared" ref="AA1344" si="4038">(AA1075+AA1084)/IF(CUR_I_Report=2,AA$88,1)</f>
        <v>0</v>
      </c>
      <c r="AB1344" s="53">
        <f t="shared" ref="AB1344:AC1344" si="4039">(AB1075+AB1084)/IF(CUR_I_Report=2,AB$88,1)</f>
        <v>0</v>
      </c>
      <c r="AC1344" s="53">
        <f t="shared" si="4039"/>
        <v>0</v>
      </c>
      <c r="AE1344" s="54">
        <f>SUM(F1344:AC1344)</f>
        <v>0</v>
      </c>
    </row>
    <row r="1345" spans="1:31" outlineLevel="1" x14ac:dyDescent="0.2">
      <c r="A1345" t="str">
        <f ca="1">Language!A$759</f>
        <v>Целевое финансирование</v>
      </c>
      <c r="C1345" s="5" t="str">
        <f t="shared" ca="1" si="4030"/>
        <v>тыс. EUR</v>
      </c>
      <c r="F1345" s="53">
        <f t="shared" ref="F1345:T1345" si="4040">F1087/IF(CUR_I_Report=2,F$88,1)</f>
        <v>0</v>
      </c>
      <c r="G1345" s="53">
        <f t="shared" si="4040"/>
        <v>0</v>
      </c>
      <c r="H1345" s="53">
        <f t="shared" si="4040"/>
        <v>5695.3855543220343</v>
      </c>
      <c r="I1345" s="53">
        <f t="shared" si="4040"/>
        <v>1519.56</v>
      </c>
      <c r="J1345" s="53">
        <f t="shared" ca="1" si="4040"/>
        <v>7024.8891971793519</v>
      </c>
      <c r="K1345" s="53">
        <f t="shared" si="4040"/>
        <v>2982.5256975335087</v>
      </c>
      <c r="L1345" s="53">
        <f t="shared" si="4040"/>
        <v>0</v>
      </c>
      <c r="M1345" s="53">
        <f t="shared" si="4040"/>
        <v>0</v>
      </c>
      <c r="N1345" s="53">
        <f t="shared" si="4040"/>
        <v>0</v>
      </c>
      <c r="O1345" s="53">
        <f t="shared" si="4040"/>
        <v>0</v>
      </c>
      <c r="P1345" s="53">
        <f t="shared" si="4040"/>
        <v>0</v>
      </c>
      <c r="Q1345" s="53">
        <f t="shared" si="4040"/>
        <v>0</v>
      </c>
      <c r="R1345" s="53">
        <f t="shared" si="4040"/>
        <v>0</v>
      </c>
      <c r="S1345" s="53">
        <f t="shared" si="4040"/>
        <v>0</v>
      </c>
      <c r="T1345" s="53">
        <f t="shared" si="4040"/>
        <v>0</v>
      </c>
      <c r="U1345" s="53">
        <f t="shared" ref="U1345" si="4041">U1087/IF(CUR_I_Report=2,U$88,1)</f>
        <v>0</v>
      </c>
      <c r="V1345" s="53">
        <f t="shared" ref="V1345" si="4042">V1087/IF(CUR_I_Report=2,V$88,1)</f>
        <v>0</v>
      </c>
      <c r="W1345" s="53">
        <f t="shared" ref="W1345" si="4043">W1087/IF(CUR_I_Report=2,W$88,1)</f>
        <v>0</v>
      </c>
      <c r="X1345" s="53">
        <f t="shared" ref="X1345" si="4044">X1087/IF(CUR_I_Report=2,X$88,1)</f>
        <v>0</v>
      </c>
      <c r="Y1345" s="53">
        <f t="shared" ref="Y1345" si="4045">Y1087/IF(CUR_I_Report=2,Y$88,1)</f>
        <v>0</v>
      </c>
      <c r="Z1345" s="53">
        <f t="shared" ref="Z1345" si="4046">Z1087/IF(CUR_I_Report=2,Z$88,1)</f>
        <v>0</v>
      </c>
      <c r="AA1345" s="53">
        <f t="shared" ref="AA1345" si="4047">AA1087/IF(CUR_I_Report=2,AA$88,1)</f>
        <v>0</v>
      </c>
      <c r="AB1345" s="53">
        <f t="shared" ref="AB1345:AC1345" si="4048">AB1087/IF(CUR_I_Report=2,AB$88,1)</f>
        <v>0</v>
      </c>
      <c r="AC1345" s="53">
        <f t="shared" si="4048"/>
        <v>0</v>
      </c>
      <c r="AE1345" s="54">
        <f t="shared" ref="AE1345:AE1354" ca="1" si="4049">SUM(F1345:AC1345)</f>
        <v>17222.360449034895</v>
      </c>
    </row>
    <row r="1346" spans="1:31" outlineLevel="1" x14ac:dyDescent="0.2">
      <c r="A1346" t="str">
        <f ca="1">Language!A$654</f>
        <v>Средства от инвесторов строительства</v>
      </c>
      <c r="C1346" s="5" t="str">
        <f t="shared" ca="1" si="4030"/>
        <v>тыс. EUR</v>
      </c>
      <c r="F1346" s="53">
        <f t="shared" ref="F1346:T1346" si="4050">F1089/IF(CUR_I_Report=2,F$88,1)</f>
        <v>0</v>
      </c>
      <c r="G1346" s="53">
        <f t="shared" si="4050"/>
        <v>0</v>
      </c>
      <c r="H1346" s="53">
        <f t="shared" si="4050"/>
        <v>0</v>
      </c>
      <c r="I1346" s="53">
        <f t="shared" si="4050"/>
        <v>0</v>
      </c>
      <c r="J1346" s="53">
        <f t="shared" si="4050"/>
        <v>0</v>
      </c>
      <c r="K1346" s="53">
        <f t="shared" si="4050"/>
        <v>0</v>
      </c>
      <c r="L1346" s="53">
        <f t="shared" si="4050"/>
        <v>0</v>
      </c>
      <c r="M1346" s="53">
        <f t="shared" si="4050"/>
        <v>0</v>
      </c>
      <c r="N1346" s="53">
        <f t="shared" si="4050"/>
        <v>0</v>
      </c>
      <c r="O1346" s="53">
        <f t="shared" si="4050"/>
        <v>0</v>
      </c>
      <c r="P1346" s="53">
        <f t="shared" si="4050"/>
        <v>0</v>
      </c>
      <c r="Q1346" s="53">
        <f t="shared" si="4050"/>
        <v>0</v>
      </c>
      <c r="R1346" s="53">
        <f t="shared" si="4050"/>
        <v>0</v>
      </c>
      <c r="S1346" s="53">
        <f t="shared" si="4050"/>
        <v>0</v>
      </c>
      <c r="T1346" s="53">
        <f t="shared" si="4050"/>
        <v>0</v>
      </c>
      <c r="U1346" s="53">
        <f t="shared" ref="U1346" si="4051">U1089/IF(CUR_I_Report=2,U$88,1)</f>
        <v>0</v>
      </c>
      <c r="V1346" s="53">
        <f t="shared" ref="V1346" si="4052">V1089/IF(CUR_I_Report=2,V$88,1)</f>
        <v>0</v>
      </c>
      <c r="W1346" s="53">
        <f t="shared" ref="W1346" si="4053">W1089/IF(CUR_I_Report=2,W$88,1)</f>
        <v>0</v>
      </c>
      <c r="X1346" s="53">
        <f t="shared" ref="X1346" si="4054">X1089/IF(CUR_I_Report=2,X$88,1)</f>
        <v>0</v>
      </c>
      <c r="Y1346" s="53">
        <f t="shared" ref="Y1346" si="4055">Y1089/IF(CUR_I_Report=2,Y$88,1)</f>
        <v>0</v>
      </c>
      <c r="Z1346" s="53">
        <f t="shared" ref="Z1346" si="4056">Z1089/IF(CUR_I_Report=2,Z$88,1)</f>
        <v>0</v>
      </c>
      <c r="AA1346" s="53">
        <f t="shared" ref="AA1346" si="4057">AA1089/IF(CUR_I_Report=2,AA$88,1)</f>
        <v>0</v>
      </c>
      <c r="AB1346" s="53">
        <f t="shared" ref="AB1346:AC1346" si="4058">AB1089/IF(CUR_I_Report=2,AB$88,1)</f>
        <v>0</v>
      </c>
      <c r="AC1346" s="53">
        <f t="shared" si="4058"/>
        <v>0</v>
      </c>
      <c r="AE1346" s="54"/>
    </row>
    <row r="1347" spans="1:31" outlineLevel="1" x14ac:dyDescent="0.2">
      <c r="A1347" t="str">
        <f ca="1">Language!A$760</f>
        <v>Поступления кредитов</v>
      </c>
      <c r="C1347" s="5" t="str">
        <f t="shared" ca="1" si="4030"/>
        <v>тыс. EUR</v>
      </c>
      <c r="F1347" s="53">
        <f t="shared" ref="F1347:T1347" si="4059">F1122/IF(CUR_I_Report=2,F$88,1)</f>
        <v>0</v>
      </c>
      <c r="G1347" s="53">
        <f t="shared" si="4059"/>
        <v>0</v>
      </c>
      <c r="H1347" s="53">
        <f t="shared" si="4059"/>
        <v>0</v>
      </c>
      <c r="I1347" s="53">
        <f t="shared" si="4059"/>
        <v>0</v>
      </c>
      <c r="J1347" s="53">
        <f t="shared" si="4059"/>
        <v>0</v>
      </c>
      <c r="K1347" s="53">
        <f t="shared" si="4059"/>
        <v>0</v>
      </c>
      <c r="L1347" s="53">
        <f t="shared" si="4059"/>
        <v>0</v>
      </c>
      <c r="M1347" s="53">
        <f t="shared" si="4059"/>
        <v>0</v>
      </c>
      <c r="N1347" s="53">
        <f t="shared" si="4059"/>
        <v>0</v>
      </c>
      <c r="O1347" s="53">
        <f t="shared" si="4059"/>
        <v>0</v>
      </c>
      <c r="P1347" s="53">
        <f t="shared" si="4059"/>
        <v>0</v>
      </c>
      <c r="Q1347" s="53">
        <f t="shared" si="4059"/>
        <v>0</v>
      </c>
      <c r="R1347" s="53">
        <f t="shared" si="4059"/>
        <v>0</v>
      </c>
      <c r="S1347" s="53">
        <f t="shared" si="4059"/>
        <v>0</v>
      </c>
      <c r="T1347" s="53">
        <f t="shared" si="4059"/>
        <v>0</v>
      </c>
      <c r="U1347" s="53">
        <f t="shared" ref="U1347" si="4060">U1122/IF(CUR_I_Report=2,U$88,1)</f>
        <v>0</v>
      </c>
      <c r="V1347" s="53">
        <f t="shared" ref="V1347" si="4061">V1122/IF(CUR_I_Report=2,V$88,1)</f>
        <v>0</v>
      </c>
      <c r="W1347" s="53">
        <f t="shared" ref="W1347" si="4062">W1122/IF(CUR_I_Report=2,W$88,1)</f>
        <v>0</v>
      </c>
      <c r="X1347" s="53">
        <f t="shared" ref="X1347" si="4063">X1122/IF(CUR_I_Report=2,X$88,1)</f>
        <v>0</v>
      </c>
      <c r="Y1347" s="53">
        <f t="shared" ref="Y1347" si="4064">Y1122/IF(CUR_I_Report=2,Y$88,1)</f>
        <v>0</v>
      </c>
      <c r="Z1347" s="53">
        <f t="shared" ref="Z1347" si="4065">Z1122/IF(CUR_I_Report=2,Z$88,1)</f>
        <v>0</v>
      </c>
      <c r="AA1347" s="53">
        <f t="shared" ref="AA1347" si="4066">AA1122/IF(CUR_I_Report=2,AA$88,1)</f>
        <v>0</v>
      </c>
      <c r="AB1347" s="53">
        <f t="shared" ref="AB1347:AC1347" si="4067">AB1122/IF(CUR_I_Report=2,AB$88,1)</f>
        <v>0</v>
      </c>
      <c r="AC1347" s="53">
        <f t="shared" si="4067"/>
        <v>0</v>
      </c>
      <c r="AE1347" s="54">
        <f t="shared" si="4049"/>
        <v>0</v>
      </c>
    </row>
    <row r="1348" spans="1:31" outlineLevel="1" x14ac:dyDescent="0.2">
      <c r="A1348" t="str">
        <f ca="1">Language!A$761</f>
        <v>Возврат кредитов</v>
      </c>
      <c r="C1348" s="5" t="str">
        <f t="shared" ca="1" si="4030"/>
        <v>тыс. EUR</v>
      </c>
      <c r="F1348" s="53">
        <f t="shared" ref="F1348:T1348" si="4068">-F1123/IF(CUR_I_Report=2,F$88,1)</f>
        <v>0</v>
      </c>
      <c r="G1348" s="53">
        <f t="shared" si="4068"/>
        <v>0</v>
      </c>
      <c r="H1348" s="53">
        <f t="shared" si="4068"/>
        <v>0</v>
      </c>
      <c r="I1348" s="53">
        <f t="shared" si="4068"/>
        <v>0</v>
      </c>
      <c r="J1348" s="53">
        <f t="shared" si="4068"/>
        <v>0</v>
      </c>
      <c r="K1348" s="53">
        <f t="shared" si="4068"/>
        <v>0</v>
      </c>
      <c r="L1348" s="53">
        <f t="shared" si="4068"/>
        <v>0</v>
      </c>
      <c r="M1348" s="53">
        <f t="shared" si="4068"/>
        <v>0</v>
      </c>
      <c r="N1348" s="53">
        <f t="shared" si="4068"/>
        <v>0</v>
      </c>
      <c r="O1348" s="53">
        <f t="shared" si="4068"/>
        <v>0</v>
      </c>
      <c r="P1348" s="53">
        <f t="shared" si="4068"/>
        <v>0</v>
      </c>
      <c r="Q1348" s="53">
        <f t="shared" si="4068"/>
        <v>0</v>
      </c>
      <c r="R1348" s="53">
        <f t="shared" si="4068"/>
        <v>0</v>
      </c>
      <c r="S1348" s="53">
        <f t="shared" si="4068"/>
        <v>0</v>
      </c>
      <c r="T1348" s="53">
        <f t="shared" si="4068"/>
        <v>0</v>
      </c>
      <c r="U1348" s="53">
        <f t="shared" ref="U1348" si="4069">-U1123/IF(CUR_I_Report=2,U$88,1)</f>
        <v>0</v>
      </c>
      <c r="V1348" s="53">
        <f t="shared" ref="V1348" si="4070">-V1123/IF(CUR_I_Report=2,V$88,1)</f>
        <v>0</v>
      </c>
      <c r="W1348" s="53">
        <f t="shared" ref="W1348" si="4071">-W1123/IF(CUR_I_Report=2,W$88,1)</f>
        <v>0</v>
      </c>
      <c r="X1348" s="53">
        <f t="shared" ref="X1348" si="4072">-X1123/IF(CUR_I_Report=2,X$88,1)</f>
        <v>0</v>
      </c>
      <c r="Y1348" s="53">
        <f t="shared" ref="Y1348" si="4073">-Y1123/IF(CUR_I_Report=2,Y$88,1)</f>
        <v>0</v>
      </c>
      <c r="Z1348" s="53">
        <f t="shared" ref="Z1348" si="4074">-Z1123/IF(CUR_I_Report=2,Z$88,1)</f>
        <v>0</v>
      </c>
      <c r="AA1348" s="53">
        <f t="shared" ref="AA1348" si="4075">-AA1123/IF(CUR_I_Report=2,AA$88,1)</f>
        <v>0</v>
      </c>
      <c r="AB1348" s="53">
        <f t="shared" ref="AB1348:AC1348" si="4076">-AB1123/IF(CUR_I_Report=2,AB$88,1)</f>
        <v>0</v>
      </c>
      <c r="AC1348" s="53">
        <f t="shared" si="4076"/>
        <v>0</v>
      </c>
      <c r="AE1348" s="54">
        <f t="shared" si="4049"/>
        <v>0</v>
      </c>
    </row>
    <row r="1349" spans="1:31" outlineLevel="1" x14ac:dyDescent="0.2">
      <c r="A1349" t="str">
        <f ca="1">Language!A$762</f>
        <v>Лизинговые платежи</v>
      </c>
      <c r="C1349" s="5" t="str">
        <f t="shared" ca="1" si="4030"/>
        <v>тыс. EUR</v>
      </c>
      <c r="F1349" s="53">
        <f t="shared" ref="F1349:X1349" ca="1" si="4077">-F649/IF(CUR_I_Report=2,F$88,1)</f>
        <v>0</v>
      </c>
      <c r="G1349" s="53">
        <f t="shared" ca="1" si="4077"/>
        <v>0</v>
      </c>
      <c r="H1349" s="53">
        <f t="shared" ca="1" si="4077"/>
        <v>0</v>
      </c>
      <c r="I1349" s="53">
        <f t="shared" ca="1" si="4077"/>
        <v>0</v>
      </c>
      <c r="J1349" s="53">
        <f t="shared" ca="1" si="4077"/>
        <v>0</v>
      </c>
      <c r="K1349" s="53">
        <f t="shared" ca="1" si="4077"/>
        <v>0</v>
      </c>
      <c r="L1349" s="53">
        <f t="shared" ca="1" si="4077"/>
        <v>0</v>
      </c>
      <c r="M1349" s="53">
        <f t="shared" ca="1" si="4077"/>
        <v>0</v>
      </c>
      <c r="N1349" s="53">
        <f t="shared" ca="1" si="4077"/>
        <v>0</v>
      </c>
      <c r="O1349" s="53">
        <f t="shared" ca="1" si="4077"/>
        <v>0</v>
      </c>
      <c r="P1349" s="53">
        <f t="shared" ca="1" si="4077"/>
        <v>0</v>
      </c>
      <c r="Q1349" s="53">
        <f t="shared" ca="1" si="4077"/>
        <v>0</v>
      </c>
      <c r="R1349" s="53">
        <f t="shared" ca="1" si="4077"/>
        <v>0</v>
      </c>
      <c r="S1349" s="53">
        <f t="shared" ca="1" si="4077"/>
        <v>0</v>
      </c>
      <c r="T1349" s="53">
        <f t="shared" ca="1" si="4077"/>
        <v>0</v>
      </c>
      <c r="U1349" s="53">
        <f t="shared" ca="1" si="4077"/>
        <v>0</v>
      </c>
      <c r="V1349" s="53">
        <f t="shared" ca="1" si="4077"/>
        <v>0</v>
      </c>
      <c r="W1349" s="53">
        <f t="shared" ca="1" si="4077"/>
        <v>0</v>
      </c>
      <c r="X1349" s="53">
        <f t="shared" ca="1" si="4077"/>
        <v>0</v>
      </c>
      <c r="Y1349" s="53">
        <f t="shared" ref="Y1349" ca="1" si="4078">-Y649/IF(CUR_I_Report=2,Y$88,1)</f>
        <v>0</v>
      </c>
      <c r="Z1349" s="53">
        <f t="shared" ref="Z1349" ca="1" si="4079">-Z649/IF(CUR_I_Report=2,Z$88,1)</f>
        <v>0</v>
      </c>
      <c r="AA1349" s="53">
        <f t="shared" ref="AA1349" ca="1" si="4080">-AA649/IF(CUR_I_Report=2,AA$88,1)</f>
        <v>0</v>
      </c>
      <c r="AB1349" s="53">
        <f t="shared" ref="AB1349:AC1349" ca="1" si="4081">-AB649/IF(CUR_I_Report=2,AB$88,1)</f>
        <v>0</v>
      </c>
      <c r="AC1349" s="53">
        <f t="shared" ca="1" si="4081"/>
        <v>0</v>
      </c>
      <c r="AE1349" s="54">
        <f t="shared" ca="1" si="4049"/>
        <v>0</v>
      </c>
    </row>
    <row r="1350" spans="1:31" outlineLevel="1" x14ac:dyDescent="0.2">
      <c r="A1350" t="str">
        <f ca="1">Language!A$763</f>
        <v>Выплата дивидендов</v>
      </c>
      <c r="C1350" s="5" t="str">
        <f t="shared" ca="1" si="4030"/>
        <v>тыс. EUR</v>
      </c>
      <c r="F1350" s="43">
        <f t="shared" ref="F1350:T1350" ca="1" si="4082">-F1283</f>
        <v>0</v>
      </c>
      <c r="G1350" s="43">
        <f t="shared" ca="1" si="4082"/>
        <v>0</v>
      </c>
      <c r="H1350" s="43">
        <f t="shared" ca="1" si="4082"/>
        <v>0</v>
      </c>
      <c r="I1350" s="43">
        <f t="shared" ca="1" si="4082"/>
        <v>0</v>
      </c>
      <c r="J1350" s="43">
        <f t="shared" ca="1" si="4082"/>
        <v>0</v>
      </c>
      <c r="K1350" s="43">
        <f t="shared" ca="1" si="4082"/>
        <v>0</v>
      </c>
      <c r="L1350" s="43">
        <f t="shared" ca="1" si="4082"/>
        <v>0</v>
      </c>
      <c r="M1350" s="43">
        <f t="shared" ca="1" si="4082"/>
        <v>0</v>
      </c>
      <c r="N1350" s="43">
        <f t="shared" ca="1" si="4082"/>
        <v>0</v>
      </c>
      <c r="O1350" s="43">
        <f t="shared" ca="1" si="4082"/>
        <v>0</v>
      </c>
      <c r="P1350" s="43">
        <f t="shared" ca="1" si="4082"/>
        <v>0</v>
      </c>
      <c r="Q1350" s="43">
        <f t="shared" ca="1" si="4082"/>
        <v>0</v>
      </c>
      <c r="R1350" s="43">
        <f t="shared" ca="1" si="4082"/>
        <v>0</v>
      </c>
      <c r="S1350" s="43">
        <f t="shared" ca="1" si="4082"/>
        <v>0</v>
      </c>
      <c r="T1350" s="43">
        <f t="shared" ca="1" si="4082"/>
        <v>0</v>
      </c>
      <c r="U1350" s="43">
        <f t="shared" ref="U1350" ca="1" si="4083">-U1283</f>
        <v>0</v>
      </c>
      <c r="V1350" s="43">
        <f t="shared" ref="V1350" ca="1" si="4084">-V1283</f>
        <v>0</v>
      </c>
      <c r="W1350" s="43">
        <f t="shared" ref="W1350" ca="1" si="4085">-W1283</f>
        <v>0</v>
      </c>
      <c r="X1350" s="43">
        <f t="shared" ref="X1350" ca="1" si="4086">-X1283</f>
        <v>0</v>
      </c>
      <c r="Y1350" s="43">
        <f t="shared" ref="Y1350" ca="1" si="4087">-Y1283</f>
        <v>0</v>
      </c>
      <c r="Z1350" s="43">
        <f t="shared" ref="Z1350" ca="1" si="4088">-Z1283</f>
        <v>0</v>
      </c>
      <c r="AA1350" s="43">
        <f t="shared" ref="AA1350" ca="1" si="4089">-AA1283</f>
        <v>0</v>
      </c>
      <c r="AB1350" s="43">
        <f t="shared" ref="AB1350:AC1350" ca="1" si="4090">-AB1283</f>
        <v>0</v>
      </c>
      <c r="AC1350" s="43">
        <f t="shared" ca="1" si="4090"/>
        <v>0</v>
      </c>
      <c r="AE1350" s="54">
        <f t="shared" ca="1" si="4049"/>
        <v>0</v>
      </c>
    </row>
    <row r="1351" spans="1:31" outlineLevel="1" x14ac:dyDescent="0.2"/>
    <row r="1352" spans="1:31" outlineLevel="1" x14ac:dyDescent="0.2">
      <c r="A1352" s="35" t="str">
        <f ca="1">Language!A$764</f>
        <v>Денежные потоки от финансовой деятельности</v>
      </c>
      <c r="C1352" s="5" t="str">
        <f ca="1">CUR_Report</f>
        <v>тыс. EUR</v>
      </c>
      <c r="F1352" s="58">
        <f t="shared" ref="F1352:T1352" ca="1" si="4091">SUM(F1344:F1350)</f>
        <v>0</v>
      </c>
      <c r="G1352" s="58">
        <f t="shared" ca="1" si="4091"/>
        <v>0</v>
      </c>
      <c r="H1352" s="58">
        <f t="shared" ca="1" si="4091"/>
        <v>5695.3855543220343</v>
      </c>
      <c r="I1352" s="58">
        <f t="shared" ca="1" si="4091"/>
        <v>1519.56</v>
      </c>
      <c r="J1352" s="58">
        <f t="shared" ca="1" si="4091"/>
        <v>7024.8891971793519</v>
      </c>
      <c r="K1352" s="58">
        <f t="shared" ca="1" si="4091"/>
        <v>2982.5256975335087</v>
      </c>
      <c r="L1352" s="58">
        <f t="shared" ca="1" si="4091"/>
        <v>0</v>
      </c>
      <c r="M1352" s="58">
        <f t="shared" ca="1" si="4091"/>
        <v>0</v>
      </c>
      <c r="N1352" s="58">
        <f t="shared" ca="1" si="4091"/>
        <v>0</v>
      </c>
      <c r="O1352" s="58">
        <f t="shared" ca="1" si="4091"/>
        <v>0</v>
      </c>
      <c r="P1352" s="58">
        <f t="shared" ca="1" si="4091"/>
        <v>0</v>
      </c>
      <c r="Q1352" s="58">
        <f t="shared" ca="1" si="4091"/>
        <v>0</v>
      </c>
      <c r="R1352" s="58">
        <f t="shared" ca="1" si="4091"/>
        <v>0</v>
      </c>
      <c r="S1352" s="58">
        <f t="shared" ca="1" si="4091"/>
        <v>0</v>
      </c>
      <c r="T1352" s="58">
        <f t="shared" ca="1" si="4091"/>
        <v>0</v>
      </c>
      <c r="U1352" s="58">
        <f t="shared" ref="U1352" ca="1" si="4092">SUM(U1344:U1350)</f>
        <v>0</v>
      </c>
      <c r="V1352" s="58">
        <f t="shared" ref="V1352" ca="1" si="4093">SUM(V1344:V1350)</f>
        <v>0</v>
      </c>
      <c r="W1352" s="58">
        <f t="shared" ref="W1352" ca="1" si="4094">SUM(W1344:W1350)</f>
        <v>0</v>
      </c>
      <c r="X1352" s="58">
        <f t="shared" ref="X1352" ca="1" si="4095">SUM(X1344:X1350)</f>
        <v>0</v>
      </c>
      <c r="Y1352" s="58">
        <f t="shared" ref="Y1352" ca="1" si="4096">SUM(Y1344:Y1350)</f>
        <v>0</v>
      </c>
      <c r="Z1352" s="58">
        <f t="shared" ref="Z1352" ca="1" si="4097">SUM(Z1344:Z1350)</f>
        <v>0</v>
      </c>
      <c r="AA1352" s="58">
        <f t="shared" ref="AA1352" ca="1" si="4098">SUM(AA1344:AA1350)</f>
        <v>0</v>
      </c>
      <c r="AB1352" s="58">
        <f t="shared" ref="AB1352:AC1352" ca="1" si="4099">SUM(AB1344:AB1350)</f>
        <v>0</v>
      </c>
      <c r="AC1352" s="58">
        <f t="shared" ca="1" si="4099"/>
        <v>0</v>
      </c>
      <c r="AE1352" s="57">
        <f ca="1">SUM(F1352:AC1352)</f>
        <v>17222.360449034895</v>
      </c>
    </row>
    <row r="1353" spans="1:31" outlineLevel="1" x14ac:dyDescent="0.2"/>
    <row r="1354" spans="1:31" outlineLevel="1" x14ac:dyDescent="0.2">
      <c r="A1354" s="23" t="str">
        <f ca="1">Language!A$765</f>
        <v>Суммарный денежный поток за период</v>
      </c>
      <c r="B1354" s="179"/>
      <c r="C1354" s="294" t="str">
        <f ca="1">CUR_Report</f>
        <v>тыс. EUR</v>
      </c>
      <c r="D1354" s="179"/>
      <c r="E1354" s="179"/>
      <c r="F1354" s="108">
        <f t="shared" ref="F1354:T1354" ca="1" si="4100">F1331+F1342+F1352</f>
        <v>0</v>
      </c>
      <c r="G1354" s="108">
        <f t="shared" ca="1" si="4100"/>
        <v>0</v>
      </c>
      <c r="H1354" s="108">
        <f t="shared" ca="1" si="4100"/>
        <v>0</v>
      </c>
      <c r="I1354" s="108">
        <f t="shared" ca="1" si="4100"/>
        <v>0</v>
      </c>
      <c r="J1354" s="108">
        <f t="shared" ca="1" si="4100"/>
        <v>0</v>
      </c>
      <c r="K1354" s="108">
        <f t="shared" ca="1" si="4100"/>
        <v>2827.4120312836421</v>
      </c>
      <c r="L1354" s="108">
        <f t="shared" ca="1" si="4100"/>
        <v>15.623261900942822</v>
      </c>
      <c r="M1354" s="108">
        <f t="shared" ca="1" si="4100"/>
        <v>662.99303790614749</v>
      </c>
      <c r="N1354" s="108">
        <f t="shared" ca="1" si="4100"/>
        <v>964.01024275288535</v>
      </c>
      <c r="O1354" s="108">
        <f t="shared" ca="1" si="4100"/>
        <v>1285.2732652519153</v>
      </c>
      <c r="P1354" s="108">
        <f t="shared" ca="1" si="4100"/>
        <v>1454.7746893858591</v>
      </c>
      <c r="Q1354" s="108">
        <f t="shared" ca="1" si="4100"/>
        <v>1454.7746893858591</v>
      </c>
      <c r="R1354" s="108">
        <f t="shared" ca="1" si="4100"/>
        <v>1454.7746893858591</v>
      </c>
      <c r="S1354" s="108">
        <f t="shared" ca="1" si="4100"/>
        <v>1454.7746893858591</v>
      </c>
      <c r="T1354" s="108">
        <f t="shared" ca="1" si="4100"/>
        <v>1454.7746893858591</v>
      </c>
      <c r="U1354" s="108">
        <f t="shared" ref="U1354" ca="1" si="4101">U1331+U1342+U1352</f>
        <v>1454.7746893858591</v>
      </c>
      <c r="V1354" s="108">
        <f t="shared" ref="V1354" ca="1" si="4102">V1331+V1342+V1352</f>
        <v>1454.7746893858591</v>
      </c>
      <c r="W1354" s="108">
        <f t="shared" ref="W1354" ca="1" si="4103">W1331+W1342+W1352</f>
        <v>1454.7746893858591</v>
      </c>
      <c r="X1354" s="108">
        <f t="shared" ref="X1354" ca="1" si="4104">X1331+X1342+X1352</f>
        <v>1454.7746893858591</v>
      </c>
      <c r="Y1354" s="108">
        <f t="shared" ref="Y1354" ca="1" si="4105">Y1331+Y1342+Y1352</f>
        <v>1454.7746893858591</v>
      </c>
      <c r="Z1354" s="108">
        <f t="shared" ref="Z1354" ca="1" si="4106">Z1331+Z1342+Z1352</f>
        <v>1454.7746893858591</v>
      </c>
      <c r="AA1354" s="108">
        <f t="shared" ref="AA1354" ca="1" si="4107">AA1331+AA1342+AA1352</f>
        <v>1454.7746893858591</v>
      </c>
      <c r="AB1354" s="108">
        <f t="shared" ref="AB1354:AC1354" ca="1" si="4108">AB1331+AB1342+AB1352</f>
        <v>1454.7746893858591</v>
      </c>
      <c r="AC1354" s="108">
        <f t="shared" ca="1" si="4108"/>
        <v>1454.7746893858591</v>
      </c>
      <c r="AD1354" s="23"/>
      <c r="AE1354" s="54">
        <f t="shared" ca="1" si="4049"/>
        <v>26122.157490497564</v>
      </c>
    </row>
    <row r="1355" spans="1:31" outlineLevel="1" x14ac:dyDescent="0.2">
      <c r="A1355" s="23" t="str">
        <f ca="1">Language!A$766</f>
        <v>Денежные средства на начало периода</v>
      </c>
      <c r="B1355" s="179"/>
      <c r="C1355" s="294" t="str">
        <f ca="1">CUR_Report</f>
        <v>тыс. EUR</v>
      </c>
      <c r="D1355" s="16" t="s">
        <v>2710</v>
      </c>
      <c r="E1355" s="179"/>
      <c r="F1355" s="209">
        <f t="shared" ref="F1355:AC1355" si="4109">E1356</f>
        <v>0</v>
      </c>
      <c r="G1355" s="209">
        <f t="shared" ca="1" si="4109"/>
        <v>0</v>
      </c>
      <c r="H1355" s="209">
        <f t="shared" ca="1" si="4109"/>
        <v>0</v>
      </c>
      <c r="I1355" s="209">
        <f t="shared" ca="1" si="4109"/>
        <v>0</v>
      </c>
      <c r="J1355" s="209">
        <f t="shared" ca="1" si="4109"/>
        <v>0</v>
      </c>
      <c r="K1355" s="209">
        <f t="shared" ca="1" si="4109"/>
        <v>0</v>
      </c>
      <c r="L1355" s="209">
        <f t="shared" ca="1" si="4109"/>
        <v>2827.4120312836421</v>
      </c>
      <c r="M1355" s="209">
        <f t="shared" ca="1" si="4109"/>
        <v>2843.035293184585</v>
      </c>
      <c r="N1355" s="209">
        <f t="shared" ca="1" si="4109"/>
        <v>3506.0283310907325</v>
      </c>
      <c r="O1355" s="209">
        <f t="shared" ca="1" si="4109"/>
        <v>4470.038573843618</v>
      </c>
      <c r="P1355" s="209">
        <f t="shared" ca="1" si="4109"/>
        <v>5755.3118390955333</v>
      </c>
      <c r="Q1355" s="209">
        <f t="shared" ca="1" si="4109"/>
        <v>7210.0865284813926</v>
      </c>
      <c r="R1355" s="209">
        <f t="shared" ca="1" si="4109"/>
        <v>8664.861217867252</v>
      </c>
      <c r="S1355" s="209">
        <f t="shared" ca="1" si="4109"/>
        <v>10119.63590725311</v>
      </c>
      <c r="T1355" s="209">
        <f t="shared" ca="1" si="4109"/>
        <v>11574.410596638969</v>
      </c>
      <c r="U1355" s="209">
        <f t="shared" ca="1" si="4109"/>
        <v>13029.185286024827</v>
      </c>
      <c r="V1355" s="209">
        <f t="shared" ca="1" si="4109"/>
        <v>14483.959975410686</v>
      </c>
      <c r="W1355" s="209">
        <f t="shared" ca="1" si="4109"/>
        <v>15938.734664796544</v>
      </c>
      <c r="X1355" s="209">
        <f t="shared" ca="1" si="4109"/>
        <v>17393.509354182403</v>
      </c>
      <c r="Y1355" s="209">
        <f t="shared" ca="1" si="4109"/>
        <v>18848.284043568263</v>
      </c>
      <c r="Z1355" s="209">
        <f t="shared" ca="1" si="4109"/>
        <v>20303.058732954123</v>
      </c>
      <c r="AA1355" s="209">
        <f t="shared" ca="1" si="4109"/>
        <v>21757.833422339983</v>
      </c>
      <c r="AB1355" s="209">
        <f t="shared" ca="1" si="4109"/>
        <v>23212.608111725844</v>
      </c>
      <c r="AC1355" s="209">
        <f t="shared" ca="1" si="4109"/>
        <v>24667.382801111704</v>
      </c>
      <c r="AD1355" s="35"/>
      <c r="AE1355" s="51"/>
    </row>
    <row r="1356" spans="1:31" outlineLevel="1" x14ac:dyDescent="0.2">
      <c r="A1356" s="35" t="str">
        <f ca="1">Language!A$767</f>
        <v>Денежные средства на конец периода</v>
      </c>
      <c r="B1356" s="295"/>
      <c r="C1356" s="294" t="str">
        <f ca="1">CUR_Report</f>
        <v>тыс. EUR</v>
      </c>
      <c r="D1356" s="16" t="s">
        <v>2594</v>
      </c>
      <c r="E1356" s="179">
        <f>F57*IF(B37=1,1,F$88)/IF(CUR_I_Report=2,F$88,1)</f>
        <v>0</v>
      </c>
      <c r="F1356" s="58">
        <f ca="1">F1354+E1356</f>
        <v>0</v>
      </c>
      <c r="G1356" s="58">
        <f t="shared" ref="G1356:AC1356" ca="1" si="4110">G1354+F1356*IF(CUR_I_Report=2,F$88/G$88,1)</f>
        <v>0</v>
      </c>
      <c r="H1356" s="58">
        <f t="shared" ca="1" si="4110"/>
        <v>0</v>
      </c>
      <c r="I1356" s="58">
        <f t="shared" ca="1" si="4110"/>
        <v>0</v>
      </c>
      <c r="J1356" s="58">
        <f t="shared" ca="1" si="4110"/>
        <v>0</v>
      </c>
      <c r="K1356" s="58">
        <f t="shared" ca="1" si="4110"/>
        <v>2827.4120312836421</v>
      </c>
      <c r="L1356" s="58">
        <f t="shared" ca="1" si="4110"/>
        <v>2843.035293184585</v>
      </c>
      <c r="M1356" s="58">
        <f t="shared" ca="1" si="4110"/>
        <v>3506.0283310907325</v>
      </c>
      <c r="N1356" s="58">
        <f t="shared" ca="1" si="4110"/>
        <v>4470.038573843618</v>
      </c>
      <c r="O1356" s="58">
        <f t="shared" ca="1" si="4110"/>
        <v>5755.3118390955333</v>
      </c>
      <c r="P1356" s="58">
        <f t="shared" ca="1" si="4110"/>
        <v>7210.0865284813926</v>
      </c>
      <c r="Q1356" s="58">
        <f t="shared" ca="1" si="4110"/>
        <v>8664.861217867252</v>
      </c>
      <c r="R1356" s="58">
        <f t="shared" ca="1" si="4110"/>
        <v>10119.63590725311</v>
      </c>
      <c r="S1356" s="58">
        <f t="shared" ca="1" si="4110"/>
        <v>11574.410596638969</v>
      </c>
      <c r="T1356" s="58">
        <f t="shared" ca="1" si="4110"/>
        <v>13029.185286024827</v>
      </c>
      <c r="U1356" s="58">
        <f t="shared" ca="1" si="4110"/>
        <v>14483.959975410686</v>
      </c>
      <c r="V1356" s="58">
        <f t="shared" ca="1" si="4110"/>
        <v>15938.734664796544</v>
      </c>
      <c r="W1356" s="58">
        <f t="shared" ca="1" si="4110"/>
        <v>17393.509354182403</v>
      </c>
      <c r="X1356" s="58">
        <f t="shared" ca="1" si="4110"/>
        <v>18848.284043568263</v>
      </c>
      <c r="Y1356" s="58">
        <f t="shared" ca="1" si="4110"/>
        <v>20303.058732954123</v>
      </c>
      <c r="Z1356" s="58">
        <f t="shared" ca="1" si="4110"/>
        <v>21757.833422339983</v>
      </c>
      <c r="AA1356" s="58">
        <f t="shared" ca="1" si="4110"/>
        <v>23212.608111725844</v>
      </c>
      <c r="AB1356" s="58">
        <f t="shared" ca="1" si="4110"/>
        <v>24667.382801111704</v>
      </c>
      <c r="AC1356" s="58">
        <f t="shared" ca="1" si="4110"/>
        <v>26122.157490497564</v>
      </c>
      <c r="AD1356" s="35"/>
      <c r="AE1356" s="51"/>
    </row>
    <row r="1357" spans="1:31" outlineLevel="1" x14ac:dyDescent="0.2">
      <c r="A1357" s="63"/>
      <c r="B1357" s="63"/>
      <c r="C1357" s="63"/>
      <c r="D1357" s="63"/>
      <c r="E1357" s="63"/>
      <c r="F1357" s="63"/>
      <c r="G1357" s="63"/>
      <c r="H1357" s="63"/>
      <c r="I1357" s="63"/>
      <c r="J1357" s="63"/>
      <c r="K1357" s="63"/>
      <c r="L1357" s="63"/>
      <c r="M1357" s="63"/>
      <c r="N1357" s="63"/>
      <c r="O1357" s="63"/>
      <c r="P1357" s="63"/>
      <c r="Q1357" s="63"/>
      <c r="R1357" s="63"/>
      <c r="S1357" s="63"/>
      <c r="T1357" s="63"/>
      <c r="U1357" s="63"/>
      <c r="V1357" s="63"/>
      <c r="W1357" s="63"/>
      <c r="X1357" s="63"/>
      <c r="Y1357" s="63"/>
      <c r="Z1357" s="63"/>
      <c r="AA1357" s="63"/>
      <c r="AB1357" s="63"/>
      <c r="AC1357" s="63"/>
      <c r="AD1357" s="63"/>
      <c r="AE1357" s="64"/>
    </row>
    <row r="1358" spans="1:31" outlineLevel="1" x14ac:dyDescent="0.2">
      <c r="A1358" s="22" t="str">
        <f ca="1">Language!A$768 &amp; ", " &amp; Проект!CUR_Report</f>
        <v>График: Движение денежных средств, тыс. EUR</v>
      </c>
      <c r="B1358" s="19"/>
      <c r="C1358" s="19"/>
      <c r="D1358" s="19"/>
      <c r="E1358" s="19"/>
      <c r="F1358" s="19"/>
      <c r="G1358" s="19"/>
      <c r="H1358" s="19"/>
      <c r="I1358" s="19"/>
      <c r="J1358" s="19"/>
      <c r="K1358" s="19"/>
      <c r="L1358" s="19"/>
      <c r="M1358" s="19"/>
      <c r="N1358" s="19"/>
      <c r="O1358" s="19"/>
      <c r="P1358" s="19"/>
      <c r="Q1358" s="19"/>
      <c r="R1358" s="19"/>
      <c r="S1358" s="19"/>
      <c r="T1358" s="19"/>
      <c r="U1358" s="19"/>
      <c r="V1358" s="19"/>
      <c r="W1358" s="19"/>
      <c r="X1358" s="19"/>
      <c r="Y1358" s="19"/>
      <c r="Z1358" s="19"/>
      <c r="AA1358" s="19"/>
      <c r="AB1358" s="19"/>
      <c r="AC1358" s="19"/>
      <c r="AD1358" s="19"/>
      <c r="AE1358" s="22"/>
    </row>
    <row r="1359" spans="1:31" outlineLevel="2" x14ac:dyDescent="0.2"/>
    <row r="1360" spans="1:31" outlineLevel="2" x14ac:dyDescent="0.2"/>
    <row r="1361" outlineLevel="2" x14ac:dyDescent="0.2"/>
    <row r="1362" outlineLevel="2" x14ac:dyDescent="0.2"/>
    <row r="1363" outlineLevel="2" x14ac:dyDescent="0.2"/>
    <row r="1364" outlineLevel="2" x14ac:dyDescent="0.2"/>
    <row r="1365" outlineLevel="2" x14ac:dyDescent="0.2"/>
    <row r="1366" outlineLevel="2" x14ac:dyDescent="0.2"/>
    <row r="1367" outlineLevel="2" x14ac:dyDescent="0.2"/>
    <row r="1368" outlineLevel="2" x14ac:dyDescent="0.2"/>
    <row r="1369" outlineLevel="2" x14ac:dyDescent="0.2"/>
    <row r="1370" outlineLevel="2" x14ac:dyDescent="0.2"/>
    <row r="1371" outlineLevel="2" x14ac:dyDescent="0.2"/>
    <row r="1372" outlineLevel="2" x14ac:dyDescent="0.2"/>
    <row r="1373" outlineLevel="2" x14ac:dyDescent="0.2"/>
    <row r="1374" outlineLevel="2" x14ac:dyDescent="0.2"/>
    <row r="1375" outlineLevel="2" x14ac:dyDescent="0.2"/>
    <row r="1376" outlineLevel="2" x14ac:dyDescent="0.2"/>
    <row r="1377" spans="1:1" outlineLevel="2" x14ac:dyDescent="0.2"/>
    <row r="1378" spans="1:1" outlineLevel="2" x14ac:dyDescent="0.2"/>
    <row r="1379" spans="1:1" outlineLevel="2" x14ac:dyDescent="0.2"/>
    <row r="1380" spans="1:1" outlineLevel="2" x14ac:dyDescent="0.2"/>
    <row r="1381" spans="1:1" outlineLevel="2" x14ac:dyDescent="0.2"/>
    <row r="1382" spans="1:1" outlineLevel="1" x14ac:dyDescent="0.2"/>
    <row r="1383" spans="1:1" outlineLevel="1" x14ac:dyDescent="0.2">
      <c r="A1383" s="11" t="str">
        <f ca="1">Language!A$769 &amp; ", " &amp; Проект!CUR_Report</f>
        <v>График: Остаток денежных средств, тыс. EUR</v>
      </c>
    </row>
    <row r="1384" spans="1:1" outlineLevel="2" x14ac:dyDescent="0.2"/>
    <row r="1385" spans="1:1" outlineLevel="2" x14ac:dyDescent="0.2"/>
    <row r="1386" spans="1:1" outlineLevel="2" x14ac:dyDescent="0.2"/>
    <row r="1387" spans="1:1" outlineLevel="2" x14ac:dyDescent="0.2"/>
    <row r="1388" spans="1:1" outlineLevel="2" x14ac:dyDescent="0.2"/>
    <row r="1389" spans="1:1" outlineLevel="2" x14ac:dyDescent="0.2"/>
    <row r="1390" spans="1:1" outlineLevel="2" x14ac:dyDescent="0.2"/>
    <row r="1391" spans="1:1" outlineLevel="2" x14ac:dyDescent="0.2"/>
    <row r="1392" spans="1:1" outlineLevel="2" x14ac:dyDescent="0.2"/>
    <row r="1393" spans="1:31" outlineLevel="2" x14ac:dyDescent="0.2"/>
    <row r="1394" spans="1:31" outlineLevel="2" x14ac:dyDescent="0.2"/>
    <row r="1395" spans="1:31" outlineLevel="2" x14ac:dyDescent="0.2"/>
    <row r="1396" spans="1:31" outlineLevel="2" x14ac:dyDescent="0.2"/>
    <row r="1397" spans="1:31" outlineLevel="2" x14ac:dyDescent="0.2"/>
    <row r="1398" spans="1:31" outlineLevel="2" x14ac:dyDescent="0.2"/>
    <row r="1399" spans="1:31" outlineLevel="2" x14ac:dyDescent="0.2"/>
    <row r="1400" spans="1:31" outlineLevel="2" x14ac:dyDescent="0.2"/>
    <row r="1401" spans="1:31" outlineLevel="2" x14ac:dyDescent="0.2"/>
    <row r="1402" spans="1:31" outlineLevel="2" x14ac:dyDescent="0.2"/>
    <row r="1403" spans="1:31" outlineLevel="2" x14ac:dyDescent="0.2"/>
    <row r="1404" spans="1:31" outlineLevel="2" x14ac:dyDescent="0.2"/>
    <row r="1405" spans="1:31" outlineLevel="2" x14ac:dyDescent="0.2"/>
    <row r="1406" spans="1:31" outlineLevel="2" x14ac:dyDescent="0.2"/>
    <row r="1407" spans="1:31" outlineLevel="1" x14ac:dyDescent="0.2"/>
    <row r="1408" spans="1:31" outlineLevel="1" collapsed="1" x14ac:dyDescent="0.2">
      <c r="A1408" s="22" t="str">
        <f ca="1">Language!A$1012 &amp; ", " &amp; Проект!CUR_Report</f>
        <v>График: Движение денег по кредитам, тыс. EUR</v>
      </c>
      <c r="B1408" s="19"/>
      <c r="C1408" s="19"/>
      <c r="D1408" s="19"/>
      <c r="E1408" s="19"/>
      <c r="F1408" s="19"/>
      <c r="G1408" s="19"/>
      <c r="H1408" s="19"/>
      <c r="I1408" s="19"/>
      <c r="J1408" s="19"/>
      <c r="K1408" s="19"/>
      <c r="L1408" s="19"/>
      <c r="M1408" s="19"/>
      <c r="N1408" s="19"/>
      <c r="O1408" s="19"/>
      <c r="P1408" s="19"/>
      <c r="Q1408" s="19"/>
      <c r="R1408" s="19"/>
      <c r="S1408" s="19"/>
      <c r="T1408" s="19"/>
      <c r="U1408" s="19"/>
      <c r="V1408" s="19"/>
      <c r="W1408" s="19"/>
      <c r="X1408" s="19"/>
      <c r="Y1408" s="19"/>
      <c r="Z1408" s="19"/>
      <c r="AA1408" s="19"/>
      <c r="AB1408" s="19"/>
      <c r="AC1408" s="19"/>
      <c r="AD1408" s="19"/>
      <c r="AE1408" s="22"/>
    </row>
    <row r="1409" hidden="1" outlineLevel="2" x14ac:dyDescent="0.2"/>
    <row r="1410" hidden="1" outlineLevel="2" x14ac:dyDescent="0.2"/>
    <row r="1411" hidden="1" outlineLevel="2" x14ac:dyDescent="0.2"/>
    <row r="1412" hidden="1" outlineLevel="2" x14ac:dyDescent="0.2"/>
    <row r="1413" hidden="1" outlineLevel="2" x14ac:dyDescent="0.2"/>
    <row r="1414" hidden="1" outlineLevel="2" x14ac:dyDescent="0.2"/>
    <row r="1415" hidden="1" outlineLevel="2" x14ac:dyDescent="0.2"/>
    <row r="1416" hidden="1" outlineLevel="2" x14ac:dyDescent="0.2"/>
    <row r="1417" hidden="1" outlineLevel="2" x14ac:dyDescent="0.2"/>
    <row r="1418" hidden="1" outlineLevel="2" x14ac:dyDescent="0.2"/>
    <row r="1419" hidden="1" outlineLevel="2" x14ac:dyDescent="0.2"/>
    <row r="1420" hidden="1" outlineLevel="2" x14ac:dyDescent="0.2"/>
    <row r="1421" hidden="1" outlineLevel="2" x14ac:dyDescent="0.2"/>
    <row r="1422" hidden="1" outlineLevel="2" x14ac:dyDescent="0.2"/>
    <row r="1423" hidden="1" outlineLevel="2" x14ac:dyDescent="0.2"/>
    <row r="1424" hidden="1" outlineLevel="2" x14ac:dyDescent="0.2"/>
    <row r="1425" spans="1:1" hidden="1" outlineLevel="2" x14ac:dyDescent="0.2"/>
    <row r="1426" spans="1:1" hidden="1" outlineLevel="2" x14ac:dyDescent="0.2"/>
    <row r="1427" spans="1:1" hidden="1" outlineLevel="2" x14ac:dyDescent="0.2"/>
    <row r="1428" spans="1:1" hidden="1" outlineLevel="2" x14ac:dyDescent="0.2"/>
    <row r="1429" spans="1:1" hidden="1" outlineLevel="2" x14ac:dyDescent="0.2"/>
    <row r="1430" spans="1:1" hidden="1" outlineLevel="2" x14ac:dyDescent="0.2"/>
    <row r="1431" spans="1:1" hidden="1" outlineLevel="2" x14ac:dyDescent="0.2"/>
    <row r="1432" spans="1:1" outlineLevel="1" x14ac:dyDescent="0.2"/>
    <row r="1433" spans="1:1" outlineLevel="1" x14ac:dyDescent="0.2">
      <c r="A1433" s="11" t="str">
        <f ca="1">Language!A$1014 &amp; ", " &amp; Проект!CUR_Report</f>
        <v>График: Поступления от продаж, тыс. EUR</v>
      </c>
    </row>
    <row r="1434" spans="1:1" outlineLevel="2" x14ac:dyDescent="0.2"/>
    <row r="1435" spans="1:1" outlineLevel="2" x14ac:dyDescent="0.2"/>
    <row r="1436" spans="1:1" outlineLevel="2" x14ac:dyDescent="0.2"/>
    <row r="1437" spans="1:1" outlineLevel="2" x14ac:dyDescent="0.2"/>
    <row r="1438" spans="1:1" outlineLevel="2" x14ac:dyDescent="0.2"/>
    <row r="1439" spans="1:1" outlineLevel="2" x14ac:dyDescent="0.2"/>
    <row r="1440" spans="1:1" outlineLevel="2" x14ac:dyDescent="0.2"/>
    <row r="1441" outlineLevel="2" x14ac:dyDescent="0.2"/>
    <row r="1442" outlineLevel="2" x14ac:dyDescent="0.2"/>
    <row r="1443" outlineLevel="2" x14ac:dyDescent="0.2"/>
    <row r="1444" outlineLevel="2" x14ac:dyDescent="0.2"/>
    <row r="1445" outlineLevel="2" x14ac:dyDescent="0.2"/>
    <row r="1446" outlineLevel="2" x14ac:dyDescent="0.2"/>
    <row r="1447" outlineLevel="2" x14ac:dyDescent="0.2"/>
    <row r="1448" outlineLevel="2" x14ac:dyDescent="0.2"/>
    <row r="1449" outlineLevel="2" x14ac:dyDescent="0.2"/>
    <row r="1450" outlineLevel="2" x14ac:dyDescent="0.2"/>
    <row r="1451" outlineLevel="2" x14ac:dyDescent="0.2"/>
    <row r="1452" outlineLevel="2" x14ac:dyDescent="0.2"/>
    <row r="1453" outlineLevel="2" x14ac:dyDescent="0.2"/>
    <row r="1454" outlineLevel="2" x14ac:dyDescent="0.2"/>
    <row r="1455" outlineLevel="2" x14ac:dyDescent="0.2"/>
    <row r="1456" outlineLevel="2" x14ac:dyDescent="0.2"/>
    <row r="1457" spans="1:31" outlineLevel="1" x14ac:dyDescent="0.2"/>
    <row r="1458" spans="1:31" outlineLevel="1" x14ac:dyDescent="0.2"/>
    <row r="1459" spans="1:31" s="4" customFormat="1" ht="15.95" customHeight="1" thickBot="1" x14ac:dyDescent="0.25">
      <c r="A1459" s="165" t="str">
        <f ca="1">Language!A770</f>
        <v xml:space="preserve">         БАЛАНС</v>
      </c>
      <c r="B1459" s="165"/>
      <c r="C1459" s="165"/>
      <c r="D1459" s="165"/>
      <c r="E1459" s="165"/>
      <c r="F1459" s="177" t="str">
        <f t="shared" ref="F1459:AC1459" ca="1" si="4111">PeriodTitle</f>
        <v>1 кв. 2016</v>
      </c>
      <c r="G1459" s="177" t="str">
        <f t="shared" ca="1" si="4111"/>
        <v>2 кв. 2016</v>
      </c>
      <c r="H1459" s="177" t="str">
        <f t="shared" ca="1" si="4111"/>
        <v>3 кв. 2016</v>
      </c>
      <c r="I1459" s="177" t="str">
        <f t="shared" ca="1" si="4111"/>
        <v>4 кв. 2016</v>
      </c>
      <c r="J1459" s="177" t="str">
        <f t="shared" ca="1" si="4111"/>
        <v>1 кв. 2017</v>
      </c>
      <c r="K1459" s="177" t="str">
        <f t="shared" ca="1" si="4111"/>
        <v>2 кв. 2017</v>
      </c>
      <c r="L1459" s="177" t="str">
        <f t="shared" ca="1" si="4111"/>
        <v>3 кв. 2017</v>
      </c>
      <c r="M1459" s="177" t="str">
        <f t="shared" ca="1" si="4111"/>
        <v>4 кв. 2017</v>
      </c>
      <c r="N1459" s="177" t="str">
        <f t="shared" ca="1" si="4111"/>
        <v>1 кв. 2018</v>
      </c>
      <c r="O1459" s="177" t="str">
        <f t="shared" ca="1" si="4111"/>
        <v>2 кв. 2018</v>
      </c>
      <c r="P1459" s="177" t="str">
        <f t="shared" ca="1" si="4111"/>
        <v>3 кв. 2018</v>
      </c>
      <c r="Q1459" s="177" t="str">
        <f t="shared" ca="1" si="4111"/>
        <v>4 кв. 2018</v>
      </c>
      <c r="R1459" s="177" t="str">
        <f t="shared" ca="1" si="4111"/>
        <v>1 кв. 2019</v>
      </c>
      <c r="S1459" s="177" t="str">
        <f t="shared" ca="1" si="4111"/>
        <v>2 кв. 2019</v>
      </c>
      <c r="T1459" s="177" t="str">
        <f t="shared" ca="1" si="4111"/>
        <v>3 кв. 2019</v>
      </c>
      <c r="U1459" s="177" t="str">
        <f t="shared" ca="1" si="4111"/>
        <v>4 кв. 2019</v>
      </c>
      <c r="V1459" s="177" t="str">
        <f t="shared" ca="1" si="4111"/>
        <v>1 кв. 2020</v>
      </c>
      <c r="W1459" s="177" t="str">
        <f t="shared" ca="1" si="4111"/>
        <v>2 кв. 2020</v>
      </c>
      <c r="X1459" s="177" t="str">
        <f t="shared" ca="1" si="4111"/>
        <v>3 кв. 2020</v>
      </c>
      <c r="Y1459" s="177" t="str">
        <f t="shared" ca="1" si="4111"/>
        <v>4 кв. 2020</v>
      </c>
      <c r="Z1459" s="177" t="str">
        <f t="shared" ca="1" si="4111"/>
        <v>1 кв. 2021</v>
      </c>
      <c r="AA1459" s="177" t="str">
        <f t="shared" ca="1" si="4111"/>
        <v>2 кв. 2021</v>
      </c>
      <c r="AB1459" s="177" t="str">
        <f t="shared" ca="1" si="4111"/>
        <v>3 кв. 2021</v>
      </c>
      <c r="AC1459" s="177" t="str">
        <f t="shared" ca="1" si="4111"/>
        <v>4 кв. 2021</v>
      </c>
      <c r="AD1459" s="165"/>
      <c r="AE1459" s="109"/>
    </row>
    <row r="1460" spans="1:31" ht="12" outlineLevel="1" thickTop="1" x14ac:dyDescent="0.2"/>
    <row r="1461" spans="1:31" outlineLevel="1" x14ac:dyDescent="0.2">
      <c r="A1461" t="str">
        <f ca="1">Language!A$771</f>
        <v>Денежные средства</v>
      </c>
      <c r="C1461" s="5" t="str">
        <f t="shared" ref="C1461:C1470" ca="1" si="4112">CUR_Report</f>
        <v>тыс. EUR</v>
      </c>
      <c r="D1461" s="16" t="s">
        <v>2594</v>
      </c>
      <c r="F1461" s="53">
        <f t="shared" ref="F1461:T1461" ca="1" si="4113">F1356+F1060/IF(CUR_I_Report=2,F$88,1)</f>
        <v>0</v>
      </c>
      <c r="G1461" s="53">
        <f t="shared" ca="1" si="4113"/>
        <v>0</v>
      </c>
      <c r="H1461" s="53">
        <f t="shared" ca="1" si="4113"/>
        <v>0</v>
      </c>
      <c r="I1461" s="53">
        <f t="shared" ca="1" si="4113"/>
        <v>0</v>
      </c>
      <c r="J1461" s="53">
        <f t="shared" ca="1" si="4113"/>
        <v>0</v>
      </c>
      <c r="K1461" s="53">
        <f t="shared" ca="1" si="4113"/>
        <v>2827.4120312836421</v>
      </c>
      <c r="L1461" s="53">
        <f t="shared" ca="1" si="4113"/>
        <v>2843.035293184585</v>
      </c>
      <c r="M1461" s="53">
        <f t="shared" ca="1" si="4113"/>
        <v>3506.0283310907325</v>
      </c>
      <c r="N1461" s="53">
        <f t="shared" ca="1" si="4113"/>
        <v>4470.038573843618</v>
      </c>
      <c r="O1461" s="53">
        <f t="shared" ca="1" si="4113"/>
        <v>5755.3118390955333</v>
      </c>
      <c r="P1461" s="53">
        <f t="shared" ca="1" si="4113"/>
        <v>7210.0865284813926</v>
      </c>
      <c r="Q1461" s="53">
        <f t="shared" ca="1" si="4113"/>
        <v>8664.861217867252</v>
      </c>
      <c r="R1461" s="53">
        <f t="shared" ca="1" si="4113"/>
        <v>10119.63590725311</v>
      </c>
      <c r="S1461" s="53">
        <f t="shared" ca="1" si="4113"/>
        <v>11574.410596638969</v>
      </c>
      <c r="T1461" s="53">
        <f t="shared" ca="1" si="4113"/>
        <v>13029.185286024827</v>
      </c>
      <c r="U1461" s="53">
        <f t="shared" ref="U1461" ca="1" si="4114">U1356+U1060/IF(CUR_I_Report=2,U$88,1)</f>
        <v>14483.959975410686</v>
      </c>
      <c r="V1461" s="53">
        <f t="shared" ref="V1461" ca="1" si="4115">V1356+V1060/IF(CUR_I_Report=2,V$88,1)</f>
        <v>15938.734664796544</v>
      </c>
      <c r="W1461" s="53">
        <f t="shared" ref="W1461" ca="1" si="4116">W1356+W1060/IF(CUR_I_Report=2,W$88,1)</f>
        <v>17393.509354182403</v>
      </c>
      <c r="X1461" s="53">
        <f t="shared" ref="X1461" ca="1" si="4117">X1356+X1060/IF(CUR_I_Report=2,X$88,1)</f>
        <v>18848.284043568263</v>
      </c>
      <c r="Y1461" s="53">
        <f t="shared" ref="Y1461" ca="1" si="4118">Y1356+Y1060/IF(CUR_I_Report=2,Y$88,1)</f>
        <v>20303.058732954123</v>
      </c>
      <c r="Z1461" s="53">
        <f t="shared" ref="Z1461" ca="1" si="4119">Z1356+Z1060/IF(CUR_I_Report=2,Z$88,1)</f>
        <v>21757.833422339983</v>
      </c>
      <c r="AA1461" s="53">
        <f t="shared" ref="AA1461" ca="1" si="4120">AA1356+AA1060/IF(CUR_I_Report=2,AA$88,1)</f>
        <v>23212.608111725844</v>
      </c>
      <c r="AB1461" s="53">
        <f t="shared" ref="AB1461:AC1461" ca="1" si="4121">AB1356+AB1060/IF(CUR_I_Report=2,AB$88,1)</f>
        <v>24667.382801111704</v>
      </c>
      <c r="AC1461" s="53">
        <f t="shared" ca="1" si="4121"/>
        <v>26122.157490497564</v>
      </c>
    </row>
    <row r="1462" spans="1:31" outlineLevel="1" x14ac:dyDescent="0.2">
      <c r="A1462" t="str">
        <f ca="1">Language!A$772</f>
        <v>Дебиторская задолженность</v>
      </c>
      <c r="C1462" s="5" t="str">
        <f t="shared" ca="1" si="4112"/>
        <v>тыс. EUR</v>
      </c>
      <c r="D1462" s="16" t="s">
        <v>2594</v>
      </c>
      <c r="F1462" s="53">
        <f t="shared" ref="F1462:T1462" si="4122">F1029/IF(CUR_I_Report=2,F$88,1)</f>
        <v>0</v>
      </c>
      <c r="G1462" s="53">
        <f t="shared" si="4122"/>
        <v>0</v>
      </c>
      <c r="H1462" s="53">
        <f t="shared" si="4122"/>
        <v>0</v>
      </c>
      <c r="I1462" s="53">
        <f t="shared" si="4122"/>
        <v>0</v>
      </c>
      <c r="J1462" s="53">
        <f t="shared" si="4122"/>
        <v>0</v>
      </c>
      <c r="K1462" s="53">
        <f t="shared" si="4122"/>
        <v>0</v>
      </c>
      <c r="L1462" s="53">
        <f t="shared" si="4122"/>
        <v>0</v>
      </c>
      <c r="M1462" s="53">
        <f t="shared" si="4122"/>
        <v>0</v>
      </c>
      <c r="N1462" s="53">
        <f t="shared" si="4122"/>
        <v>0</v>
      </c>
      <c r="O1462" s="53">
        <f t="shared" si="4122"/>
        <v>0</v>
      </c>
      <c r="P1462" s="53">
        <f t="shared" si="4122"/>
        <v>0</v>
      </c>
      <c r="Q1462" s="53">
        <f t="shared" si="4122"/>
        <v>0</v>
      </c>
      <c r="R1462" s="53">
        <f t="shared" si="4122"/>
        <v>0</v>
      </c>
      <c r="S1462" s="53">
        <f t="shared" si="4122"/>
        <v>0</v>
      </c>
      <c r="T1462" s="53">
        <f t="shared" si="4122"/>
        <v>0</v>
      </c>
      <c r="U1462" s="53">
        <f t="shared" ref="U1462" si="4123">U1029/IF(CUR_I_Report=2,U$88,1)</f>
        <v>0</v>
      </c>
      <c r="V1462" s="53">
        <f t="shared" ref="V1462" si="4124">V1029/IF(CUR_I_Report=2,V$88,1)</f>
        <v>0</v>
      </c>
      <c r="W1462" s="53">
        <f t="shared" ref="W1462" si="4125">W1029/IF(CUR_I_Report=2,W$88,1)</f>
        <v>0</v>
      </c>
      <c r="X1462" s="53">
        <f t="shared" ref="X1462" si="4126">X1029/IF(CUR_I_Report=2,X$88,1)</f>
        <v>0</v>
      </c>
      <c r="Y1462" s="53">
        <f t="shared" ref="Y1462" si="4127">Y1029/IF(CUR_I_Report=2,Y$88,1)</f>
        <v>0</v>
      </c>
      <c r="Z1462" s="53">
        <f t="shared" ref="Z1462" si="4128">Z1029/IF(CUR_I_Report=2,Z$88,1)</f>
        <v>0</v>
      </c>
      <c r="AA1462" s="53">
        <f t="shared" ref="AA1462" si="4129">AA1029/IF(CUR_I_Report=2,AA$88,1)</f>
        <v>0</v>
      </c>
      <c r="AB1462" s="53">
        <f t="shared" ref="AB1462:AC1462" si="4130">AB1029/IF(CUR_I_Report=2,AB$88,1)</f>
        <v>0</v>
      </c>
      <c r="AC1462" s="53">
        <f t="shared" si="4130"/>
        <v>0</v>
      </c>
    </row>
    <row r="1463" spans="1:31" outlineLevel="1" x14ac:dyDescent="0.2">
      <c r="A1463" t="str">
        <f ca="1">Language!A$773</f>
        <v>Авансы уплаченные</v>
      </c>
      <c r="C1463" s="5" t="str">
        <f t="shared" ca="1" si="4112"/>
        <v>тыс. EUR</v>
      </c>
      <c r="D1463" s="16" t="s">
        <v>2594</v>
      </c>
      <c r="F1463" s="53">
        <f t="shared" ref="F1463:X1463" ca="1" si="4131">(F563+F602+F612+F1044+MAX(F653,0))/IF(CUR_I_Report=2,F$88,1)</f>
        <v>0</v>
      </c>
      <c r="G1463" s="53">
        <f t="shared" ca="1" si="4131"/>
        <v>0</v>
      </c>
      <c r="H1463" s="53">
        <f t="shared" ca="1" si="4131"/>
        <v>0</v>
      </c>
      <c r="I1463" s="53">
        <f t="shared" ca="1" si="4131"/>
        <v>0</v>
      </c>
      <c r="J1463" s="53">
        <f t="shared" ca="1" si="4131"/>
        <v>141.94909312500653</v>
      </c>
      <c r="K1463" s="53">
        <f t="shared" ca="1" si="4131"/>
        <v>466.04827576903324</v>
      </c>
      <c r="L1463" s="53">
        <f t="shared" ca="1" si="4131"/>
        <v>0</v>
      </c>
      <c r="M1463" s="53">
        <f t="shared" ca="1" si="4131"/>
        <v>0</v>
      </c>
      <c r="N1463" s="53">
        <f t="shared" ca="1" si="4131"/>
        <v>0</v>
      </c>
      <c r="O1463" s="53">
        <f t="shared" ca="1" si="4131"/>
        <v>1.3642420526593924E-12</v>
      </c>
      <c r="P1463" s="53">
        <f t="shared" ca="1" si="4131"/>
        <v>0</v>
      </c>
      <c r="Q1463" s="53">
        <f t="shared" ca="1" si="4131"/>
        <v>0</v>
      </c>
      <c r="R1463" s="53">
        <f t="shared" ca="1" si="4131"/>
        <v>0</v>
      </c>
      <c r="S1463" s="53">
        <f t="shared" ca="1" si="4131"/>
        <v>0</v>
      </c>
      <c r="T1463" s="53">
        <f t="shared" ca="1" si="4131"/>
        <v>0</v>
      </c>
      <c r="U1463" s="53">
        <f t="shared" ca="1" si="4131"/>
        <v>0</v>
      </c>
      <c r="V1463" s="53">
        <f t="shared" ca="1" si="4131"/>
        <v>0</v>
      </c>
      <c r="W1463" s="53">
        <f t="shared" ca="1" si="4131"/>
        <v>0</v>
      </c>
      <c r="X1463" s="53">
        <f t="shared" ca="1" si="4131"/>
        <v>0</v>
      </c>
      <c r="Y1463" s="53">
        <f t="shared" ref="Y1463" ca="1" si="4132">(Y563+Y602+Y612+Y1044+MAX(Y653,0))/IF(CUR_I_Report=2,Y$88,1)</f>
        <v>0</v>
      </c>
      <c r="Z1463" s="53">
        <f t="shared" ref="Z1463" ca="1" si="4133">(Z563+Z602+Z612+Z1044+MAX(Z653,0))/IF(CUR_I_Report=2,Z$88,1)</f>
        <v>0</v>
      </c>
      <c r="AA1463" s="53">
        <f t="shared" ref="AA1463" ca="1" si="4134">(AA563+AA602+AA612+AA1044+MAX(AA653,0))/IF(CUR_I_Report=2,AA$88,1)</f>
        <v>0</v>
      </c>
      <c r="AB1463" s="53">
        <f t="shared" ref="AB1463:AC1463" ca="1" si="4135">(AB563+AB602+AB612+AB1044+MAX(AB653,0))/IF(CUR_I_Report=2,AB$88,1)</f>
        <v>0</v>
      </c>
      <c r="AC1463" s="53">
        <f t="shared" ca="1" si="4135"/>
        <v>0</v>
      </c>
    </row>
    <row r="1464" spans="1:31" outlineLevel="1" x14ac:dyDescent="0.2">
      <c r="A1464" t="str">
        <f ca="1">Language!A$774</f>
        <v>Готовая продукция</v>
      </c>
      <c r="C1464" s="5" t="str">
        <f t="shared" ca="1" si="4112"/>
        <v>тыс. EUR</v>
      </c>
      <c r="D1464" s="16" t="s">
        <v>2594</v>
      </c>
      <c r="F1464" s="53">
        <f t="shared" ref="F1464:T1464" ca="1" si="4136">F1019/IF(CUR_I_Report=2,F$88,1)</f>
        <v>0</v>
      </c>
      <c r="G1464" s="53">
        <f t="shared" ca="1" si="4136"/>
        <v>0</v>
      </c>
      <c r="H1464" s="53">
        <f t="shared" ca="1" si="4136"/>
        <v>0</v>
      </c>
      <c r="I1464" s="53">
        <f t="shared" ca="1" si="4136"/>
        <v>0</v>
      </c>
      <c r="J1464" s="53">
        <f t="shared" ca="1" si="4136"/>
        <v>0</v>
      </c>
      <c r="K1464" s="53">
        <f t="shared" ca="1" si="4136"/>
        <v>5.6843418860808015E-14</v>
      </c>
      <c r="L1464" s="53">
        <f t="shared" ca="1" si="4136"/>
        <v>0</v>
      </c>
      <c r="M1464" s="53">
        <f t="shared" ca="1" si="4136"/>
        <v>0</v>
      </c>
      <c r="N1464" s="53">
        <f t="shared" ca="1" si="4136"/>
        <v>0</v>
      </c>
      <c r="O1464" s="53">
        <f t="shared" ca="1" si="4136"/>
        <v>0</v>
      </c>
      <c r="P1464" s="53">
        <f t="shared" ca="1" si="4136"/>
        <v>0</v>
      </c>
      <c r="Q1464" s="53">
        <f t="shared" ca="1" si="4136"/>
        <v>0</v>
      </c>
      <c r="R1464" s="53">
        <f t="shared" ca="1" si="4136"/>
        <v>0</v>
      </c>
      <c r="S1464" s="53">
        <f t="shared" ca="1" si="4136"/>
        <v>0</v>
      </c>
      <c r="T1464" s="53">
        <f t="shared" ca="1" si="4136"/>
        <v>0</v>
      </c>
      <c r="U1464" s="53">
        <f t="shared" ref="U1464" ca="1" si="4137">U1019/IF(CUR_I_Report=2,U$88,1)</f>
        <v>0</v>
      </c>
      <c r="V1464" s="53">
        <f t="shared" ref="V1464" ca="1" si="4138">V1019/IF(CUR_I_Report=2,V$88,1)</f>
        <v>0</v>
      </c>
      <c r="W1464" s="53">
        <f t="shared" ref="W1464" ca="1" si="4139">W1019/IF(CUR_I_Report=2,W$88,1)</f>
        <v>0</v>
      </c>
      <c r="X1464" s="53">
        <f t="shared" ref="X1464" ca="1" si="4140">X1019/IF(CUR_I_Report=2,X$88,1)</f>
        <v>0</v>
      </c>
      <c r="Y1464" s="53">
        <f t="shared" ref="Y1464" ca="1" si="4141">Y1019/IF(CUR_I_Report=2,Y$88,1)</f>
        <v>0</v>
      </c>
      <c r="Z1464" s="53">
        <f t="shared" ref="Z1464" ca="1" si="4142">Z1019/IF(CUR_I_Report=2,Z$88,1)</f>
        <v>0</v>
      </c>
      <c r="AA1464" s="53">
        <f t="shared" ref="AA1464" ca="1" si="4143">AA1019/IF(CUR_I_Report=2,AA$88,1)</f>
        <v>0</v>
      </c>
      <c r="AB1464" s="53">
        <f t="shared" ref="AB1464:AC1464" ca="1" si="4144">AB1019/IF(CUR_I_Report=2,AB$88,1)</f>
        <v>0</v>
      </c>
      <c r="AC1464" s="53">
        <f t="shared" ca="1" si="4144"/>
        <v>0</v>
      </c>
    </row>
    <row r="1465" spans="1:31" outlineLevel="1" x14ac:dyDescent="0.2">
      <c r="A1465" t="str">
        <f ca="1">Language!A$775</f>
        <v>Незавершенное производство</v>
      </c>
      <c r="C1465" s="5" t="str">
        <f t="shared" ca="1" si="4112"/>
        <v>тыс. EUR</v>
      </c>
      <c r="D1465" s="16" t="s">
        <v>2594</v>
      </c>
      <c r="F1465" s="53">
        <f t="shared" ref="F1465:T1465" ca="1" si="4145">F1015/IF(CUR_I_Report=2,F$88,1)</f>
        <v>0</v>
      </c>
      <c r="G1465" s="53">
        <f t="shared" ca="1" si="4145"/>
        <v>0</v>
      </c>
      <c r="H1465" s="53">
        <f t="shared" ca="1" si="4145"/>
        <v>0</v>
      </c>
      <c r="I1465" s="53">
        <f t="shared" ca="1" si="4145"/>
        <v>0</v>
      </c>
      <c r="J1465" s="53">
        <f t="shared" ca="1" si="4145"/>
        <v>0</v>
      </c>
      <c r="K1465" s="53">
        <f t="shared" ca="1" si="4145"/>
        <v>0</v>
      </c>
      <c r="L1465" s="53">
        <f t="shared" ca="1" si="4145"/>
        <v>0</v>
      </c>
      <c r="M1465" s="53">
        <f t="shared" ca="1" si="4145"/>
        <v>0</v>
      </c>
      <c r="N1465" s="53">
        <f t="shared" ca="1" si="4145"/>
        <v>0</v>
      </c>
      <c r="O1465" s="53">
        <f t="shared" ca="1" si="4145"/>
        <v>0</v>
      </c>
      <c r="P1465" s="53">
        <f t="shared" ca="1" si="4145"/>
        <v>0</v>
      </c>
      <c r="Q1465" s="53">
        <f t="shared" ca="1" si="4145"/>
        <v>0</v>
      </c>
      <c r="R1465" s="53">
        <f t="shared" ca="1" si="4145"/>
        <v>0</v>
      </c>
      <c r="S1465" s="53">
        <f t="shared" ca="1" si="4145"/>
        <v>0</v>
      </c>
      <c r="T1465" s="53">
        <f t="shared" ca="1" si="4145"/>
        <v>0</v>
      </c>
      <c r="U1465" s="53">
        <f t="shared" ref="U1465" ca="1" si="4146">U1015/IF(CUR_I_Report=2,U$88,1)</f>
        <v>0</v>
      </c>
      <c r="V1465" s="53">
        <f t="shared" ref="V1465" ca="1" si="4147">V1015/IF(CUR_I_Report=2,V$88,1)</f>
        <v>0</v>
      </c>
      <c r="W1465" s="53">
        <f t="shared" ref="W1465" ca="1" si="4148">W1015/IF(CUR_I_Report=2,W$88,1)</f>
        <v>0</v>
      </c>
      <c r="X1465" s="53">
        <f t="shared" ref="X1465" ca="1" si="4149">X1015/IF(CUR_I_Report=2,X$88,1)</f>
        <v>0</v>
      </c>
      <c r="Y1465" s="53">
        <f t="shared" ref="Y1465" ca="1" si="4150">Y1015/IF(CUR_I_Report=2,Y$88,1)</f>
        <v>0</v>
      </c>
      <c r="Z1465" s="53">
        <f t="shared" ref="Z1465" ca="1" si="4151">Z1015/IF(CUR_I_Report=2,Z$88,1)</f>
        <v>0</v>
      </c>
      <c r="AA1465" s="53">
        <f t="shared" ref="AA1465" ca="1" si="4152">AA1015/IF(CUR_I_Report=2,AA$88,1)</f>
        <v>0</v>
      </c>
      <c r="AB1465" s="53">
        <f t="shared" ref="AB1465:AC1465" ca="1" si="4153">AB1015/IF(CUR_I_Report=2,AB$88,1)</f>
        <v>0</v>
      </c>
      <c r="AC1465" s="53">
        <f t="shared" ca="1" si="4153"/>
        <v>0</v>
      </c>
    </row>
    <row r="1466" spans="1:31" outlineLevel="1" x14ac:dyDescent="0.2">
      <c r="A1466" t="str">
        <f ca="1">Language!A$776</f>
        <v>Материалы и комплектующие</v>
      </c>
      <c r="C1466" s="5" t="str">
        <f t="shared" ca="1" si="4112"/>
        <v>тыс. EUR</v>
      </c>
      <c r="D1466" s="16" t="s">
        <v>2594</v>
      </c>
      <c r="F1466" s="53">
        <f t="shared" ref="F1466:T1466" ca="1" si="4154">F1011/IF(CUR_I_Report=2,F$88,1)</f>
        <v>0</v>
      </c>
      <c r="G1466" s="53">
        <f t="shared" ca="1" si="4154"/>
        <v>0</v>
      </c>
      <c r="H1466" s="53">
        <f t="shared" ca="1" si="4154"/>
        <v>0</v>
      </c>
      <c r="I1466" s="53">
        <f t="shared" ca="1" si="4154"/>
        <v>0</v>
      </c>
      <c r="J1466" s="53">
        <f t="shared" ca="1" si="4154"/>
        <v>0</v>
      </c>
      <c r="K1466" s="53">
        <f t="shared" ca="1" si="4154"/>
        <v>0</v>
      </c>
      <c r="L1466" s="53">
        <f t="shared" ca="1" si="4154"/>
        <v>0</v>
      </c>
      <c r="M1466" s="53">
        <f t="shared" ca="1" si="4154"/>
        <v>0</v>
      </c>
      <c r="N1466" s="53">
        <f t="shared" ca="1" si="4154"/>
        <v>0</v>
      </c>
      <c r="O1466" s="53">
        <f t="shared" ca="1" si="4154"/>
        <v>0</v>
      </c>
      <c r="P1466" s="53">
        <f t="shared" ca="1" si="4154"/>
        <v>0</v>
      </c>
      <c r="Q1466" s="53">
        <f t="shared" ca="1" si="4154"/>
        <v>0</v>
      </c>
      <c r="R1466" s="53">
        <f t="shared" ca="1" si="4154"/>
        <v>0</v>
      </c>
      <c r="S1466" s="53">
        <f t="shared" ca="1" si="4154"/>
        <v>0</v>
      </c>
      <c r="T1466" s="53">
        <f t="shared" ca="1" si="4154"/>
        <v>0</v>
      </c>
      <c r="U1466" s="53">
        <f t="shared" ref="U1466" ca="1" si="4155">U1011/IF(CUR_I_Report=2,U$88,1)</f>
        <v>0</v>
      </c>
      <c r="V1466" s="53">
        <f t="shared" ref="V1466" ca="1" si="4156">V1011/IF(CUR_I_Report=2,V$88,1)</f>
        <v>0</v>
      </c>
      <c r="W1466" s="53">
        <f t="shared" ref="W1466" ca="1" si="4157">W1011/IF(CUR_I_Report=2,W$88,1)</f>
        <v>0</v>
      </c>
      <c r="X1466" s="53">
        <f t="shared" ref="X1466" ca="1" si="4158">X1011/IF(CUR_I_Report=2,X$88,1)</f>
        <v>0</v>
      </c>
      <c r="Y1466" s="53">
        <f t="shared" ref="Y1466" ca="1" si="4159">Y1011/IF(CUR_I_Report=2,Y$88,1)</f>
        <v>0</v>
      </c>
      <c r="Z1466" s="53">
        <f t="shared" ref="Z1466" ca="1" si="4160">Z1011/IF(CUR_I_Report=2,Z$88,1)</f>
        <v>0</v>
      </c>
      <c r="AA1466" s="53">
        <f t="shared" ref="AA1466" ca="1" si="4161">AA1011/IF(CUR_I_Report=2,AA$88,1)</f>
        <v>0</v>
      </c>
      <c r="AB1466" s="53">
        <f t="shared" ref="AB1466:AC1466" ca="1" si="4162">AB1011/IF(CUR_I_Report=2,AB$88,1)</f>
        <v>0</v>
      </c>
      <c r="AC1466" s="53">
        <f t="shared" ca="1" si="4162"/>
        <v>0</v>
      </c>
    </row>
    <row r="1467" spans="1:31" outlineLevel="1" x14ac:dyDescent="0.2">
      <c r="A1467" t="str">
        <f ca="1">Language!A$777</f>
        <v>НДС на приобретенные товары</v>
      </c>
      <c r="C1467" s="5" t="str">
        <f t="shared" ca="1" si="4112"/>
        <v>тыс. EUR</v>
      </c>
      <c r="D1467" s="16" t="s">
        <v>2594</v>
      </c>
      <c r="F1467" s="53">
        <f t="shared" ref="F1467:X1467" ca="1" si="4163">((F128+F131)+MAX(0,$B535-$B545-$B547))/IF(CUR_I_Report=2,F$88,1)</f>
        <v>0</v>
      </c>
      <c r="G1467" s="53">
        <f t="shared" ca="1" si="4163"/>
        <v>0</v>
      </c>
      <c r="H1467" s="53">
        <f t="shared" ca="1" si="4163"/>
        <v>1027.5924207268845</v>
      </c>
      <c r="I1467" s="53">
        <f t="shared" ca="1" si="4163"/>
        <v>1311.7377865805431</v>
      </c>
      <c r="J1467" s="53">
        <f t="shared" ca="1" si="4163"/>
        <v>2625.3349535327798</v>
      </c>
      <c r="K1467" s="53">
        <f t="shared" ca="1" si="4163"/>
        <v>221.02481284025816</v>
      </c>
      <c r="L1467" s="53">
        <f t="shared" ca="1" si="4163"/>
        <v>551.56278743784458</v>
      </c>
      <c r="M1467" s="53">
        <f t="shared" ca="1" si="4163"/>
        <v>713.79832522173251</v>
      </c>
      <c r="N1467" s="53">
        <f t="shared" ca="1" si="4163"/>
        <v>1019.1054708427394</v>
      </c>
      <c r="O1467" s="53">
        <f t="shared" ca="1" si="4163"/>
        <v>1230.2623495590494</v>
      </c>
      <c r="P1467" s="53">
        <f t="shared" ca="1" si="4163"/>
        <v>1230.2623495590497</v>
      </c>
      <c r="Q1467" s="53">
        <f t="shared" ca="1" si="4163"/>
        <v>1230.2623495590497</v>
      </c>
      <c r="R1467" s="53">
        <f t="shared" ca="1" si="4163"/>
        <v>1230.2623495590497</v>
      </c>
      <c r="S1467" s="53">
        <f t="shared" ca="1" si="4163"/>
        <v>1230.2623495590497</v>
      </c>
      <c r="T1467" s="53">
        <f t="shared" ca="1" si="4163"/>
        <v>1230.2623495590497</v>
      </c>
      <c r="U1467" s="53">
        <f t="shared" ca="1" si="4163"/>
        <v>1230.2623495590497</v>
      </c>
      <c r="V1467" s="53">
        <f t="shared" ca="1" si="4163"/>
        <v>1230.2623495590497</v>
      </c>
      <c r="W1467" s="53">
        <f t="shared" ca="1" si="4163"/>
        <v>1230.2623495590497</v>
      </c>
      <c r="X1467" s="53">
        <f t="shared" ca="1" si="4163"/>
        <v>1230.2623495590497</v>
      </c>
      <c r="Y1467" s="53">
        <f t="shared" ref="Y1467" ca="1" si="4164">((Y128+Y131)+MAX(0,$B535-$B545-$B547))/IF(CUR_I_Report=2,Y$88,1)</f>
        <v>1230.2623495590497</v>
      </c>
      <c r="Z1467" s="53">
        <f t="shared" ref="Z1467" ca="1" si="4165">((Z128+Z131)+MAX(0,$B535-$B545-$B547))/IF(CUR_I_Report=2,Z$88,1)</f>
        <v>1230.2623495590497</v>
      </c>
      <c r="AA1467" s="53">
        <f t="shared" ref="AA1467" ca="1" si="4166">((AA128+AA131)+MAX(0,$B535-$B545-$B547))/IF(CUR_I_Report=2,AA$88,1)</f>
        <v>1230.2623495590497</v>
      </c>
      <c r="AB1467" s="53">
        <f t="shared" ref="AB1467:AC1467" ca="1" si="4167">((AB128+AB131)+MAX(0,$B535-$B545-$B547))/IF(CUR_I_Report=2,AB$88,1)</f>
        <v>1230.2623495590497</v>
      </c>
      <c r="AC1467" s="53">
        <f t="shared" ca="1" si="4167"/>
        <v>1230.2623495590497</v>
      </c>
    </row>
    <row r="1468" spans="1:31" outlineLevel="1" x14ac:dyDescent="0.2">
      <c r="A1468" t="str">
        <f ca="1">Language!A$778</f>
        <v>Расходы будущих периодов</v>
      </c>
      <c r="C1468" s="5" t="str">
        <f t="shared" ca="1" si="4112"/>
        <v>тыс. EUR</v>
      </c>
      <c r="D1468" s="16" t="s">
        <v>2594</v>
      </c>
      <c r="F1468" s="53">
        <f t="shared" ref="F1468:X1468" ca="1" si="4168">(F615+F266)/IF(CUR_I_Report=2,F$88,1)</f>
        <v>0</v>
      </c>
      <c r="G1468" s="53">
        <f t="shared" ca="1" si="4168"/>
        <v>0</v>
      </c>
      <c r="H1468" s="53">
        <f t="shared" ca="1" si="4168"/>
        <v>0</v>
      </c>
      <c r="I1468" s="53">
        <f t="shared" ca="1" si="4168"/>
        <v>0</v>
      </c>
      <c r="J1468" s="53">
        <f t="shared" ca="1" si="4168"/>
        <v>0</v>
      </c>
      <c r="K1468" s="53">
        <f t="shared" ca="1" si="4168"/>
        <v>0</v>
      </c>
      <c r="L1468" s="53">
        <f t="shared" ca="1" si="4168"/>
        <v>466.04827576903324</v>
      </c>
      <c r="M1468" s="53">
        <f t="shared" ca="1" si="4168"/>
        <v>466.04827576903324</v>
      </c>
      <c r="N1468" s="53">
        <f t="shared" ca="1" si="4168"/>
        <v>466.04827576903324</v>
      </c>
      <c r="O1468" s="53">
        <f t="shared" ca="1" si="4168"/>
        <v>466.04827576903324</v>
      </c>
      <c r="P1468" s="53">
        <f t="shared" ca="1" si="4168"/>
        <v>466.04827576903324</v>
      </c>
      <c r="Q1468" s="53">
        <f t="shared" ca="1" si="4168"/>
        <v>466.04827576903324</v>
      </c>
      <c r="R1468" s="53">
        <f t="shared" ca="1" si="4168"/>
        <v>466.04827576903324</v>
      </c>
      <c r="S1468" s="53">
        <f t="shared" ca="1" si="4168"/>
        <v>466.04827576903324</v>
      </c>
      <c r="T1468" s="53">
        <f t="shared" ca="1" si="4168"/>
        <v>466.04827576903324</v>
      </c>
      <c r="U1468" s="53">
        <f t="shared" ca="1" si="4168"/>
        <v>466.04827576903324</v>
      </c>
      <c r="V1468" s="53">
        <f t="shared" ca="1" si="4168"/>
        <v>466.04827576903324</v>
      </c>
      <c r="W1468" s="53">
        <f t="shared" ca="1" si="4168"/>
        <v>466.04827576903324</v>
      </c>
      <c r="X1468" s="53">
        <f t="shared" ca="1" si="4168"/>
        <v>466.04827576903324</v>
      </c>
      <c r="Y1468" s="53">
        <f t="shared" ref="Y1468" ca="1" si="4169">(Y615+Y266)/IF(CUR_I_Report=2,Y$88,1)</f>
        <v>466.04827576903324</v>
      </c>
      <c r="Z1468" s="53">
        <f t="shared" ref="Z1468" ca="1" si="4170">(Z615+Z266)/IF(CUR_I_Report=2,Z$88,1)</f>
        <v>466.04827576903324</v>
      </c>
      <c r="AA1468" s="53">
        <f t="shared" ref="AA1468" ca="1" si="4171">(AA615+AA266)/IF(CUR_I_Report=2,AA$88,1)</f>
        <v>466.04827576903324</v>
      </c>
      <c r="AB1468" s="53">
        <f t="shared" ref="AB1468:AC1468" ca="1" si="4172">(AB615+AB266)/IF(CUR_I_Report=2,AB$88,1)</f>
        <v>466.04827576903324</v>
      </c>
      <c r="AC1468" s="53">
        <f t="shared" ca="1" si="4172"/>
        <v>466.04827576903324</v>
      </c>
    </row>
    <row r="1469" spans="1:31" outlineLevel="1" x14ac:dyDescent="0.2">
      <c r="A1469" t="str">
        <f ca="1">Language!A$779</f>
        <v>Прочие оборотные активы</v>
      </c>
      <c r="C1469" s="5" t="str">
        <f t="shared" ca="1" si="4112"/>
        <v>тыс. EUR</v>
      </c>
      <c r="D1469" s="16" t="s">
        <v>2594</v>
      </c>
      <c r="F1469" s="43">
        <f>F58*IF(B37=1,1,F$88)/IF(CUR_I_Report=2,F$88,1)</f>
        <v>0</v>
      </c>
      <c r="G1469" s="43">
        <f t="shared" ref="G1469:AC1469" si="4173">F1469</f>
        <v>0</v>
      </c>
      <c r="H1469" s="43">
        <f t="shared" si="4173"/>
        <v>0</v>
      </c>
      <c r="I1469" s="43">
        <f t="shared" si="4173"/>
        <v>0</v>
      </c>
      <c r="J1469" s="43">
        <f t="shared" si="4173"/>
        <v>0</v>
      </c>
      <c r="K1469" s="43">
        <f t="shared" si="4173"/>
        <v>0</v>
      </c>
      <c r="L1469" s="43">
        <f t="shared" si="4173"/>
        <v>0</v>
      </c>
      <c r="M1469" s="43">
        <f t="shared" si="4173"/>
        <v>0</v>
      </c>
      <c r="N1469" s="43">
        <f t="shared" si="4173"/>
        <v>0</v>
      </c>
      <c r="O1469" s="43">
        <f t="shared" si="4173"/>
        <v>0</v>
      </c>
      <c r="P1469" s="43">
        <f t="shared" si="4173"/>
        <v>0</v>
      </c>
      <c r="Q1469" s="43">
        <f t="shared" si="4173"/>
        <v>0</v>
      </c>
      <c r="R1469" s="43">
        <f t="shared" si="4173"/>
        <v>0</v>
      </c>
      <c r="S1469" s="43">
        <f t="shared" si="4173"/>
        <v>0</v>
      </c>
      <c r="T1469" s="43">
        <f t="shared" si="4173"/>
        <v>0</v>
      </c>
      <c r="U1469" s="43">
        <f t="shared" si="4173"/>
        <v>0</v>
      </c>
      <c r="V1469" s="43">
        <f t="shared" si="4173"/>
        <v>0</v>
      </c>
      <c r="W1469" s="43">
        <f t="shared" si="4173"/>
        <v>0</v>
      </c>
      <c r="X1469" s="43">
        <f t="shared" si="4173"/>
        <v>0</v>
      </c>
      <c r="Y1469" s="43">
        <f t="shared" si="4173"/>
        <v>0</v>
      </c>
      <c r="Z1469" s="43">
        <f t="shared" si="4173"/>
        <v>0</v>
      </c>
      <c r="AA1469" s="43">
        <f t="shared" si="4173"/>
        <v>0</v>
      </c>
      <c r="AB1469" s="43">
        <f t="shared" si="4173"/>
        <v>0</v>
      </c>
      <c r="AC1469" s="43">
        <f t="shared" si="4173"/>
        <v>0</v>
      </c>
    </row>
    <row r="1470" spans="1:31" outlineLevel="1" x14ac:dyDescent="0.2">
      <c r="A1470" s="35" t="str">
        <f ca="1">Language!A$780</f>
        <v>Суммарные оборотные активы</v>
      </c>
      <c r="C1470" s="5" t="str">
        <f t="shared" ca="1" si="4112"/>
        <v>тыс. EUR</v>
      </c>
      <c r="D1470" s="16" t="s">
        <v>2594</v>
      </c>
      <c r="F1470" s="58">
        <f t="shared" ref="F1470:T1470" ca="1" si="4174">SUM(F1461:F1469)</f>
        <v>0</v>
      </c>
      <c r="G1470" s="58">
        <f t="shared" ca="1" si="4174"/>
        <v>0</v>
      </c>
      <c r="H1470" s="58">
        <f t="shared" ca="1" si="4174"/>
        <v>1027.5924207268845</v>
      </c>
      <c r="I1470" s="58">
        <f t="shared" ca="1" si="4174"/>
        <v>1311.7377865805431</v>
      </c>
      <c r="J1470" s="58">
        <f t="shared" ca="1" si="4174"/>
        <v>2767.2840466577863</v>
      </c>
      <c r="K1470" s="58">
        <f t="shared" ca="1" si="4174"/>
        <v>3514.4851198929337</v>
      </c>
      <c r="L1470" s="58">
        <f t="shared" ca="1" si="4174"/>
        <v>3860.6463563914631</v>
      </c>
      <c r="M1470" s="58">
        <f t="shared" ca="1" si="4174"/>
        <v>4685.8749320814986</v>
      </c>
      <c r="N1470" s="58">
        <f t="shared" ca="1" si="4174"/>
        <v>5955.1923204553905</v>
      </c>
      <c r="O1470" s="58">
        <f t="shared" ca="1" si="4174"/>
        <v>7451.6224644236181</v>
      </c>
      <c r="P1470" s="58">
        <f t="shared" ca="1" si="4174"/>
        <v>8906.3971538094756</v>
      </c>
      <c r="Q1470" s="58">
        <f t="shared" ca="1" si="4174"/>
        <v>10361.171843195334</v>
      </c>
      <c r="R1470" s="58">
        <f t="shared" ca="1" si="4174"/>
        <v>11815.946532581194</v>
      </c>
      <c r="S1470" s="58">
        <f t="shared" ca="1" si="4174"/>
        <v>13270.721221967051</v>
      </c>
      <c r="T1470" s="58">
        <f t="shared" ca="1" si="4174"/>
        <v>14725.495911352911</v>
      </c>
      <c r="U1470" s="58">
        <f t="shared" ref="U1470" ca="1" si="4175">SUM(U1461:U1469)</f>
        <v>16180.270600738768</v>
      </c>
      <c r="V1470" s="58">
        <f t="shared" ref="V1470" ca="1" si="4176">SUM(V1461:V1469)</f>
        <v>17635.045290124628</v>
      </c>
      <c r="W1470" s="58">
        <f t="shared" ref="W1470" ca="1" si="4177">SUM(W1461:W1469)</f>
        <v>19089.819979510485</v>
      </c>
      <c r="X1470" s="58">
        <f t="shared" ref="X1470" ca="1" si="4178">SUM(X1461:X1469)</f>
        <v>20544.594668896345</v>
      </c>
      <c r="Y1470" s="58">
        <f t="shared" ref="Y1470" ca="1" si="4179">SUM(Y1461:Y1469)</f>
        <v>21999.369358282205</v>
      </c>
      <c r="Z1470" s="58">
        <f t="shared" ref="Z1470" ca="1" si="4180">SUM(Z1461:Z1469)</f>
        <v>23454.144047668065</v>
      </c>
      <c r="AA1470" s="58">
        <f t="shared" ref="AA1470" ca="1" si="4181">SUM(AA1461:AA1469)</f>
        <v>24908.918737053926</v>
      </c>
      <c r="AB1470" s="58">
        <f t="shared" ref="AB1470:AC1470" ca="1" si="4182">SUM(AB1461:AB1469)</f>
        <v>26363.693426439786</v>
      </c>
      <c r="AC1470" s="58">
        <f t="shared" ca="1" si="4182"/>
        <v>27818.468115825646</v>
      </c>
    </row>
    <row r="1471" spans="1:31" outlineLevel="1" x14ac:dyDescent="0.2">
      <c r="F1471" s="43"/>
      <c r="G1471" s="43"/>
      <c r="H1471" s="43"/>
      <c r="I1471" s="43"/>
      <c r="J1471" s="43"/>
      <c r="K1471" s="43"/>
      <c r="L1471" s="43"/>
      <c r="M1471" s="43"/>
      <c r="N1471" s="43"/>
      <c r="O1471" s="43"/>
      <c r="P1471" s="43"/>
      <c r="Q1471" s="43"/>
      <c r="R1471" s="43"/>
      <c r="S1471" s="43"/>
      <c r="T1471" s="43"/>
      <c r="U1471" s="43"/>
      <c r="V1471" s="43"/>
      <c r="W1471" s="43"/>
      <c r="X1471" s="43"/>
      <c r="Y1471" s="43"/>
      <c r="Z1471" s="43"/>
      <c r="AA1471" s="43"/>
      <c r="AB1471" s="43"/>
      <c r="AC1471" s="43"/>
    </row>
    <row r="1472" spans="1:31" outlineLevel="1" x14ac:dyDescent="0.2">
      <c r="A1472" t="str">
        <f ca="1">Language!A$781</f>
        <v>Внеоборотные активы</v>
      </c>
      <c r="C1472" s="5" t="str">
        <f t="shared" ref="C1472:C1479" ca="1" si="4183">CUR_Report</f>
        <v>тыс. EUR</v>
      </c>
      <c r="D1472" s="16" t="s">
        <v>2594</v>
      </c>
      <c r="F1472" s="53">
        <f t="shared" ref="F1472:T1472" ca="1" si="4184">SUM(F1473:F1476)</f>
        <v>0</v>
      </c>
      <c r="G1472" s="53">
        <f t="shared" ca="1" si="4184"/>
        <v>0</v>
      </c>
      <c r="H1472" s="53">
        <f t="shared" ca="1" si="4184"/>
        <v>0</v>
      </c>
      <c r="I1472" s="53">
        <f t="shared" ca="1" si="4184"/>
        <v>0</v>
      </c>
      <c r="J1472" s="53">
        <f t="shared" ca="1" si="4184"/>
        <v>13263.916649761954</v>
      </c>
      <c r="K1472" s="53">
        <f t="shared" ca="1" si="4184"/>
        <v>12954.56413705319</v>
      </c>
      <c r="L1472" s="53">
        <f t="shared" ca="1" si="4184"/>
        <v>12645.211624344427</v>
      </c>
      <c r="M1472" s="53">
        <f t="shared" ca="1" si="4184"/>
        <v>12335.859111635664</v>
      </c>
      <c r="N1472" s="53">
        <f t="shared" ca="1" si="4184"/>
        <v>12026.506598926899</v>
      </c>
      <c r="O1472" s="53">
        <f t="shared" ca="1" si="4184"/>
        <v>11717.154086218135</v>
      </c>
      <c r="P1472" s="53">
        <f t="shared" ca="1" si="4184"/>
        <v>11407.80157350937</v>
      </c>
      <c r="Q1472" s="53">
        <f t="shared" ca="1" si="4184"/>
        <v>11098.449060800607</v>
      </c>
      <c r="R1472" s="53">
        <f t="shared" ca="1" si="4184"/>
        <v>10789.096548091842</v>
      </c>
      <c r="S1472" s="53">
        <f t="shared" ca="1" si="4184"/>
        <v>10479.744035383081</v>
      </c>
      <c r="T1472" s="53">
        <f t="shared" ca="1" si="4184"/>
        <v>10170.391522674316</v>
      </c>
      <c r="U1472" s="53">
        <f t="shared" ref="U1472" ca="1" si="4185">SUM(U1473:U1476)</f>
        <v>9861.0390099655524</v>
      </c>
      <c r="V1472" s="53">
        <f t="shared" ref="V1472" ca="1" si="4186">SUM(V1473:V1476)</f>
        <v>9551.6864972567873</v>
      </c>
      <c r="W1472" s="53">
        <f t="shared" ref="W1472" ca="1" si="4187">SUM(W1473:W1476)</f>
        <v>9242.3339845480241</v>
      </c>
      <c r="X1472" s="53">
        <f t="shared" ref="X1472" ca="1" si="4188">SUM(X1473:X1476)</f>
        <v>8932.9814718392608</v>
      </c>
      <c r="Y1472" s="53">
        <f t="shared" ref="Y1472" ca="1" si="4189">SUM(Y1473:Y1476)</f>
        <v>8623.6289591304976</v>
      </c>
      <c r="Z1472" s="53">
        <f t="shared" ref="Z1472" ca="1" si="4190">SUM(Z1473:Z1476)</f>
        <v>8314.2764464217325</v>
      </c>
      <c r="AA1472" s="53">
        <f t="shared" ref="AA1472" ca="1" si="4191">SUM(AA1473:AA1476)</f>
        <v>8004.9239337129684</v>
      </c>
      <c r="AB1472" s="53">
        <f t="shared" ref="AB1472:AC1472" ca="1" si="4192">SUM(AB1473:AB1476)</f>
        <v>7695.5714210042042</v>
      </c>
      <c r="AC1472" s="53">
        <f t="shared" ca="1" si="4192"/>
        <v>7386.2189082954401</v>
      </c>
    </row>
    <row r="1473" spans="1:29" outlineLevel="1" x14ac:dyDescent="0.2">
      <c r="A1473" t="str">
        <f ca="1">Language!A$782</f>
        <v xml:space="preserve">    земельные участки</v>
      </c>
      <c r="C1473" s="5" t="str">
        <f t="shared" ca="1" si="4183"/>
        <v>тыс. EUR</v>
      </c>
      <c r="D1473" s="16" t="s">
        <v>2594</v>
      </c>
      <c r="F1473" s="53">
        <f t="shared" ref="F1473:X1473" si="4193">(F556+F233)/IF(CUR_I_Report=2,F$88,1)</f>
        <v>0</v>
      </c>
      <c r="G1473" s="53">
        <f t="shared" si="4193"/>
        <v>0</v>
      </c>
      <c r="H1473" s="53">
        <f t="shared" si="4193"/>
        <v>0</v>
      </c>
      <c r="I1473" s="53">
        <f t="shared" si="4193"/>
        <v>0</v>
      </c>
      <c r="J1473" s="53">
        <f t="shared" si="4193"/>
        <v>200</v>
      </c>
      <c r="K1473" s="53">
        <f t="shared" si="4193"/>
        <v>200</v>
      </c>
      <c r="L1473" s="53">
        <f t="shared" si="4193"/>
        <v>200</v>
      </c>
      <c r="M1473" s="53">
        <f t="shared" si="4193"/>
        <v>200</v>
      </c>
      <c r="N1473" s="53">
        <f t="shared" si="4193"/>
        <v>200</v>
      </c>
      <c r="O1473" s="53">
        <f t="shared" si="4193"/>
        <v>200</v>
      </c>
      <c r="P1473" s="53">
        <f t="shared" si="4193"/>
        <v>200</v>
      </c>
      <c r="Q1473" s="53">
        <f t="shared" si="4193"/>
        <v>200</v>
      </c>
      <c r="R1473" s="53">
        <f t="shared" si="4193"/>
        <v>200</v>
      </c>
      <c r="S1473" s="53">
        <f t="shared" si="4193"/>
        <v>200</v>
      </c>
      <c r="T1473" s="53">
        <f t="shared" si="4193"/>
        <v>200</v>
      </c>
      <c r="U1473" s="53">
        <f t="shared" si="4193"/>
        <v>200</v>
      </c>
      <c r="V1473" s="53">
        <f t="shared" si="4193"/>
        <v>200</v>
      </c>
      <c r="W1473" s="53">
        <f t="shared" si="4193"/>
        <v>200</v>
      </c>
      <c r="X1473" s="53">
        <f t="shared" si="4193"/>
        <v>200</v>
      </c>
      <c r="Y1473" s="53">
        <f t="shared" ref="Y1473" si="4194">(Y556+Y233)/IF(CUR_I_Report=2,Y$88,1)</f>
        <v>200</v>
      </c>
      <c r="Z1473" s="53">
        <f t="shared" ref="Z1473" si="4195">(Z556+Z233)/IF(CUR_I_Report=2,Z$88,1)</f>
        <v>200</v>
      </c>
      <c r="AA1473" s="53">
        <f t="shared" ref="AA1473" si="4196">(AA556+AA233)/IF(CUR_I_Report=2,AA$88,1)</f>
        <v>200</v>
      </c>
      <c r="AB1473" s="53">
        <f t="shared" ref="AB1473:AC1473" si="4197">(AB556+AB233)/IF(CUR_I_Report=2,AB$88,1)</f>
        <v>200</v>
      </c>
      <c r="AC1473" s="53">
        <f t="shared" si="4197"/>
        <v>200</v>
      </c>
    </row>
    <row r="1474" spans="1:29" outlineLevel="1" x14ac:dyDescent="0.2">
      <c r="A1474" t="str">
        <f ca="1">Language!A$783</f>
        <v xml:space="preserve">    здания и сооружения</v>
      </c>
      <c r="C1474" s="5" t="str">
        <f t="shared" ca="1" si="4183"/>
        <v>тыс. EUR</v>
      </c>
      <c r="D1474" s="16" t="s">
        <v>2594</v>
      </c>
      <c r="F1474" s="53">
        <f t="shared" ref="F1474:X1474" ca="1" si="4198">(F566+F239)/IF(CUR_I_Report=2,F$88,1)</f>
        <v>0</v>
      </c>
      <c r="G1474" s="53">
        <f t="shared" ca="1" si="4198"/>
        <v>0</v>
      </c>
      <c r="H1474" s="53">
        <f t="shared" ca="1" si="4198"/>
        <v>0</v>
      </c>
      <c r="I1474" s="53">
        <f t="shared" ca="1" si="4198"/>
        <v>0</v>
      </c>
      <c r="J1474" s="53">
        <f t="shared" ca="1" si="4198"/>
        <v>2439.9439024390244</v>
      </c>
      <c r="K1474" s="53">
        <f t="shared" ca="1" si="4198"/>
        <v>2409.0585365853658</v>
      </c>
      <c r="L1474" s="53">
        <f t="shared" ca="1" si="4198"/>
        <v>2378.1731707317076</v>
      </c>
      <c r="M1474" s="53">
        <f t="shared" ca="1" si="4198"/>
        <v>2347.287804878049</v>
      </c>
      <c r="N1474" s="53">
        <f t="shared" ca="1" si="4198"/>
        <v>2316.4024390243903</v>
      </c>
      <c r="O1474" s="53">
        <f t="shared" ca="1" si="4198"/>
        <v>2285.5170731707317</v>
      </c>
      <c r="P1474" s="53">
        <f t="shared" ca="1" si="4198"/>
        <v>2254.6317073170735</v>
      </c>
      <c r="Q1474" s="53">
        <f t="shared" ca="1" si="4198"/>
        <v>2223.7463414634149</v>
      </c>
      <c r="R1474" s="53">
        <f t="shared" ca="1" si="4198"/>
        <v>2192.8609756097562</v>
      </c>
      <c r="S1474" s="53">
        <f t="shared" ca="1" si="4198"/>
        <v>2161.9756097560976</v>
      </c>
      <c r="T1474" s="53">
        <f t="shared" ca="1" si="4198"/>
        <v>2131.0902439024394</v>
      </c>
      <c r="U1474" s="53">
        <f t="shared" ca="1" si="4198"/>
        <v>2100.2048780487808</v>
      </c>
      <c r="V1474" s="53">
        <f t="shared" ca="1" si="4198"/>
        <v>2069.3195121951221</v>
      </c>
      <c r="W1474" s="53">
        <f t="shared" ca="1" si="4198"/>
        <v>2038.4341463414637</v>
      </c>
      <c r="X1474" s="53">
        <f t="shared" ca="1" si="4198"/>
        <v>2007.5487804878051</v>
      </c>
      <c r="Y1474" s="53">
        <f t="shared" ref="Y1474" ca="1" si="4199">(Y566+Y239)/IF(CUR_I_Report=2,Y$88,1)</f>
        <v>1976.6634146341466</v>
      </c>
      <c r="Z1474" s="53">
        <f t="shared" ref="Z1474" ca="1" si="4200">(Z566+Z239)/IF(CUR_I_Report=2,Z$88,1)</f>
        <v>1945.778048780488</v>
      </c>
      <c r="AA1474" s="53">
        <f t="shared" ref="AA1474" ca="1" si="4201">(AA566+AA239)/IF(CUR_I_Report=2,AA$88,1)</f>
        <v>1914.8926829268294</v>
      </c>
      <c r="AB1474" s="53">
        <f t="shared" ref="AB1474:AC1474" ca="1" si="4202">(AB566+AB239)/IF(CUR_I_Report=2,AB$88,1)</f>
        <v>1884.007317073171</v>
      </c>
      <c r="AC1474" s="53">
        <f t="shared" ca="1" si="4202"/>
        <v>1853.1219512195125</v>
      </c>
    </row>
    <row r="1475" spans="1:29" outlineLevel="1" x14ac:dyDescent="0.2">
      <c r="A1475" t="str">
        <f ca="1">Language!A$785</f>
        <v xml:space="preserve">    оборудование и прочие активы</v>
      </c>
      <c r="C1475" s="5" t="str">
        <f ca="1">CUR_Report</f>
        <v>тыс. EUR</v>
      </c>
      <c r="D1475" s="16" t="s">
        <v>2594</v>
      </c>
      <c r="F1475" s="53">
        <f t="shared" ref="F1475:X1475" si="4203">(F579+F257+F657)/IF(CUR_I_Report=2,F$88,1)</f>
        <v>0</v>
      </c>
      <c r="G1475" s="53">
        <f t="shared" si="4203"/>
        <v>0</v>
      </c>
      <c r="H1475" s="53">
        <f t="shared" si="4203"/>
        <v>0</v>
      </c>
      <c r="I1475" s="53">
        <f t="shared" si="4203"/>
        <v>0</v>
      </c>
      <c r="J1475" s="53">
        <f t="shared" si="4203"/>
        <v>10542.671934314798</v>
      </c>
      <c r="K1475" s="53">
        <f t="shared" si="4203"/>
        <v>10264.204787459694</v>
      </c>
      <c r="L1475" s="53">
        <f t="shared" si="4203"/>
        <v>9985.7376406045878</v>
      </c>
      <c r="M1475" s="53">
        <f t="shared" si="4203"/>
        <v>9707.2704937494836</v>
      </c>
      <c r="N1475" s="53">
        <f t="shared" si="4203"/>
        <v>9428.8033468943777</v>
      </c>
      <c r="O1475" s="53">
        <f t="shared" si="4203"/>
        <v>9150.3362000392735</v>
      </c>
      <c r="P1475" s="53">
        <f t="shared" si="4203"/>
        <v>8871.8690531841658</v>
      </c>
      <c r="Q1475" s="53">
        <f t="shared" si="4203"/>
        <v>8593.4019063290616</v>
      </c>
      <c r="R1475" s="53">
        <f t="shared" si="4203"/>
        <v>8314.9347594739556</v>
      </c>
      <c r="S1475" s="53">
        <f t="shared" si="4203"/>
        <v>8036.4676126188515</v>
      </c>
      <c r="T1475" s="53">
        <f t="shared" si="4203"/>
        <v>7758.0004657637455</v>
      </c>
      <c r="U1475" s="53">
        <f t="shared" si="4203"/>
        <v>7479.5333189086414</v>
      </c>
      <c r="V1475" s="53">
        <f t="shared" si="4203"/>
        <v>7201.0661720535354</v>
      </c>
      <c r="W1475" s="53">
        <f t="shared" si="4203"/>
        <v>6922.5990251984304</v>
      </c>
      <c r="X1475" s="53">
        <f t="shared" si="4203"/>
        <v>6644.1318783433244</v>
      </c>
      <c r="Y1475" s="53">
        <f t="shared" ref="Y1475" si="4204">(Y579+Y257+Y657)/IF(CUR_I_Report=2,Y$88,1)</f>
        <v>6365.6647314882193</v>
      </c>
      <c r="Z1475" s="53">
        <f t="shared" ref="Z1475" si="4205">(Z579+Z257+Z657)/IF(CUR_I_Report=2,Z$88,1)</f>
        <v>6087.1975846331143</v>
      </c>
      <c r="AA1475" s="53">
        <f t="shared" ref="AA1475" si="4206">(AA579+AA257+AA657)/IF(CUR_I_Report=2,AA$88,1)</f>
        <v>5808.7304377780092</v>
      </c>
      <c r="AB1475" s="53">
        <f t="shared" ref="AB1475:AC1475" si="4207">(AB579+AB257+AB657)/IF(CUR_I_Report=2,AB$88,1)</f>
        <v>5530.2632909229033</v>
      </c>
      <c r="AC1475" s="53">
        <f t="shared" si="4207"/>
        <v>5251.7961440677982</v>
      </c>
    </row>
    <row r="1476" spans="1:29" outlineLevel="1" x14ac:dyDescent="0.2">
      <c r="A1476" t="str">
        <f ca="1">Language!A$784</f>
        <v xml:space="preserve">    нематериальные активы</v>
      </c>
      <c r="C1476" s="5" t="str">
        <f t="shared" ca="1" si="4183"/>
        <v>тыс. EUR</v>
      </c>
      <c r="D1476" s="16" t="s">
        <v>2594</v>
      </c>
      <c r="F1476" s="53">
        <f t="shared" ref="F1476:X1476" si="4208">(F592+F248)/IF(CUR_I_Report=2,F$88,1)</f>
        <v>0</v>
      </c>
      <c r="G1476" s="53">
        <f t="shared" si="4208"/>
        <v>0</v>
      </c>
      <c r="H1476" s="53">
        <f t="shared" si="4208"/>
        <v>0</v>
      </c>
      <c r="I1476" s="53">
        <f t="shared" si="4208"/>
        <v>0</v>
      </c>
      <c r="J1476" s="53">
        <f t="shared" si="4208"/>
        <v>81.300813008130078</v>
      </c>
      <c r="K1476" s="53">
        <f t="shared" si="4208"/>
        <v>81.300813008130078</v>
      </c>
      <c r="L1476" s="53">
        <f t="shared" si="4208"/>
        <v>81.300813008130078</v>
      </c>
      <c r="M1476" s="53">
        <f t="shared" si="4208"/>
        <v>81.300813008130078</v>
      </c>
      <c r="N1476" s="53">
        <f t="shared" si="4208"/>
        <v>81.300813008130078</v>
      </c>
      <c r="O1476" s="53">
        <f t="shared" si="4208"/>
        <v>81.300813008130078</v>
      </c>
      <c r="P1476" s="53">
        <f t="shared" si="4208"/>
        <v>81.300813008130078</v>
      </c>
      <c r="Q1476" s="53">
        <f t="shared" si="4208"/>
        <v>81.300813008130078</v>
      </c>
      <c r="R1476" s="53">
        <f t="shared" si="4208"/>
        <v>81.300813008130078</v>
      </c>
      <c r="S1476" s="53">
        <f t="shared" si="4208"/>
        <v>81.300813008130078</v>
      </c>
      <c r="T1476" s="53">
        <f t="shared" si="4208"/>
        <v>81.300813008130078</v>
      </c>
      <c r="U1476" s="53">
        <f t="shared" si="4208"/>
        <v>81.300813008130078</v>
      </c>
      <c r="V1476" s="53">
        <f t="shared" si="4208"/>
        <v>81.300813008130078</v>
      </c>
      <c r="W1476" s="53">
        <f t="shared" si="4208"/>
        <v>81.300813008130078</v>
      </c>
      <c r="X1476" s="53">
        <f t="shared" si="4208"/>
        <v>81.300813008130078</v>
      </c>
      <c r="Y1476" s="53">
        <f t="shared" ref="Y1476" si="4209">(Y592+Y248)/IF(CUR_I_Report=2,Y$88,1)</f>
        <v>81.300813008130078</v>
      </c>
      <c r="Z1476" s="53">
        <f t="shared" ref="Z1476" si="4210">(Z592+Z248)/IF(CUR_I_Report=2,Z$88,1)</f>
        <v>81.300813008130078</v>
      </c>
      <c r="AA1476" s="53">
        <f t="shared" ref="AA1476" si="4211">(AA592+AA248)/IF(CUR_I_Report=2,AA$88,1)</f>
        <v>81.300813008130078</v>
      </c>
      <c r="AB1476" s="53">
        <f t="shared" ref="AB1476:AC1476" si="4212">(AB592+AB248)/IF(CUR_I_Report=2,AB$88,1)</f>
        <v>81.300813008130078</v>
      </c>
      <c r="AC1476" s="53">
        <f t="shared" si="4212"/>
        <v>81.300813008130078</v>
      </c>
    </row>
    <row r="1477" spans="1:29" outlineLevel="1" x14ac:dyDescent="0.2">
      <c r="A1477" t="str">
        <f ca="1">Language!A$786</f>
        <v>Финансовые вложения</v>
      </c>
      <c r="C1477" s="5" t="str">
        <f t="shared" ca="1" si="4183"/>
        <v>тыс. EUR</v>
      </c>
      <c r="D1477" s="16" t="s">
        <v>2594</v>
      </c>
      <c r="F1477" s="53">
        <f t="shared" ref="F1477:X1477" ca="1" si="4213">(F600+F272)/IF(CUR_I_Report=2,F$88,1)</f>
        <v>0</v>
      </c>
      <c r="G1477" s="53">
        <f t="shared" ca="1" si="4213"/>
        <v>0</v>
      </c>
      <c r="H1477" s="53">
        <f t="shared" ca="1" si="4213"/>
        <v>0</v>
      </c>
      <c r="I1477" s="53">
        <f t="shared" ca="1" si="4213"/>
        <v>0</v>
      </c>
      <c r="J1477" s="53">
        <f t="shared" ca="1" si="4213"/>
        <v>0</v>
      </c>
      <c r="K1477" s="53">
        <f t="shared" ca="1" si="4213"/>
        <v>0</v>
      </c>
      <c r="L1477" s="53">
        <f t="shared" ca="1" si="4213"/>
        <v>0</v>
      </c>
      <c r="M1477" s="53">
        <f t="shared" ca="1" si="4213"/>
        <v>0</v>
      </c>
      <c r="N1477" s="53">
        <f t="shared" ca="1" si="4213"/>
        <v>0</v>
      </c>
      <c r="O1477" s="53">
        <f t="shared" ca="1" si="4213"/>
        <v>0</v>
      </c>
      <c r="P1477" s="53">
        <f t="shared" ca="1" si="4213"/>
        <v>0</v>
      </c>
      <c r="Q1477" s="53">
        <f t="shared" ca="1" si="4213"/>
        <v>0</v>
      </c>
      <c r="R1477" s="53">
        <f t="shared" ca="1" si="4213"/>
        <v>0</v>
      </c>
      <c r="S1477" s="53">
        <f t="shared" ca="1" si="4213"/>
        <v>0</v>
      </c>
      <c r="T1477" s="53">
        <f t="shared" ca="1" si="4213"/>
        <v>0</v>
      </c>
      <c r="U1477" s="53">
        <f t="shared" ca="1" si="4213"/>
        <v>0</v>
      </c>
      <c r="V1477" s="53">
        <f t="shared" ca="1" si="4213"/>
        <v>0</v>
      </c>
      <c r="W1477" s="53">
        <f t="shared" ca="1" si="4213"/>
        <v>0</v>
      </c>
      <c r="X1477" s="53">
        <f t="shared" ca="1" si="4213"/>
        <v>0</v>
      </c>
      <c r="Y1477" s="53">
        <f t="shared" ref="Y1477" ca="1" si="4214">(Y600+Y272)/IF(CUR_I_Report=2,Y$88,1)</f>
        <v>0</v>
      </c>
      <c r="Z1477" s="53">
        <f t="shared" ref="Z1477" ca="1" si="4215">(Z600+Z272)/IF(CUR_I_Report=2,Z$88,1)</f>
        <v>0</v>
      </c>
      <c r="AA1477" s="53">
        <f t="shared" ref="AA1477" ca="1" si="4216">(AA600+AA272)/IF(CUR_I_Report=2,AA$88,1)</f>
        <v>0</v>
      </c>
      <c r="AB1477" s="53">
        <f t="shared" ref="AB1477:AC1477" ca="1" si="4217">(AB600+AB272)/IF(CUR_I_Report=2,AB$88,1)</f>
        <v>0</v>
      </c>
      <c r="AC1477" s="53">
        <f t="shared" ca="1" si="4217"/>
        <v>0</v>
      </c>
    </row>
    <row r="1478" spans="1:29" outlineLevel="1" x14ac:dyDescent="0.2">
      <c r="A1478" t="str">
        <f ca="1">Language!A$787</f>
        <v>Незавершенные капиталовложения</v>
      </c>
      <c r="C1478" s="5" t="str">
        <f t="shared" ca="1" si="4183"/>
        <v>тыс. EUR</v>
      </c>
      <c r="D1478" s="16" t="s">
        <v>2594</v>
      </c>
      <c r="F1478" s="53">
        <f t="shared" ref="F1478:X1478" ca="1" si="4218">((F562+F554+F589+F576)+MAX(0,$B534-$B540))/IF(CUR_I_Report=2,F$88,1)</f>
        <v>0</v>
      </c>
      <c r="G1478" s="53">
        <f t="shared" ca="1" si="4218"/>
        <v>0</v>
      </c>
      <c r="H1478" s="53">
        <f t="shared" ca="1" si="4218"/>
        <v>4667.7931335951498</v>
      </c>
      <c r="I1478" s="53">
        <f t="shared" ca="1" si="4218"/>
        <v>5903.2077677414909</v>
      </c>
      <c r="J1478" s="53">
        <f t="shared" ca="1" si="4218"/>
        <v>0</v>
      </c>
      <c r="K1478" s="53">
        <f t="shared" ca="1" si="4218"/>
        <v>0</v>
      </c>
      <c r="L1478" s="53">
        <f t="shared" ca="1" si="4218"/>
        <v>0</v>
      </c>
      <c r="M1478" s="53">
        <f t="shared" ca="1" si="4218"/>
        <v>0</v>
      </c>
      <c r="N1478" s="53">
        <f t="shared" ca="1" si="4218"/>
        <v>0</v>
      </c>
      <c r="O1478" s="53">
        <f t="shared" ca="1" si="4218"/>
        <v>0</v>
      </c>
      <c r="P1478" s="53">
        <f t="shared" ca="1" si="4218"/>
        <v>0</v>
      </c>
      <c r="Q1478" s="53">
        <f t="shared" ca="1" si="4218"/>
        <v>0</v>
      </c>
      <c r="R1478" s="53">
        <f t="shared" ca="1" si="4218"/>
        <v>0</v>
      </c>
      <c r="S1478" s="53">
        <f t="shared" ca="1" si="4218"/>
        <v>0</v>
      </c>
      <c r="T1478" s="53">
        <f t="shared" ca="1" si="4218"/>
        <v>0</v>
      </c>
      <c r="U1478" s="53">
        <f t="shared" ca="1" si="4218"/>
        <v>0</v>
      </c>
      <c r="V1478" s="53">
        <f t="shared" ca="1" si="4218"/>
        <v>0</v>
      </c>
      <c r="W1478" s="53">
        <f t="shared" ca="1" si="4218"/>
        <v>0</v>
      </c>
      <c r="X1478" s="53">
        <f t="shared" ca="1" si="4218"/>
        <v>0</v>
      </c>
      <c r="Y1478" s="53">
        <f t="shared" ref="Y1478" ca="1" si="4219">((Y562+Y554+Y589+Y576)+MAX(0,$B534-$B540))/IF(CUR_I_Report=2,Y$88,1)</f>
        <v>0</v>
      </c>
      <c r="Z1478" s="53">
        <f t="shared" ref="Z1478" ca="1" si="4220">((Z562+Z554+Z589+Z576)+MAX(0,$B534-$B540))/IF(CUR_I_Report=2,Z$88,1)</f>
        <v>0</v>
      </c>
      <c r="AA1478" s="53">
        <f t="shared" ref="AA1478" ca="1" si="4221">((AA562+AA554+AA589+AA576)+MAX(0,$B534-$B540))/IF(CUR_I_Report=2,AA$88,1)</f>
        <v>0</v>
      </c>
      <c r="AB1478" s="53">
        <f t="shared" ref="AB1478:AC1478" ca="1" si="4222">((AB562+AB554+AB589+AB576)+MAX(0,$B534-$B540))/IF(CUR_I_Report=2,AB$88,1)</f>
        <v>0</v>
      </c>
      <c r="AC1478" s="53">
        <f t="shared" ca="1" si="4222"/>
        <v>0</v>
      </c>
    </row>
    <row r="1479" spans="1:29" outlineLevel="1" x14ac:dyDescent="0.2">
      <c r="A1479" s="35" t="str">
        <f ca="1">Language!A$788</f>
        <v>Суммарные внеоборотные активы</v>
      </c>
      <c r="C1479" s="5" t="str">
        <f t="shared" ca="1" si="4183"/>
        <v>тыс. EUR</v>
      </c>
      <c r="D1479" s="16" t="s">
        <v>2594</v>
      </c>
      <c r="F1479" s="58">
        <f t="shared" ref="F1479:T1479" ca="1" si="4223">F1472+F1477+F1478</f>
        <v>0</v>
      </c>
      <c r="G1479" s="58">
        <f t="shared" ca="1" si="4223"/>
        <v>0</v>
      </c>
      <c r="H1479" s="58">
        <f t="shared" ca="1" si="4223"/>
        <v>4667.7931335951498</v>
      </c>
      <c r="I1479" s="58">
        <f t="shared" ca="1" si="4223"/>
        <v>5903.2077677414909</v>
      </c>
      <c r="J1479" s="58">
        <f t="shared" ca="1" si="4223"/>
        <v>13263.916649761954</v>
      </c>
      <c r="K1479" s="58">
        <f t="shared" ca="1" si="4223"/>
        <v>12954.56413705319</v>
      </c>
      <c r="L1479" s="58">
        <f t="shared" ca="1" si="4223"/>
        <v>12645.211624344427</v>
      </c>
      <c r="M1479" s="58">
        <f t="shared" ca="1" si="4223"/>
        <v>12335.859111635664</v>
      </c>
      <c r="N1479" s="58">
        <f t="shared" ca="1" si="4223"/>
        <v>12026.506598926899</v>
      </c>
      <c r="O1479" s="58">
        <f t="shared" ca="1" si="4223"/>
        <v>11717.154086218135</v>
      </c>
      <c r="P1479" s="58">
        <f t="shared" ca="1" si="4223"/>
        <v>11407.80157350937</v>
      </c>
      <c r="Q1479" s="58">
        <f t="shared" ca="1" si="4223"/>
        <v>11098.449060800607</v>
      </c>
      <c r="R1479" s="58">
        <f t="shared" ca="1" si="4223"/>
        <v>10789.096548091842</v>
      </c>
      <c r="S1479" s="58">
        <f t="shared" ca="1" si="4223"/>
        <v>10479.744035383081</v>
      </c>
      <c r="T1479" s="58">
        <f t="shared" ca="1" si="4223"/>
        <v>10170.391522674316</v>
      </c>
      <c r="U1479" s="58">
        <f t="shared" ref="U1479" ca="1" si="4224">U1472+U1477+U1478</f>
        <v>9861.0390099655524</v>
      </c>
      <c r="V1479" s="58">
        <f t="shared" ref="V1479" ca="1" si="4225">V1472+V1477+V1478</f>
        <v>9551.6864972567873</v>
      </c>
      <c r="W1479" s="58">
        <f t="shared" ref="W1479" ca="1" si="4226">W1472+W1477+W1478</f>
        <v>9242.3339845480241</v>
      </c>
      <c r="X1479" s="58">
        <f t="shared" ref="X1479" ca="1" si="4227">X1472+X1477+X1478</f>
        <v>8932.9814718392608</v>
      </c>
      <c r="Y1479" s="58">
        <f t="shared" ref="Y1479" ca="1" si="4228">Y1472+Y1477+Y1478</f>
        <v>8623.6289591304976</v>
      </c>
      <c r="Z1479" s="58">
        <f t="shared" ref="Z1479" ca="1" si="4229">Z1472+Z1477+Z1478</f>
        <v>8314.2764464217325</v>
      </c>
      <c r="AA1479" s="58">
        <f t="shared" ref="AA1479" ca="1" si="4230">AA1472+AA1477+AA1478</f>
        <v>8004.9239337129684</v>
      </c>
      <c r="AB1479" s="58">
        <f t="shared" ref="AB1479:AC1479" ca="1" si="4231">AB1472+AB1477+AB1478</f>
        <v>7695.5714210042042</v>
      </c>
      <c r="AC1479" s="58">
        <f t="shared" ca="1" si="4231"/>
        <v>7386.2189082954401</v>
      </c>
    </row>
    <row r="1480" spans="1:29" outlineLevel="1" x14ac:dyDescent="0.2">
      <c r="F1480" s="43"/>
      <c r="G1480" s="43"/>
      <c r="H1480" s="43"/>
      <c r="I1480" s="43"/>
      <c r="J1480" s="43"/>
      <c r="K1480" s="43"/>
      <c r="L1480" s="43"/>
      <c r="M1480" s="43"/>
      <c r="N1480" s="43"/>
      <c r="O1480" s="43"/>
      <c r="P1480" s="43"/>
      <c r="Q1480" s="43"/>
      <c r="R1480" s="43"/>
      <c r="S1480" s="43"/>
      <c r="T1480" s="43"/>
      <c r="U1480" s="43"/>
      <c r="V1480" s="43"/>
      <c r="W1480" s="43"/>
      <c r="X1480" s="43"/>
      <c r="Y1480" s="43"/>
      <c r="Z1480" s="43"/>
      <c r="AA1480" s="43"/>
      <c r="AB1480" s="43"/>
      <c r="AC1480" s="43"/>
    </row>
    <row r="1481" spans="1:29" outlineLevel="1" x14ac:dyDescent="0.2">
      <c r="A1481" s="35" t="str">
        <f ca="1">Language!A$789</f>
        <v xml:space="preserve"> = ИТОГО АКТИВОВ</v>
      </c>
      <c r="C1481" s="5" t="str">
        <f ca="1">CUR_Report</f>
        <v>тыс. EUR</v>
      </c>
      <c r="D1481" s="16" t="s">
        <v>2594</v>
      </c>
      <c r="F1481" s="58">
        <f t="shared" ref="F1481:T1481" ca="1" si="4232">F1470+F1479</f>
        <v>0</v>
      </c>
      <c r="G1481" s="58">
        <f t="shared" ca="1" si="4232"/>
        <v>0</v>
      </c>
      <c r="H1481" s="58">
        <f t="shared" ca="1" si="4232"/>
        <v>5695.3855543220343</v>
      </c>
      <c r="I1481" s="58">
        <f t="shared" ca="1" si="4232"/>
        <v>7214.9455543220338</v>
      </c>
      <c r="J1481" s="58">
        <f t="shared" ca="1" si="4232"/>
        <v>16031.200696419739</v>
      </c>
      <c r="K1481" s="58">
        <f t="shared" ca="1" si="4232"/>
        <v>16469.049256946124</v>
      </c>
      <c r="L1481" s="58">
        <f t="shared" ca="1" si="4232"/>
        <v>16505.857980735891</v>
      </c>
      <c r="M1481" s="58">
        <f t="shared" ca="1" si="4232"/>
        <v>17021.734043717162</v>
      </c>
      <c r="N1481" s="58">
        <f t="shared" ca="1" si="4232"/>
        <v>17981.698919382288</v>
      </c>
      <c r="O1481" s="58">
        <f t="shared" ca="1" si="4232"/>
        <v>19168.776550641753</v>
      </c>
      <c r="P1481" s="58">
        <f t="shared" ca="1" si="4232"/>
        <v>20314.198727318846</v>
      </c>
      <c r="Q1481" s="58">
        <f t="shared" ca="1" si="4232"/>
        <v>21459.620903995943</v>
      </c>
      <c r="R1481" s="58">
        <f t="shared" ca="1" si="4232"/>
        <v>22605.043080673036</v>
      </c>
      <c r="S1481" s="58">
        <f t="shared" ca="1" si="4232"/>
        <v>23750.46525735013</v>
      </c>
      <c r="T1481" s="58">
        <f t="shared" ca="1" si="4232"/>
        <v>24895.887434027227</v>
      </c>
      <c r="U1481" s="58">
        <f t="shared" ref="U1481" ca="1" si="4233">U1470+U1479</f>
        <v>26041.30961070432</v>
      </c>
      <c r="V1481" s="58">
        <f t="shared" ref="V1481" ca="1" si="4234">V1470+V1479</f>
        <v>27186.731787381417</v>
      </c>
      <c r="W1481" s="58">
        <f t="shared" ref="W1481" ca="1" si="4235">W1470+W1479</f>
        <v>28332.153964058511</v>
      </c>
      <c r="X1481" s="58">
        <f t="shared" ref="X1481" ca="1" si="4236">X1470+X1479</f>
        <v>29477.576140735604</v>
      </c>
      <c r="Y1481" s="58">
        <f t="shared" ref="Y1481" ca="1" si="4237">Y1470+Y1479</f>
        <v>30622.998317412705</v>
      </c>
      <c r="Z1481" s="58">
        <f t="shared" ref="Z1481" ca="1" si="4238">Z1470+Z1479</f>
        <v>31768.420494089798</v>
      </c>
      <c r="AA1481" s="58">
        <f t="shared" ref="AA1481" ca="1" si="4239">AA1470+AA1479</f>
        <v>32913.842670766891</v>
      </c>
      <c r="AB1481" s="58">
        <f t="shared" ref="AB1481:AC1481" ca="1" si="4240">AB1470+AB1479</f>
        <v>34059.264847443992</v>
      </c>
      <c r="AC1481" s="58">
        <f t="shared" ca="1" si="4240"/>
        <v>35204.687024121085</v>
      </c>
    </row>
    <row r="1482" spans="1:29" outlineLevel="1" x14ac:dyDescent="0.2">
      <c r="F1482" s="43"/>
      <c r="G1482" s="43"/>
      <c r="H1482" s="43"/>
      <c r="I1482" s="43"/>
      <c r="J1482" s="43"/>
      <c r="K1482" s="43"/>
      <c r="L1482" s="43"/>
      <c r="M1482" s="43"/>
      <c r="N1482" s="43"/>
      <c r="O1482" s="43"/>
      <c r="P1482" s="43"/>
      <c r="Q1482" s="43"/>
      <c r="R1482" s="43"/>
      <c r="S1482" s="43"/>
      <c r="T1482" s="43"/>
      <c r="U1482" s="43"/>
      <c r="V1482" s="43"/>
      <c r="W1482" s="43"/>
      <c r="X1482" s="43"/>
      <c r="Y1482" s="43"/>
      <c r="Z1482" s="43"/>
      <c r="AA1482" s="43"/>
      <c r="AB1482" s="43"/>
      <c r="AC1482" s="43"/>
    </row>
    <row r="1483" spans="1:29" outlineLevel="1" x14ac:dyDescent="0.2">
      <c r="A1483" t="str">
        <f ca="1">Language!A$790</f>
        <v>Кредиторская задолженность</v>
      </c>
      <c r="C1483" s="5" t="str">
        <f t="shared" ref="C1483:C1493" ca="1" si="4241">CUR_Report</f>
        <v>тыс. EUR</v>
      </c>
      <c r="D1483" s="16" t="s">
        <v>2594</v>
      </c>
      <c r="F1483" s="43">
        <f t="shared" ref="F1483:T1483" ca="1" si="4242">F1484+F1485</f>
        <v>0</v>
      </c>
      <c r="G1483" s="43">
        <f t="shared" ca="1" si="4242"/>
        <v>0</v>
      </c>
      <c r="H1483" s="43">
        <f t="shared" ca="1" si="4242"/>
        <v>0</v>
      </c>
      <c r="I1483" s="43">
        <f t="shared" ca="1" si="4242"/>
        <v>0</v>
      </c>
      <c r="J1483" s="43">
        <f t="shared" ca="1" si="4242"/>
        <v>2100.7184576271193</v>
      </c>
      <c r="K1483" s="43">
        <f t="shared" ca="1" si="4242"/>
        <v>0</v>
      </c>
      <c r="L1483" s="43">
        <f t="shared" ca="1" si="4242"/>
        <v>0</v>
      </c>
      <c r="M1483" s="43">
        <f t="shared" ca="1" si="4242"/>
        <v>0</v>
      </c>
      <c r="N1483" s="43">
        <f t="shared" ca="1" si="4242"/>
        <v>0</v>
      </c>
      <c r="O1483" s="43">
        <f t="shared" ca="1" si="4242"/>
        <v>1.3642420526593924E-12</v>
      </c>
      <c r="P1483" s="43">
        <f t="shared" ca="1" si="4242"/>
        <v>0</v>
      </c>
      <c r="Q1483" s="43">
        <f t="shared" ca="1" si="4242"/>
        <v>0</v>
      </c>
      <c r="R1483" s="43">
        <f t="shared" ca="1" si="4242"/>
        <v>0</v>
      </c>
      <c r="S1483" s="43">
        <f t="shared" ca="1" si="4242"/>
        <v>0</v>
      </c>
      <c r="T1483" s="43">
        <f t="shared" ca="1" si="4242"/>
        <v>0</v>
      </c>
      <c r="U1483" s="43">
        <f t="shared" ref="U1483" ca="1" si="4243">U1484+U1485</f>
        <v>0</v>
      </c>
      <c r="V1483" s="43">
        <f t="shared" ref="V1483" ca="1" si="4244">V1484+V1485</f>
        <v>0</v>
      </c>
      <c r="W1483" s="43">
        <f t="shared" ref="W1483" ca="1" si="4245">W1484+W1485</f>
        <v>0</v>
      </c>
      <c r="X1483" s="43">
        <f t="shared" ref="X1483" ca="1" si="4246">X1484+X1485</f>
        <v>0</v>
      </c>
      <c r="Y1483" s="43">
        <f t="shared" ref="Y1483" ca="1" si="4247">Y1484+Y1485</f>
        <v>0</v>
      </c>
      <c r="Z1483" s="43">
        <f t="shared" ref="Z1483" ca="1" si="4248">Z1484+Z1485</f>
        <v>0</v>
      </c>
      <c r="AA1483" s="43">
        <f t="shared" ref="AA1483" ca="1" si="4249">AA1484+AA1485</f>
        <v>0</v>
      </c>
      <c r="AB1483" s="43">
        <f t="shared" ref="AB1483:AC1483" ca="1" si="4250">AB1484+AB1485</f>
        <v>0</v>
      </c>
      <c r="AC1483" s="43">
        <f t="shared" ca="1" si="4250"/>
        <v>0</v>
      </c>
    </row>
    <row r="1484" spans="1:29" outlineLevel="1" x14ac:dyDescent="0.2">
      <c r="A1484" t="str">
        <f ca="1">Language!A$791</f>
        <v xml:space="preserve">    за поставленные товары</v>
      </c>
      <c r="C1484" s="5" t="str">
        <f t="shared" ca="1" si="4241"/>
        <v>тыс. EUR</v>
      </c>
      <c r="D1484" s="16" t="s">
        <v>2594</v>
      </c>
      <c r="F1484" s="53">
        <f t="shared" ref="F1484:T1484" ca="1" si="4251">F1041/IF(CUR_I_Report=2,F$88,1)</f>
        <v>0</v>
      </c>
      <c r="G1484" s="53">
        <f t="shared" ca="1" si="4251"/>
        <v>0</v>
      </c>
      <c r="H1484" s="53">
        <f t="shared" ca="1" si="4251"/>
        <v>0</v>
      </c>
      <c r="I1484" s="53">
        <f t="shared" ca="1" si="4251"/>
        <v>0</v>
      </c>
      <c r="J1484" s="53">
        <f t="shared" ca="1" si="4251"/>
        <v>0</v>
      </c>
      <c r="K1484" s="53">
        <f t="shared" ca="1" si="4251"/>
        <v>0</v>
      </c>
      <c r="L1484" s="53">
        <f t="shared" ca="1" si="4251"/>
        <v>0</v>
      </c>
      <c r="M1484" s="53">
        <f t="shared" ca="1" si="4251"/>
        <v>0</v>
      </c>
      <c r="N1484" s="53">
        <f t="shared" ca="1" si="4251"/>
        <v>0</v>
      </c>
      <c r="O1484" s="53">
        <f t="shared" ca="1" si="4251"/>
        <v>1.3642420526593924E-12</v>
      </c>
      <c r="P1484" s="53">
        <f t="shared" ca="1" si="4251"/>
        <v>0</v>
      </c>
      <c r="Q1484" s="53">
        <f t="shared" ca="1" si="4251"/>
        <v>0</v>
      </c>
      <c r="R1484" s="53">
        <f t="shared" ca="1" si="4251"/>
        <v>0</v>
      </c>
      <c r="S1484" s="53">
        <f t="shared" ca="1" si="4251"/>
        <v>0</v>
      </c>
      <c r="T1484" s="53">
        <f t="shared" ca="1" si="4251"/>
        <v>0</v>
      </c>
      <c r="U1484" s="53">
        <f t="shared" ref="U1484" ca="1" si="4252">U1041/IF(CUR_I_Report=2,U$88,1)</f>
        <v>0</v>
      </c>
      <c r="V1484" s="53">
        <f t="shared" ref="V1484" ca="1" si="4253">V1041/IF(CUR_I_Report=2,V$88,1)</f>
        <v>0</v>
      </c>
      <c r="W1484" s="53">
        <f t="shared" ref="W1484" ca="1" si="4254">W1041/IF(CUR_I_Report=2,W$88,1)</f>
        <v>0</v>
      </c>
      <c r="X1484" s="53">
        <f t="shared" ref="X1484" ca="1" si="4255">X1041/IF(CUR_I_Report=2,X$88,1)</f>
        <v>0</v>
      </c>
      <c r="Y1484" s="53">
        <f t="shared" ref="Y1484" ca="1" si="4256">Y1041/IF(CUR_I_Report=2,Y$88,1)</f>
        <v>0</v>
      </c>
      <c r="Z1484" s="53">
        <f t="shared" ref="Z1484" ca="1" si="4257">Z1041/IF(CUR_I_Report=2,Z$88,1)</f>
        <v>0</v>
      </c>
      <c r="AA1484" s="53">
        <f t="shared" ref="AA1484" ca="1" si="4258">AA1041/IF(CUR_I_Report=2,AA$88,1)</f>
        <v>0</v>
      </c>
      <c r="AB1484" s="53">
        <f t="shared" ref="AB1484:AC1484" ca="1" si="4259">AB1041/IF(CUR_I_Report=2,AB$88,1)</f>
        <v>0</v>
      </c>
      <c r="AC1484" s="53">
        <f t="shared" ca="1" si="4259"/>
        <v>0</v>
      </c>
    </row>
    <row r="1485" spans="1:29" outlineLevel="1" x14ac:dyDescent="0.2">
      <c r="A1485" t="str">
        <f ca="1">Language!A$792</f>
        <v xml:space="preserve">    за внеоборотные активы</v>
      </c>
      <c r="C1485" s="5" t="str">
        <f t="shared" ca="1" si="4241"/>
        <v>тыс. EUR</v>
      </c>
      <c r="D1485" s="16" t="s">
        <v>2594</v>
      </c>
      <c r="F1485" s="53">
        <f t="shared" ref="F1485:X1485" ca="1" si="4260">(F564+F555+F590+F603+F577+F613+MAX(-F653,0))/IF(CUR_I_Report=2,F$88,1)</f>
        <v>0</v>
      </c>
      <c r="G1485" s="53">
        <f t="shared" ca="1" si="4260"/>
        <v>0</v>
      </c>
      <c r="H1485" s="53">
        <f t="shared" ca="1" si="4260"/>
        <v>0</v>
      </c>
      <c r="I1485" s="53">
        <f t="shared" ca="1" si="4260"/>
        <v>0</v>
      </c>
      <c r="J1485" s="53">
        <f t="shared" ca="1" si="4260"/>
        <v>2100.7184576271193</v>
      </c>
      <c r="K1485" s="53">
        <f t="shared" ca="1" si="4260"/>
        <v>0</v>
      </c>
      <c r="L1485" s="53">
        <f t="shared" ca="1" si="4260"/>
        <v>0</v>
      </c>
      <c r="M1485" s="53">
        <f t="shared" ca="1" si="4260"/>
        <v>0</v>
      </c>
      <c r="N1485" s="53">
        <f t="shared" ca="1" si="4260"/>
        <v>0</v>
      </c>
      <c r="O1485" s="53">
        <f t="shared" ca="1" si="4260"/>
        <v>0</v>
      </c>
      <c r="P1485" s="53">
        <f t="shared" ca="1" si="4260"/>
        <v>0</v>
      </c>
      <c r="Q1485" s="53">
        <f t="shared" ca="1" si="4260"/>
        <v>0</v>
      </c>
      <c r="R1485" s="53">
        <f t="shared" ca="1" si="4260"/>
        <v>0</v>
      </c>
      <c r="S1485" s="53">
        <f t="shared" ca="1" si="4260"/>
        <v>0</v>
      </c>
      <c r="T1485" s="53">
        <f t="shared" ca="1" si="4260"/>
        <v>0</v>
      </c>
      <c r="U1485" s="53">
        <f t="shared" ca="1" si="4260"/>
        <v>0</v>
      </c>
      <c r="V1485" s="53">
        <f t="shared" ca="1" si="4260"/>
        <v>0</v>
      </c>
      <c r="W1485" s="53">
        <f t="shared" ca="1" si="4260"/>
        <v>0</v>
      </c>
      <c r="X1485" s="53">
        <f t="shared" ca="1" si="4260"/>
        <v>0</v>
      </c>
      <c r="Y1485" s="53">
        <f t="shared" ref="Y1485" ca="1" si="4261">(Y564+Y555+Y590+Y603+Y577+Y613+MAX(-Y653,0))/IF(CUR_I_Report=2,Y$88,1)</f>
        <v>0</v>
      </c>
      <c r="Z1485" s="53">
        <f t="shared" ref="Z1485" ca="1" si="4262">(Z564+Z555+Z590+Z603+Z577+Z613+MAX(-Z653,0))/IF(CUR_I_Report=2,Z$88,1)</f>
        <v>0</v>
      </c>
      <c r="AA1485" s="53">
        <f t="shared" ref="AA1485" ca="1" si="4263">(AA564+AA555+AA590+AA603+AA577+AA613+MAX(-AA653,0))/IF(CUR_I_Report=2,AA$88,1)</f>
        <v>0</v>
      </c>
      <c r="AB1485" s="53">
        <f t="shared" ref="AB1485:AC1485" ca="1" si="4264">(AB564+AB555+AB590+AB603+AB577+AB613+MAX(-AB653,0))/IF(CUR_I_Report=2,AB$88,1)</f>
        <v>0</v>
      </c>
      <c r="AC1485" s="53">
        <f t="shared" ca="1" si="4264"/>
        <v>0</v>
      </c>
    </row>
    <row r="1486" spans="1:29" outlineLevel="1" x14ac:dyDescent="0.2">
      <c r="A1486" t="str">
        <f ca="1">Language!A$793</f>
        <v>Расчеты с бюджетом</v>
      </c>
      <c r="C1486" s="5" t="str">
        <f t="shared" ca="1" si="4241"/>
        <v>тыс. EUR</v>
      </c>
      <c r="D1486" s="16" t="s">
        <v>2594</v>
      </c>
      <c r="F1486" s="53">
        <f t="shared" ref="F1486:T1486" ca="1" si="4265">F1048/IF(CUR_I_Report=2,F$88,1)</f>
        <v>0</v>
      </c>
      <c r="G1486" s="53">
        <f t="shared" ca="1" si="4265"/>
        <v>0</v>
      </c>
      <c r="H1486" s="53">
        <f t="shared" ca="1" si="4265"/>
        <v>0</v>
      </c>
      <c r="I1486" s="53">
        <f t="shared" ca="1" si="4265"/>
        <v>0</v>
      </c>
      <c r="J1486" s="53">
        <f t="shared" ca="1" si="4265"/>
        <v>0</v>
      </c>
      <c r="K1486" s="53">
        <f t="shared" ca="1" si="4265"/>
        <v>37.738329767441854</v>
      </c>
      <c r="L1486" s="53">
        <f t="shared" ca="1" si="4265"/>
        <v>37.738329767441854</v>
      </c>
      <c r="M1486" s="53">
        <f t="shared" ca="1" si="4265"/>
        <v>37.738329767441854</v>
      </c>
      <c r="N1486" s="53">
        <f t="shared" ca="1" si="4265"/>
        <v>85.642633855300929</v>
      </c>
      <c r="O1486" s="53">
        <f t="shared" ca="1" si="4265"/>
        <v>127.2980884376674</v>
      </c>
      <c r="P1486" s="53">
        <f t="shared" ca="1" si="4265"/>
        <v>127.2980884376674</v>
      </c>
      <c r="Q1486" s="53">
        <f t="shared" ca="1" si="4265"/>
        <v>127.2980884376674</v>
      </c>
      <c r="R1486" s="53">
        <f t="shared" ca="1" si="4265"/>
        <v>127.2980884376674</v>
      </c>
      <c r="S1486" s="53">
        <f t="shared" ca="1" si="4265"/>
        <v>127.2980884376674</v>
      </c>
      <c r="T1486" s="53">
        <f t="shared" ca="1" si="4265"/>
        <v>127.2980884376674</v>
      </c>
      <c r="U1486" s="53">
        <f t="shared" ref="U1486" ca="1" si="4266">U1048/IF(CUR_I_Report=2,U$88,1)</f>
        <v>127.2980884376674</v>
      </c>
      <c r="V1486" s="53">
        <f t="shared" ref="V1486" ca="1" si="4267">V1048/IF(CUR_I_Report=2,V$88,1)</f>
        <v>127.2980884376674</v>
      </c>
      <c r="W1486" s="53">
        <f t="shared" ref="W1486" ca="1" si="4268">W1048/IF(CUR_I_Report=2,W$88,1)</f>
        <v>127.2980884376674</v>
      </c>
      <c r="X1486" s="53">
        <f t="shared" ref="X1486" ca="1" si="4269">X1048/IF(CUR_I_Report=2,X$88,1)</f>
        <v>127.2980884376674</v>
      </c>
      <c r="Y1486" s="53">
        <f t="shared" ref="Y1486" ca="1" si="4270">Y1048/IF(CUR_I_Report=2,Y$88,1)</f>
        <v>127.2980884376674</v>
      </c>
      <c r="Z1486" s="53">
        <f t="shared" ref="Z1486" ca="1" si="4271">Z1048/IF(CUR_I_Report=2,Z$88,1)</f>
        <v>127.2980884376674</v>
      </c>
      <c r="AA1486" s="53">
        <f t="shared" ref="AA1486" ca="1" si="4272">AA1048/IF(CUR_I_Report=2,AA$88,1)</f>
        <v>127.2980884376674</v>
      </c>
      <c r="AB1486" s="53">
        <f t="shared" ref="AB1486:AC1486" ca="1" si="4273">AB1048/IF(CUR_I_Report=2,AB$88,1)</f>
        <v>127.2980884376674</v>
      </c>
      <c r="AC1486" s="53">
        <f t="shared" ca="1" si="4273"/>
        <v>127.2980884376674</v>
      </c>
    </row>
    <row r="1487" spans="1:29" outlineLevel="1" x14ac:dyDescent="0.2">
      <c r="A1487" t="str">
        <f ca="1">Language!A$794</f>
        <v>Расчеты с персоналом</v>
      </c>
      <c r="C1487" s="5" t="str">
        <f t="shared" ca="1" si="4241"/>
        <v>тыс. EUR</v>
      </c>
      <c r="D1487" s="16" t="s">
        <v>2594</v>
      </c>
      <c r="F1487" s="53">
        <f t="shared" ref="F1487:T1487" si="4274">F1056/IF(CUR_I_Report=2,F$88,1)</f>
        <v>0</v>
      </c>
      <c r="G1487" s="53">
        <f t="shared" si="4274"/>
        <v>0</v>
      </c>
      <c r="H1487" s="53">
        <f t="shared" si="4274"/>
        <v>0</v>
      </c>
      <c r="I1487" s="53">
        <f t="shared" si="4274"/>
        <v>0</v>
      </c>
      <c r="J1487" s="53">
        <f t="shared" si="4274"/>
        <v>0</v>
      </c>
      <c r="K1487" s="53">
        <f t="shared" si="4274"/>
        <v>61.024999999999999</v>
      </c>
      <c r="L1487" s="53">
        <f t="shared" si="4274"/>
        <v>61.024999999999999</v>
      </c>
      <c r="M1487" s="53">
        <f t="shared" si="4274"/>
        <v>61.024999999999999</v>
      </c>
      <c r="N1487" s="53">
        <f t="shared" si="4274"/>
        <v>61.024999999999999</v>
      </c>
      <c r="O1487" s="53">
        <f t="shared" si="4274"/>
        <v>61.024999999999999</v>
      </c>
      <c r="P1487" s="53">
        <f t="shared" si="4274"/>
        <v>61.024999999999999</v>
      </c>
      <c r="Q1487" s="53">
        <f t="shared" si="4274"/>
        <v>61.024999999999999</v>
      </c>
      <c r="R1487" s="53">
        <f t="shared" si="4274"/>
        <v>61.024999999999999</v>
      </c>
      <c r="S1487" s="53">
        <f t="shared" si="4274"/>
        <v>61.024999999999999</v>
      </c>
      <c r="T1487" s="53">
        <f t="shared" si="4274"/>
        <v>61.024999999999999</v>
      </c>
      <c r="U1487" s="53">
        <f t="shared" ref="U1487" si="4275">U1056/IF(CUR_I_Report=2,U$88,1)</f>
        <v>61.024999999999999</v>
      </c>
      <c r="V1487" s="53">
        <f t="shared" ref="V1487" si="4276">V1056/IF(CUR_I_Report=2,V$88,1)</f>
        <v>61.024999999999999</v>
      </c>
      <c r="W1487" s="53">
        <f t="shared" ref="W1487" si="4277">W1056/IF(CUR_I_Report=2,W$88,1)</f>
        <v>61.024999999999999</v>
      </c>
      <c r="X1487" s="53">
        <f t="shared" ref="X1487" si="4278">X1056/IF(CUR_I_Report=2,X$88,1)</f>
        <v>61.024999999999999</v>
      </c>
      <c r="Y1487" s="53">
        <f t="shared" ref="Y1487" si="4279">Y1056/IF(CUR_I_Report=2,Y$88,1)</f>
        <v>61.024999999999999</v>
      </c>
      <c r="Z1487" s="53">
        <f t="shared" ref="Z1487" si="4280">Z1056/IF(CUR_I_Report=2,Z$88,1)</f>
        <v>61.024999999999999</v>
      </c>
      <c r="AA1487" s="53">
        <f t="shared" ref="AA1487" si="4281">AA1056/IF(CUR_I_Report=2,AA$88,1)</f>
        <v>61.024999999999999</v>
      </c>
      <c r="AB1487" s="53">
        <f t="shared" ref="AB1487:AC1487" si="4282">AB1056/IF(CUR_I_Report=2,AB$88,1)</f>
        <v>61.024999999999999</v>
      </c>
      <c r="AC1487" s="53">
        <f t="shared" si="4282"/>
        <v>61.024999999999999</v>
      </c>
    </row>
    <row r="1488" spans="1:29" outlineLevel="1" x14ac:dyDescent="0.2">
      <c r="A1488" t="str">
        <f ca="1">Language!A$795</f>
        <v>Авансы покупателей</v>
      </c>
      <c r="C1488" s="5" t="str">
        <f t="shared" ca="1" si="4241"/>
        <v>тыс. EUR</v>
      </c>
      <c r="D1488" s="16" t="s">
        <v>2594</v>
      </c>
      <c r="F1488" s="84">
        <f t="shared" ref="F1488:T1488" si="4283">(F1034+F1033/(1+VAT))/IF(CUR_I_Report=2,F$88,1)</f>
        <v>0</v>
      </c>
      <c r="G1488" s="84">
        <f t="shared" si="4283"/>
        <v>0</v>
      </c>
      <c r="H1488" s="84">
        <f t="shared" si="4283"/>
        <v>0</v>
      </c>
      <c r="I1488" s="84">
        <f t="shared" si="4283"/>
        <v>0</v>
      </c>
      <c r="J1488" s="84">
        <f t="shared" si="4283"/>
        <v>0</v>
      </c>
      <c r="K1488" s="84">
        <f t="shared" si="4283"/>
        <v>0</v>
      </c>
      <c r="L1488" s="84">
        <f t="shared" si="4283"/>
        <v>0</v>
      </c>
      <c r="M1488" s="84">
        <f t="shared" si="4283"/>
        <v>0</v>
      </c>
      <c r="N1488" s="84">
        <f t="shared" si="4283"/>
        <v>0</v>
      </c>
      <c r="O1488" s="84">
        <f t="shared" si="4283"/>
        <v>0</v>
      </c>
      <c r="P1488" s="84">
        <f t="shared" si="4283"/>
        <v>0</v>
      </c>
      <c r="Q1488" s="84">
        <f t="shared" si="4283"/>
        <v>0</v>
      </c>
      <c r="R1488" s="84">
        <f t="shared" si="4283"/>
        <v>0</v>
      </c>
      <c r="S1488" s="84">
        <f t="shared" si="4283"/>
        <v>0</v>
      </c>
      <c r="T1488" s="84">
        <f t="shared" si="4283"/>
        <v>0</v>
      </c>
      <c r="U1488" s="84">
        <f t="shared" ref="U1488" si="4284">(U1034+U1033/(1+VAT))/IF(CUR_I_Report=2,U$88,1)</f>
        <v>0</v>
      </c>
      <c r="V1488" s="84">
        <f t="shared" ref="V1488" si="4285">(V1034+V1033/(1+VAT))/IF(CUR_I_Report=2,V$88,1)</f>
        <v>0</v>
      </c>
      <c r="W1488" s="84">
        <f t="shared" ref="W1488" si="4286">(W1034+W1033/(1+VAT))/IF(CUR_I_Report=2,W$88,1)</f>
        <v>0</v>
      </c>
      <c r="X1488" s="84">
        <f t="shared" ref="X1488" si="4287">(X1034+X1033/(1+VAT))/IF(CUR_I_Report=2,X$88,1)</f>
        <v>0</v>
      </c>
      <c r="Y1488" s="84">
        <f t="shared" ref="Y1488" si="4288">(Y1034+Y1033/(1+VAT))/IF(CUR_I_Report=2,Y$88,1)</f>
        <v>0</v>
      </c>
      <c r="Z1488" s="84">
        <f t="shared" ref="Z1488" si="4289">(Z1034+Z1033/(1+VAT))/IF(CUR_I_Report=2,Z$88,1)</f>
        <v>0</v>
      </c>
      <c r="AA1488" s="84">
        <f t="shared" ref="AA1488" si="4290">(AA1034+AA1033/(1+VAT))/IF(CUR_I_Report=2,AA$88,1)</f>
        <v>0</v>
      </c>
      <c r="AB1488" s="84">
        <f t="shared" ref="AB1488:AC1488" si="4291">(AB1034+AB1033/(1+VAT))/IF(CUR_I_Report=2,AB$88,1)</f>
        <v>0</v>
      </c>
      <c r="AC1488" s="84">
        <f t="shared" si="4291"/>
        <v>0</v>
      </c>
    </row>
    <row r="1489" spans="1:31" outlineLevel="1" x14ac:dyDescent="0.2">
      <c r="A1489" t="str">
        <f ca="1">Language!A$796</f>
        <v>Краткосрочные кредиты</v>
      </c>
      <c r="C1489" s="5" t="str">
        <f t="shared" ca="1" si="4241"/>
        <v>тыс. EUR</v>
      </c>
      <c r="D1489" s="16" t="s">
        <v>2594</v>
      </c>
      <c r="F1489" s="53">
        <f t="shared" ref="F1489:T1489" si="4292">F1130/IF(CUR_I_Report=2,F$88,1)</f>
        <v>0</v>
      </c>
      <c r="G1489" s="53">
        <f t="shared" si="4292"/>
        <v>0</v>
      </c>
      <c r="H1489" s="53">
        <f t="shared" si="4292"/>
        <v>0</v>
      </c>
      <c r="I1489" s="53">
        <f t="shared" si="4292"/>
        <v>0</v>
      </c>
      <c r="J1489" s="53">
        <f t="shared" si="4292"/>
        <v>0</v>
      </c>
      <c r="K1489" s="53">
        <f t="shared" si="4292"/>
        <v>0</v>
      </c>
      <c r="L1489" s="53">
        <f t="shared" si="4292"/>
        <v>0</v>
      </c>
      <c r="M1489" s="53">
        <f t="shared" si="4292"/>
        <v>0</v>
      </c>
      <c r="N1489" s="53">
        <f t="shared" si="4292"/>
        <v>0</v>
      </c>
      <c r="O1489" s="53">
        <f t="shared" si="4292"/>
        <v>0</v>
      </c>
      <c r="P1489" s="53">
        <f t="shared" si="4292"/>
        <v>0</v>
      </c>
      <c r="Q1489" s="53">
        <f t="shared" si="4292"/>
        <v>0</v>
      </c>
      <c r="R1489" s="53">
        <f t="shared" si="4292"/>
        <v>0</v>
      </c>
      <c r="S1489" s="53">
        <f t="shared" si="4292"/>
        <v>0</v>
      </c>
      <c r="T1489" s="53">
        <f t="shared" si="4292"/>
        <v>0</v>
      </c>
      <c r="U1489" s="53">
        <f t="shared" ref="U1489" si="4293">U1130/IF(CUR_I_Report=2,U$88,1)</f>
        <v>0</v>
      </c>
      <c r="V1489" s="53">
        <f t="shared" ref="V1489" si="4294">V1130/IF(CUR_I_Report=2,V$88,1)</f>
        <v>0</v>
      </c>
      <c r="W1489" s="53">
        <f t="shared" ref="W1489" si="4295">W1130/IF(CUR_I_Report=2,W$88,1)</f>
        <v>0</v>
      </c>
      <c r="X1489" s="53">
        <f t="shared" ref="X1489" si="4296">X1130/IF(CUR_I_Report=2,X$88,1)</f>
        <v>0</v>
      </c>
      <c r="Y1489" s="53">
        <f t="shared" ref="Y1489" si="4297">Y1130/IF(CUR_I_Report=2,Y$88,1)</f>
        <v>0</v>
      </c>
      <c r="Z1489" s="53">
        <f t="shared" ref="Z1489" si="4298">Z1130/IF(CUR_I_Report=2,Z$88,1)</f>
        <v>0</v>
      </c>
      <c r="AA1489" s="53">
        <f t="shared" ref="AA1489" si="4299">AA1130/IF(CUR_I_Report=2,AA$88,1)</f>
        <v>0</v>
      </c>
      <c r="AB1489" s="53">
        <f t="shared" ref="AB1489:AC1489" si="4300">AB1130/IF(CUR_I_Report=2,AB$88,1)</f>
        <v>0</v>
      </c>
      <c r="AC1489" s="53">
        <f t="shared" si="4300"/>
        <v>0</v>
      </c>
    </row>
    <row r="1490" spans="1:31" outlineLevel="1" x14ac:dyDescent="0.2">
      <c r="A1490" t="str">
        <f ca="1">Language!A$797</f>
        <v>Прочие краткосрочные обязательства</v>
      </c>
      <c r="C1490" s="5" t="str">
        <f t="shared" ca="1" si="4241"/>
        <v>тыс. EUR</v>
      </c>
      <c r="D1490" s="16" t="s">
        <v>2594</v>
      </c>
      <c r="F1490" s="43">
        <f>F69*IF(B37=1,1,F$88)/IF(CUR_I_Report=2,F$88,1)</f>
        <v>0</v>
      </c>
      <c r="G1490" s="43">
        <f t="shared" ref="G1490:AC1490" si="4301">F1490</f>
        <v>0</v>
      </c>
      <c r="H1490" s="43">
        <f t="shared" si="4301"/>
        <v>0</v>
      </c>
      <c r="I1490" s="43">
        <f t="shared" si="4301"/>
        <v>0</v>
      </c>
      <c r="J1490" s="43">
        <f t="shared" si="4301"/>
        <v>0</v>
      </c>
      <c r="K1490" s="43">
        <f t="shared" si="4301"/>
        <v>0</v>
      </c>
      <c r="L1490" s="43">
        <f t="shared" si="4301"/>
        <v>0</v>
      </c>
      <c r="M1490" s="43">
        <f t="shared" si="4301"/>
        <v>0</v>
      </c>
      <c r="N1490" s="43">
        <f t="shared" si="4301"/>
        <v>0</v>
      </c>
      <c r="O1490" s="43">
        <f t="shared" si="4301"/>
        <v>0</v>
      </c>
      <c r="P1490" s="43">
        <f t="shared" si="4301"/>
        <v>0</v>
      </c>
      <c r="Q1490" s="43">
        <f t="shared" si="4301"/>
        <v>0</v>
      </c>
      <c r="R1490" s="43">
        <f t="shared" si="4301"/>
        <v>0</v>
      </c>
      <c r="S1490" s="43">
        <f t="shared" si="4301"/>
        <v>0</v>
      </c>
      <c r="T1490" s="43">
        <f t="shared" si="4301"/>
        <v>0</v>
      </c>
      <c r="U1490" s="43">
        <f t="shared" si="4301"/>
        <v>0</v>
      </c>
      <c r="V1490" s="43">
        <f t="shared" si="4301"/>
        <v>0</v>
      </c>
      <c r="W1490" s="43">
        <f t="shared" si="4301"/>
        <v>0</v>
      </c>
      <c r="X1490" s="43">
        <f t="shared" si="4301"/>
        <v>0</v>
      </c>
      <c r="Y1490" s="43">
        <f t="shared" si="4301"/>
        <v>0</v>
      </c>
      <c r="Z1490" s="43">
        <f t="shared" si="4301"/>
        <v>0</v>
      </c>
      <c r="AA1490" s="43">
        <f t="shared" si="4301"/>
        <v>0</v>
      </c>
      <c r="AB1490" s="43">
        <f t="shared" si="4301"/>
        <v>0</v>
      </c>
      <c r="AC1490" s="43">
        <f t="shared" si="4301"/>
        <v>0</v>
      </c>
    </row>
    <row r="1491" spans="1:31" outlineLevel="1" x14ac:dyDescent="0.2">
      <c r="A1491" s="35" t="str">
        <f ca="1">Language!A$798</f>
        <v>Суммарные краткосрочные обязательства</v>
      </c>
      <c r="C1491" s="5" t="str">
        <f t="shared" ca="1" si="4241"/>
        <v>тыс. EUR</v>
      </c>
      <c r="D1491" s="16" t="s">
        <v>2594</v>
      </c>
      <c r="F1491" s="58">
        <f t="shared" ref="F1491:T1491" ca="1" si="4302">F1483+SUM(F1486:F1490)</f>
        <v>0</v>
      </c>
      <c r="G1491" s="58">
        <f t="shared" ca="1" si="4302"/>
        <v>0</v>
      </c>
      <c r="H1491" s="58">
        <f t="shared" ca="1" si="4302"/>
        <v>0</v>
      </c>
      <c r="I1491" s="58">
        <f t="shared" ca="1" si="4302"/>
        <v>0</v>
      </c>
      <c r="J1491" s="58">
        <f t="shared" ca="1" si="4302"/>
        <v>2100.7184576271193</v>
      </c>
      <c r="K1491" s="58">
        <f t="shared" ca="1" si="4302"/>
        <v>98.76332976744186</v>
      </c>
      <c r="L1491" s="58">
        <f t="shared" ca="1" si="4302"/>
        <v>98.76332976744186</v>
      </c>
      <c r="M1491" s="58">
        <f t="shared" ca="1" si="4302"/>
        <v>98.76332976744186</v>
      </c>
      <c r="N1491" s="58">
        <f t="shared" ca="1" si="4302"/>
        <v>146.66763385530092</v>
      </c>
      <c r="O1491" s="58">
        <f t="shared" ca="1" si="4302"/>
        <v>188.32308843766876</v>
      </c>
      <c r="P1491" s="58">
        <f t="shared" ca="1" si="4302"/>
        <v>188.32308843766739</v>
      </c>
      <c r="Q1491" s="58">
        <f t="shared" ca="1" si="4302"/>
        <v>188.32308843766739</v>
      </c>
      <c r="R1491" s="58">
        <f t="shared" ca="1" si="4302"/>
        <v>188.32308843766739</v>
      </c>
      <c r="S1491" s="58">
        <f t="shared" ca="1" si="4302"/>
        <v>188.32308843766739</v>
      </c>
      <c r="T1491" s="58">
        <f t="shared" ca="1" si="4302"/>
        <v>188.32308843766739</v>
      </c>
      <c r="U1491" s="58">
        <f t="shared" ref="U1491" ca="1" si="4303">U1483+SUM(U1486:U1490)</f>
        <v>188.32308843766739</v>
      </c>
      <c r="V1491" s="58">
        <f t="shared" ref="V1491" ca="1" si="4304">V1483+SUM(V1486:V1490)</f>
        <v>188.32308843766739</v>
      </c>
      <c r="W1491" s="58">
        <f t="shared" ref="W1491" ca="1" si="4305">W1483+SUM(W1486:W1490)</f>
        <v>188.32308843766739</v>
      </c>
      <c r="X1491" s="58">
        <f t="shared" ref="X1491" ca="1" si="4306">X1483+SUM(X1486:X1490)</f>
        <v>188.32308843766739</v>
      </c>
      <c r="Y1491" s="58">
        <f t="shared" ref="Y1491" ca="1" si="4307">Y1483+SUM(Y1486:Y1490)</f>
        <v>188.32308843766739</v>
      </c>
      <c r="Z1491" s="58">
        <f t="shared" ref="Z1491" ca="1" si="4308">Z1483+SUM(Z1486:Z1490)</f>
        <v>188.32308843766739</v>
      </c>
      <c r="AA1491" s="58">
        <f t="shared" ref="AA1491" ca="1" si="4309">AA1483+SUM(AA1486:AA1490)</f>
        <v>188.32308843766739</v>
      </c>
      <c r="AB1491" s="58">
        <f t="shared" ref="AB1491:AC1491" ca="1" si="4310">AB1483+SUM(AB1486:AB1490)</f>
        <v>188.32308843766739</v>
      </c>
      <c r="AC1491" s="58">
        <f t="shared" ca="1" si="4310"/>
        <v>188.32308843766739</v>
      </c>
    </row>
    <row r="1492" spans="1:31" outlineLevel="1" x14ac:dyDescent="0.2">
      <c r="C1492" s="5" t="str">
        <f t="shared" ca="1" si="4241"/>
        <v>тыс. EUR</v>
      </c>
      <c r="D1492" s="16" t="s">
        <v>2594</v>
      </c>
      <c r="F1492" s="43"/>
      <c r="G1492" s="43"/>
      <c r="H1492" s="43"/>
      <c r="I1492" s="43"/>
      <c r="J1492" s="43"/>
      <c r="K1492" s="43"/>
      <c r="L1492" s="43"/>
      <c r="M1492" s="43"/>
      <c r="N1492" s="43"/>
      <c r="O1492" s="43"/>
      <c r="P1492" s="43"/>
      <c r="Q1492" s="43"/>
      <c r="R1492" s="43"/>
      <c r="S1492" s="43"/>
      <c r="T1492" s="43"/>
      <c r="U1492" s="43"/>
      <c r="V1492" s="43"/>
      <c r="W1492" s="43"/>
      <c r="X1492" s="43"/>
      <c r="Y1492" s="43"/>
      <c r="Z1492" s="43"/>
      <c r="AA1492" s="43"/>
      <c r="AB1492" s="43"/>
      <c r="AC1492" s="43"/>
    </row>
    <row r="1493" spans="1:31" outlineLevel="1" x14ac:dyDescent="0.2">
      <c r="A1493" s="35" t="str">
        <f ca="1">Language!A$799</f>
        <v>Долгосрочные обязательства</v>
      </c>
      <c r="C1493" s="5" t="str">
        <f t="shared" ca="1" si="4241"/>
        <v>тыс. EUR</v>
      </c>
      <c r="D1493" s="16" t="s">
        <v>2594</v>
      </c>
      <c r="F1493" s="56">
        <f t="shared" ref="F1493:T1493" si="4311">F1131/IF(CUR_I_Report=2,F$88,1)</f>
        <v>0</v>
      </c>
      <c r="G1493" s="56">
        <f t="shared" si="4311"/>
        <v>0</v>
      </c>
      <c r="H1493" s="56">
        <f t="shared" si="4311"/>
        <v>0</v>
      </c>
      <c r="I1493" s="56">
        <f t="shared" si="4311"/>
        <v>0</v>
      </c>
      <c r="J1493" s="56">
        <f t="shared" si="4311"/>
        <v>0</v>
      </c>
      <c r="K1493" s="56">
        <f t="shared" si="4311"/>
        <v>0</v>
      </c>
      <c r="L1493" s="56">
        <f t="shared" si="4311"/>
        <v>0</v>
      </c>
      <c r="M1493" s="56">
        <f t="shared" si="4311"/>
        <v>0</v>
      </c>
      <c r="N1493" s="56">
        <f t="shared" si="4311"/>
        <v>0</v>
      </c>
      <c r="O1493" s="56">
        <f t="shared" si="4311"/>
        <v>0</v>
      </c>
      <c r="P1493" s="56">
        <f t="shared" si="4311"/>
        <v>0</v>
      </c>
      <c r="Q1493" s="56">
        <f t="shared" si="4311"/>
        <v>0</v>
      </c>
      <c r="R1493" s="56">
        <f t="shared" si="4311"/>
        <v>0</v>
      </c>
      <c r="S1493" s="56">
        <f t="shared" si="4311"/>
        <v>0</v>
      </c>
      <c r="T1493" s="56">
        <f t="shared" si="4311"/>
        <v>0</v>
      </c>
      <c r="U1493" s="56">
        <f t="shared" ref="U1493" si="4312">U1131/IF(CUR_I_Report=2,U$88,1)</f>
        <v>0</v>
      </c>
      <c r="V1493" s="56">
        <f t="shared" ref="V1493" si="4313">V1131/IF(CUR_I_Report=2,V$88,1)</f>
        <v>0</v>
      </c>
      <c r="W1493" s="56">
        <f t="shared" ref="W1493" si="4314">W1131/IF(CUR_I_Report=2,W$88,1)</f>
        <v>0</v>
      </c>
      <c r="X1493" s="56">
        <f t="shared" ref="X1493" si="4315">X1131/IF(CUR_I_Report=2,X$88,1)</f>
        <v>0</v>
      </c>
      <c r="Y1493" s="56">
        <f t="shared" ref="Y1493" si="4316">Y1131/IF(CUR_I_Report=2,Y$88,1)</f>
        <v>0</v>
      </c>
      <c r="Z1493" s="56">
        <f t="shared" ref="Z1493" si="4317">Z1131/IF(CUR_I_Report=2,Z$88,1)</f>
        <v>0</v>
      </c>
      <c r="AA1493" s="56">
        <f t="shared" ref="AA1493" si="4318">AA1131/IF(CUR_I_Report=2,AA$88,1)</f>
        <v>0</v>
      </c>
      <c r="AB1493" s="56">
        <f t="shared" ref="AB1493:AC1493" si="4319">AB1131/IF(CUR_I_Report=2,AB$88,1)</f>
        <v>0</v>
      </c>
      <c r="AC1493" s="56">
        <f t="shared" si="4319"/>
        <v>0</v>
      </c>
    </row>
    <row r="1494" spans="1:31" outlineLevel="1" x14ac:dyDescent="0.2">
      <c r="F1494" s="43"/>
      <c r="G1494" s="43"/>
      <c r="H1494" s="43"/>
      <c r="I1494" s="43"/>
      <c r="J1494" s="43"/>
      <c r="K1494" s="43"/>
      <c r="L1494" s="43"/>
      <c r="M1494" s="43"/>
      <c r="N1494" s="43"/>
      <c r="O1494" s="43"/>
      <c r="P1494" s="43"/>
      <c r="Q1494" s="43"/>
      <c r="R1494" s="43"/>
      <c r="S1494" s="43"/>
      <c r="T1494" s="43"/>
      <c r="U1494" s="43"/>
      <c r="V1494" s="43"/>
      <c r="W1494" s="43"/>
      <c r="X1494" s="43"/>
      <c r="Y1494" s="43"/>
      <c r="Z1494" s="43"/>
      <c r="AA1494" s="43"/>
      <c r="AB1494" s="43"/>
      <c r="AC1494" s="43"/>
    </row>
    <row r="1495" spans="1:31" outlineLevel="1" x14ac:dyDescent="0.2">
      <c r="A1495" t="str">
        <f ca="1">Language!A$800</f>
        <v>Средства собственников</v>
      </c>
      <c r="C1495" s="5" t="str">
        <f ca="1">CUR_Report</f>
        <v>тыс. EUR</v>
      </c>
      <c r="D1495" s="16" t="s">
        <v>2594</v>
      </c>
      <c r="F1495" s="53">
        <f>(SUM($E1075:F1075)+SUM($E1084:F1084))/IF(CUR_I_Report=2,F$88,1)+$F61*IF($B37=1,1,F$88)/IF(CUR_I_Report=2,F$88,1)</f>
        <v>0</v>
      </c>
      <c r="G1495" s="53">
        <f t="shared" ref="G1495:AC1495" si="4320">F1495*IF(CUR_I_Report=2,F$88/G$88,1)+(G1075+G1084)/IF(CUR_I_Report=2,G$88,1)</f>
        <v>0</v>
      </c>
      <c r="H1495" s="53">
        <f t="shared" si="4320"/>
        <v>0</v>
      </c>
      <c r="I1495" s="53">
        <f t="shared" si="4320"/>
        <v>0</v>
      </c>
      <c r="J1495" s="53">
        <f t="shared" si="4320"/>
        <v>0</v>
      </c>
      <c r="K1495" s="53">
        <f t="shared" si="4320"/>
        <v>0</v>
      </c>
      <c r="L1495" s="53">
        <f t="shared" si="4320"/>
        <v>0</v>
      </c>
      <c r="M1495" s="53">
        <f t="shared" si="4320"/>
        <v>0</v>
      </c>
      <c r="N1495" s="53">
        <f t="shared" si="4320"/>
        <v>0</v>
      </c>
      <c r="O1495" s="53">
        <f t="shared" si="4320"/>
        <v>0</v>
      </c>
      <c r="P1495" s="53">
        <f t="shared" si="4320"/>
        <v>0</v>
      </c>
      <c r="Q1495" s="53">
        <f t="shared" si="4320"/>
        <v>0</v>
      </c>
      <c r="R1495" s="53">
        <f t="shared" si="4320"/>
        <v>0</v>
      </c>
      <c r="S1495" s="53">
        <f t="shared" si="4320"/>
        <v>0</v>
      </c>
      <c r="T1495" s="53">
        <f t="shared" si="4320"/>
        <v>0</v>
      </c>
      <c r="U1495" s="53">
        <f t="shared" si="4320"/>
        <v>0</v>
      </c>
      <c r="V1495" s="53">
        <f t="shared" si="4320"/>
        <v>0</v>
      </c>
      <c r="W1495" s="53">
        <f t="shared" si="4320"/>
        <v>0</v>
      </c>
      <c r="X1495" s="53">
        <f t="shared" si="4320"/>
        <v>0</v>
      </c>
      <c r="Y1495" s="53">
        <f t="shared" si="4320"/>
        <v>0</v>
      </c>
      <c r="Z1495" s="53">
        <f t="shared" si="4320"/>
        <v>0</v>
      </c>
      <c r="AA1495" s="53">
        <f t="shared" si="4320"/>
        <v>0</v>
      </c>
      <c r="AB1495" s="53">
        <f t="shared" si="4320"/>
        <v>0</v>
      </c>
      <c r="AC1495" s="53">
        <f t="shared" si="4320"/>
        <v>0</v>
      </c>
    </row>
    <row r="1496" spans="1:31" outlineLevel="1" x14ac:dyDescent="0.2">
      <c r="A1496" t="str">
        <f ca="1">Language!A$801</f>
        <v>Нераспределенная прибыль</v>
      </c>
      <c r="C1496" s="5" t="str">
        <f ca="1">CUR_Report</f>
        <v>тыс. EUR</v>
      </c>
      <c r="D1496" s="16" t="s">
        <v>2594</v>
      </c>
      <c r="F1496" s="43">
        <f t="shared" ref="F1496:T1496" ca="1" si="4321">F1291</f>
        <v>0</v>
      </c>
      <c r="G1496" s="43">
        <f t="shared" ca="1" si="4321"/>
        <v>0</v>
      </c>
      <c r="H1496" s="43">
        <f t="shared" ca="1" si="4321"/>
        <v>0</v>
      </c>
      <c r="I1496" s="43">
        <f t="shared" ca="1" si="4321"/>
        <v>0</v>
      </c>
      <c r="J1496" s="43">
        <f t="shared" ca="1" si="4321"/>
        <v>-309.35251270876392</v>
      </c>
      <c r="K1496" s="43">
        <f t="shared" ca="1" si="4321"/>
        <v>-852.07452185621275</v>
      </c>
      <c r="L1496" s="43">
        <f t="shared" ca="1" si="4321"/>
        <v>-815.26579806644747</v>
      </c>
      <c r="M1496" s="43">
        <f t="shared" ca="1" si="4321"/>
        <v>-299.38973508517608</v>
      </c>
      <c r="N1496" s="43">
        <f t="shared" ca="1" si="4321"/>
        <v>612.67083649209246</v>
      </c>
      <c r="O1496" s="43">
        <f t="shared" ca="1" si="4321"/>
        <v>1758.0930131691875</v>
      </c>
      <c r="P1496" s="43">
        <f t="shared" ca="1" si="4321"/>
        <v>2903.5151898462827</v>
      </c>
      <c r="Q1496" s="43">
        <f t="shared" ca="1" si="4321"/>
        <v>4048.9373665233779</v>
      </c>
      <c r="R1496" s="43">
        <f t="shared" ca="1" si="4321"/>
        <v>5194.3595432004731</v>
      </c>
      <c r="S1496" s="43">
        <f t="shared" ca="1" si="4321"/>
        <v>6339.7817198775683</v>
      </c>
      <c r="T1496" s="43">
        <f t="shared" ca="1" si="4321"/>
        <v>7485.2038965546635</v>
      </c>
      <c r="U1496" s="43">
        <f t="shared" ref="U1496" ca="1" si="4322">U1291</f>
        <v>8630.6260732317587</v>
      </c>
      <c r="V1496" s="43">
        <f t="shared" ref="V1496" ca="1" si="4323">V1291</f>
        <v>9776.0482499088539</v>
      </c>
      <c r="W1496" s="43">
        <f t="shared" ref="W1496" ca="1" si="4324">W1291</f>
        <v>10921.470426585949</v>
      </c>
      <c r="X1496" s="43">
        <f t="shared" ref="X1496" ca="1" si="4325">X1291</f>
        <v>12066.892603263044</v>
      </c>
      <c r="Y1496" s="43">
        <f t="shared" ref="Y1496" ca="1" si="4326">Y1291</f>
        <v>13212.314779940139</v>
      </c>
      <c r="Z1496" s="43">
        <f t="shared" ref="Z1496" ca="1" si="4327">Z1291</f>
        <v>14357.736956617235</v>
      </c>
      <c r="AA1496" s="43">
        <f t="shared" ref="AA1496" ca="1" si="4328">AA1291</f>
        <v>15503.15913329433</v>
      </c>
      <c r="AB1496" s="43">
        <f t="shared" ref="AB1496:AC1496" ca="1" si="4329">AB1291</f>
        <v>16648.581309971425</v>
      </c>
      <c r="AC1496" s="43">
        <f t="shared" ca="1" si="4329"/>
        <v>17794.003486648522</v>
      </c>
    </row>
    <row r="1497" spans="1:31" outlineLevel="1" x14ac:dyDescent="0.2">
      <c r="A1497" t="str">
        <f ca="1">Language!A$802</f>
        <v>Прочие источники финансирования</v>
      </c>
      <c r="C1497" s="5" t="str">
        <f ca="1">CUR_Report</f>
        <v>тыс. EUR</v>
      </c>
      <c r="D1497" s="16" t="s">
        <v>2594</v>
      </c>
      <c r="F1497" s="84">
        <f>(SUM($E1087:F1087)+SUM($E1089:F1089)+MAX(0,$B540-$B534)+MAX(0,$B545+$B547-$B535))/IF(CUR_I_Report=2,F$88,1)+$F63*IF($B37=1,1,F$88)/IF(CUR_I_Report=2,F$88,1)</f>
        <v>0</v>
      </c>
      <c r="G1497" s="84">
        <f t="shared" ref="G1497:AC1497" si="4330">F1497*IF(CUR_I_Report=2,F$88/G$88,1)+(G1087+G1089)/IF(CUR_I_Report=2,G$88,1)</f>
        <v>0</v>
      </c>
      <c r="H1497" s="84">
        <f t="shared" si="4330"/>
        <v>5695.3855543220343</v>
      </c>
      <c r="I1497" s="84">
        <f t="shared" si="4330"/>
        <v>7214.9455543220338</v>
      </c>
      <c r="J1497" s="84">
        <f t="shared" ca="1" si="4330"/>
        <v>14239.834751501385</v>
      </c>
      <c r="K1497" s="84">
        <f t="shared" ca="1" si="4330"/>
        <v>17222.360449034895</v>
      </c>
      <c r="L1497" s="84">
        <f t="shared" ca="1" si="4330"/>
        <v>17222.360449034895</v>
      </c>
      <c r="M1497" s="84">
        <f t="shared" ca="1" si="4330"/>
        <v>17222.360449034895</v>
      </c>
      <c r="N1497" s="84">
        <f t="shared" ca="1" si="4330"/>
        <v>17222.360449034895</v>
      </c>
      <c r="O1497" s="84">
        <f t="shared" ca="1" si="4330"/>
        <v>17222.360449034895</v>
      </c>
      <c r="P1497" s="84">
        <f t="shared" ca="1" si="4330"/>
        <v>17222.360449034895</v>
      </c>
      <c r="Q1497" s="84">
        <f t="shared" ca="1" si="4330"/>
        <v>17222.360449034895</v>
      </c>
      <c r="R1497" s="84">
        <f t="shared" ca="1" si="4330"/>
        <v>17222.360449034895</v>
      </c>
      <c r="S1497" s="84">
        <f t="shared" ca="1" si="4330"/>
        <v>17222.360449034895</v>
      </c>
      <c r="T1497" s="84">
        <f t="shared" ca="1" si="4330"/>
        <v>17222.360449034895</v>
      </c>
      <c r="U1497" s="84">
        <f t="shared" ca="1" si="4330"/>
        <v>17222.360449034895</v>
      </c>
      <c r="V1497" s="84">
        <f t="shared" ca="1" si="4330"/>
        <v>17222.360449034895</v>
      </c>
      <c r="W1497" s="84">
        <f t="shared" ca="1" si="4330"/>
        <v>17222.360449034895</v>
      </c>
      <c r="X1497" s="84">
        <f t="shared" ca="1" si="4330"/>
        <v>17222.360449034895</v>
      </c>
      <c r="Y1497" s="84">
        <f t="shared" ca="1" si="4330"/>
        <v>17222.360449034895</v>
      </c>
      <c r="Z1497" s="84">
        <f t="shared" ca="1" si="4330"/>
        <v>17222.360449034895</v>
      </c>
      <c r="AA1497" s="84">
        <f t="shared" ca="1" si="4330"/>
        <v>17222.360449034895</v>
      </c>
      <c r="AB1497" s="84">
        <f t="shared" ca="1" si="4330"/>
        <v>17222.360449034895</v>
      </c>
      <c r="AC1497" s="84">
        <f t="shared" ca="1" si="4330"/>
        <v>17222.360449034895</v>
      </c>
    </row>
    <row r="1498" spans="1:31" outlineLevel="1" x14ac:dyDescent="0.2">
      <c r="A1498" s="35" t="str">
        <f ca="1">Language!A$803</f>
        <v>Суммарный собственный капитал</v>
      </c>
      <c r="C1498" s="5" t="str">
        <f ca="1">CUR_Report</f>
        <v>тыс. EUR</v>
      </c>
      <c r="D1498" s="16" t="s">
        <v>2594</v>
      </c>
      <c r="F1498" s="58">
        <f t="shared" ref="F1498:T1498" ca="1" si="4331">SUM(F1495:F1497)</f>
        <v>0</v>
      </c>
      <c r="G1498" s="58">
        <f t="shared" ca="1" si="4331"/>
        <v>0</v>
      </c>
      <c r="H1498" s="58">
        <f t="shared" ca="1" si="4331"/>
        <v>5695.3855543220343</v>
      </c>
      <c r="I1498" s="58">
        <f t="shared" ca="1" si="4331"/>
        <v>7214.9455543220338</v>
      </c>
      <c r="J1498" s="58">
        <f t="shared" ca="1" si="4331"/>
        <v>13930.482238792622</v>
      </c>
      <c r="K1498" s="58">
        <f t="shared" ca="1" si="4331"/>
        <v>16370.285927178682</v>
      </c>
      <c r="L1498" s="58">
        <f t="shared" ca="1" si="4331"/>
        <v>16407.094650968447</v>
      </c>
      <c r="M1498" s="58">
        <f t="shared" ca="1" si="4331"/>
        <v>16922.970713949719</v>
      </c>
      <c r="N1498" s="58">
        <f t="shared" ca="1" si="4331"/>
        <v>17835.031285526988</v>
      </c>
      <c r="O1498" s="58">
        <f t="shared" ca="1" si="4331"/>
        <v>18980.453462204081</v>
      </c>
      <c r="P1498" s="58">
        <f t="shared" ca="1" si="4331"/>
        <v>20125.875638881178</v>
      </c>
      <c r="Q1498" s="58">
        <f t="shared" ca="1" si="4331"/>
        <v>21271.297815558275</v>
      </c>
      <c r="R1498" s="58">
        <f t="shared" ca="1" si="4331"/>
        <v>22416.719992235368</v>
      </c>
      <c r="S1498" s="58">
        <f t="shared" ca="1" si="4331"/>
        <v>23562.142168912462</v>
      </c>
      <c r="T1498" s="58">
        <f t="shared" ca="1" si="4331"/>
        <v>24707.564345589559</v>
      </c>
      <c r="U1498" s="58">
        <f t="shared" ref="U1498" ca="1" si="4332">SUM(U1495:U1497)</f>
        <v>25852.986522266656</v>
      </c>
      <c r="V1498" s="58">
        <f t="shared" ref="V1498" ca="1" si="4333">SUM(V1495:V1497)</f>
        <v>26998.408698943749</v>
      </c>
      <c r="W1498" s="58">
        <f t="shared" ref="W1498" ca="1" si="4334">SUM(W1495:W1497)</f>
        <v>28143.830875620843</v>
      </c>
      <c r="X1498" s="58">
        <f t="shared" ref="X1498" ca="1" si="4335">SUM(X1495:X1497)</f>
        <v>29289.25305229794</v>
      </c>
      <c r="Y1498" s="58">
        <f t="shared" ref="Y1498" ca="1" si="4336">SUM(Y1495:Y1497)</f>
        <v>30434.675228975037</v>
      </c>
      <c r="Z1498" s="58">
        <f t="shared" ref="Z1498" ca="1" si="4337">SUM(Z1495:Z1497)</f>
        <v>31580.09740565213</v>
      </c>
      <c r="AA1498" s="58">
        <f t="shared" ref="AA1498" ca="1" si="4338">SUM(AA1495:AA1497)</f>
        <v>32725.519582329223</v>
      </c>
      <c r="AB1498" s="58">
        <f t="shared" ref="AB1498:AC1498" ca="1" si="4339">SUM(AB1495:AB1497)</f>
        <v>33870.941759006324</v>
      </c>
      <c r="AC1498" s="58">
        <f t="shared" ca="1" si="4339"/>
        <v>35016.363935683417</v>
      </c>
    </row>
    <row r="1499" spans="1:31" outlineLevel="1" x14ac:dyDescent="0.2">
      <c r="A1499" s="35"/>
      <c r="F1499" s="43"/>
      <c r="G1499" s="43"/>
      <c r="H1499" s="43"/>
      <c r="I1499" s="43"/>
      <c r="J1499" s="43"/>
      <c r="K1499" s="43"/>
      <c r="L1499" s="43"/>
      <c r="M1499" s="43"/>
      <c r="N1499" s="43"/>
      <c r="O1499" s="43"/>
      <c r="P1499" s="43"/>
      <c r="Q1499" s="43"/>
      <c r="R1499" s="43"/>
      <c r="S1499" s="43"/>
      <c r="T1499" s="43"/>
      <c r="U1499" s="43"/>
      <c r="V1499" s="43"/>
      <c r="W1499" s="43"/>
      <c r="X1499" s="43"/>
      <c r="Y1499" s="43"/>
      <c r="Z1499" s="43"/>
      <c r="AA1499" s="43"/>
      <c r="AB1499" s="43"/>
      <c r="AC1499" s="43"/>
    </row>
    <row r="1500" spans="1:31" outlineLevel="1" x14ac:dyDescent="0.2">
      <c r="A1500" s="35" t="str">
        <f ca="1">Language!A$804</f>
        <v xml:space="preserve"> = ИТОГО ПАССИВОВ</v>
      </c>
      <c r="C1500" s="5" t="str">
        <f ca="1">CUR_Report</f>
        <v>тыс. EUR</v>
      </c>
      <c r="D1500" s="16" t="s">
        <v>2594</v>
      </c>
      <c r="F1500" s="58">
        <f t="shared" ref="F1500:T1500" ca="1" si="4340">F1491+F1493+F1498</f>
        <v>0</v>
      </c>
      <c r="G1500" s="58">
        <f t="shared" ca="1" si="4340"/>
        <v>0</v>
      </c>
      <c r="H1500" s="58">
        <f t="shared" ca="1" si="4340"/>
        <v>5695.3855543220343</v>
      </c>
      <c r="I1500" s="58">
        <f t="shared" ca="1" si="4340"/>
        <v>7214.9455543220338</v>
      </c>
      <c r="J1500" s="58">
        <f t="shared" ca="1" si="4340"/>
        <v>16031.200696419741</v>
      </c>
      <c r="K1500" s="58">
        <f t="shared" ca="1" si="4340"/>
        <v>16469.049256946124</v>
      </c>
      <c r="L1500" s="58">
        <f t="shared" ca="1" si="4340"/>
        <v>16505.857980735887</v>
      </c>
      <c r="M1500" s="58">
        <f t="shared" ca="1" si="4340"/>
        <v>17021.734043717159</v>
      </c>
      <c r="N1500" s="58">
        <f t="shared" ca="1" si="4340"/>
        <v>17981.698919382288</v>
      </c>
      <c r="O1500" s="58">
        <f t="shared" ca="1" si="4340"/>
        <v>19168.776550641749</v>
      </c>
      <c r="P1500" s="58">
        <f t="shared" ca="1" si="4340"/>
        <v>20314.198727318846</v>
      </c>
      <c r="Q1500" s="58">
        <f t="shared" ca="1" si="4340"/>
        <v>21459.620903995943</v>
      </c>
      <c r="R1500" s="58">
        <f t="shared" ca="1" si="4340"/>
        <v>22605.043080673036</v>
      </c>
      <c r="S1500" s="58">
        <f t="shared" ca="1" si="4340"/>
        <v>23750.46525735013</v>
      </c>
      <c r="T1500" s="58">
        <f t="shared" ca="1" si="4340"/>
        <v>24895.887434027227</v>
      </c>
      <c r="U1500" s="58">
        <f t="shared" ref="U1500" ca="1" si="4341">U1491+U1493+U1498</f>
        <v>26041.309610704324</v>
      </c>
      <c r="V1500" s="58">
        <f t="shared" ref="V1500" ca="1" si="4342">V1491+V1493+V1498</f>
        <v>27186.731787381417</v>
      </c>
      <c r="W1500" s="58">
        <f t="shared" ref="W1500" ca="1" si="4343">W1491+W1493+W1498</f>
        <v>28332.153964058511</v>
      </c>
      <c r="X1500" s="58">
        <f t="shared" ref="X1500" ca="1" si="4344">X1491+X1493+X1498</f>
        <v>29477.576140735608</v>
      </c>
      <c r="Y1500" s="58">
        <f t="shared" ref="Y1500" ca="1" si="4345">Y1491+Y1493+Y1498</f>
        <v>30622.998317412705</v>
      </c>
      <c r="Z1500" s="58">
        <f t="shared" ref="Z1500" ca="1" si="4346">Z1491+Z1493+Z1498</f>
        <v>31768.420494089798</v>
      </c>
      <c r="AA1500" s="58">
        <f t="shared" ref="AA1500" ca="1" si="4347">AA1491+AA1493+AA1498</f>
        <v>32913.842670766891</v>
      </c>
      <c r="AB1500" s="58">
        <f t="shared" ref="AB1500:AC1500" ca="1" si="4348">AB1491+AB1493+AB1498</f>
        <v>34059.264847443992</v>
      </c>
      <c r="AC1500" s="58">
        <f t="shared" ca="1" si="4348"/>
        <v>35204.687024121085</v>
      </c>
      <c r="AE1500" s="22"/>
    </row>
    <row r="1501" spans="1:31" s="11" customFormat="1" outlineLevel="1" x14ac:dyDescent="0.2">
      <c r="A1501" s="64" t="str">
        <f ca="1">Language!A$805</f>
        <v>Контроль сходимости баланса</v>
      </c>
      <c r="B1501" s="145" t="str">
        <f ca="1">IF(OR(MAX(F1501:AD1501)&lt;&gt;0,MIN(F1501:AD1501)&lt;&gt;0),Language!A806,"")</f>
        <v/>
      </c>
      <c r="C1501" s="64"/>
      <c r="D1501" s="64"/>
      <c r="E1501" s="64"/>
      <c r="F1501" s="146">
        <f t="shared" ref="F1501:T1501" ca="1" si="4349">IF(AND(0&lt;=ABS(F1481-F1500),ABS(F1481-F1500)&lt;=1),0,F1481-F1500)</f>
        <v>0</v>
      </c>
      <c r="G1501" s="146">
        <f t="shared" ca="1" si="4349"/>
        <v>0</v>
      </c>
      <c r="H1501" s="146">
        <f t="shared" ca="1" si="4349"/>
        <v>0</v>
      </c>
      <c r="I1501" s="146">
        <f t="shared" ca="1" si="4349"/>
        <v>0</v>
      </c>
      <c r="J1501" s="146">
        <f t="shared" ca="1" si="4349"/>
        <v>0</v>
      </c>
      <c r="K1501" s="146">
        <f t="shared" ca="1" si="4349"/>
        <v>0</v>
      </c>
      <c r="L1501" s="146">
        <f t="shared" ca="1" si="4349"/>
        <v>0</v>
      </c>
      <c r="M1501" s="146">
        <f t="shared" ca="1" si="4349"/>
        <v>0</v>
      </c>
      <c r="N1501" s="146">
        <f t="shared" ca="1" si="4349"/>
        <v>0</v>
      </c>
      <c r="O1501" s="146">
        <f t="shared" ca="1" si="4349"/>
        <v>0</v>
      </c>
      <c r="P1501" s="146">
        <f t="shared" ca="1" si="4349"/>
        <v>0</v>
      </c>
      <c r="Q1501" s="146">
        <f t="shared" ca="1" si="4349"/>
        <v>0</v>
      </c>
      <c r="R1501" s="146">
        <f t="shared" ca="1" si="4349"/>
        <v>0</v>
      </c>
      <c r="S1501" s="146">
        <f t="shared" ca="1" si="4349"/>
        <v>0</v>
      </c>
      <c r="T1501" s="146">
        <f t="shared" ca="1" si="4349"/>
        <v>0</v>
      </c>
      <c r="U1501" s="146">
        <f t="shared" ref="U1501" ca="1" si="4350">IF(AND(0&lt;=ABS(U1481-U1500),ABS(U1481-U1500)&lt;=1),0,U1481-U1500)</f>
        <v>0</v>
      </c>
      <c r="V1501" s="146">
        <f t="shared" ref="V1501" ca="1" si="4351">IF(AND(0&lt;=ABS(V1481-V1500),ABS(V1481-V1500)&lt;=1),0,V1481-V1500)</f>
        <v>0</v>
      </c>
      <c r="W1501" s="146">
        <f t="shared" ref="W1501" ca="1" si="4352">IF(AND(0&lt;=ABS(W1481-W1500),ABS(W1481-W1500)&lt;=1),0,W1481-W1500)</f>
        <v>0</v>
      </c>
      <c r="X1501" s="146">
        <f t="shared" ref="X1501" ca="1" si="4353">IF(AND(0&lt;=ABS(X1481-X1500),ABS(X1481-X1500)&lt;=1),0,X1481-X1500)</f>
        <v>0</v>
      </c>
      <c r="Y1501" s="146">
        <f t="shared" ref="Y1501" ca="1" si="4354">IF(AND(0&lt;=ABS(Y1481-Y1500),ABS(Y1481-Y1500)&lt;=1),0,Y1481-Y1500)</f>
        <v>0</v>
      </c>
      <c r="Z1501" s="146">
        <f t="shared" ref="Z1501" ca="1" si="4355">IF(AND(0&lt;=ABS(Z1481-Z1500),ABS(Z1481-Z1500)&lt;=1),0,Z1481-Z1500)</f>
        <v>0</v>
      </c>
      <c r="AA1501" s="146">
        <f t="shared" ref="AA1501" ca="1" si="4356">IF(AND(0&lt;=ABS(AA1481-AA1500),ABS(AA1481-AA1500)&lt;=1),0,AA1481-AA1500)</f>
        <v>0</v>
      </c>
      <c r="AB1501" s="146">
        <f t="shared" ref="AB1501:AC1501" ca="1" si="4357">IF(AND(0&lt;=ABS(AB1481-AB1500),ABS(AB1481-AB1500)&lt;=1),0,AB1481-AB1500)</f>
        <v>0</v>
      </c>
      <c r="AC1501" s="146">
        <f t="shared" ca="1" si="4357"/>
        <v>0</v>
      </c>
      <c r="AD1501" s="64"/>
      <c r="AE1501" s="22"/>
    </row>
    <row r="1502" spans="1:31" s="11" customFormat="1" outlineLevel="1" x14ac:dyDescent="0.2">
      <c r="A1502" s="22"/>
      <c r="B1502" s="148"/>
      <c r="C1502" s="22"/>
      <c r="D1502" s="22"/>
      <c r="E1502" s="22"/>
      <c r="F1502" s="117"/>
      <c r="G1502" s="117"/>
      <c r="H1502" s="117"/>
      <c r="I1502" s="117"/>
      <c r="J1502" s="117"/>
      <c r="K1502" s="117"/>
      <c r="L1502" s="117"/>
      <c r="M1502" s="117"/>
      <c r="N1502" s="117"/>
      <c r="O1502" s="117"/>
      <c r="P1502" s="117"/>
      <c r="Q1502" s="117"/>
      <c r="R1502" s="117"/>
      <c r="S1502" s="117"/>
      <c r="T1502" s="117"/>
      <c r="U1502" s="117"/>
      <c r="V1502" s="117"/>
      <c r="W1502" s="117"/>
      <c r="X1502" s="117"/>
      <c r="Y1502" s="117"/>
      <c r="Z1502" s="117"/>
      <c r="AA1502" s="117"/>
      <c r="AB1502" s="117"/>
      <c r="AC1502" s="117"/>
      <c r="AD1502" s="22"/>
      <c r="AE1502" s="22"/>
    </row>
    <row r="1503" spans="1:31" s="11" customFormat="1" outlineLevel="1" collapsed="1" x14ac:dyDescent="0.2">
      <c r="A1503" s="22" t="str">
        <f ca="1">Language!A$807 &amp; ", " &amp; Проект!CUR_Report</f>
        <v>График: Активы проекта, тыс. EUR</v>
      </c>
      <c r="B1503" s="148"/>
      <c r="C1503" s="22"/>
      <c r="D1503" s="22"/>
      <c r="E1503" s="22"/>
      <c r="F1503" s="117"/>
      <c r="G1503" s="117"/>
      <c r="H1503" s="117"/>
      <c r="I1503" s="117"/>
      <c r="J1503" s="117"/>
      <c r="K1503" s="117"/>
      <c r="L1503" s="117"/>
      <c r="M1503" s="117"/>
      <c r="N1503" s="117"/>
      <c r="O1503" s="117"/>
      <c r="P1503" s="117"/>
      <c r="Q1503" s="117"/>
      <c r="R1503" s="117"/>
      <c r="S1503" s="117"/>
      <c r="T1503" s="117"/>
      <c r="U1503" s="117"/>
      <c r="V1503" s="117"/>
      <c r="W1503" s="117"/>
      <c r="X1503" s="117"/>
      <c r="Y1503" s="117"/>
      <c r="Z1503" s="117"/>
      <c r="AA1503" s="117"/>
      <c r="AB1503" s="117"/>
      <c r="AC1503" s="117"/>
      <c r="AD1503" s="22"/>
      <c r="AE1503" s="22"/>
    </row>
    <row r="1504" spans="1:31" s="11" customFormat="1" hidden="1" outlineLevel="2" x14ac:dyDescent="0.2">
      <c r="A1504" s="22"/>
      <c r="B1504" s="148"/>
      <c r="C1504" s="22"/>
      <c r="D1504" s="22"/>
      <c r="E1504" s="22"/>
      <c r="F1504" s="117"/>
      <c r="G1504" s="117"/>
      <c r="H1504" s="117"/>
      <c r="I1504" s="117"/>
      <c r="J1504" s="117"/>
      <c r="K1504" s="117"/>
      <c r="L1504" s="117"/>
      <c r="M1504" s="117"/>
      <c r="N1504" s="117"/>
      <c r="O1504" s="117"/>
      <c r="P1504" s="117"/>
      <c r="Q1504" s="117"/>
      <c r="R1504" s="117"/>
      <c r="S1504" s="117"/>
      <c r="T1504" s="117"/>
      <c r="U1504" s="117"/>
      <c r="V1504" s="117"/>
      <c r="W1504" s="117"/>
      <c r="X1504" s="117"/>
      <c r="Y1504" s="117"/>
      <c r="Z1504" s="117"/>
      <c r="AA1504" s="117"/>
      <c r="AB1504" s="117"/>
      <c r="AC1504" s="117"/>
      <c r="AD1504" s="22"/>
      <c r="AE1504" s="22"/>
    </row>
    <row r="1505" spans="1:31" s="11" customFormat="1" hidden="1" outlineLevel="2" x14ac:dyDescent="0.2">
      <c r="A1505" s="22"/>
      <c r="B1505" s="148"/>
      <c r="C1505" s="22"/>
      <c r="D1505" s="22"/>
      <c r="E1505" s="22"/>
      <c r="F1505" s="117"/>
      <c r="G1505" s="117"/>
      <c r="H1505" s="117"/>
      <c r="I1505" s="117"/>
      <c r="J1505" s="117"/>
      <c r="K1505" s="117"/>
      <c r="L1505" s="117"/>
      <c r="M1505" s="117"/>
      <c r="N1505" s="117"/>
      <c r="O1505" s="117"/>
      <c r="P1505" s="117"/>
      <c r="Q1505" s="117"/>
      <c r="R1505" s="117"/>
      <c r="S1505" s="117"/>
      <c r="T1505" s="117"/>
      <c r="U1505" s="117"/>
      <c r="V1505" s="117"/>
      <c r="W1505" s="117"/>
      <c r="X1505" s="117"/>
      <c r="Y1505" s="117"/>
      <c r="Z1505" s="117"/>
      <c r="AA1505" s="117"/>
      <c r="AB1505" s="117"/>
      <c r="AC1505" s="117"/>
      <c r="AD1505" s="22"/>
      <c r="AE1505" s="22"/>
    </row>
    <row r="1506" spans="1:31" s="11" customFormat="1" hidden="1" outlineLevel="2" x14ac:dyDescent="0.2">
      <c r="A1506" s="22"/>
      <c r="B1506" s="148"/>
      <c r="C1506" s="22"/>
      <c r="D1506" s="22"/>
      <c r="E1506" s="22"/>
      <c r="F1506" s="117"/>
      <c r="G1506" s="117"/>
      <c r="H1506" s="117"/>
      <c r="I1506" s="117"/>
      <c r="J1506" s="117"/>
      <c r="K1506" s="117"/>
      <c r="L1506" s="117"/>
      <c r="M1506" s="117"/>
      <c r="N1506" s="117"/>
      <c r="O1506" s="117"/>
      <c r="P1506" s="117"/>
      <c r="Q1506" s="117"/>
      <c r="R1506" s="117"/>
      <c r="S1506" s="117"/>
      <c r="T1506" s="117"/>
      <c r="U1506" s="117"/>
      <c r="V1506" s="117"/>
      <c r="W1506" s="117"/>
      <c r="X1506" s="117"/>
      <c r="Y1506" s="117"/>
      <c r="Z1506" s="117"/>
      <c r="AA1506" s="117"/>
      <c r="AB1506" s="117"/>
      <c r="AC1506" s="117"/>
      <c r="AD1506" s="22"/>
      <c r="AE1506" s="22"/>
    </row>
    <row r="1507" spans="1:31" s="11" customFormat="1" hidden="1" outlineLevel="2" x14ac:dyDescent="0.2">
      <c r="A1507" s="22"/>
      <c r="B1507" s="148"/>
      <c r="C1507" s="22"/>
      <c r="D1507" s="22"/>
      <c r="E1507" s="22"/>
      <c r="F1507" s="117"/>
      <c r="G1507" s="117"/>
      <c r="H1507" s="117"/>
      <c r="I1507" s="117"/>
      <c r="J1507" s="117"/>
      <c r="K1507" s="117"/>
      <c r="L1507" s="117"/>
      <c r="M1507" s="117"/>
      <c r="N1507" s="117"/>
      <c r="O1507" s="117"/>
      <c r="P1507" s="117"/>
      <c r="Q1507" s="117"/>
      <c r="R1507" s="117"/>
      <c r="S1507" s="117"/>
      <c r="T1507" s="117"/>
      <c r="U1507" s="117"/>
      <c r="V1507" s="117"/>
      <c r="W1507" s="117"/>
      <c r="X1507" s="117"/>
      <c r="Y1507" s="117"/>
      <c r="Z1507" s="117"/>
      <c r="AA1507" s="117"/>
      <c r="AB1507" s="117"/>
      <c r="AC1507" s="117"/>
      <c r="AD1507" s="22"/>
      <c r="AE1507" s="22"/>
    </row>
    <row r="1508" spans="1:31" s="11" customFormat="1" hidden="1" outlineLevel="2" x14ac:dyDescent="0.2">
      <c r="A1508" s="22"/>
      <c r="B1508" s="148"/>
      <c r="C1508" s="22"/>
      <c r="D1508" s="22"/>
      <c r="E1508" s="22"/>
      <c r="F1508" s="117"/>
      <c r="G1508" s="117"/>
      <c r="H1508" s="117"/>
      <c r="I1508" s="117"/>
      <c r="J1508" s="117"/>
      <c r="K1508" s="117"/>
      <c r="L1508" s="117"/>
      <c r="M1508" s="117"/>
      <c r="N1508" s="117"/>
      <c r="O1508" s="117"/>
      <c r="P1508" s="117"/>
      <c r="Q1508" s="117"/>
      <c r="R1508" s="117"/>
      <c r="S1508" s="117"/>
      <c r="T1508" s="117"/>
      <c r="U1508" s="117"/>
      <c r="V1508" s="117"/>
      <c r="W1508" s="117"/>
      <c r="X1508" s="117"/>
      <c r="Y1508" s="117"/>
      <c r="Z1508" s="117"/>
      <c r="AA1508" s="117"/>
      <c r="AB1508" s="117"/>
      <c r="AC1508" s="117"/>
      <c r="AD1508" s="22"/>
      <c r="AE1508" s="22"/>
    </row>
    <row r="1509" spans="1:31" s="11" customFormat="1" hidden="1" outlineLevel="2" x14ac:dyDescent="0.2">
      <c r="A1509" s="22"/>
      <c r="B1509" s="148"/>
      <c r="C1509" s="22"/>
      <c r="D1509" s="22"/>
      <c r="E1509" s="22"/>
      <c r="F1509" s="117"/>
      <c r="G1509" s="117"/>
      <c r="H1509" s="117"/>
      <c r="I1509" s="117"/>
      <c r="J1509" s="117"/>
      <c r="K1509" s="117"/>
      <c r="L1509" s="117"/>
      <c r="M1509" s="117"/>
      <c r="N1509" s="117"/>
      <c r="O1509" s="117"/>
      <c r="P1509" s="117"/>
      <c r="Q1509" s="117"/>
      <c r="R1509" s="117"/>
      <c r="S1509" s="117"/>
      <c r="T1509" s="117"/>
      <c r="U1509" s="117"/>
      <c r="V1509" s="117"/>
      <c r="W1509" s="117"/>
      <c r="X1509" s="117"/>
      <c r="Y1509" s="117"/>
      <c r="Z1509" s="117"/>
      <c r="AA1509" s="117"/>
      <c r="AB1509" s="117"/>
      <c r="AC1509" s="117"/>
      <c r="AD1509" s="22"/>
      <c r="AE1509" s="22"/>
    </row>
    <row r="1510" spans="1:31" s="11" customFormat="1" hidden="1" outlineLevel="2" x14ac:dyDescent="0.2">
      <c r="A1510" s="22"/>
      <c r="B1510" s="148"/>
      <c r="C1510" s="22"/>
      <c r="D1510" s="22"/>
      <c r="E1510" s="22"/>
      <c r="F1510" s="117"/>
      <c r="G1510" s="117"/>
      <c r="H1510" s="117"/>
      <c r="I1510" s="117"/>
      <c r="J1510" s="117"/>
      <c r="K1510" s="117"/>
      <c r="L1510" s="117"/>
      <c r="M1510" s="117"/>
      <c r="N1510" s="117"/>
      <c r="O1510" s="117"/>
      <c r="P1510" s="117"/>
      <c r="Q1510" s="117"/>
      <c r="R1510" s="117"/>
      <c r="S1510" s="117"/>
      <c r="T1510" s="117"/>
      <c r="U1510" s="117"/>
      <c r="V1510" s="117"/>
      <c r="W1510" s="117"/>
      <c r="X1510" s="117"/>
      <c r="Y1510" s="117"/>
      <c r="Z1510" s="117"/>
      <c r="AA1510" s="117"/>
      <c r="AB1510" s="117"/>
      <c r="AC1510" s="117"/>
      <c r="AD1510" s="22"/>
      <c r="AE1510" s="22"/>
    </row>
    <row r="1511" spans="1:31" s="11" customFormat="1" hidden="1" outlineLevel="2" x14ac:dyDescent="0.2">
      <c r="A1511" s="22"/>
      <c r="B1511" s="148"/>
      <c r="C1511" s="22"/>
      <c r="D1511" s="22"/>
      <c r="E1511" s="22"/>
      <c r="F1511" s="117"/>
      <c r="G1511" s="117"/>
      <c r="H1511" s="117"/>
      <c r="I1511" s="117"/>
      <c r="J1511" s="117"/>
      <c r="K1511" s="117"/>
      <c r="L1511" s="117"/>
      <c r="M1511" s="117"/>
      <c r="N1511" s="117"/>
      <c r="O1511" s="117"/>
      <c r="P1511" s="117"/>
      <c r="Q1511" s="117"/>
      <c r="R1511" s="117"/>
      <c r="S1511" s="117"/>
      <c r="T1511" s="117"/>
      <c r="U1511" s="117"/>
      <c r="V1511" s="117"/>
      <c r="W1511" s="117"/>
      <c r="X1511" s="117"/>
      <c r="Y1511" s="117"/>
      <c r="Z1511" s="117"/>
      <c r="AA1511" s="117"/>
      <c r="AB1511" s="117"/>
      <c r="AC1511" s="117"/>
      <c r="AD1511" s="22"/>
      <c r="AE1511" s="22"/>
    </row>
    <row r="1512" spans="1:31" s="11" customFormat="1" hidden="1" outlineLevel="2" x14ac:dyDescent="0.2">
      <c r="A1512" s="22"/>
      <c r="B1512" s="148"/>
      <c r="C1512" s="22"/>
      <c r="D1512" s="22"/>
      <c r="E1512" s="22"/>
      <c r="F1512" s="117"/>
      <c r="G1512" s="117"/>
      <c r="H1512" s="117"/>
      <c r="I1512" s="117"/>
      <c r="J1512" s="117"/>
      <c r="K1512" s="117"/>
      <c r="L1512" s="117"/>
      <c r="M1512" s="117"/>
      <c r="N1512" s="117"/>
      <c r="O1512" s="117"/>
      <c r="P1512" s="117"/>
      <c r="Q1512" s="117"/>
      <c r="R1512" s="117"/>
      <c r="S1512" s="117"/>
      <c r="T1512" s="117"/>
      <c r="U1512" s="117"/>
      <c r="V1512" s="117"/>
      <c r="W1512" s="117"/>
      <c r="X1512" s="117"/>
      <c r="Y1512" s="117"/>
      <c r="Z1512" s="117"/>
      <c r="AA1512" s="117"/>
      <c r="AB1512" s="117"/>
      <c r="AC1512" s="117"/>
      <c r="AD1512" s="22"/>
      <c r="AE1512" s="22"/>
    </row>
    <row r="1513" spans="1:31" s="11" customFormat="1" hidden="1" outlineLevel="2" x14ac:dyDescent="0.2">
      <c r="A1513" s="22"/>
      <c r="B1513" s="148"/>
      <c r="C1513" s="22"/>
      <c r="D1513" s="22"/>
      <c r="E1513" s="22"/>
      <c r="F1513" s="117"/>
      <c r="G1513" s="117"/>
      <c r="H1513" s="117"/>
      <c r="I1513" s="117"/>
      <c r="J1513" s="117"/>
      <c r="K1513" s="117"/>
      <c r="L1513" s="117"/>
      <c r="M1513" s="117"/>
      <c r="N1513" s="117"/>
      <c r="O1513" s="117"/>
      <c r="P1513" s="117"/>
      <c r="Q1513" s="117"/>
      <c r="R1513" s="117"/>
      <c r="S1513" s="117"/>
      <c r="T1513" s="117"/>
      <c r="U1513" s="117"/>
      <c r="V1513" s="117"/>
      <c r="W1513" s="117"/>
      <c r="X1513" s="117"/>
      <c r="Y1513" s="117"/>
      <c r="Z1513" s="117"/>
      <c r="AA1513" s="117"/>
      <c r="AB1513" s="117"/>
      <c r="AC1513" s="117"/>
      <c r="AD1513" s="22"/>
      <c r="AE1513" s="22"/>
    </row>
    <row r="1514" spans="1:31" s="11" customFormat="1" hidden="1" outlineLevel="2" x14ac:dyDescent="0.2">
      <c r="A1514" s="22"/>
      <c r="B1514" s="148"/>
      <c r="C1514" s="22"/>
      <c r="D1514" s="22"/>
      <c r="E1514" s="22"/>
      <c r="F1514" s="117"/>
      <c r="G1514" s="117"/>
      <c r="H1514" s="117"/>
      <c r="I1514" s="117"/>
      <c r="J1514" s="117"/>
      <c r="K1514" s="117"/>
      <c r="L1514" s="117"/>
      <c r="M1514" s="117"/>
      <c r="N1514" s="117"/>
      <c r="O1514" s="117"/>
      <c r="P1514" s="117"/>
      <c r="Q1514" s="117"/>
      <c r="R1514" s="117"/>
      <c r="S1514" s="117"/>
      <c r="T1514" s="117"/>
      <c r="U1514" s="117"/>
      <c r="V1514" s="117"/>
      <c r="W1514" s="117"/>
      <c r="X1514" s="117"/>
      <c r="Y1514" s="117"/>
      <c r="Z1514" s="117"/>
      <c r="AA1514" s="117"/>
      <c r="AB1514" s="117"/>
      <c r="AC1514" s="117"/>
      <c r="AD1514" s="22"/>
      <c r="AE1514" s="22"/>
    </row>
    <row r="1515" spans="1:31" s="11" customFormat="1" hidden="1" outlineLevel="2" x14ac:dyDescent="0.2">
      <c r="A1515" s="22"/>
      <c r="B1515" s="148"/>
      <c r="C1515" s="22"/>
      <c r="D1515" s="22"/>
      <c r="E1515" s="22"/>
      <c r="F1515" s="117"/>
      <c r="G1515" s="117"/>
      <c r="H1515" s="117"/>
      <c r="I1515" s="117"/>
      <c r="J1515" s="117"/>
      <c r="K1515" s="117"/>
      <c r="L1515" s="117"/>
      <c r="M1515" s="117"/>
      <c r="N1515" s="117"/>
      <c r="O1515" s="117"/>
      <c r="P1515" s="117"/>
      <c r="Q1515" s="117"/>
      <c r="R1515" s="117"/>
      <c r="S1515" s="117"/>
      <c r="T1515" s="117"/>
      <c r="U1515" s="117"/>
      <c r="V1515" s="117"/>
      <c r="W1515" s="117"/>
      <c r="X1515" s="117"/>
      <c r="Y1515" s="117"/>
      <c r="Z1515" s="117"/>
      <c r="AA1515" s="117"/>
      <c r="AB1515" s="117"/>
      <c r="AC1515" s="117"/>
      <c r="AD1515" s="22"/>
      <c r="AE1515" s="22"/>
    </row>
    <row r="1516" spans="1:31" s="11" customFormat="1" hidden="1" outlineLevel="2" x14ac:dyDescent="0.2">
      <c r="A1516" s="22"/>
      <c r="B1516" s="148"/>
      <c r="C1516" s="22"/>
      <c r="D1516" s="22"/>
      <c r="E1516" s="22"/>
      <c r="F1516" s="117"/>
      <c r="G1516" s="117"/>
      <c r="H1516" s="117"/>
      <c r="I1516" s="117"/>
      <c r="J1516" s="117"/>
      <c r="K1516" s="117"/>
      <c r="L1516" s="117"/>
      <c r="M1516" s="117"/>
      <c r="N1516" s="117"/>
      <c r="O1516" s="117"/>
      <c r="P1516" s="117"/>
      <c r="Q1516" s="117"/>
      <c r="R1516" s="117"/>
      <c r="S1516" s="117"/>
      <c r="T1516" s="117"/>
      <c r="U1516" s="117"/>
      <c r="V1516" s="117"/>
      <c r="W1516" s="117"/>
      <c r="X1516" s="117"/>
      <c r="Y1516" s="117"/>
      <c r="Z1516" s="117"/>
      <c r="AA1516" s="117"/>
      <c r="AB1516" s="117"/>
      <c r="AC1516" s="117"/>
      <c r="AD1516" s="22"/>
      <c r="AE1516" s="22"/>
    </row>
    <row r="1517" spans="1:31" s="11" customFormat="1" hidden="1" outlineLevel="2" x14ac:dyDescent="0.2">
      <c r="A1517" s="22"/>
      <c r="B1517" s="148"/>
      <c r="C1517" s="22"/>
      <c r="D1517" s="22"/>
      <c r="E1517" s="22"/>
      <c r="F1517" s="117"/>
      <c r="G1517" s="117"/>
      <c r="H1517" s="117"/>
      <c r="I1517" s="117"/>
      <c r="J1517" s="117"/>
      <c r="K1517" s="117"/>
      <c r="L1517" s="117"/>
      <c r="M1517" s="117"/>
      <c r="N1517" s="117"/>
      <c r="O1517" s="117"/>
      <c r="P1517" s="117"/>
      <c r="Q1517" s="117"/>
      <c r="R1517" s="117"/>
      <c r="S1517" s="117"/>
      <c r="T1517" s="117"/>
      <c r="U1517" s="117"/>
      <c r="V1517" s="117"/>
      <c r="W1517" s="117"/>
      <c r="X1517" s="117"/>
      <c r="Y1517" s="117"/>
      <c r="Z1517" s="117"/>
      <c r="AA1517" s="117"/>
      <c r="AB1517" s="117"/>
      <c r="AC1517" s="117"/>
      <c r="AD1517" s="22"/>
      <c r="AE1517" s="22"/>
    </row>
    <row r="1518" spans="1:31" s="11" customFormat="1" hidden="1" outlineLevel="2" x14ac:dyDescent="0.2">
      <c r="A1518" s="22"/>
      <c r="B1518" s="148"/>
      <c r="C1518" s="22"/>
      <c r="D1518" s="22"/>
      <c r="E1518" s="22"/>
      <c r="F1518" s="117"/>
      <c r="G1518" s="117"/>
      <c r="H1518" s="117"/>
      <c r="I1518" s="117"/>
      <c r="J1518" s="117"/>
      <c r="K1518" s="117"/>
      <c r="L1518" s="117"/>
      <c r="M1518" s="117"/>
      <c r="N1518" s="117"/>
      <c r="O1518" s="117"/>
      <c r="P1518" s="117"/>
      <c r="Q1518" s="117"/>
      <c r="R1518" s="117"/>
      <c r="S1518" s="117"/>
      <c r="T1518" s="117"/>
      <c r="U1518" s="117"/>
      <c r="V1518" s="117"/>
      <c r="W1518" s="117"/>
      <c r="X1518" s="117"/>
      <c r="Y1518" s="117"/>
      <c r="Z1518" s="117"/>
      <c r="AA1518" s="117"/>
      <c r="AB1518" s="117"/>
      <c r="AC1518" s="117"/>
      <c r="AD1518" s="22"/>
      <c r="AE1518" s="22"/>
    </row>
    <row r="1519" spans="1:31" s="11" customFormat="1" hidden="1" outlineLevel="2" x14ac:dyDescent="0.2">
      <c r="A1519" s="22"/>
      <c r="B1519" s="148"/>
      <c r="C1519" s="22"/>
      <c r="D1519" s="22"/>
      <c r="E1519" s="22"/>
      <c r="F1519" s="117"/>
      <c r="G1519" s="117"/>
      <c r="H1519" s="117"/>
      <c r="I1519" s="117"/>
      <c r="J1519" s="117"/>
      <c r="K1519" s="117"/>
      <c r="L1519" s="117"/>
      <c r="M1519" s="117"/>
      <c r="N1519" s="117"/>
      <c r="O1519" s="117"/>
      <c r="P1519" s="117"/>
      <c r="Q1519" s="117"/>
      <c r="R1519" s="117"/>
      <c r="S1519" s="117"/>
      <c r="T1519" s="117"/>
      <c r="U1519" s="117"/>
      <c r="V1519" s="117"/>
      <c r="W1519" s="117"/>
      <c r="X1519" s="117"/>
      <c r="Y1519" s="117"/>
      <c r="Z1519" s="117"/>
      <c r="AA1519" s="117"/>
      <c r="AB1519" s="117"/>
      <c r="AC1519" s="117"/>
      <c r="AD1519" s="22"/>
      <c r="AE1519" s="22"/>
    </row>
    <row r="1520" spans="1:31" s="11" customFormat="1" hidden="1" outlineLevel="2" x14ac:dyDescent="0.2">
      <c r="A1520" s="22"/>
      <c r="B1520" s="148"/>
      <c r="C1520" s="22"/>
      <c r="D1520" s="22"/>
      <c r="E1520" s="22"/>
      <c r="F1520" s="117"/>
      <c r="G1520" s="117"/>
      <c r="H1520" s="117"/>
      <c r="I1520" s="117"/>
      <c r="J1520" s="117"/>
      <c r="K1520" s="117"/>
      <c r="L1520" s="117"/>
      <c r="M1520" s="117"/>
      <c r="N1520" s="117"/>
      <c r="O1520" s="117"/>
      <c r="P1520" s="117"/>
      <c r="Q1520" s="117"/>
      <c r="R1520" s="117"/>
      <c r="S1520" s="117"/>
      <c r="T1520" s="117"/>
      <c r="U1520" s="117"/>
      <c r="V1520" s="117"/>
      <c r="W1520" s="117"/>
      <c r="X1520" s="117"/>
      <c r="Y1520" s="117"/>
      <c r="Z1520" s="117"/>
      <c r="AA1520" s="117"/>
      <c r="AB1520" s="117"/>
      <c r="AC1520" s="117"/>
      <c r="AD1520" s="22"/>
      <c r="AE1520" s="22"/>
    </row>
    <row r="1521" spans="1:31" s="11" customFormat="1" hidden="1" outlineLevel="2" x14ac:dyDescent="0.2">
      <c r="A1521" s="22"/>
      <c r="B1521" s="148"/>
      <c r="C1521" s="22"/>
      <c r="D1521" s="22"/>
      <c r="E1521" s="22"/>
      <c r="F1521" s="117"/>
      <c r="G1521" s="117"/>
      <c r="H1521" s="117"/>
      <c r="I1521" s="117"/>
      <c r="J1521" s="117"/>
      <c r="K1521" s="117"/>
      <c r="L1521" s="117"/>
      <c r="M1521" s="117"/>
      <c r="N1521" s="117"/>
      <c r="O1521" s="117"/>
      <c r="P1521" s="117"/>
      <c r="Q1521" s="117"/>
      <c r="R1521" s="117"/>
      <c r="S1521" s="117"/>
      <c r="T1521" s="117"/>
      <c r="U1521" s="117"/>
      <c r="V1521" s="117"/>
      <c r="W1521" s="117"/>
      <c r="X1521" s="117"/>
      <c r="Y1521" s="117"/>
      <c r="Z1521" s="117"/>
      <c r="AA1521" s="117"/>
      <c r="AB1521" s="117"/>
      <c r="AC1521" s="117"/>
      <c r="AD1521" s="22"/>
      <c r="AE1521" s="22"/>
    </row>
    <row r="1522" spans="1:31" s="11" customFormat="1" hidden="1" outlineLevel="2" x14ac:dyDescent="0.2">
      <c r="A1522" s="22"/>
      <c r="B1522" s="148"/>
      <c r="C1522" s="22"/>
      <c r="D1522" s="22"/>
      <c r="E1522" s="22"/>
      <c r="F1522" s="117"/>
      <c r="G1522" s="117"/>
      <c r="H1522" s="117"/>
      <c r="I1522" s="117"/>
      <c r="J1522" s="117"/>
      <c r="K1522" s="117"/>
      <c r="L1522" s="117"/>
      <c r="M1522" s="117"/>
      <c r="N1522" s="117"/>
      <c r="O1522" s="117"/>
      <c r="P1522" s="117"/>
      <c r="Q1522" s="117"/>
      <c r="R1522" s="117"/>
      <c r="S1522" s="117"/>
      <c r="T1522" s="117"/>
      <c r="U1522" s="117"/>
      <c r="V1522" s="117"/>
      <c r="W1522" s="117"/>
      <c r="X1522" s="117"/>
      <c r="Y1522" s="117"/>
      <c r="Z1522" s="117"/>
      <c r="AA1522" s="117"/>
      <c r="AB1522" s="117"/>
      <c r="AC1522" s="117"/>
      <c r="AD1522" s="22"/>
      <c r="AE1522" s="22"/>
    </row>
    <row r="1523" spans="1:31" s="11" customFormat="1" hidden="1" outlineLevel="2" x14ac:dyDescent="0.2">
      <c r="A1523" s="22"/>
      <c r="B1523" s="148"/>
      <c r="C1523" s="22"/>
      <c r="D1523" s="22"/>
      <c r="E1523" s="22"/>
      <c r="F1523" s="117"/>
      <c r="G1523" s="117"/>
      <c r="H1523" s="117"/>
      <c r="I1523" s="117"/>
      <c r="J1523" s="117"/>
      <c r="K1523" s="117"/>
      <c r="L1523" s="117"/>
      <c r="M1523" s="117"/>
      <c r="N1523" s="117"/>
      <c r="O1523" s="117"/>
      <c r="P1523" s="117"/>
      <c r="Q1523" s="117"/>
      <c r="R1523" s="117"/>
      <c r="S1523" s="117"/>
      <c r="T1523" s="117"/>
      <c r="U1523" s="117"/>
      <c r="V1523" s="117"/>
      <c r="W1523" s="117"/>
      <c r="X1523" s="117"/>
      <c r="Y1523" s="117"/>
      <c r="Z1523" s="117"/>
      <c r="AA1523" s="117"/>
      <c r="AB1523" s="117"/>
      <c r="AC1523" s="117"/>
      <c r="AD1523" s="22"/>
      <c r="AE1523" s="22"/>
    </row>
    <row r="1524" spans="1:31" s="11" customFormat="1" hidden="1" outlineLevel="2" x14ac:dyDescent="0.2">
      <c r="A1524" s="22"/>
      <c r="B1524" s="148"/>
      <c r="C1524" s="22"/>
      <c r="D1524" s="22"/>
      <c r="E1524" s="22"/>
      <c r="F1524" s="117"/>
      <c r="G1524" s="117"/>
      <c r="H1524" s="117"/>
      <c r="I1524" s="117"/>
      <c r="J1524" s="117"/>
      <c r="K1524" s="117"/>
      <c r="L1524" s="117"/>
      <c r="M1524" s="117"/>
      <c r="N1524" s="117"/>
      <c r="O1524" s="117"/>
      <c r="P1524" s="117"/>
      <c r="Q1524" s="117"/>
      <c r="R1524" s="117"/>
      <c r="S1524" s="117"/>
      <c r="T1524" s="117"/>
      <c r="U1524" s="117"/>
      <c r="V1524" s="117"/>
      <c r="W1524" s="117"/>
      <c r="X1524" s="117"/>
      <c r="Y1524" s="117"/>
      <c r="Z1524" s="117"/>
      <c r="AA1524" s="117"/>
      <c r="AB1524" s="117"/>
      <c r="AC1524" s="117"/>
      <c r="AD1524" s="22"/>
      <c r="AE1524" s="22"/>
    </row>
    <row r="1525" spans="1:31" s="11" customFormat="1" hidden="1" outlineLevel="2" x14ac:dyDescent="0.2">
      <c r="A1525" s="22"/>
      <c r="B1525" s="148"/>
      <c r="C1525" s="22"/>
      <c r="D1525" s="22"/>
      <c r="E1525" s="22"/>
      <c r="F1525" s="117"/>
      <c r="G1525" s="117"/>
      <c r="H1525" s="117"/>
      <c r="I1525" s="117"/>
      <c r="J1525" s="117"/>
      <c r="K1525" s="117"/>
      <c r="L1525" s="117"/>
      <c r="M1525" s="117"/>
      <c r="N1525" s="117"/>
      <c r="O1525" s="117"/>
      <c r="P1525" s="117"/>
      <c r="Q1525" s="117"/>
      <c r="R1525" s="117"/>
      <c r="S1525" s="117"/>
      <c r="T1525" s="117"/>
      <c r="U1525" s="117"/>
      <c r="V1525" s="117"/>
      <c r="W1525" s="117"/>
      <c r="X1525" s="117"/>
      <c r="Y1525" s="117"/>
      <c r="Z1525" s="117"/>
      <c r="AA1525" s="117"/>
      <c r="AB1525" s="117"/>
      <c r="AC1525" s="117"/>
      <c r="AD1525" s="22"/>
      <c r="AE1525" s="22"/>
    </row>
    <row r="1526" spans="1:31" s="11" customFormat="1" hidden="1" outlineLevel="2" x14ac:dyDescent="0.2">
      <c r="A1526" s="22"/>
      <c r="B1526" s="148"/>
      <c r="C1526" s="22"/>
      <c r="D1526" s="22"/>
      <c r="E1526" s="22"/>
      <c r="F1526" s="117"/>
      <c r="G1526" s="117"/>
      <c r="H1526" s="117"/>
      <c r="I1526" s="117"/>
      <c r="J1526" s="117"/>
      <c r="K1526" s="117"/>
      <c r="L1526" s="117"/>
      <c r="M1526" s="117"/>
      <c r="N1526" s="117"/>
      <c r="O1526" s="117"/>
      <c r="P1526" s="117"/>
      <c r="Q1526" s="117"/>
      <c r="R1526" s="117"/>
      <c r="S1526" s="117"/>
      <c r="T1526" s="117"/>
      <c r="U1526" s="117"/>
      <c r="V1526" s="117"/>
      <c r="W1526" s="117"/>
      <c r="X1526" s="117"/>
      <c r="Y1526" s="117"/>
      <c r="Z1526" s="117"/>
      <c r="AA1526" s="117"/>
      <c r="AB1526" s="117"/>
      <c r="AC1526" s="117"/>
      <c r="AD1526" s="22"/>
      <c r="AE1526" s="22"/>
    </row>
    <row r="1527" spans="1:31" s="11" customFormat="1" outlineLevel="1" x14ac:dyDescent="0.2">
      <c r="A1527" s="22"/>
      <c r="B1527" s="148"/>
      <c r="C1527" s="22"/>
      <c r="D1527" s="22"/>
      <c r="E1527" s="22"/>
      <c r="F1527" s="117"/>
      <c r="G1527" s="117"/>
      <c r="H1527" s="117"/>
      <c r="I1527" s="117"/>
      <c r="J1527" s="117"/>
      <c r="K1527" s="117"/>
      <c r="L1527" s="117"/>
      <c r="M1527" s="117"/>
      <c r="N1527" s="117"/>
      <c r="O1527" s="117"/>
      <c r="P1527" s="117"/>
      <c r="Q1527" s="117"/>
      <c r="R1527" s="117"/>
      <c r="S1527" s="117"/>
      <c r="T1527" s="117"/>
      <c r="U1527" s="117"/>
      <c r="V1527" s="117"/>
      <c r="W1527" s="117"/>
      <c r="X1527" s="117"/>
      <c r="Y1527" s="117"/>
      <c r="Z1527" s="117"/>
      <c r="AA1527" s="117"/>
      <c r="AB1527" s="117"/>
      <c r="AC1527" s="117"/>
      <c r="AD1527" s="22"/>
      <c r="AE1527" s="22"/>
    </row>
    <row r="1528" spans="1:31" s="11" customFormat="1" outlineLevel="1" collapsed="1" x14ac:dyDescent="0.2">
      <c r="A1528" s="22" t="str">
        <f ca="1">Language!A$808 &amp; ", " &amp; Проект!CUR_Report</f>
        <v>График: Пассивы проекта, тыс. EUR</v>
      </c>
      <c r="B1528" s="148"/>
      <c r="C1528" s="22"/>
      <c r="D1528" s="22"/>
      <c r="E1528" s="22"/>
      <c r="F1528" s="117"/>
      <c r="G1528" s="117"/>
      <c r="H1528" s="117"/>
      <c r="I1528" s="117"/>
      <c r="J1528" s="117"/>
      <c r="K1528" s="117"/>
      <c r="L1528" s="117"/>
      <c r="M1528" s="117"/>
      <c r="N1528" s="117"/>
      <c r="O1528" s="117"/>
      <c r="P1528" s="117"/>
      <c r="Q1528" s="117"/>
      <c r="R1528" s="117"/>
      <c r="S1528" s="117"/>
      <c r="T1528" s="117"/>
      <c r="U1528" s="117"/>
      <c r="V1528" s="117"/>
      <c r="W1528" s="117"/>
      <c r="X1528" s="117"/>
      <c r="Y1528" s="117"/>
      <c r="Z1528" s="117"/>
      <c r="AA1528" s="117"/>
      <c r="AB1528" s="117"/>
      <c r="AC1528" s="117"/>
      <c r="AD1528" s="22"/>
      <c r="AE1528" s="22"/>
    </row>
    <row r="1529" spans="1:31" s="11" customFormat="1" hidden="1" outlineLevel="2" x14ac:dyDescent="0.2">
      <c r="A1529" s="22"/>
      <c r="B1529" s="148"/>
      <c r="C1529" s="22"/>
      <c r="D1529" s="22"/>
      <c r="E1529" s="22"/>
      <c r="F1529" s="117"/>
      <c r="G1529" s="117"/>
      <c r="H1529" s="117"/>
      <c r="I1529" s="117"/>
      <c r="J1529" s="117"/>
      <c r="K1529" s="117"/>
      <c r="L1529" s="117"/>
      <c r="M1529" s="117"/>
      <c r="N1529" s="117"/>
      <c r="O1529" s="117"/>
      <c r="P1529" s="117"/>
      <c r="Q1529" s="117"/>
      <c r="R1529" s="117"/>
      <c r="S1529" s="117"/>
      <c r="T1529" s="117"/>
      <c r="U1529" s="117"/>
      <c r="V1529" s="117"/>
      <c r="W1529" s="117"/>
      <c r="X1529" s="117"/>
      <c r="Y1529" s="117"/>
      <c r="Z1529" s="117"/>
      <c r="AA1529" s="117"/>
      <c r="AB1529" s="117"/>
      <c r="AC1529" s="117"/>
      <c r="AD1529" s="22"/>
      <c r="AE1529" s="22"/>
    </row>
    <row r="1530" spans="1:31" s="11" customFormat="1" hidden="1" outlineLevel="2" x14ac:dyDescent="0.2">
      <c r="A1530" s="22"/>
      <c r="B1530" s="148"/>
      <c r="C1530" s="22"/>
      <c r="D1530" s="22"/>
      <c r="E1530" s="22"/>
      <c r="F1530" s="117"/>
      <c r="G1530" s="117"/>
      <c r="H1530" s="117"/>
      <c r="I1530" s="117"/>
      <c r="J1530" s="117"/>
      <c r="K1530" s="117"/>
      <c r="L1530" s="117"/>
      <c r="M1530" s="117"/>
      <c r="N1530" s="117"/>
      <c r="O1530" s="117"/>
      <c r="P1530" s="117"/>
      <c r="Q1530" s="117"/>
      <c r="R1530" s="117"/>
      <c r="S1530" s="117"/>
      <c r="T1530" s="117"/>
      <c r="U1530" s="117"/>
      <c r="V1530" s="117"/>
      <c r="W1530" s="117"/>
      <c r="X1530" s="117"/>
      <c r="Y1530" s="117"/>
      <c r="Z1530" s="117"/>
      <c r="AA1530" s="117"/>
      <c r="AB1530" s="117"/>
      <c r="AC1530" s="117"/>
      <c r="AD1530" s="22"/>
      <c r="AE1530" s="22"/>
    </row>
    <row r="1531" spans="1:31" s="11" customFormat="1" hidden="1" outlineLevel="2" x14ac:dyDescent="0.2">
      <c r="A1531" s="22"/>
      <c r="B1531" s="148"/>
      <c r="C1531" s="22"/>
      <c r="D1531" s="22"/>
      <c r="E1531" s="22"/>
      <c r="F1531" s="117"/>
      <c r="G1531" s="117"/>
      <c r="H1531" s="117"/>
      <c r="I1531" s="117"/>
      <c r="J1531" s="117"/>
      <c r="K1531" s="117"/>
      <c r="L1531" s="117"/>
      <c r="M1531" s="117"/>
      <c r="N1531" s="117"/>
      <c r="O1531" s="117"/>
      <c r="P1531" s="117"/>
      <c r="Q1531" s="117"/>
      <c r="R1531" s="117"/>
      <c r="S1531" s="117"/>
      <c r="T1531" s="117"/>
      <c r="U1531" s="117"/>
      <c r="V1531" s="117"/>
      <c r="W1531" s="117"/>
      <c r="X1531" s="117"/>
      <c r="Y1531" s="117"/>
      <c r="Z1531" s="117"/>
      <c r="AA1531" s="117"/>
      <c r="AB1531" s="117"/>
      <c r="AC1531" s="117"/>
      <c r="AD1531" s="22"/>
      <c r="AE1531" s="22"/>
    </row>
    <row r="1532" spans="1:31" s="11" customFormat="1" hidden="1" outlineLevel="2" x14ac:dyDescent="0.2">
      <c r="A1532" s="22"/>
      <c r="B1532" s="148"/>
      <c r="C1532" s="22"/>
      <c r="D1532" s="22"/>
      <c r="E1532" s="22"/>
      <c r="F1532" s="117"/>
      <c r="G1532" s="117"/>
      <c r="H1532" s="117"/>
      <c r="I1532" s="117"/>
      <c r="J1532" s="117"/>
      <c r="K1532" s="117"/>
      <c r="L1532" s="117"/>
      <c r="M1532" s="117"/>
      <c r="N1532" s="117"/>
      <c r="O1532" s="117"/>
      <c r="P1532" s="117"/>
      <c r="Q1532" s="117"/>
      <c r="R1532" s="117"/>
      <c r="S1532" s="117"/>
      <c r="T1532" s="117"/>
      <c r="U1532" s="117"/>
      <c r="V1532" s="117"/>
      <c r="W1532" s="117"/>
      <c r="X1532" s="117"/>
      <c r="Y1532" s="117"/>
      <c r="Z1532" s="117"/>
      <c r="AA1532" s="117"/>
      <c r="AB1532" s="117"/>
      <c r="AC1532" s="117"/>
      <c r="AD1532" s="22"/>
      <c r="AE1532" s="22"/>
    </row>
    <row r="1533" spans="1:31" s="11" customFormat="1" hidden="1" outlineLevel="2" x14ac:dyDescent="0.2">
      <c r="A1533" s="22"/>
      <c r="B1533" s="148"/>
      <c r="C1533" s="22"/>
      <c r="D1533" s="22"/>
      <c r="E1533" s="22"/>
      <c r="F1533" s="117"/>
      <c r="G1533" s="117"/>
      <c r="H1533" s="117"/>
      <c r="I1533" s="117"/>
      <c r="J1533" s="117"/>
      <c r="K1533" s="117"/>
      <c r="L1533" s="117"/>
      <c r="M1533" s="117"/>
      <c r="N1533" s="117"/>
      <c r="O1533" s="117"/>
      <c r="P1533" s="117"/>
      <c r="Q1533" s="117"/>
      <c r="R1533" s="117"/>
      <c r="S1533" s="117"/>
      <c r="T1533" s="117"/>
      <c r="U1533" s="117"/>
      <c r="V1533" s="117"/>
      <c r="W1533" s="117"/>
      <c r="X1533" s="117"/>
      <c r="Y1533" s="117"/>
      <c r="Z1533" s="117"/>
      <c r="AA1533" s="117"/>
      <c r="AB1533" s="117"/>
      <c r="AC1533" s="117"/>
      <c r="AD1533" s="22"/>
      <c r="AE1533" s="22"/>
    </row>
    <row r="1534" spans="1:31" s="11" customFormat="1" hidden="1" outlineLevel="2" x14ac:dyDescent="0.2">
      <c r="A1534" s="22"/>
      <c r="B1534" s="148"/>
      <c r="C1534" s="22"/>
      <c r="D1534" s="22"/>
      <c r="E1534" s="22"/>
      <c r="F1534" s="117"/>
      <c r="G1534" s="117"/>
      <c r="H1534" s="117"/>
      <c r="I1534" s="117"/>
      <c r="J1534" s="117"/>
      <c r="K1534" s="117"/>
      <c r="L1534" s="117"/>
      <c r="M1534" s="117"/>
      <c r="N1534" s="117"/>
      <c r="O1534" s="117"/>
      <c r="P1534" s="117"/>
      <c r="Q1534" s="117"/>
      <c r="R1534" s="117"/>
      <c r="S1534" s="117"/>
      <c r="T1534" s="117"/>
      <c r="U1534" s="117"/>
      <c r="V1534" s="117"/>
      <c r="W1534" s="117"/>
      <c r="X1534" s="117"/>
      <c r="Y1534" s="117"/>
      <c r="Z1534" s="117"/>
      <c r="AA1534" s="117"/>
      <c r="AB1534" s="117"/>
      <c r="AC1534" s="117"/>
      <c r="AD1534" s="22"/>
      <c r="AE1534" s="22"/>
    </row>
    <row r="1535" spans="1:31" s="11" customFormat="1" hidden="1" outlineLevel="2" x14ac:dyDescent="0.2">
      <c r="A1535" s="22"/>
      <c r="B1535" s="148"/>
      <c r="C1535" s="22"/>
      <c r="D1535" s="22"/>
      <c r="E1535" s="22"/>
      <c r="F1535" s="117"/>
      <c r="G1535" s="117"/>
      <c r="H1535" s="117"/>
      <c r="I1535" s="117"/>
      <c r="J1535" s="117"/>
      <c r="K1535" s="117"/>
      <c r="L1535" s="117"/>
      <c r="M1535" s="117"/>
      <c r="N1535" s="117"/>
      <c r="O1535" s="117"/>
      <c r="P1535" s="117"/>
      <c r="Q1535" s="117"/>
      <c r="R1535" s="117"/>
      <c r="S1535" s="117"/>
      <c r="T1535" s="117"/>
      <c r="U1535" s="117"/>
      <c r="V1535" s="117"/>
      <c r="W1535" s="117"/>
      <c r="X1535" s="117"/>
      <c r="Y1535" s="117"/>
      <c r="Z1535" s="117"/>
      <c r="AA1535" s="117"/>
      <c r="AB1535" s="117"/>
      <c r="AC1535" s="117"/>
      <c r="AD1535" s="22"/>
      <c r="AE1535" s="22"/>
    </row>
    <row r="1536" spans="1:31" s="11" customFormat="1" hidden="1" outlineLevel="2" x14ac:dyDescent="0.2">
      <c r="A1536" s="22"/>
      <c r="B1536" s="148"/>
      <c r="C1536" s="22"/>
      <c r="D1536" s="22"/>
      <c r="E1536" s="22"/>
      <c r="F1536" s="117"/>
      <c r="G1536" s="117"/>
      <c r="H1536" s="117"/>
      <c r="I1536" s="117"/>
      <c r="J1536" s="117"/>
      <c r="K1536" s="117"/>
      <c r="L1536" s="117"/>
      <c r="M1536" s="117"/>
      <c r="N1536" s="117"/>
      <c r="O1536" s="117"/>
      <c r="P1536" s="117"/>
      <c r="Q1536" s="117"/>
      <c r="R1536" s="117"/>
      <c r="S1536" s="117"/>
      <c r="T1536" s="117"/>
      <c r="U1536" s="117"/>
      <c r="V1536" s="117"/>
      <c r="W1536" s="117"/>
      <c r="X1536" s="117"/>
      <c r="Y1536" s="117"/>
      <c r="Z1536" s="117"/>
      <c r="AA1536" s="117"/>
      <c r="AB1536" s="117"/>
      <c r="AC1536" s="117"/>
      <c r="AD1536" s="22"/>
      <c r="AE1536" s="22"/>
    </row>
    <row r="1537" spans="1:31" s="11" customFormat="1" hidden="1" outlineLevel="2" x14ac:dyDescent="0.2">
      <c r="A1537" s="22"/>
      <c r="B1537" s="148"/>
      <c r="C1537" s="22"/>
      <c r="D1537" s="22"/>
      <c r="E1537" s="22"/>
      <c r="F1537" s="117"/>
      <c r="G1537" s="117"/>
      <c r="H1537" s="117"/>
      <c r="I1537" s="117"/>
      <c r="J1537" s="117"/>
      <c r="K1537" s="117"/>
      <c r="L1537" s="117"/>
      <c r="M1537" s="117"/>
      <c r="N1537" s="117"/>
      <c r="O1537" s="117"/>
      <c r="P1537" s="117"/>
      <c r="Q1537" s="117"/>
      <c r="R1537" s="117"/>
      <c r="S1537" s="117"/>
      <c r="T1537" s="117"/>
      <c r="U1537" s="117"/>
      <c r="V1537" s="117"/>
      <c r="W1537" s="117"/>
      <c r="X1537" s="117"/>
      <c r="Y1537" s="117"/>
      <c r="Z1537" s="117"/>
      <c r="AA1537" s="117"/>
      <c r="AB1537" s="117"/>
      <c r="AC1537" s="117"/>
      <c r="AD1537" s="22"/>
      <c r="AE1537" s="22"/>
    </row>
    <row r="1538" spans="1:31" s="11" customFormat="1" hidden="1" outlineLevel="2" x14ac:dyDescent="0.2">
      <c r="A1538" s="22"/>
      <c r="B1538" s="148"/>
      <c r="C1538" s="22"/>
      <c r="D1538" s="22"/>
      <c r="E1538" s="22"/>
      <c r="F1538" s="117"/>
      <c r="G1538" s="117"/>
      <c r="H1538" s="117"/>
      <c r="I1538" s="117"/>
      <c r="J1538" s="117"/>
      <c r="K1538" s="117"/>
      <c r="L1538" s="117"/>
      <c r="M1538" s="117"/>
      <c r="N1538" s="117"/>
      <c r="O1538" s="117"/>
      <c r="P1538" s="117"/>
      <c r="Q1538" s="117"/>
      <c r="R1538" s="117"/>
      <c r="S1538" s="117"/>
      <c r="T1538" s="117"/>
      <c r="U1538" s="117"/>
      <c r="V1538" s="117"/>
      <c r="W1538" s="117"/>
      <c r="X1538" s="117"/>
      <c r="Y1538" s="117"/>
      <c r="Z1538" s="117"/>
      <c r="AA1538" s="117"/>
      <c r="AB1538" s="117"/>
      <c r="AC1538" s="117"/>
      <c r="AD1538" s="22"/>
      <c r="AE1538" s="22"/>
    </row>
    <row r="1539" spans="1:31" s="11" customFormat="1" hidden="1" outlineLevel="2" x14ac:dyDescent="0.2">
      <c r="A1539" s="22"/>
      <c r="B1539" s="148"/>
      <c r="C1539" s="22"/>
      <c r="D1539" s="22"/>
      <c r="E1539" s="22"/>
      <c r="F1539" s="117"/>
      <c r="G1539" s="117"/>
      <c r="H1539" s="117"/>
      <c r="I1539" s="117"/>
      <c r="J1539" s="117"/>
      <c r="K1539" s="117"/>
      <c r="L1539" s="117"/>
      <c r="M1539" s="117"/>
      <c r="N1539" s="117"/>
      <c r="O1539" s="117"/>
      <c r="P1539" s="117"/>
      <c r="Q1539" s="117"/>
      <c r="R1539" s="117"/>
      <c r="S1539" s="117"/>
      <c r="T1539" s="117"/>
      <c r="U1539" s="117"/>
      <c r="V1539" s="117"/>
      <c r="W1539" s="117"/>
      <c r="X1539" s="117"/>
      <c r="Y1539" s="117"/>
      <c r="Z1539" s="117"/>
      <c r="AA1539" s="117"/>
      <c r="AB1539" s="117"/>
      <c r="AC1539" s="117"/>
      <c r="AD1539" s="22"/>
      <c r="AE1539" s="22"/>
    </row>
    <row r="1540" spans="1:31" s="11" customFormat="1" hidden="1" outlineLevel="2" x14ac:dyDescent="0.2">
      <c r="A1540" s="22"/>
      <c r="B1540" s="148"/>
      <c r="C1540" s="22"/>
      <c r="D1540" s="22"/>
      <c r="E1540" s="22"/>
      <c r="F1540" s="117"/>
      <c r="G1540" s="117"/>
      <c r="H1540" s="117"/>
      <c r="I1540" s="117"/>
      <c r="J1540" s="117"/>
      <c r="K1540" s="117"/>
      <c r="L1540" s="117"/>
      <c r="M1540" s="117"/>
      <c r="N1540" s="117"/>
      <c r="O1540" s="117"/>
      <c r="P1540" s="117"/>
      <c r="Q1540" s="117"/>
      <c r="R1540" s="117"/>
      <c r="S1540" s="117"/>
      <c r="T1540" s="117"/>
      <c r="U1540" s="117"/>
      <c r="V1540" s="117"/>
      <c r="W1540" s="117"/>
      <c r="X1540" s="117"/>
      <c r="Y1540" s="117"/>
      <c r="Z1540" s="117"/>
      <c r="AA1540" s="117"/>
      <c r="AB1540" s="117"/>
      <c r="AC1540" s="117"/>
      <c r="AD1540" s="22"/>
      <c r="AE1540" s="22"/>
    </row>
    <row r="1541" spans="1:31" s="11" customFormat="1" hidden="1" outlineLevel="2" x14ac:dyDescent="0.2">
      <c r="A1541" s="22"/>
      <c r="B1541" s="148"/>
      <c r="C1541" s="22"/>
      <c r="D1541" s="22"/>
      <c r="E1541" s="22"/>
      <c r="F1541" s="117"/>
      <c r="G1541" s="117"/>
      <c r="H1541" s="117"/>
      <c r="I1541" s="117"/>
      <c r="J1541" s="117"/>
      <c r="K1541" s="117"/>
      <c r="L1541" s="117"/>
      <c r="M1541" s="117"/>
      <c r="N1541" s="117"/>
      <c r="O1541" s="117"/>
      <c r="P1541" s="117"/>
      <c r="Q1541" s="117"/>
      <c r="R1541" s="117"/>
      <c r="S1541" s="117"/>
      <c r="T1541" s="117"/>
      <c r="U1541" s="117"/>
      <c r="V1541" s="117"/>
      <c r="W1541" s="117"/>
      <c r="X1541" s="117"/>
      <c r="Y1541" s="117"/>
      <c r="Z1541" s="117"/>
      <c r="AA1541" s="117"/>
      <c r="AB1541" s="117"/>
      <c r="AC1541" s="117"/>
      <c r="AD1541" s="22"/>
      <c r="AE1541" s="22"/>
    </row>
    <row r="1542" spans="1:31" s="11" customFormat="1" hidden="1" outlineLevel="2" x14ac:dyDescent="0.2">
      <c r="A1542" s="22"/>
      <c r="B1542" s="148"/>
      <c r="C1542" s="22"/>
      <c r="D1542" s="22"/>
      <c r="E1542" s="22"/>
      <c r="F1542" s="117"/>
      <c r="G1542" s="117"/>
      <c r="H1542" s="117"/>
      <c r="I1542" s="117"/>
      <c r="J1542" s="117"/>
      <c r="K1542" s="117"/>
      <c r="L1542" s="117"/>
      <c r="M1542" s="117"/>
      <c r="N1542" s="117"/>
      <c r="O1542" s="117"/>
      <c r="P1542" s="117"/>
      <c r="Q1542" s="117"/>
      <c r="R1542" s="117"/>
      <c r="S1542" s="117"/>
      <c r="T1542" s="117"/>
      <c r="U1542" s="117"/>
      <c r="V1542" s="117"/>
      <c r="W1542" s="117"/>
      <c r="X1542" s="117"/>
      <c r="Y1542" s="117"/>
      <c r="Z1542" s="117"/>
      <c r="AA1542" s="117"/>
      <c r="AB1542" s="117"/>
      <c r="AC1542" s="117"/>
      <c r="AD1542" s="22"/>
      <c r="AE1542" s="22"/>
    </row>
    <row r="1543" spans="1:31" s="11" customFormat="1" hidden="1" outlineLevel="2" x14ac:dyDescent="0.2">
      <c r="A1543" s="22"/>
      <c r="B1543" s="148"/>
      <c r="C1543" s="22"/>
      <c r="D1543" s="22"/>
      <c r="E1543" s="22"/>
      <c r="F1543" s="117"/>
      <c r="G1543" s="117"/>
      <c r="H1543" s="117"/>
      <c r="I1543" s="117"/>
      <c r="J1543" s="117"/>
      <c r="K1543" s="117"/>
      <c r="L1543" s="117"/>
      <c r="M1543" s="117"/>
      <c r="N1543" s="117"/>
      <c r="O1543" s="117"/>
      <c r="P1543" s="117"/>
      <c r="Q1543" s="117"/>
      <c r="R1543" s="117"/>
      <c r="S1543" s="117"/>
      <c r="T1543" s="117"/>
      <c r="U1543" s="117"/>
      <c r="V1543" s="117"/>
      <c r="W1543" s="117"/>
      <c r="X1543" s="117"/>
      <c r="Y1543" s="117"/>
      <c r="Z1543" s="117"/>
      <c r="AA1543" s="117"/>
      <c r="AB1543" s="117"/>
      <c r="AC1543" s="117"/>
      <c r="AD1543" s="22"/>
      <c r="AE1543" s="22"/>
    </row>
    <row r="1544" spans="1:31" s="11" customFormat="1" hidden="1" outlineLevel="2" x14ac:dyDescent="0.2">
      <c r="A1544" s="22"/>
      <c r="B1544" s="148"/>
      <c r="C1544" s="22"/>
      <c r="D1544" s="22"/>
      <c r="E1544" s="22"/>
      <c r="F1544" s="117"/>
      <c r="G1544" s="117"/>
      <c r="H1544" s="117"/>
      <c r="I1544" s="117"/>
      <c r="J1544" s="117"/>
      <c r="K1544" s="117"/>
      <c r="L1544" s="117"/>
      <c r="M1544" s="117"/>
      <c r="N1544" s="117"/>
      <c r="O1544" s="117"/>
      <c r="P1544" s="117"/>
      <c r="Q1544" s="117"/>
      <c r="R1544" s="117"/>
      <c r="S1544" s="117"/>
      <c r="T1544" s="117"/>
      <c r="U1544" s="117"/>
      <c r="V1544" s="117"/>
      <c r="W1544" s="117"/>
      <c r="X1544" s="117"/>
      <c r="Y1544" s="117"/>
      <c r="Z1544" s="117"/>
      <c r="AA1544" s="117"/>
      <c r="AB1544" s="117"/>
      <c r="AC1544" s="117"/>
      <c r="AD1544" s="22"/>
      <c r="AE1544" s="22"/>
    </row>
    <row r="1545" spans="1:31" s="11" customFormat="1" hidden="1" outlineLevel="2" x14ac:dyDescent="0.2">
      <c r="A1545" s="22"/>
      <c r="B1545" s="148"/>
      <c r="C1545" s="22"/>
      <c r="D1545" s="22"/>
      <c r="E1545" s="22"/>
      <c r="F1545" s="117"/>
      <c r="G1545" s="117"/>
      <c r="H1545" s="117"/>
      <c r="I1545" s="117"/>
      <c r="J1545" s="117"/>
      <c r="K1545" s="117"/>
      <c r="L1545" s="117"/>
      <c r="M1545" s="117"/>
      <c r="N1545" s="117"/>
      <c r="O1545" s="117"/>
      <c r="P1545" s="117"/>
      <c r="Q1545" s="117"/>
      <c r="R1545" s="117"/>
      <c r="S1545" s="117"/>
      <c r="T1545" s="117"/>
      <c r="U1545" s="117"/>
      <c r="V1545" s="117"/>
      <c r="W1545" s="117"/>
      <c r="X1545" s="117"/>
      <c r="Y1545" s="117"/>
      <c r="Z1545" s="117"/>
      <c r="AA1545" s="117"/>
      <c r="AB1545" s="117"/>
      <c r="AC1545" s="117"/>
      <c r="AD1545" s="22"/>
      <c r="AE1545" s="22"/>
    </row>
    <row r="1546" spans="1:31" s="11" customFormat="1" hidden="1" outlineLevel="2" x14ac:dyDescent="0.2">
      <c r="A1546" s="22"/>
      <c r="B1546" s="148"/>
      <c r="C1546" s="22"/>
      <c r="D1546" s="22"/>
      <c r="E1546" s="22"/>
      <c r="F1546" s="117"/>
      <c r="G1546" s="117"/>
      <c r="H1546" s="117"/>
      <c r="I1546" s="117"/>
      <c r="J1546" s="117"/>
      <c r="K1546" s="117"/>
      <c r="L1546" s="117"/>
      <c r="M1546" s="117"/>
      <c r="N1546" s="117"/>
      <c r="O1546" s="117"/>
      <c r="P1546" s="117"/>
      <c r="Q1546" s="117"/>
      <c r="R1546" s="117"/>
      <c r="S1546" s="117"/>
      <c r="T1546" s="117"/>
      <c r="U1546" s="117"/>
      <c r="V1546" s="117"/>
      <c r="W1546" s="117"/>
      <c r="X1546" s="117"/>
      <c r="Y1546" s="117"/>
      <c r="Z1546" s="117"/>
      <c r="AA1546" s="117"/>
      <c r="AB1546" s="117"/>
      <c r="AC1546" s="117"/>
      <c r="AD1546" s="22"/>
      <c r="AE1546" s="22"/>
    </row>
    <row r="1547" spans="1:31" s="11" customFormat="1" hidden="1" outlineLevel="2" x14ac:dyDescent="0.2">
      <c r="A1547" s="22"/>
      <c r="B1547" s="148"/>
      <c r="C1547" s="22"/>
      <c r="D1547" s="22"/>
      <c r="E1547" s="22"/>
      <c r="F1547" s="117"/>
      <c r="G1547" s="117"/>
      <c r="H1547" s="117"/>
      <c r="I1547" s="117"/>
      <c r="J1547" s="117"/>
      <c r="K1547" s="117"/>
      <c r="L1547" s="117"/>
      <c r="M1547" s="117"/>
      <c r="N1547" s="117"/>
      <c r="O1547" s="117"/>
      <c r="P1547" s="117"/>
      <c r="Q1547" s="117"/>
      <c r="R1547" s="117"/>
      <c r="S1547" s="117"/>
      <c r="T1547" s="117"/>
      <c r="U1547" s="117"/>
      <c r="V1547" s="117"/>
      <c r="W1547" s="117"/>
      <c r="X1547" s="117"/>
      <c r="Y1547" s="117"/>
      <c r="Z1547" s="117"/>
      <c r="AA1547" s="117"/>
      <c r="AB1547" s="117"/>
      <c r="AC1547" s="117"/>
      <c r="AD1547" s="22"/>
      <c r="AE1547" s="22"/>
    </row>
    <row r="1548" spans="1:31" s="11" customFormat="1" hidden="1" outlineLevel="2" x14ac:dyDescent="0.2">
      <c r="A1548" s="22"/>
      <c r="B1548" s="148"/>
      <c r="C1548" s="22"/>
      <c r="D1548" s="22"/>
      <c r="E1548" s="22"/>
      <c r="F1548" s="117"/>
      <c r="G1548" s="117"/>
      <c r="H1548" s="117"/>
      <c r="I1548" s="117"/>
      <c r="J1548" s="117"/>
      <c r="K1548" s="117"/>
      <c r="L1548" s="117"/>
      <c r="M1548" s="117"/>
      <c r="N1548" s="117"/>
      <c r="O1548" s="117"/>
      <c r="P1548" s="117"/>
      <c r="Q1548" s="117"/>
      <c r="R1548" s="117"/>
      <c r="S1548" s="117"/>
      <c r="T1548" s="117"/>
      <c r="U1548" s="117"/>
      <c r="V1548" s="117"/>
      <c r="W1548" s="117"/>
      <c r="X1548" s="117"/>
      <c r="Y1548" s="117"/>
      <c r="Z1548" s="117"/>
      <c r="AA1548" s="117"/>
      <c r="AB1548" s="117"/>
      <c r="AC1548" s="117"/>
      <c r="AD1548" s="22"/>
      <c r="AE1548" s="22"/>
    </row>
    <row r="1549" spans="1:31" s="11" customFormat="1" hidden="1" outlineLevel="2" x14ac:dyDescent="0.2">
      <c r="A1549" s="22"/>
      <c r="B1549" s="148"/>
      <c r="C1549" s="22"/>
      <c r="D1549" s="22"/>
      <c r="E1549" s="22"/>
      <c r="F1549" s="117"/>
      <c r="G1549" s="117"/>
      <c r="H1549" s="117"/>
      <c r="I1549" s="117"/>
      <c r="J1549" s="117"/>
      <c r="K1549" s="117"/>
      <c r="L1549" s="117"/>
      <c r="M1549" s="117"/>
      <c r="N1549" s="117"/>
      <c r="O1549" s="117"/>
      <c r="P1549" s="117"/>
      <c r="Q1549" s="117"/>
      <c r="R1549" s="117"/>
      <c r="S1549" s="117"/>
      <c r="T1549" s="117"/>
      <c r="U1549" s="117"/>
      <c r="V1549" s="117"/>
      <c r="W1549" s="117"/>
      <c r="X1549" s="117"/>
      <c r="Y1549" s="117"/>
      <c r="Z1549" s="117"/>
      <c r="AA1549" s="117"/>
      <c r="AB1549" s="117"/>
      <c r="AC1549" s="117"/>
      <c r="AD1549" s="22"/>
      <c r="AE1549" s="22"/>
    </row>
    <row r="1550" spans="1:31" s="11" customFormat="1" hidden="1" outlineLevel="2" x14ac:dyDescent="0.2">
      <c r="A1550" s="22"/>
      <c r="B1550" s="148"/>
      <c r="C1550" s="22"/>
      <c r="D1550" s="22"/>
      <c r="E1550" s="22"/>
      <c r="F1550" s="117"/>
      <c r="G1550" s="117"/>
      <c r="H1550" s="117"/>
      <c r="I1550" s="117"/>
      <c r="J1550" s="117"/>
      <c r="K1550" s="117"/>
      <c r="L1550" s="117"/>
      <c r="M1550" s="117"/>
      <c r="N1550" s="117"/>
      <c r="O1550" s="117"/>
      <c r="P1550" s="117"/>
      <c r="Q1550" s="117"/>
      <c r="R1550" s="117"/>
      <c r="S1550" s="117"/>
      <c r="T1550" s="117"/>
      <c r="U1550" s="117"/>
      <c r="V1550" s="117"/>
      <c r="W1550" s="117"/>
      <c r="X1550" s="117"/>
      <c r="Y1550" s="117"/>
      <c r="Z1550" s="117"/>
      <c r="AA1550" s="117"/>
      <c r="AB1550" s="117"/>
      <c r="AC1550" s="117"/>
      <c r="AD1550" s="22"/>
      <c r="AE1550" s="22"/>
    </row>
    <row r="1551" spans="1:31" s="11" customFormat="1" hidden="1" outlineLevel="2" x14ac:dyDescent="0.2">
      <c r="A1551" s="22"/>
      <c r="B1551" s="148"/>
      <c r="C1551" s="22"/>
      <c r="D1551" s="22"/>
      <c r="E1551" s="22"/>
      <c r="F1551" s="117"/>
      <c r="G1551" s="117"/>
      <c r="H1551" s="117"/>
      <c r="I1551" s="117"/>
      <c r="J1551" s="117"/>
      <c r="K1551" s="117"/>
      <c r="L1551" s="117"/>
      <c r="M1551" s="117"/>
      <c r="N1551" s="117"/>
      <c r="O1551" s="117"/>
      <c r="P1551" s="117"/>
      <c r="Q1551" s="117"/>
      <c r="R1551" s="117"/>
      <c r="S1551" s="117"/>
      <c r="T1551" s="117"/>
      <c r="U1551" s="117"/>
      <c r="V1551" s="117"/>
      <c r="W1551" s="117"/>
      <c r="X1551" s="117"/>
      <c r="Y1551" s="117"/>
      <c r="Z1551" s="117"/>
      <c r="AA1551" s="117"/>
      <c r="AB1551" s="117"/>
      <c r="AC1551" s="117"/>
      <c r="AD1551" s="22"/>
      <c r="AE1551" s="22"/>
    </row>
    <row r="1552" spans="1:31" s="11" customFormat="1" outlineLevel="1" x14ac:dyDescent="0.2">
      <c r="A1552" s="22"/>
      <c r="B1552" s="148"/>
      <c r="C1552" s="22"/>
      <c r="D1552" s="22"/>
      <c r="E1552" s="22"/>
      <c r="F1552" s="117"/>
      <c r="G1552" s="117"/>
      <c r="H1552" s="117"/>
      <c r="I1552" s="117"/>
      <c r="J1552" s="117"/>
      <c r="K1552" s="117"/>
      <c r="L1552" s="117"/>
      <c r="M1552" s="117"/>
      <c r="N1552" s="117"/>
      <c r="O1552" s="117"/>
      <c r="P1552" s="117"/>
      <c r="Q1552" s="117"/>
      <c r="R1552" s="117"/>
      <c r="S1552" s="117"/>
      <c r="T1552" s="117"/>
      <c r="U1552" s="117"/>
      <c r="V1552" s="117"/>
      <c r="W1552" s="117"/>
      <c r="X1552" s="117"/>
      <c r="Y1552" s="117"/>
      <c r="Z1552" s="117"/>
      <c r="AA1552" s="117"/>
      <c r="AB1552" s="117"/>
      <c r="AC1552" s="117"/>
      <c r="AD1552" s="22"/>
      <c r="AE1552" s="22"/>
    </row>
    <row r="1553" spans="1:31" s="11" customFormat="1" outlineLevel="1" x14ac:dyDescent="0.2">
      <c r="A1553" s="22"/>
      <c r="B1553" s="148"/>
      <c r="C1553" s="22"/>
      <c r="D1553" s="22"/>
      <c r="E1553" s="22"/>
      <c r="F1553" s="117"/>
      <c r="G1553" s="117"/>
      <c r="H1553" s="117"/>
      <c r="I1553" s="117"/>
      <c r="J1553" s="117"/>
      <c r="K1553" s="117"/>
      <c r="L1553" s="117"/>
      <c r="M1553" s="117"/>
      <c r="N1553" s="117"/>
      <c r="O1553" s="117"/>
      <c r="P1553" s="117"/>
      <c r="Q1553" s="117"/>
      <c r="R1553" s="117"/>
      <c r="S1553" s="117"/>
      <c r="T1553" s="117"/>
      <c r="U1553" s="117"/>
      <c r="V1553" s="117"/>
      <c r="W1553" s="117"/>
      <c r="X1553" s="117"/>
      <c r="Y1553" s="117"/>
      <c r="Z1553" s="117"/>
      <c r="AA1553" s="117"/>
      <c r="AB1553" s="117"/>
      <c r="AC1553" s="117"/>
      <c r="AD1553" s="22"/>
      <c r="AE1553" s="22"/>
    </row>
    <row r="1554" spans="1:31" s="4" customFormat="1" ht="15.95" customHeight="1" thickBot="1" x14ac:dyDescent="0.25">
      <c r="A1554" s="165" t="str">
        <f ca="1">Language!A$809</f>
        <v xml:space="preserve">         ПОКАЗАТЕЛИ ФИНАНСОВОЙ СОСТОЯТЕЛЬНОСТИ</v>
      </c>
      <c r="B1554" s="165"/>
      <c r="C1554" s="165"/>
      <c r="D1554" s="165"/>
      <c r="E1554" s="165"/>
      <c r="F1554" s="177" t="str">
        <f t="shared" ref="F1554:AC1554" ca="1" si="4358">PeriodTitle</f>
        <v>1 кв. 2016</v>
      </c>
      <c r="G1554" s="177" t="str">
        <f t="shared" ca="1" si="4358"/>
        <v>2 кв. 2016</v>
      </c>
      <c r="H1554" s="177" t="str">
        <f t="shared" ca="1" si="4358"/>
        <v>3 кв. 2016</v>
      </c>
      <c r="I1554" s="177" t="str">
        <f t="shared" ca="1" si="4358"/>
        <v>4 кв. 2016</v>
      </c>
      <c r="J1554" s="177" t="str">
        <f t="shared" ca="1" si="4358"/>
        <v>1 кв. 2017</v>
      </c>
      <c r="K1554" s="177" t="str">
        <f t="shared" ca="1" si="4358"/>
        <v>2 кв. 2017</v>
      </c>
      <c r="L1554" s="177" t="str">
        <f t="shared" ca="1" si="4358"/>
        <v>3 кв. 2017</v>
      </c>
      <c r="M1554" s="177" t="str">
        <f t="shared" ca="1" si="4358"/>
        <v>4 кв. 2017</v>
      </c>
      <c r="N1554" s="177" t="str">
        <f t="shared" ca="1" si="4358"/>
        <v>1 кв. 2018</v>
      </c>
      <c r="O1554" s="177" t="str">
        <f t="shared" ca="1" si="4358"/>
        <v>2 кв. 2018</v>
      </c>
      <c r="P1554" s="177" t="str">
        <f t="shared" ca="1" si="4358"/>
        <v>3 кв. 2018</v>
      </c>
      <c r="Q1554" s="177" t="str">
        <f t="shared" ca="1" si="4358"/>
        <v>4 кв. 2018</v>
      </c>
      <c r="R1554" s="177" t="str">
        <f t="shared" ca="1" si="4358"/>
        <v>1 кв. 2019</v>
      </c>
      <c r="S1554" s="177" t="str">
        <f t="shared" ca="1" si="4358"/>
        <v>2 кв. 2019</v>
      </c>
      <c r="T1554" s="177" t="str">
        <f t="shared" ca="1" si="4358"/>
        <v>3 кв. 2019</v>
      </c>
      <c r="U1554" s="177" t="str">
        <f t="shared" ca="1" si="4358"/>
        <v>4 кв. 2019</v>
      </c>
      <c r="V1554" s="177" t="str">
        <f t="shared" ca="1" si="4358"/>
        <v>1 кв. 2020</v>
      </c>
      <c r="W1554" s="177" t="str">
        <f t="shared" ca="1" si="4358"/>
        <v>2 кв. 2020</v>
      </c>
      <c r="X1554" s="177" t="str">
        <f t="shared" ca="1" si="4358"/>
        <v>3 кв. 2020</v>
      </c>
      <c r="Y1554" s="177" t="str">
        <f t="shared" ca="1" si="4358"/>
        <v>4 кв. 2020</v>
      </c>
      <c r="Z1554" s="177" t="str">
        <f t="shared" ca="1" si="4358"/>
        <v>1 кв. 2021</v>
      </c>
      <c r="AA1554" s="177" t="str">
        <f t="shared" ca="1" si="4358"/>
        <v>2 кв. 2021</v>
      </c>
      <c r="AB1554" s="177" t="str">
        <f t="shared" ca="1" si="4358"/>
        <v>3 кв. 2021</v>
      </c>
      <c r="AC1554" s="177" t="str">
        <f t="shared" ca="1" si="4358"/>
        <v>4 кв. 2021</v>
      </c>
      <c r="AD1554" s="165"/>
      <c r="AE1554" s="38"/>
    </row>
    <row r="1555" spans="1:31" ht="12" outlineLevel="1" thickTop="1" x14ac:dyDescent="0.2"/>
    <row r="1556" spans="1:31" outlineLevel="1" x14ac:dyDescent="0.2">
      <c r="A1556" t="str">
        <f ca="1">Language!A$810</f>
        <v>Рентабельность активов</v>
      </c>
      <c r="C1556" s="17" t="s">
        <v>2430</v>
      </c>
      <c r="D1556" s="16" t="s">
        <v>2429</v>
      </c>
      <c r="F1556" s="157" t="str">
        <f t="shared" ref="F1556:AC1556" ca="1" si="4359">IF(F1481&gt;0,F1222/IF(OR(F$29=1,F$29=PRJ_Len),F1481,(E1481+F1481)/2)*360/PRJ_Step,"-")</f>
        <v>-</v>
      </c>
      <c r="G1556" s="157" t="str">
        <f t="shared" ca="1" si="4359"/>
        <v>-</v>
      </c>
      <c r="H1556" s="157">
        <f t="shared" ca="1" si="4359"/>
        <v>0</v>
      </c>
      <c r="I1556" s="157">
        <f t="shared" ca="1" si="4359"/>
        <v>0</v>
      </c>
      <c r="J1556" s="157">
        <f t="shared" ca="1" si="4359"/>
        <v>-0.10646152162064888</v>
      </c>
      <c r="K1556" s="157">
        <f t="shared" ca="1" si="4359"/>
        <v>-0.13359208250427435</v>
      </c>
      <c r="L1556" s="157">
        <f t="shared" ca="1" si="4359"/>
        <v>8.9301173221077966E-3</v>
      </c>
      <c r="M1556" s="157">
        <f t="shared" ca="1" si="4359"/>
        <v>0.12309289915124753</v>
      </c>
      <c r="N1556" s="157">
        <f t="shared" ca="1" si="4359"/>
        <v>0.2084505419885555</v>
      </c>
      <c r="O1556" s="157">
        <f t="shared" ca="1" si="4359"/>
        <v>0.24665572371504377</v>
      </c>
      <c r="P1556" s="157">
        <f t="shared" ca="1" si="4359"/>
        <v>0.23208426793843373</v>
      </c>
      <c r="Q1556" s="157">
        <f t="shared" ca="1" si="4359"/>
        <v>0.21935694399723132</v>
      </c>
      <c r="R1556" s="157">
        <f t="shared" ca="1" si="4359"/>
        <v>0.20795296241462075</v>
      </c>
      <c r="S1556" s="157">
        <f t="shared" ca="1" si="4359"/>
        <v>0.19767612829521039</v>
      </c>
      <c r="T1556" s="157">
        <f t="shared" ca="1" si="4359"/>
        <v>0.1883672034273802</v>
      </c>
      <c r="U1556" s="157">
        <f t="shared" ca="1" si="4359"/>
        <v>0.17989559585247208</v>
      </c>
      <c r="V1556" s="157">
        <f t="shared" ca="1" si="4359"/>
        <v>0.17215319543480906</v>
      </c>
      <c r="W1556" s="157">
        <f t="shared" ca="1" si="4359"/>
        <v>0.165049735588022</v>
      </c>
      <c r="X1556" s="157">
        <f t="shared" ca="1" si="4359"/>
        <v>0.15850925781535261</v>
      </c>
      <c r="Y1556" s="157">
        <f t="shared" ca="1" si="4359"/>
        <v>0.15246738481339775</v>
      </c>
      <c r="Z1556" s="157">
        <f t="shared" ca="1" si="4359"/>
        <v>0.14686919432143766</v>
      </c>
      <c r="AA1556" s="157">
        <f t="shared" ca="1" si="4359"/>
        <v>0.14166754478058258</v>
      </c>
      <c r="AB1556" s="157">
        <f t="shared" ca="1" si="4359"/>
        <v>0.13682174462227417</v>
      </c>
      <c r="AC1556" s="157">
        <f t="shared" ca="1" si="4359"/>
        <v>0.13014428174206347</v>
      </c>
    </row>
    <row r="1557" spans="1:31" outlineLevel="1" x14ac:dyDescent="0.2">
      <c r="A1557" t="str">
        <f ca="1">Language!A$811</f>
        <v>Рентабельность собственного капитала</v>
      </c>
      <c r="C1557" s="17" t="s">
        <v>2430</v>
      </c>
      <c r="D1557" s="16" t="s">
        <v>2429</v>
      </c>
      <c r="F1557" s="157" t="str">
        <f t="shared" ref="F1557:AC1557" ca="1" si="4360">IF(F1498&gt;0,F1222/IF(OR(F$29=1,F$29=PRJ_Len),F1498,(E1498+F1498)/2)*360/PRJ_Step,"-")</f>
        <v>-</v>
      </c>
      <c r="G1557" s="157" t="str">
        <f t="shared" ca="1" si="4360"/>
        <v>-</v>
      </c>
      <c r="H1557" s="157">
        <f t="shared" ca="1" si="4360"/>
        <v>0</v>
      </c>
      <c r="I1557" s="157">
        <f t="shared" ca="1" si="4360"/>
        <v>0</v>
      </c>
      <c r="J1557" s="157">
        <f t="shared" ca="1" si="4360"/>
        <v>-0.11703807205432649</v>
      </c>
      <c r="K1557" s="157">
        <f t="shared" ca="1" si="4360"/>
        <v>-0.14328930703662948</v>
      </c>
      <c r="L1557" s="157">
        <f t="shared" ca="1" si="4360"/>
        <v>8.9839329782943865E-3</v>
      </c>
      <c r="M1557" s="157">
        <f t="shared" ca="1" si="4360"/>
        <v>0.12382239454573912</v>
      </c>
      <c r="N1557" s="157">
        <f t="shared" ca="1" si="4360"/>
        <v>0.20992243952135103</v>
      </c>
      <c r="O1557" s="157">
        <f t="shared" ca="1" si="4360"/>
        <v>0.24890008854172424</v>
      </c>
      <c r="P1557" s="157">
        <f t="shared" ca="1" si="4360"/>
        <v>0.23431954939392316</v>
      </c>
      <c r="Q1557" s="157">
        <f t="shared" ca="1" si="4360"/>
        <v>0.22135273132842542</v>
      </c>
      <c r="R1557" s="157">
        <f t="shared" ca="1" si="4360"/>
        <v>0.20974578095374422</v>
      </c>
      <c r="S1557" s="157">
        <f t="shared" ca="1" si="4360"/>
        <v>0.19929543670090691</v>
      </c>
      <c r="T1557" s="157">
        <f t="shared" ca="1" si="4360"/>
        <v>0.18983702357220136</v>
      </c>
      <c r="U1557" s="157">
        <f t="shared" ca="1" si="4360"/>
        <v>0.18123571156030188</v>
      </c>
      <c r="V1557" s="157">
        <f t="shared" ca="1" si="4360"/>
        <v>0.17338004749095631</v>
      </c>
      <c r="W1557" s="157">
        <f t="shared" ca="1" si="4360"/>
        <v>0.16617709915510112</v>
      </c>
      <c r="X1557" s="157">
        <f t="shared" ca="1" si="4360"/>
        <v>0.15954876156253825</v>
      </c>
      <c r="Y1557" s="157">
        <f t="shared" ca="1" si="4360"/>
        <v>0.15342891328683797</v>
      </c>
      <c r="Z1557" s="157">
        <f t="shared" ca="1" si="4360"/>
        <v>0.14776120308308943</v>
      </c>
      <c r="AA1557" s="157">
        <f t="shared" ca="1" si="4360"/>
        <v>0.14249730960717455</v>
      </c>
      <c r="AB1557" s="157">
        <f t="shared" ca="1" si="4360"/>
        <v>0.13759556031739442</v>
      </c>
      <c r="AC1557" s="157">
        <f t="shared" ca="1" si="4360"/>
        <v>0.13084421658181969</v>
      </c>
    </row>
    <row r="1558" spans="1:31" outlineLevel="1" x14ac:dyDescent="0.2">
      <c r="A1558" t="str">
        <f ca="1">Language!A$812</f>
        <v>Рентабельность внеоборотных активов</v>
      </c>
      <c r="C1558" s="17" t="s">
        <v>2430</v>
      </c>
      <c r="D1558" s="16" t="s">
        <v>2429</v>
      </c>
      <c r="F1558" s="157" t="str">
        <f t="shared" ref="F1558:AC1558" ca="1" si="4361">IF(F1479&gt;0,F1222/IF(OR(F$29=1,F$29=PRJ_Len),F1479,(E1479+F1479)/2)*360/PRJ_Step,"-")</f>
        <v>-</v>
      </c>
      <c r="G1558" s="157" t="str">
        <f t="shared" ca="1" si="4361"/>
        <v>-</v>
      </c>
      <c r="H1558" s="157">
        <f t="shared" ca="1" si="4361"/>
        <v>0</v>
      </c>
      <c r="I1558" s="157">
        <f t="shared" ca="1" si="4361"/>
        <v>0</v>
      </c>
      <c r="J1558" s="157">
        <f t="shared" ca="1" si="4361"/>
        <v>-0.12911796510331525</v>
      </c>
      <c r="K1558" s="157">
        <f t="shared" ca="1" si="4361"/>
        <v>-0.16559983427273942</v>
      </c>
      <c r="L1558" s="157">
        <f t="shared" ca="1" si="4361"/>
        <v>1.1502826941248386E-2</v>
      </c>
      <c r="M1558" s="157">
        <f t="shared" ca="1" si="4361"/>
        <v>0.16520542884120915</v>
      </c>
      <c r="N1558" s="157">
        <f t="shared" ca="1" si="4361"/>
        <v>0.29949819567213376</v>
      </c>
      <c r="O1558" s="157">
        <f t="shared" ca="1" si="4361"/>
        <v>0.38592942911914718</v>
      </c>
      <c r="P1558" s="157">
        <f t="shared" ca="1" si="4361"/>
        <v>0.39625491820401343</v>
      </c>
      <c r="Q1558" s="157">
        <f t="shared" ca="1" si="4361"/>
        <v>0.40714811019866265</v>
      </c>
      <c r="R1558" s="157">
        <f t="shared" ca="1" si="4361"/>
        <v>0.41865714763805562</v>
      </c>
      <c r="S1558" s="157">
        <f t="shared" ca="1" si="4361"/>
        <v>0.43083577487229635</v>
      </c>
      <c r="T1558" s="157">
        <f t="shared" ca="1" si="4361"/>
        <v>0.44374417725511439</v>
      </c>
      <c r="U1558" s="157">
        <f t="shared" ca="1" si="4361"/>
        <v>0.45744997585098351</v>
      </c>
      <c r="V1558" s="157">
        <f t="shared" ca="1" si="4361"/>
        <v>0.4720294123567349</v>
      </c>
      <c r="W1558" s="157">
        <f t="shared" ca="1" si="4361"/>
        <v>0.48756876807110894</v>
      </c>
      <c r="X1558" s="157">
        <f t="shared" ca="1" si="4361"/>
        <v>0.50416607268274449</v>
      </c>
      <c r="Y1558" s="157">
        <f t="shared" ca="1" si="4361"/>
        <v>0.52193317437018583</v>
      </c>
      <c r="Z1558" s="157">
        <f t="shared" ca="1" si="4361"/>
        <v>0.54099826359952485</v>
      </c>
      <c r="AA1558" s="157">
        <f t="shared" ca="1" si="4361"/>
        <v>0.56150897102601327</v>
      </c>
      <c r="AB1558" s="157">
        <f t="shared" ca="1" si="4361"/>
        <v>0.5836361978645247</v>
      </c>
      <c r="AC1558" s="157">
        <f t="shared" ca="1" si="4361"/>
        <v>0.62030231754473186</v>
      </c>
    </row>
    <row r="1559" spans="1:31" outlineLevel="1" x14ac:dyDescent="0.2">
      <c r="A1559" t="str">
        <f ca="1">Language!A$813</f>
        <v>Прямые расходы к выручке от реализации</v>
      </c>
      <c r="C1559" s="17" t="s">
        <v>2430</v>
      </c>
      <c r="D1559" s="16" t="s">
        <v>2429</v>
      </c>
      <c r="F1559" s="157" t="str">
        <f t="shared" ref="F1559:T1559" si="4362">IF(F1199&gt;0,F1200/F1199,"-")</f>
        <v>-</v>
      </c>
      <c r="G1559" s="157" t="str">
        <f t="shared" si="4362"/>
        <v>-</v>
      </c>
      <c r="H1559" s="157" t="str">
        <f t="shared" si="4362"/>
        <v>-</v>
      </c>
      <c r="I1559" s="157" t="str">
        <f t="shared" si="4362"/>
        <v>-</v>
      </c>
      <c r="J1559" s="157" t="str">
        <f t="shared" si="4362"/>
        <v>-</v>
      </c>
      <c r="K1559" s="157">
        <f t="shared" ca="1" si="4362"/>
        <v>1.556699623953508</v>
      </c>
      <c r="L1559" s="157">
        <f t="shared" ca="1" si="4362"/>
        <v>0.91836867024595492</v>
      </c>
      <c r="M1559" s="157">
        <f t="shared" ca="1" si="4362"/>
        <v>0.83211609339478443</v>
      </c>
      <c r="N1559" s="157">
        <f t="shared" ca="1" si="4362"/>
        <v>0.78979332259911694</v>
      </c>
      <c r="O1559" s="157">
        <f t="shared" ca="1" si="4362"/>
        <v>0.77433228154985068</v>
      </c>
      <c r="P1559" s="157">
        <f t="shared" ca="1" si="4362"/>
        <v>0.77433228154985068</v>
      </c>
      <c r="Q1559" s="157">
        <f t="shared" ca="1" si="4362"/>
        <v>0.77433228154985068</v>
      </c>
      <c r="R1559" s="157">
        <f t="shared" ca="1" si="4362"/>
        <v>0.77433228154985068</v>
      </c>
      <c r="S1559" s="157">
        <f t="shared" ca="1" si="4362"/>
        <v>0.77433228154985068</v>
      </c>
      <c r="T1559" s="157">
        <f t="shared" ca="1" si="4362"/>
        <v>0.77433228154985068</v>
      </c>
      <c r="U1559" s="157">
        <f t="shared" ref="U1559" ca="1" si="4363">IF(U1199&gt;0,U1200/U1199,"-")</f>
        <v>0.77433228154985068</v>
      </c>
      <c r="V1559" s="157">
        <f t="shared" ref="V1559" ca="1" si="4364">IF(V1199&gt;0,V1200/V1199,"-")</f>
        <v>0.77433228154985068</v>
      </c>
      <c r="W1559" s="157">
        <f t="shared" ref="W1559" ca="1" si="4365">IF(W1199&gt;0,W1200/W1199,"-")</f>
        <v>0.77433228154985068</v>
      </c>
      <c r="X1559" s="157">
        <f t="shared" ref="X1559" ca="1" si="4366">IF(X1199&gt;0,X1200/X1199,"-")</f>
        <v>0.77433228154985068</v>
      </c>
      <c r="Y1559" s="157">
        <f t="shared" ref="Y1559" ca="1" si="4367">IF(Y1199&gt;0,Y1200/Y1199,"-")</f>
        <v>0.77433228154985068</v>
      </c>
      <c r="Z1559" s="157">
        <f t="shared" ref="Z1559" ca="1" si="4368">IF(Z1199&gt;0,Z1200/Z1199,"-")</f>
        <v>0.77433228154985068</v>
      </c>
      <c r="AA1559" s="157">
        <f t="shared" ref="AA1559" ca="1" si="4369">IF(AA1199&gt;0,AA1200/AA1199,"-")</f>
        <v>0.77433228154985068</v>
      </c>
      <c r="AB1559" s="157">
        <f t="shared" ref="AB1559:AC1559" ca="1" si="4370">IF(AB1199&gt;0,AB1200/AB1199,"-")</f>
        <v>0.77433228154985068</v>
      </c>
      <c r="AC1559" s="157">
        <f t="shared" ca="1" si="4370"/>
        <v>0.77433228154985068</v>
      </c>
    </row>
    <row r="1560" spans="1:31" outlineLevel="1" x14ac:dyDescent="0.2">
      <c r="A1560" t="str">
        <f ca="1">Language!A$814</f>
        <v>Прибыльность продаж</v>
      </c>
      <c r="C1560" s="17" t="s">
        <v>2430</v>
      </c>
      <c r="D1560" s="16" t="s">
        <v>2429</v>
      </c>
      <c r="F1560" s="157" t="str">
        <f t="shared" ref="F1560:T1560" si="4371">IF(F1199&gt;0,F1222/F1199,"-")</f>
        <v>-</v>
      </c>
      <c r="G1560" s="157" t="str">
        <f t="shared" si="4371"/>
        <v>-</v>
      </c>
      <c r="H1560" s="157" t="str">
        <f t="shared" si="4371"/>
        <v>-</v>
      </c>
      <c r="I1560" s="157" t="str">
        <f t="shared" si="4371"/>
        <v>-</v>
      </c>
      <c r="J1560" s="157" t="str">
        <f t="shared" si="4371"/>
        <v>-</v>
      </c>
      <c r="K1560" s="157">
        <f t="shared" ca="1" si="4371"/>
        <v>-0.75951817457962389</v>
      </c>
      <c r="L1560" s="157">
        <f t="shared" ca="1" si="4371"/>
        <v>1.3477059435166394E-2</v>
      </c>
      <c r="M1560" s="157">
        <f t="shared" ca="1" si="4371"/>
        <v>0.11773420550074816</v>
      </c>
      <c r="N1560" s="157">
        <f t="shared" ca="1" si="4371"/>
        <v>0.14595256285397906</v>
      </c>
      <c r="O1560" s="157">
        <f t="shared" ca="1" si="4371"/>
        <v>0.15220703688452486</v>
      </c>
      <c r="P1560" s="157">
        <f t="shared" ca="1" si="4371"/>
        <v>0.15220703688452486</v>
      </c>
      <c r="Q1560" s="157">
        <f t="shared" ca="1" si="4371"/>
        <v>0.15220703688452486</v>
      </c>
      <c r="R1560" s="157">
        <f t="shared" ca="1" si="4371"/>
        <v>0.15220703688452486</v>
      </c>
      <c r="S1560" s="157">
        <f t="shared" ca="1" si="4371"/>
        <v>0.15220703688452486</v>
      </c>
      <c r="T1560" s="157">
        <f t="shared" ca="1" si="4371"/>
        <v>0.15220703688452486</v>
      </c>
      <c r="U1560" s="157">
        <f t="shared" ref="U1560" ca="1" si="4372">IF(U1199&gt;0,U1222/U1199,"-")</f>
        <v>0.15220703688452486</v>
      </c>
      <c r="V1560" s="157">
        <f t="shared" ref="V1560" ca="1" si="4373">IF(V1199&gt;0,V1222/V1199,"-")</f>
        <v>0.15220703688452486</v>
      </c>
      <c r="W1560" s="157">
        <f t="shared" ref="W1560" ca="1" si="4374">IF(W1199&gt;0,W1222/W1199,"-")</f>
        <v>0.15220703688452486</v>
      </c>
      <c r="X1560" s="157">
        <f t="shared" ref="X1560" ca="1" si="4375">IF(X1199&gt;0,X1222/X1199,"-")</f>
        <v>0.15220703688452486</v>
      </c>
      <c r="Y1560" s="157">
        <f t="shared" ref="Y1560" ca="1" si="4376">IF(Y1199&gt;0,Y1222/Y1199,"-")</f>
        <v>0.15220703688452486</v>
      </c>
      <c r="Z1560" s="157">
        <f t="shared" ref="Z1560" ca="1" si="4377">IF(Z1199&gt;0,Z1222/Z1199,"-")</f>
        <v>0.15220703688452486</v>
      </c>
      <c r="AA1560" s="157">
        <f t="shared" ref="AA1560" ca="1" si="4378">IF(AA1199&gt;0,AA1222/AA1199,"-")</f>
        <v>0.15220703688452486</v>
      </c>
      <c r="AB1560" s="157">
        <f t="shared" ref="AB1560:AC1560" ca="1" si="4379">IF(AB1199&gt;0,AB1222/AB1199,"-")</f>
        <v>0.15220703688452486</v>
      </c>
      <c r="AC1560" s="157">
        <f t="shared" ca="1" si="4379"/>
        <v>0.15220703688452486</v>
      </c>
    </row>
    <row r="1561" spans="1:31" outlineLevel="1" x14ac:dyDescent="0.2"/>
    <row r="1562" spans="1:31" outlineLevel="1" x14ac:dyDescent="0.2">
      <c r="A1562" s="118" t="str">
        <f ca="1">Language!A$815</f>
        <v>Доля постоянных  затрат</v>
      </c>
      <c r="C1562" s="17" t="s">
        <v>2430</v>
      </c>
      <c r="D1562" s="16" t="s">
        <v>2429</v>
      </c>
      <c r="F1562" s="292">
        <f t="shared" ref="F1562:T1562" ca="1" si="4380">IF((F1200+F1209+F1210+F1211)&gt;0,(F1204+F1205+F1206+F1207+F1209+F1210+F1211)/(F1200+F1209+F1210+F1211),0)</f>
        <v>0</v>
      </c>
      <c r="G1562" s="292">
        <f t="shared" ca="1" si="4380"/>
        <v>0</v>
      </c>
      <c r="H1562" s="292">
        <f t="shared" ca="1" si="4380"/>
        <v>0</v>
      </c>
      <c r="I1562" s="292">
        <f t="shared" ca="1" si="4380"/>
        <v>0</v>
      </c>
      <c r="J1562" s="292">
        <f t="shared" ca="1" si="4380"/>
        <v>1</v>
      </c>
      <c r="K1562" s="292">
        <f t="shared" ca="1" si="4380"/>
        <v>0.61967427131554198</v>
      </c>
      <c r="L1562" s="292">
        <f t="shared" ca="1" si="4380"/>
        <v>0.31110351263506747</v>
      </c>
      <c r="M1562" s="292">
        <f t="shared" ca="1" si="4380"/>
        <v>0.22988204136424598</v>
      </c>
      <c r="N1562" s="292">
        <f t="shared" ca="1" si="4380"/>
        <v>0.18224278861632501</v>
      </c>
      <c r="O1562" s="292">
        <f t="shared" ca="1" si="4380"/>
        <v>0.1614269138910023</v>
      </c>
      <c r="P1562" s="292">
        <f t="shared" ca="1" si="4380"/>
        <v>0.1614269138910023</v>
      </c>
      <c r="Q1562" s="292">
        <f t="shared" ca="1" si="4380"/>
        <v>0.1614269138910023</v>
      </c>
      <c r="R1562" s="292">
        <f t="shared" ca="1" si="4380"/>
        <v>0.1614269138910023</v>
      </c>
      <c r="S1562" s="292">
        <f t="shared" ca="1" si="4380"/>
        <v>0.1614269138910023</v>
      </c>
      <c r="T1562" s="292">
        <f t="shared" ca="1" si="4380"/>
        <v>0.1614269138910023</v>
      </c>
      <c r="U1562" s="292">
        <f t="shared" ref="U1562" ca="1" si="4381">IF((U1200+U1209+U1210+U1211)&gt;0,(U1204+U1205+U1206+U1207+U1209+U1210+U1211)/(U1200+U1209+U1210+U1211),0)</f>
        <v>0.1614269138910023</v>
      </c>
      <c r="V1562" s="292">
        <f t="shared" ref="V1562" ca="1" si="4382">IF((V1200+V1209+V1210+V1211)&gt;0,(V1204+V1205+V1206+V1207+V1209+V1210+V1211)/(V1200+V1209+V1210+V1211),0)</f>
        <v>0.1614269138910023</v>
      </c>
      <c r="W1562" s="292">
        <f t="shared" ref="W1562" ca="1" si="4383">IF((W1200+W1209+W1210+W1211)&gt;0,(W1204+W1205+W1206+W1207+W1209+W1210+W1211)/(W1200+W1209+W1210+W1211),0)</f>
        <v>0.1614269138910023</v>
      </c>
      <c r="X1562" s="292">
        <f t="shared" ref="X1562" ca="1" si="4384">IF((X1200+X1209+X1210+X1211)&gt;0,(X1204+X1205+X1206+X1207+X1209+X1210+X1211)/(X1200+X1209+X1210+X1211),0)</f>
        <v>0.1614269138910023</v>
      </c>
      <c r="Y1562" s="292">
        <f t="shared" ref="Y1562" ca="1" si="4385">IF((Y1200+Y1209+Y1210+Y1211)&gt;0,(Y1204+Y1205+Y1206+Y1207+Y1209+Y1210+Y1211)/(Y1200+Y1209+Y1210+Y1211),0)</f>
        <v>0.1614269138910023</v>
      </c>
      <c r="Z1562" s="292">
        <f t="shared" ref="Z1562" ca="1" si="4386">IF((Z1200+Z1209+Z1210+Z1211)&gt;0,(Z1204+Z1205+Z1206+Z1207+Z1209+Z1210+Z1211)/(Z1200+Z1209+Z1210+Z1211),0)</f>
        <v>0.1614269138910023</v>
      </c>
      <c r="AA1562" s="292">
        <f t="shared" ref="AA1562" ca="1" si="4387">IF((AA1200+AA1209+AA1210+AA1211)&gt;0,(AA1204+AA1205+AA1206+AA1207+AA1209+AA1210+AA1211)/(AA1200+AA1209+AA1210+AA1211),0)</f>
        <v>0.1614269138910023</v>
      </c>
      <c r="AB1562" s="292">
        <f t="shared" ref="AB1562:AC1562" ca="1" si="4388">IF((AB1200+AB1209+AB1210+AB1211)&gt;0,(AB1204+AB1205+AB1206+AB1207+AB1209+AB1210+AB1211)/(AB1200+AB1209+AB1210+AB1211),0)</f>
        <v>0.1614269138910023</v>
      </c>
      <c r="AC1562" s="292">
        <f t="shared" ca="1" si="4388"/>
        <v>0.1614269138910023</v>
      </c>
    </row>
    <row r="1563" spans="1:31" outlineLevel="1" x14ac:dyDescent="0.2">
      <c r="A1563" s="118" t="str">
        <f ca="1">Language!A$816</f>
        <v>Точка безубыточности</v>
      </c>
      <c r="C1563" s="5" t="str">
        <f ca="1">CUR_Report</f>
        <v>тыс. EUR</v>
      </c>
      <c r="D1563" s="16" t="s">
        <v>2429</v>
      </c>
      <c r="F1563" s="143" t="str">
        <f t="shared" ref="F1563:T1563" ca="1" si="4389">IF((F1199-(F1200+F1209+F1210+F1211)*(1-F1562))=0,"-",F1562*(F1200+F1209+F1210+F1211)/(F1199-(F1200+F1209+F1210+F1211)*(1-F1562))*F1199)</f>
        <v>-</v>
      </c>
      <c r="G1563" s="143" t="str">
        <f t="shared" ca="1" si="4389"/>
        <v>-</v>
      </c>
      <c r="H1563" s="143" t="str">
        <f t="shared" ca="1" si="4389"/>
        <v>-</v>
      </c>
      <c r="I1563" s="143" t="str">
        <f t="shared" ca="1" si="4389"/>
        <v>-</v>
      </c>
      <c r="J1563" s="143" t="str">
        <f t="shared" ca="1" si="4389"/>
        <v>-</v>
      </c>
      <c r="K1563" s="143">
        <f t="shared" ca="1" si="4389"/>
        <v>2282.054519404157</v>
      </c>
      <c r="L1563" s="143">
        <f t="shared" ca="1" si="4389"/>
        <v>2576.7843881609483</v>
      </c>
      <c r="M1563" s="143">
        <f t="shared" ca="1" si="4389"/>
        <v>2743.0813189971382</v>
      </c>
      <c r="N1563" s="143">
        <f t="shared" ca="1" si="4389"/>
        <v>2930.6032268751514</v>
      </c>
      <c r="O1563" s="143">
        <f t="shared" ca="1" si="4389"/>
        <v>3071.7307605891556</v>
      </c>
      <c r="P1563" s="143">
        <f t="shared" ca="1" si="4389"/>
        <v>3071.7307605891556</v>
      </c>
      <c r="Q1563" s="143">
        <f t="shared" ca="1" si="4389"/>
        <v>3071.7307605891556</v>
      </c>
      <c r="R1563" s="143">
        <f t="shared" ca="1" si="4389"/>
        <v>3071.7307605891556</v>
      </c>
      <c r="S1563" s="143">
        <f t="shared" ca="1" si="4389"/>
        <v>3071.7307605891556</v>
      </c>
      <c r="T1563" s="143">
        <f t="shared" ca="1" si="4389"/>
        <v>3071.7307605891556</v>
      </c>
      <c r="U1563" s="143">
        <f t="shared" ref="U1563" ca="1" si="4390">IF((U1199-(U1200+U1209+U1210+U1211)*(1-U1562))=0,"-",U1562*(U1200+U1209+U1210+U1211)/(U1199-(U1200+U1209+U1210+U1211)*(1-U1562))*U1199)</f>
        <v>3071.7307605891556</v>
      </c>
      <c r="V1563" s="143">
        <f t="shared" ref="V1563" ca="1" si="4391">IF((V1199-(V1200+V1209+V1210+V1211)*(1-V1562))=0,"-",V1562*(V1200+V1209+V1210+V1211)/(V1199-(V1200+V1209+V1210+V1211)*(1-V1562))*V1199)</f>
        <v>3071.7307605891556</v>
      </c>
      <c r="W1563" s="143">
        <f t="shared" ref="W1563" ca="1" si="4392">IF((W1199-(W1200+W1209+W1210+W1211)*(1-W1562))=0,"-",W1562*(W1200+W1209+W1210+W1211)/(W1199-(W1200+W1209+W1210+W1211)*(1-W1562))*W1199)</f>
        <v>3071.7307605891556</v>
      </c>
      <c r="X1563" s="143">
        <f t="shared" ref="X1563" ca="1" si="4393">IF((X1199-(X1200+X1209+X1210+X1211)*(1-X1562))=0,"-",X1562*(X1200+X1209+X1210+X1211)/(X1199-(X1200+X1209+X1210+X1211)*(1-X1562))*X1199)</f>
        <v>3071.7307605891556</v>
      </c>
      <c r="Y1563" s="143">
        <f t="shared" ref="Y1563" ca="1" si="4394">IF((Y1199-(Y1200+Y1209+Y1210+Y1211)*(1-Y1562))=0,"-",Y1562*(Y1200+Y1209+Y1210+Y1211)/(Y1199-(Y1200+Y1209+Y1210+Y1211)*(1-Y1562))*Y1199)</f>
        <v>3071.7307605891556</v>
      </c>
      <c r="Z1563" s="143">
        <f t="shared" ref="Z1563" ca="1" si="4395">IF((Z1199-(Z1200+Z1209+Z1210+Z1211)*(1-Z1562))=0,"-",Z1562*(Z1200+Z1209+Z1210+Z1211)/(Z1199-(Z1200+Z1209+Z1210+Z1211)*(1-Z1562))*Z1199)</f>
        <v>3071.7307605891556</v>
      </c>
      <c r="AA1563" s="143">
        <f t="shared" ref="AA1563" ca="1" si="4396">IF((AA1199-(AA1200+AA1209+AA1210+AA1211)*(1-AA1562))=0,"-",AA1562*(AA1200+AA1209+AA1210+AA1211)/(AA1199-(AA1200+AA1209+AA1210+AA1211)*(1-AA1562))*AA1199)</f>
        <v>3071.7307605891556</v>
      </c>
      <c r="AB1563" s="143">
        <f t="shared" ref="AB1563:AC1563" ca="1" si="4397">IF((AB1199-(AB1200+AB1209+AB1210+AB1211)*(1-AB1562))=0,"-",AB1562*(AB1200+AB1209+AB1210+AB1211)/(AB1199-(AB1200+AB1209+AB1210+AB1211)*(1-AB1562))*AB1199)</f>
        <v>3071.7307605891556</v>
      </c>
      <c r="AC1563" s="143">
        <f t="shared" ca="1" si="4397"/>
        <v>3071.7307605891556</v>
      </c>
    </row>
    <row r="1564" spans="1:31" outlineLevel="1" x14ac:dyDescent="0.2">
      <c r="A1564" s="118" t="str">
        <f ca="1">Language!A$817</f>
        <v>"Запас прочности"</v>
      </c>
      <c r="C1564" s="17" t="s">
        <v>2430</v>
      </c>
      <c r="D1564" s="16" t="s">
        <v>2429</v>
      </c>
      <c r="F1564" s="157" t="str">
        <f t="shared" ref="F1564:T1564" ca="1" si="4398">IF(ISERR((F1199-F1563)/F1199),"-",(F1199-F1563)/F1199)</f>
        <v>-</v>
      </c>
      <c r="G1564" s="157" t="str">
        <f t="shared" ca="1" si="4398"/>
        <v>-</v>
      </c>
      <c r="H1564" s="157" t="str">
        <f t="shared" ca="1" si="4398"/>
        <v>-</v>
      </c>
      <c r="I1564" s="157" t="str">
        <f t="shared" ca="1" si="4398"/>
        <v>-</v>
      </c>
      <c r="J1564" s="157" t="str">
        <f t="shared" ca="1" si="4398"/>
        <v>-</v>
      </c>
      <c r="K1564" s="157">
        <f t="shared" ca="1" si="4398"/>
        <v>-2.1936458327750019</v>
      </c>
      <c r="L1564" s="157">
        <f t="shared" ca="1" si="4398"/>
        <v>5.654223305318621E-2</v>
      </c>
      <c r="M1564" s="157">
        <f t="shared" ca="1" si="4398"/>
        <v>0.3739688214070187</v>
      </c>
      <c r="N1564" s="157">
        <f t="shared" ca="1" si="4398"/>
        <v>0.53102999405962936</v>
      </c>
      <c r="O1564" s="157">
        <f t="shared" ca="1" si="4398"/>
        <v>0.59181946473860991</v>
      </c>
      <c r="P1564" s="157">
        <f t="shared" ca="1" si="4398"/>
        <v>0.59181946473860991</v>
      </c>
      <c r="Q1564" s="157">
        <f t="shared" ca="1" si="4398"/>
        <v>0.59181946473860991</v>
      </c>
      <c r="R1564" s="157">
        <f t="shared" ca="1" si="4398"/>
        <v>0.59181946473860991</v>
      </c>
      <c r="S1564" s="157">
        <f t="shared" ca="1" si="4398"/>
        <v>0.59181946473860991</v>
      </c>
      <c r="T1564" s="157">
        <f t="shared" ca="1" si="4398"/>
        <v>0.59181946473860991</v>
      </c>
      <c r="U1564" s="157">
        <f t="shared" ref="U1564" ca="1" si="4399">IF(ISERR((U1199-U1563)/U1199),"-",(U1199-U1563)/U1199)</f>
        <v>0.59181946473860991</v>
      </c>
      <c r="V1564" s="157">
        <f t="shared" ref="V1564" ca="1" si="4400">IF(ISERR((V1199-V1563)/V1199),"-",(V1199-V1563)/V1199)</f>
        <v>0.59181946473860991</v>
      </c>
      <c r="W1564" s="157">
        <f t="shared" ref="W1564" ca="1" si="4401">IF(ISERR((W1199-W1563)/W1199),"-",(W1199-W1563)/W1199)</f>
        <v>0.59181946473860991</v>
      </c>
      <c r="X1564" s="157">
        <f t="shared" ref="X1564" ca="1" si="4402">IF(ISERR((X1199-X1563)/X1199),"-",(X1199-X1563)/X1199)</f>
        <v>0.59181946473860991</v>
      </c>
      <c r="Y1564" s="157">
        <f t="shared" ref="Y1564" ca="1" si="4403">IF(ISERR((Y1199-Y1563)/Y1199),"-",(Y1199-Y1563)/Y1199)</f>
        <v>0.59181946473860991</v>
      </c>
      <c r="Z1564" s="157">
        <f t="shared" ref="Z1564" ca="1" si="4404">IF(ISERR((Z1199-Z1563)/Z1199),"-",(Z1199-Z1563)/Z1199)</f>
        <v>0.59181946473860991</v>
      </c>
      <c r="AA1564" s="157">
        <f t="shared" ref="AA1564" ca="1" si="4405">IF(ISERR((AA1199-AA1563)/AA1199),"-",(AA1199-AA1563)/AA1199)</f>
        <v>0.59181946473860991</v>
      </c>
      <c r="AB1564" s="157">
        <f t="shared" ref="AB1564:AC1564" ca="1" si="4406">IF(ISERR((AB1199-AB1563)/AB1199),"-",(AB1199-AB1563)/AB1199)</f>
        <v>0.59181946473860991</v>
      </c>
      <c r="AC1564" s="157">
        <f t="shared" ca="1" si="4406"/>
        <v>0.59181946473860991</v>
      </c>
    </row>
    <row r="1565" spans="1:31" outlineLevel="1" x14ac:dyDescent="0.2"/>
    <row r="1566" spans="1:31" outlineLevel="1" x14ac:dyDescent="0.2">
      <c r="A1566" t="str">
        <f ca="1">Language!A$818</f>
        <v>Рентабельность по EBITDA</v>
      </c>
      <c r="C1566" s="17" t="s">
        <v>2430</v>
      </c>
      <c r="D1566" s="16" t="s">
        <v>2429</v>
      </c>
      <c r="F1566" s="61" t="str">
        <f t="shared" ref="F1566:T1566" ca="1" si="4407">IF((F1200+F1209+F1210+F1211+F1212)&gt;0,F1285/(F1200+F1209+F1210+F1211+F1212),"-")</f>
        <v>-</v>
      </c>
      <c r="G1566" s="61" t="str">
        <f t="shared" ca="1" si="4407"/>
        <v>-</v>
      </c>
      <c r="H1566" s="61" t="str">
        <f t="shared" ca="1" si="4407"/>
        <v>-</v>
      </c>
      <c r="I1566" s="61" t="str">
        <f t="shared" ca="1" si="4407"/>
        <v>-</v>
      </c>
      <c r="J1566" s="61">
        <f t="shared" ca="1" si="4407"/>
        <v>0</v>
      </c>
      <c r="K1566" s="61">
        <f t="shared" ca="1" si="4407"/>
        <v>-0.18561414472251095</v>
      </c>
      <c r="L1566" s="61">
        <f t="shared" ca="1" si="4407"/>
        <v>0.12847411309839638</v>
      </c>
      <c r="M1566" s="61">
        <f t="shared" ca="1" si="4407"/>
        <v>0.2134676636496716</v>
      </c>
      <c r="N1566" s="61">
        <f t="shared" ca="1" si="4407"/>
        <v>0.26286559576152846</v>
      </c>
      <c r="O1566" s="61">
        <f t="shared" ca="1" si="4407"/>
        <v>0.28201007711575748</v>
      </c>
      <c r="P1566" s="61">
        <f t="shared" ca="1" si="4407"/>
        <v>0.28201007711575748</v>
      </c>
      <c r="Q1566" s="61">
        <f t="shared" ca="1" si="4407"/>
        <v>0.28201007711575748</v>
      </c>
      <c r="R1566" s="61">
        <f t="shared" ca="1" si="4407"/>
        <v>0.28201007711575748</v>
      </c>
      <c r="S1566" s="61">
        <f t="shared" ca="1" si="4407"/>
        <v>0.28201007711575748</v>
      </c>
      <c r="T1566" s="61">
        <f t="shared" ca="1" si="4407"/>
        <v>0.28201007711575748</v>
      </c>
      <c r="U1566" s="61">
        <f t="shared" ref="U1566" ca="1" si="4408">IF((U1200+U1209+U1210+U1211+U1212)&gt;0,U1285/(U1200+U1209+U1210+U1211+U1212),"-")</f>
        <v>0.28201007711575748</v>
      </c>
      <c r="V1566" s="61">
        <f t="shared" ref="V1566" ca="1" si="4409">IF((V1200+V1209+V1210+V1211+V1212)&gt;0,V1285/(V1200+V1209+V1210+V1211+V1212),"-")</f>
        <v>0.28201007711575748</v>
      </c>
      <c r="W1566" s="61">
        <f t="shared" ref="W1566" ca="1" si="4410">IF((W1200+W1209+W1210+W1211+W1212)&gt;0,W1285/(W1200+W1209+W1210+W1211+W1212),"-")</f>
        <v>0.28201007711575748</v>
      </c>
      <c r="X1566" s="61">
        <f t="shared" ref="X1566" ca="1" si="4411">IF((X1200+X1209+X1210+X1211+X1212)&gt;0,X1285/(X1200+X1209+X1210+X1211+X1212),"-")</f>
        <v>0.28201007711575748</v>
      </c>
      <c r="Y1566" s="61">
        <f t="shared" ref="Y1566" ca="1" si="4412">IF((Y1200+Y1209+Y1210+Y1211+Y1212)&gt;0,Y1285/(Y1200+Y1209+Y1210+Y1211+Y1212),"-")</f>
        <v>0.28201007711575748</v>
      </c>
      <c r="Z1566" s="61">
        <f t="shared" ref="Z1566" ca="1" si="4413">IF((Z1200+Z1209+Z1210+Z1211+Z1212)&gt;0,Z1285/(Z1200+Z1209+Z1210+Z1211+Z1212),"-")</f>
        <v>0.28201007711575748</v>
      </c>
      <c r="AA1566" s="61">
        <f t="shared" ref="AA1566" ca="1" si="4414">IF((AA1200+AA1209+AA1210+AA1211+AA1212)&gt;0,AA1285/(AA1200+AA1209+AA1210+AA1211+AA1212),"-")</f>
        <v>0.28201007711575748</v>
      </c>
      <c r="AB1566" s="61">
        <f t="shared" ref="AB1566:AC1566" ca="1" si="4415">IF((AB1200+AB1209+AB1210+AB1211+AB1212)&gt;0,AB1285/(AB1200+AB1209+AB1210+AB1211+AB1212),"-")</f>
        <v>0.28201007711575748</v>
      </c>
      <c r="AC1566" s="61">
        <f t="shared" ca="1" si="4415"/>
        <v>0.28201007711575748</v>
      </c>
    </row>
    <row r="1567" spans="1:31" outlineLevel="1" x14ac:dyDescent="0.2">
      <c r="A1567" t="str">
        <f ca="1">Language!A$819</f>
        <v>Рентабельность по EBIT</v>
      </c>
      <c r="C1567" s="17" t="s">
        <v>2430</v>
      </c>
      <c r="D1567" s="16" t="s">
        <v>2429</v>
      </c>
      <c r="F1567" s="61" t="str">
        <f t="shared" ref="F1567:T1567" ca="1" si="4416">IF((F1200+F1209+F1210+F1211+F1212)&gt;0,F1286/(F1200+F1209+F1210+F1211+F1212),"-")</f>
        <v>-</v>
      </c>
      <c r="G1567" s="61" t="str">
        <f t="shared" ca="1" si="4416"/>
        <v>-</v>
      </c>
      <c r="H1567" s="61" t="str">
        <f t="shared" ca="1" si="4416"/>
        <v>-</v>
      </c>
      <c r="I1567" s="61" t="str">
        <f t="shared" ca="1" si="4416"/>
        <v>-</v>
      </c>
      <c r="J1567" s="61">
        <f t="shared" ca="1" si="4416"/>
        <v>-1</v>
      </c>
      <c r="K1567" s="61">
        <f t="shared" ca="1" si="4416"/>
        <v>-0.43166259124381284</v>
      </c>
      <c r="L1567" s="61">
        <f t="shared" ca="1" si="4416"/>
        <v>1.3661171860281427E-2</v>
      </c>
      <c r="M1567" s="61">
        <f t="shared" ca="1" si="4416"/>
        <v>0.13344527945523565</v>
      </c>
      <c r="N1567" s="61">
        <f t="shared" ca="1" si="4416"/>
        <v>0.20329737073391294</v>
      </c>
      <c r="O1567" s="61">
        <f t="shared" ca="1" si="4416"/>
        <v>0.2313904912628337</v>
      </c>
      <c r="P1567" s="61">
        <f t="shared" ca="1" si="4416"/>
        <v>0.2313904912628337</v>
      </c>
      <c r="Q1567" s="61">
        <f t="shared" ca="1" si="4416"/>
        <v>0.2313904912628337</v>
      </c>
      <c r="R1567" s="61">
        <f t="shared" ca="1" si="4416"/>
        <v>0.2313904912628337</v>
      </c>
      <c r="S1567" s="61">
        <f t="shared" ca="1" si="4416"/>
        <v>0.2313904912628337</v>
      </c>
      <c r="T1567" s="61">
        <f t="shared" ca="1" si="4416"/>
        <v>0.2313904912628337</v>
      </c>
      <c r="U1567" s="61">
        <f t="shared" ref="U1567" ca="1" si="4417">IF((U1200+U1209+U1210+U1211+U1212)&gt;0,U1286/(U1200+U1209+U1210+U1211+U1212),"-")</f>
        <v>0.2313904912628337</v>
      </c>
      <c r="V1567" s="61">
        <f t="shared" ref="V1567" ca="1" si="4418">IF((V1200+V1209+V1210+V1211+V1212)&gt;0,V1286/(V1200+V1209+V1210+V1211+V1212),"-")</f>
        <v>0.2313904912628337</v>
      </c>
      <c r="W1567" s="61">
        <f t="shared" ref="W1567" ca="1" si="4419">IF((W1200+W1209+W1210+W1211+W1212)&gt;0,W1286/(W1200+W1209+W1210+W1211+W1212),"-")</f>
        <v>0.2313904912628337</v>
      </c>
      <c r="X1567" s="61">
        <f t="shared" ref="X1567" ca="1" si="4420">IF((X1200+X1209+X1210+X1211+X1212)&gt;0,X1286/(X1200+X1209+X1210+X1211+X1212),"-")</f>
        <v>0.2313904912628337</v>
      </c>
      <c r="Y1567" s="61">
        <f t="shared" ref="Y1567" ca="1" si="4421">IF((Y1200+Y1209+Y1210+Y1211+Y1212)&gt;0,Y1286/(Y1200+Y1209+Y1210+Y1211+Y1212),"-")</f>
        <v>0.2313904912628337</v>
      </c>
      <c r="Z1567" s="61">
        <f t="shared" ref="Z1567" ca="1" si="4422">IF((Z1200+Z1209+Z1210+Z1211+Z1212)&gt;0,Z1286/(Z1200+Z1209+Z1210+Z1211+Z1212),"-")</f>
        <v>0.2313904912628337</v>
      </c>
      <c r="AA1567" s="61">
        <f t="shared" ref="AA1567" ca="1" si="4423">IF((AA1200+AA1209+AA1210+AA1211+AA1212)&gt;0,AA1286/(AA1200+AA1209+AA1210+AA1211+AA1212),"-")</f>
        <v>0.2313904912628337</v>
      </c>
      <c r="AB1567" s="61">
        <f t="shared" ref="AB1567:AC1567" ca="1" si="4424">IF((AB1200+AB1209+AB1210+AB1211+AB1212)&gt;0,AB1286/(AB1200+AB1209+AB1210+AB1211+AB1212),"-")</f>
        <v>0.2313904912628337</v>
      </c>
      <c r="AC1567" s="61">
        <f t="shared" ca="1" si="4424"/>
        <v>0.2313904912628337</v>
      </c>
    </row>
    <row r="1568" spans="1:31" outlineLevel="1" x14ac:dyDescent="0.2">
      <c r="A1568" t="str">
        <f ca="1">Language!A$820</f>
        <v xml:space="preserve">Рентабельность по чистой прибыли </v>
      </c>
      <c r="C1568" s="17" t="s">
        <v>2430</v>
      </c>
      <c r="D1568" s="16" t="s">
        <v>2429</v>
      </c>
      <c r="F1568" s="61" t="str">
        <f t="shared" ref="F1568:T1568" ca="1" si="4425">IF((F1200+F1209+F1210+F1211+F1212)&gt;0,F1222/(F1200+F1209+F1210+F1211+F1212),"-")</f>
        <v>-</v>
      </c>
      <c r="G1568" s="61" t="str">
        <f t="shared" ca="1" si="4425"/>
        <v>-</v>
      </c>
      <c r="H1568" s="61" t="str">
        <f t="shared" ca="1" si="4425"/>
        <v>-</v>
      </c>
      <c r="I1568" s="61" t="str">
        <f t="shared" ca="1" si="4425"/>
        <v>-</v>
      </c>
      <c r="J1568" s="61">
        <f t="shared" ca="1" si="4425"/>
        <v>-1</v>
      </c>
      <c r="K1568" s="61">
        <f t="shared" ca="1" si="4425"/>
        <v>-0.43166259124381284</v>
      </c>
      <c r="L1568" s="61">
        <f t="shared" ca="1" si="4425"/>
        <v>1.3661171860281433E-2</v>
      </c>
      <c r="M1568" s="61">
        <f t="shared" ca="1" si="4425"/>
        <v>0.13344527945523565</v>
      </c>
      <c r="N1568" s="61">
        <f t="shared" ca="1" si="4425"/>
        <v>0.17562433513406922</v>
      </c>
      <c r="O1568" s="61">
        <f t="shared" ca="1" si="4425"/>
        <v>0.18742629792289531</v>
      </c>
      <c r="P1568" s="61">
        <f t="shared" ca="1" si="4425"/>
        <v>0.18742629792289531</v>
      </c>
      <c r="Q1568" s="61">
        <f t="shared" ca="1" si="4425"/>
        <v>0.18742629792289531</v>
      </c>
      <c r="R1568" s="61">
        <f t="shared" ca="1" si="4425"/>
        <v>0.18742629792289531</v>
      </c>
      <c r="S1568" s="61">
        <f t="shared" ca="1" si="4425"/>
        <v>0.18742629792289531</v>
      </c>
      <c r="T1568" s="61">
        <f t="shared" ca="1" si="4425"/>
        <v>0.18742629792289531</v>
      </c>
      <c r="U1568" s="61">
        <f t="shared" ref="U1568" ca="1" si="4426">IF((U1200+U1209+U1210+U1211+U1212)&gt;0,U1222/(U1200+U1209+U1210+U1211+U1212),"-")</f>
        <v>0.18742629792289531</v>
      </c>
      <c r="V1568" s="61">
        <f t="shared" ref="V1568" ca="1" si="4427">IF((V1200+V1209+V1210+V1211+V1212)&gt;0,V1222/(V1200+V1209+V1210+V1211+V1212),"-")</f>
        <v>0.18742629792289531</v>
      </c>
      <c r="W1568" s="61">
        <f t="shared" ref="W1568" ca="1" si="4428">IF((W1200+W1209+W1210+W1211+W1212)&gt;0,W1222/(W1200+W1209+W1210+W1211+W1212),"-")</f>
        <v>0.18742629792289531</v>
      </c>
      <c r="X1568" s="61">
        <f t="shared" ref="X1568" ca="1" si="4429">IF((X1200+X1209+X1210+X1211+X1212)&gt;0,X1222/(X1200+X1209+X1210+X1211+X1212),"-")</f>
        <v>0.18742629792289531</v>
      </c>
      <c r="Y1568" s="61">
        <f t="shared" ref="Y1568" ca="1" si="4430">IF((Y1200+Y1209+Y1210+Y1211+Y1212)&gt;0,Y1222/(Y1200+Y1209+Y1210+Y1211+Y1212),"-")</f>
        <v>0.18742629792289531</v>
      </c>
      <c r="Z1568" s="61">
        <f t="shared" ref="Z1568" ca="1" si="4431">IF((Z1200+Z1209+Z1210+Z1211+Z1212)&gt;0,Z1222/(Z1200+Z1209+Z1210+Z1211+Z1212),"-")</f>
        <v>0.18742629792289531</v>
      </c>
      <c r="AA1568" s="61">
        <f t="shared" ref="AA1568" ca="1" si="4432">IF((AA1200+AA1209+AA1210+AA1211+AA1212)&gt;0,AA1222/(AA1200+AA1209+AA1210+AA1211+AA1212),"-")</f>
        <v>0.18742629792289531</v>
      </c>
      <c r="AB1568" s="61">
        <f t="shared" ref="AB1568:AC1568" ca="1" si="4433">IF((AB1200+AB1209+AB1210+AB1211+AB1212)&gt;0,AB1222/(AB1200+AB1209+AB1210+AB1211+AB1212),"-")</f>
        <v>0.18742629792289531</v>
      </c>
      <c r="AC1568" s="61">
        <f t="shared" ca="1" si="4433"/>
        <v>0.18742629792289531</v>
      </c>
    </row>
    <row r="1569" spans="1:30" outlineLevel="1" x14ac:dyDescent="0.2"/>
    <row r="1570" spans="1:30" outlineLevel="1" x14ac:dyDescent="0.2">
      <c r="A1570" t="str">
        <f ca="1">Language!A$821</f>
        <v>Эффективная ставка налога на прибыль</v>
      </c>
      <c r="B1570" s="155"/>
      <c r="C1570" s="5" t="s">
        <v>2430</v>
      </c>
      <c r="D1570" s="16" t="s">
        <v>2429</v>
      </c>
      <c r="F1570" s="162">
        <f t="shared" ref="F1570:T1570" ca="1" si="4434">IF(F1220&gt;0,F1221/F1220,0)</f>
        <v>0</v>
      </c>
      <c r="G1570" s="162">
        <f t="shared" ca="1" si="4434"/>
        <v>0</v>
      </c>
      <c r="H1570" s="162">
        <f t="shared" ca="1" si="4434"/>
        <v>0</v>
      </c>
      <c r="I1570" s="162">
        <f t="shared" ca="1" si="4434"/>
        <v>0</v>
      </c>
      <c r="J1570" s="162">
        <f t="shared" ca="1" si="4434"/>
        <v>0</v>
      </c>
      <c r="K1570" s="162">
        <f t="shared" ca="1" si="4434"/>
        <v>0</v>
      </c>
      <c r="L1570" s="162">
        <f t="shared" ca="1" si="4434"/>
        <v>0</v>
      </c>
      <c r="M1570" s="162">
        <f t="shared" ca="1" si="4434"/>
        <v>0</v>
      </c>
      <c r="N1570" s="162">
        <f t="shared" ca="1" si="4434"/>
        <v>0.13612097146137597</v>
      </c>
      <c r="O1570" s="162">
        <f t="shared" ca="1" si="4434"/>
        <v>0.19</v>
      </c>
      <c r="P1570" s="162">
        <f t="shared" ca="1" si="4434"/>
        <v>0.19</v>
      </c>
      <c r="Q1570" s="162">
        <f t="shared" ca="1" si="4434"/>
        <v>0.19</v>
      </c>
      <c r="R1570" s="162">
        <f t="shared" ca="1" si="4434"/>
        <v>0.19</v>
      </c>
      <c r="S1570" s="162">
        <f t="shared" ca="1" si="4434"/>
        <v>0.19</v>
      </c>
      <c r="T1570" s="162">
        <f t="shared" ca="1" si="4434"/>
        <v>0.19</v>
      </c>
      <c r="U1570" s="162">
        <f t="shared" ref="U1570" ca="1" si="4435">IF(U1220&gt;0,U1221/U1220,0)</f>
        <v>0.19</v>
      </c>
      <c r="V1570" s="162">
        <f t="shared" ref="V1570" ca="1" si="4436">IF(V1220&gt;0,V1221/V1220,0)</f>
        <v>0.19</v>
      </c>
      <c r="W1570" s="162">
        <f t="shared" ref="W1570" ca="1" si="4437">IF(W1220&gt;0,W1221/W1220,0)</f>
        <v>0.19</v>
      </c>
      <c r="X1570" s="162">
        <f t="shared" ref="X1570" ca="1" si="4438">IF(X1220&gt;0,X1221/X1220,0)</f>
        <v>0.19</v>
      </c>
      <c r="Y1570" s="162">
        <f t="shared" ref="Y1570" ca="1" si="4439">IF(Y1220&gt;0,Y1221/Y1220,0)</f>
        <v>0.19</v>
      </c>
      <c r="Z1570" s="162">
        <f t="shared" ref="Z1570" ca="1" si="4440">IF(Z1220&gt;0,Z1221/Z1220,0)</f>
        <v>0.19</v>
      </c>
      <c r="AA1570" s="162">
        <f t="shared" ref="AA1570" ca="1" si="4441">IF(AA1220&gt;0,AA1221/AA1220,0)</f>
        <v>0.19</v>
      </c>
      <c r="AB1570" s="162">
        <f t="shared" ref="AB1570:AC1570" ca="1" si="4442">IF(AB1220&gt;0,AB1221/AB1220,0)</f>
        <v>0.19</v>
      </c>
      <c r="AC1570" s="162">
        <f t="shared" ca="1" si="4442"/>
        <v>0.19</v>
      </c>
    </row>
    <row r="1571" spans="1:30" outlineLevel="1" x14ac:dyDescent="0.2"/>
    <row r="1572" spans="1:30" outlineLevel="1" x14ac:dyDescent="0.2">
      <c r="A1572" t="str">
        <f ca="1">Language!A$822</f>
        <v>Коэффициент общей ликвидности</v>
      </c>
      <c r="C1572" s="5" t="str">
        <f ca="1">Language!A$198</f>
        <v>разы</v>
      </c>
      <c r="D1572" s="16" t="s">
        <v>2429</v>
      </c>
      <c r="F1572" s="163" t="str">
        <f t="shared" ref="F1572:T1572" ca="1" si="4443">IF(F1491&gt;0,F1470/F1491,"-")</f>
        <v>-</v>
      </c>
      <c r="G1572" s="163" t="str">
        <f t="shared" ca="1" si="4443"/>
        <v>-</v>
      </c>
      <c r="H1572" s="163" t="str">
        <f t="shared" ca="1" si="4443"/>
        <v>-</v>
      </c>
      <c r="I1572" s="163" t="str">
        <f t="shared" ca="1" si="4443"/>
        <v>-</v>
      </c>
      <c r="J1572" s="163">
        <f t="shared" ca="1" si="4443"/>
        <v>1.3173036284850805</v>
      </c>
      <c r="K1572" s="163">
        <f t="shared" ca="1" si="4443"/>
        <v>35.584919303232248</v>
      </c>
      <c r="L1572" s="163">
        <f t="shared" ca="1" si="4443"/>
        <v>39.089876429664045</v>
      </c>
      <c r="M1572" s="163">
        <f t="shared" ca="1" si="4443"/>
        <v>47.445493617067534</v>
      </c>
      <c r="N1572" s="163">
        <f t="shared" ca="1" si="4443"/>
        <v>40.603316245836851</v>
      </c>
      <c r="O1572" s="163">
        <f t="shared" ca="1" si="4443"/>
        <v>39.568289402230988</v>
      </c>
      <c r="P1572" s="163">
        <f t="shared" ca="1" si="4443"/>
        <v>47.293176995434536</v>
      </c>
      <c r="Q1572" s="163">
        <f t="shared" ca="1" si="4443"/>
        <v>55.018064588637806</v>
      </c>
      <c r="R1572" s="163">
        <f t="shared" ca="1" si="4443"/>
        <v>62.742952181841083</v>
      </c>
      <c r="S1572" s="163">
        <f t="shared" ca="1" si="4443"/>
        <v>70.467839775044339</v>
      </c>
      <c r="T1572" s="163">
        <f t="shared" ca="1" si="4443"/>
        <v>78.192727368247617</v>
      </c>
      <c r="U1572" s="163">
        <f t="shared" ref="U1572" ca="1" si="4444">IF(U1491&gt;0,U1470/U1491,"-")</f>
        <v>85.917614961450866</v>
      </c>
      <c r="V1572" s="163">
        <f t="shared" ref="V1572" ca="1" si="4445">IF(V1491&gt;0,V1470/V1491,"-")</f>
        <v>93.642502554654143</v>
      </c>
      <c r="W1572" s="163">
        <f t="shared" ref="W1572" ca="1" si="4446">IF(W1491&gt;0,W1470/W1491,"-")</f>
        <v>101.36739014785741</v>
      </c>
      <c r="X1572" s="163">
        <f t="shared" ref="X1572" ca="1" si="4447">IF(X1491&gt;0,X1470/X1491,"-")</f>
        <v>109.09227774106068</v>
      </c>
      <c r="Y1572" s="163">
        <f t="shared" ref="Y1572" ca="1" si="4448">IF(Y1491&gt;0,Y1470/Y1491,"-")</f>
        <v>116.81716533426396</v>
      </c>
      <c r="Z1572" s="163">
        <f t="shared" ref="Z1572" ca="1" si="4449">IF(Z1491&gt;0,Z1470/Z1491,"-")</f>
        <v>124.54205292746724</v>
      </c>
      <c r="AA1572" s="163">
        <f t="shared" ref="AA1572" ca="1" si="4450">IF(AA1491&gt;0,AA1470/AA1491,"-")</f>
        <v>132.26694052067052</v>
      </c>
      <c r="AB1572" s="163">
        <f t="shared" ref="AB1572:AC1572" ca="1" si="4451">IF(AB1491&gt;0,AB1470/AB1491,"-")</f>
        <v>139.99182811387379</v>
      </c>
      <c r="AC1572" s="163">
        <f t="shared" ca="1" si="4451"/>
        <v>147.71671570707707</v>
      </c>
    </row>
    <row r="1573" spans="1:30" outlineLevel="1" x14ac:dyDescent="0.2">
      <c r="A1573" t="str">
        <f ca="1">Language!A$823</f>
        <v>Чистый оборотный капитал</v>
      </c>
      <c r="C1573" s="5" t="str">
        <f ca="1">CUR_Report</f>
        <v>тыс. EUR</v>
      </c>
      <c r="D1573" s="16" t="s">
        <v>2429</v>
      </c>
      <c r="F1573" s="130">
        <f t="shared" ref="F1573:T1573" ca="1" si="4452">F1470-F1491</f>
        <v>0</v>
      </c>
      <c r="G1573" s="130">
        <f t="shared" ca="1" si="4452"/>
        <v>0</v>
      </c>
      <c r="H1573" s="130">
        <f t="shared" ca="1" si="4452"/>
        <v>1027.5924207268845</v>
      </c>
      <c r="I1573" s="130">
        <f t="shared" ca="1" si="4452"/>
        <v>1311.7377865805431</v>
      </c>
      <c r="J1573" s="130">
        <f t="shared" ca="1" si="4452"/>
        <v>666.56558903066707</v>
      </c>
      <c r="K1573" s="130">
        <f t="shared" ca="1" si="4452"/>
        <v>3415.7217901254917</v>
      </c>
      <c r="L1573" s="130">
        <f t="shared" ca="1" si="4452"/>
        <v>3761.8830266240211</v>
      </c>
      <c r="M1573" s="130">
        <f t="shared" ca="1" si="4452"/>
        <v>4587.1116023140567</v>
      </c>
      <c r="N1573" s="130">
        <f t="shared" ca="1" si="4452"/>
        <v>5808.5246866000898</v>
      </c>
      <c r="O1573" s="130">
        <f t="shared" ca="1" si="4452"/>
        <v>7263.2993759859492</v>
      </c>
      <c r="P1573" s="130">
        <f t="shared" ca="1" si="4452"/>
        <v>8718.0740653718076</v>
      </c>
      <c r="Q1573" s="130">
        <f t="shared" ca="1" si="4452"/>
        <v>10172.848754757666</v>
      </c>
      <c r="R1573" s="130">
        <f t="shared" ca="1" si="4452"/>
        <v>11627.623444143526</v>
      </c>
      <c r="S1573" s="130">
        <f t="shared" ca="1" si="4452"/>
        <v>13082.398133529383</v>
      </c>
      <c r="T1573" s="130">
        <f t="shared" ca="1" si="4452"/>
        <v>14537.172822915243</v>
      </c>
      <c r="U1573" s="130">
        <f t="shared" ref="U1573" ca="1" si="4453">U1470-U1491</f>
        <v>15991.9475123011</v>
      </c>
      <c r="V1573" s="130">
        <f t="shared" ref="V1573" ca="1" si="4454">V1470-V1491</f>
        <v>17446.72220168696</v>
      </c>
      <c r="W1573" s="130">
        <f t="shared" ref="W1573" ca="1" si="4455">W1470-W1491</f>
        <v>18901.496891072817</v>
      </c>
      <c r="X1573" s="130">
        <f t="shared" ref="X1573" ca="1" si="4456">X1470-X1491</f>
        <v>20356.271580458677</v>
      </c>
      <c r="Y1573" s="130">
        <f t="shared" ref="Y1573" ca="1" si="4457">Y1470-Y1491</f>
        <v>21811.046269844537</v>
      </c>
      <c r="Z1573" s="130">
        <f t="shared" ref="Z1573" ca="1" si="4458">Z1470-Z1491</f>
        <v>23265.820959230397</v>
      </c>
      <c r="AA1573" s="130">
        <f t="shared" ref="AA1573" ca="1" si="4459">AA1470-AA1491</f>
        <v>24720.595648616258</v>
      </c>
      <c r="AB1573" s="130">
        <f t="shared" ref="AB1573:AC1573" ca="1" si="4460">AB1470-AB1491</f>
        <v>26175.370338002118</v>
      </c>
      <c r="AC1573" s="130">
        <f t="shared" ca="1" si="4460"/>
        <v>27630.145027387978</v>
      </c>
    </row>
    <row r="1574" spans="1:30" outlineLevel="1" x14ac:dyDescent="0.2"/>
    <row r="1575" spans="1:30" outlineLevel="1" x14ac:dyDescent="0.2">
      <c r="A1575" t="str">
        <f ca="1">Language!A$824</f>
        <v>Коэффициент общей платежеспособности</v>
      </c>
      <c r="C1575" s="5" t="str">
        <f ca="1">Language!A$198</f>
        <v>разы</v>
      </c>
      <c r="D1575" s="16" t="s">
        <v>2429</v>
      </c>
      <c r="F1575" s="163" t="str">
        <f t="shared" ref="F1575:T1575" ca="1" si="4461">IF(F1500&gt;0,F1498/F1500,"-")</f>
        <v>-</v>
      </c>
      <c r="G1575" s="163" t="str">
        <f t="shared" ca="1" si="4461"/>
        <v>-</v>
      </c>
      <c r="H1575" s="163">
        <f t="shared" ca="1" si="4461"/>
        <v>1</v>
      </c>
      <c r="I1575" s="163">
        <f t="shared" ca="1" si="4461"/>
        <v>1</v>
      </c>
      <c r="J1575" s="163">
        <f t="shared" ca="1" si="4461"/>
        <v>0.86896062887564784</v>
      </c>
      <c r="K1575" s="163">
        <f t="shared" ca="1" si="4461"/>
        <v>0.99400309463973535</v>
      </c>
      <c r="L1575" s="163">
        <f t="shared" ca="1" si="4461"/>
        <v>0.99401646797865895</v>
      </c>
      <c r="M1575" s="163">
        <f t="shared" ca="1" si="4461"/>
        <v>0.99419781031040755</v>
      </c>
      <c r="N1575" s="163">
        <f t="shared" ca="1" si="4461"/>
        <v>0.99184350519309339</v>
      </c>
      <c r="O1575" s="163">
        <f t="shared" ca="1" si="4461"/>
        <v>0.99017552904640838</v>
      </c>
      <c r="P1575" s="163">
        <f t="shared" ca="1" si="4461"/>
        <v>0.99072948478226663</v>
      </c>
      <c r="Q1575" s="163">
        <f t="shared" ca="1" si="4461"/>
        <v>0.99122430497350489</v>
      </c>
      <c r="R1575" s="163">
        <f t="shared" ca="1" si="4461"/>
        <v>0.99166897900766748</v>
      </c>
      <c r="S1575" s="163">
        <f t="shared" ca="1" si="4461"/>
        <v>0.99207076213467493</v>
      </c>
      <c r="T1575" s="163">
        <f t="shared" ca="1" si="4461"/>
        <v>0.99243557439208729</v>
      </c>
      <c r="U1575" s="163">
        <f t="shared" ref="U1575" ca="1" si="4462">IF(U1500&gt;0,U1498/U1500,"-")</f>
        <v>0.99276829425044522</v>
      </c>
      <c r="V1575" s="163">
        <f t="shared" ref="V1575" ca="1" si="4463">IF(V1500&gt;0,V1498/V1500,"-")</f>
        <v>0.99307297802801453</v>
      </c>
      <c r="W1575" s="163">
        <f t="shared" ref="W1575" ca="1" si="4464">IF(W1500&gt;0,W1498/W1500,"-")</f>
        <v>0.99335302608207732</v>
      </c>
      <c r="X1575" s="163">
        <f t="shared" ref="X1575" ca="1" si="4465">IF(X1500&gt;0,X1498/X1500,"-")</f>
        <v>0.99361131025364668</v>
      </c>
      <c r="Y1575" s="163">
        <f t="shared" ref="Y1575" ca="1" si="4466">IF(Y1500&gt;0,Y1498/Y1500,"-")</f>
        <v>0.99385027271054038</v>
      </c>
      <c r="Z1575" s="163">
        <f t="shared" ref="Z1575" ca="1" si="4467">IF(Z1500&gt;0,Z1498/Z1500,"-")</f>
        <v>0.99407200340751267</v>
      </c>
      <c r="AA1575" s="163">
        <f t="shared" ref="AA1575" ca="1" si="4468">IF(AA1500&gt;0,AA1498/AA1500,"-")</f>
        <v>0.99427830137242135</v>
      </c>
      <c r="AB1575" s="163">
        <f t="shared" ref="AB1575:AC1575" ca="1" si="4469">IF(AB1500&gt;0,AB1498/AB1500,"-")</f>
        <v>0.994470723625974</v>
      </c>
      <c r="AC1575" s="163">
        <f t="shared" ca="1" si="4469"/>
        <v>0.99465062455153674</v>
      </c>
    </row>
    <row r="1576" spans="1:30" outlineLevel="1" x14ac:dyDescent="0.2">
      <c r="A1576" t="str">
        <f ca="1">Language!A$825</f>
        <v>Коэффициент автономии</v>
      </c>
      <c r="C1576" s="5" t="str">
        <f ca="1">Language!A$198</f>
        <v>разы</v>
      </c>
      <c r="D1576" s="16" t="s">
        <v>2429</v>
      </c>
      <c r="F1576" s="163" t="str">
        <f t="shared" ref="F1576:T1576" ca="1" si="4470">IF((F1491+F1493)&gt;0,F1498/(F1491+F1493),"-")</f>
        <v>-</v>
      </c>
      <c r="G1576" s="163" t="str">
        <f t="shared" ca="1" si="4470"/>
        <v>-</v>
      </c>
      <c r="H1576" s="163" t="str">
        <f t="shared" ca="1" si="4470"/>
        <v>-</v>
      </c>
      <c r="I1576" s="163" t="str">
        <f t="shared" ca="1" si="4470"/>
        <v>-</v>
      </c>
      <c r="J1576" s="163">
        <f t="shared" ca="1" si="4470"/>
        <v>6.6312942546941258</v>
      </c>
      <c r="K1576" s="163">
        <f t="shared" ca="1" si="4470"/>
        <v>165.75267324143297</v>
      </c>
      <c r="L1576" s="163">
        <f t="shared" ca="1" si="4470"/>
        <v>166.12536950305599</v>
      </c>
      <c r="M1576" s="163">
        <f t="shared" ca="1" si="4470"/>
        <v>171.34872582565066</v>
      </c>
      <c r="N1576" s="163">
        <f t="shared" ca="1" si="4470"/>
        <v>121.60168413927397</v>
      </c>
      <c r="O1576" s="163">
        <f t="shared" ca="1" si="4470"/>
        <v>100.78665138547915</v>
      </c>
      <c r="P1576" s="163">
        <f t="shared" ca="1" si="4470"/>
        <v>106.86886990780523</v>
      </c>
      <c r="Q1576" s="163">
        <f t="shared" ca="1" si="4470"/>
        <v>112.9510884301306</v>
      </c>
      <c r="R1576" s="163">
        <f t="shared" ca="1" si="4470"/>
        <v>119.03330695245593</v>
      </c>
      <c r="S1576" s="163">
        <f t="shared" ca="1" si="4470"/>
        <v>125.11552547478128</v>
      </c>
      <c r="T1576" s="163">
        <f t="shared" ca="1" si="4470"/>
        <v>131.19774399710664</v>
      </c>
      <c r="U1576" s="163">
        <f t="shared" ref="U1576" ca="1" si="4471">IF((U1491+U1493)&gt;0,U1498/(U1491+U1493),"-")</f>
        <v>137.27996251943199</v>
      </c>
      <c r="V1576" s="163">
        <f t="shared" ref="V1576" ca="1" si="4472">IF((V1491+V1493)&gt;0,V1498/(V1491+V1493),"-")</f>
        <v>143.36218104175734</v>
      </c>
      <c r="W1576" s="163">
        <f t="shared" ref="W1576" ca="1" si="4473">IF((W1491+W1493)&gt;0,W1498/(W1491+W1493),"-")</f>
        <v>149.44439956408266</v>
      </c>
      <c r="X1576" s="163">
        <f t="shared" ref="X1576" ca="1" si="4474">IF((X1491+X1493)&gt;0,X1498/(X1491+X1493),"-")</f>
        <v>155.52661808640804</v>
      </c>
      <c r="Y1576" s="163">
        <f t="shared" ref="Y1576" ca="1" si="4475">IF((Y1491+Y1493)&gt;0,Y1498/(Y1491+Y1493),"-")</f>
        <v>161.60883660873338</v>
      </c>
      <c r="Z1576" s="163">
        <f t="shared" ref="Z1576" ca="1" si="4476">IF((Z1491+Z1493)&gt;0,Z1498/(Z1491+Z1493),"-")</f>
        <v>167.69105513105873</v>
      </c>
      <c r="AA1576" s="163">
        <f t="shared" ref="AA1576" ca="1" si="4477">IF((AA1491+AA1493)&gt;0,AA1498/(AA1491+AA1493),"-")</f>
        <v>173.77327365338405</v>
      </c>
      <c r="AB1576" s="163">
        <f t="shared" ref="AB1576:AC1576" ca="1" si="4478">IF((AB1491+AB1493)&gt;0,AB1498/(AB1491+AB1493),"-")</f>
        <v>179.85549217570943</v>
      </c>
      <c r="AC1576" s="163">
        <f t="shared" ca="1" si="4478"/>
        <v>185.93771069803478</v>
      </c>
    </row>
    <row r="1577" spans="1:30" outlineLevel="1" x14ac:dyDescent="0.2">
      <c r="A1577" t="str">
        <f ca="1">Language!A$826</f>
        <v>Доля долгосрочных кредитов в валюте баланса</v>
      </c>
      <c r="C1577" s="5" t="s">
        <v>2430</v>
      </c>
      <c r="D1577" s="16" t="s">
        <v>2429</v>
      </c>
      <c r="F1577" s="61" t="str">
        <f t="shared" ref="F1577:T1577" ca="1" si="4479">IF(F1500&gt;0,F1493/F1500,"-")</f>
        <v>-</v>
      </c>
      <c r="G1577" s="61" t="str">
        <f t="shared" ca="1" si="4479"/>
        <v>-</v>
      </c>
      <c r="H1577" s="61">
        <f t="shared" ca="1" si="4479"/>
        <v>0</v>
      </c>
      <c r="I1577" s="61">
        <f t="shared" ca="1" si="4479"/>
        <v>0</v>
      </c>
      <c r="J1577" s="61">
        <f t="shared" ca="1" si="4479"/>
        <v>0</v>
      </c>
      <c r="K1577" s="61">
        <f t="shared" ca="1" si="4479"/>
        <v>0</v>
      </c>
      <c r="L1577" s="61">
        <f t="shared" ca="1" si="4479"/>
        <v>0</v>
      </c>
      <c r="M1577" s="61">
        <f t="shared" ca="1" si="4479"/>
        <v>0</v>
      </c>
      <c r="N1577" s="61">
        <f t="shared" ca="1" si="4479"/>
        <v>0</v>
      </c>
      <c r="O1577" s="61">
        <f t="shared" ca="1" si="4479"/>
        <v>0</v>
      </c>
      <c r="P1577" s="61">
        <f t="shared" ca="1" si="4479"/>
        <v>0</v>
      </c>
      <c r="Q1577" s="61">
        <f t="shared" ca="1" si="4479"/>
        <v>0</v>
      </c>
      <c r="R1577" s="61">
        <f t="shared" ca="1" si="4479"/>
        <v>0</v>
      </c>
      <c r="S1577" s="61">
        <f t="shared" ca="1" si="4479"/>
        <v>0</v>
      </c>
      <c r="T1577" s="61">
        <f t="shared" ca="1" si="4479"/>
        <v>0</v>
      </c>
      <c r="U1577" s="61">
        <f t="shared" ref="U1577" ca="1" si="4480">IF(U1500&gt;0,U1493/U1500,"-")</f>
        <v>0</v>
      </c>
      <c r="V1577" s="61">
        <f t="shared" ref="V1577" ca="1" si="4481">IF(V1500&gt;0,V1493/V1500,"-")</f>
        <v>0</v>
      </c>
      <c r="W1577" s="61">
        <f t="shared" ref="W1577" ca="1" si="4482">IF(W1500&gt;0,W1493/W1500,"-")</f>
        <v>0</v>
      </c>
      <c r="X1577" s="61">
        <f t="shared" ref="X1577" ca="1" si="4483">IF(X1500&gt;0,X1493/X1500,"-")</f>
        <v>0</v>
      </c>
      <c r="Y1577" s="61">
        <f t="shared" ref="Y1577" ca="1" si="4484">IF(Y1500&gt;0,Y1493/Y1500,"-")</f>
        <v>0</v>
      </c>
      <c r="Z1577" s="61">
        <f t="shared" ref="Z1577" ca="1" si="4485">IF(Z1500&gt;0,Z1493/Z1500,"-")</f>
        <v>0</v>
      </c>
      <c r="AA1577" s="61">
        <f t="shared" ref="AA1577" ca="1" si="4486">IF(AA1500&gt;0,AA1493/AA1500,"-")</f>
        <v>0</v>
      </c>
      <c r="AB1577" s="61">
        <f t="shared" ref="AB1577:AC1577" ca="1" si="4487">IF(AB1500&gt;0,AB1493/AB1500,"-")</f>
        <v>0</v>
      </c>
      <c r="AC1577" s="61">
        <f t="shared" ca="1" si="4487"/>
        <v>0</v>
      </c>
    </row>
    <row r="1578" spans="1:30" outlineLevel="1" x14ac:dyDescent="0.2">
      <c r="A1578" s="324" t="str">
        <f ca="1">Language!A$827</f>
        <v>Общий коэффициент покрытия долга</v>
      </c>
      <c r="B1578" s="324"/>
      <c r="C1578" s="325" t="str">
        <f ca="1">Language!A$198</f>
        <v>разы</v>
      </c>
      <c r="D1578" s="326" t="s">
        <v>2429</v>
      </c>
      <c r="E1578" s="324"/>
      <c r="F1578" s="327" t="str">
        <f t="shared" ref="F1578:T1578" si="4488">IF((-F1348-F1327)&gt;0,(F1354-F1348-F1327)/(-F1348-F1327),"-")</f>
        <v>-</v>
      </c>
      <c r="G1578" s="327" t="str">
        <f t="shared" si="4488"/>
        <v>-</v>
      </c>
      <c r="H1578" s="327" t="str">
        <f t="shared" si="4488"/>
        <v>-</v>
      </c>
      <c r="I1578" s="327" t="str">
        <f t="shared" si="4488"/>
        <v>-</v>
      </c>
      <c r="J1578" s="327" t="str">
        <f t="shared" si="4488"/>
        <v>-</v>
      </c>
      <c r="K1578" s="327" t="str">
        <f t="shared" si="4488"/>
        <v>-</v>
      </c>
      <c r="L1578" s="327" t="str">
        <f t="shared" si="4488"/>
        <v>-</v>
      </c>
      <c r="M1578" s="327" t="str">
        <f t="shared" si="4488"/>
        <v>-</v>
      </c>
      <c r="N1578" s="327" t="str">
        <f t="shared" si="4488"/>
        <v>-</v>
      </c>
      <c r="O1578" s="327" t="str">
        <f t="shared" si="4488"/>
        <v>-</v>
      </c>
      <c r="P1578" s="327" t="str">
        <f t="shared" si="4488"/>
        <v>-</v>
      </c>
      <c r="Q1578" s="327" t="str">
        <f t="shared" si="4488"/>
        <v>-</v>
      </c>
      <c r="R1578" s="327" t="str">
        <f t="shared" si="4488"/>
        <v>-</v>
      </c>
      <c r="S1578" s="327" t="str">
        <f t="shared" si="4488"/>
        <v>-</v>
      </c>
      <c r="T1578" s="327" t="str">
        <f t="shared" si="4488"/>
        <v>-</v>
      </c>
      <c r="U1578" s="327" t="str">
        <f t="shared" ref="U1578" si="4489">IF((-U1348-U1327)&gt;0,(U1354-U1348-U1327)/(-U1348-U1327),"-")</f>
        <v>-</v>
      </c>
      <c r="V1578" s="327" t="str">
        <f t="shared" ref="V1578" si="4490">IF((-V1348-V1327)&gt;0,(V1354-V1348-V1327)/(-V1348-V1327),"-")</f>
        <v>-</v>
      </c>
      <c r="W1578" s="327" t="str">
        <f t="shared" ref="W1578" si="4491">IF((-W1348-W1327)&gt;0,(W1354-W1348-W1327)/(-W1348-W1327),"-")</f>
        <v>-</v>
      </c>
      <c r="X1578" s="327" t="str">
        <f t="shared" ref="X1578" si="4492">IF((-X1348-X1327)&gt;0,(X1354-X1348-X1327)/(-X1348-X1327),"-")</f>
        <v>-</v>
      </c>
      <c r="Y1578" s="327" t="str">
        <f t="shared" ref="Y1578" si="4493">IF((-Y1348-Y1327)&gt;0,(Y1354-Y1348-Y1327)/(-Y1348-Y1327),"-")</f>
        <v>-</v>
      </c>
      <c r="Z1578" s="327" t="str">
        <f t="shared" ref="Z1578" si="4494">IF((-Z1348-Z1327)&gt;0,(Z1354-Z1348-Z1327)/(-Z1348-Z1327),"-")</f>
        <v>-</v>
      </c>
      <c r="AA1578" s="327" t="str">
        <f t="shared" ref="AA1578" si="4495">IF((-AA1348-AA1327)&gt;0,(AA1354-AA1348-AA1327)/(-AA1348-AA1327),"-")</f>
        <v>-</v>
      </c>
      <c r="AB1578" s="327" t="str">
        <f t="shared" ref="AB1578:AC1578" si="4496">IF((-AB1348-AB1327)&gt;0,(AB1354-AB1348-AB1327)/(-AB1348-AB1327),"-")</f>
        <v>-</v>
      </c>
      <c r="AC1578" s="327" t="str">
        <f t="shared" si="4496"/>
        <v>-</v>
      </c>
    </row>
    <row r="1579" spans="1:30" outlineLevel="1" x14ac:dyDescent="0.2">
      <c r="A1579" t="str">
        <f ca="1">Language!A$828</f>
        <v>Покрытие процентов по кредитам</v>
      </c>
      <c r="C1579" s="5" t="str">
        <f ca="1">Language!A$198</f>
        <v>разы</v>
      </c>
      <c r="D1579" s="16" t="s">
        <v>2429</v>
      </c>
      <c r="F1579" s="212" t="str">
        <f t="shared" ref="F1579:T1579" si="4497">IF(F1213&gt;0,(F1220+F1213)/F1213,"-")</f>
        <v>-</v>
      </c>
      <c r="G1579" s="212" t="str">
        <f t="shared" si="4497"/>
        <v>-</v>
      </c>
      <c r="H1579" s="212" t="str">
        <f t="shared" si="4497"/>
        <v>-</v>
      </c>
      <c r="I1579" s="212" t="str">
        <f t="shared" si="4497"/>
        <v>-</v>
      </c>
      <c r="J1579" s="212" t="str">
        <f t="shared" si="4497"/>
        <v>-</v>
      </c>
      <c r="K1579" s="212" t="str">
        <f t="shared" si="4497"/>
        <v>-</v>
      </c>
      <c r="L1579" s="212" t="str">
        <f t="shared" si="4497"/>
        <v>-</v>
      </c>
      <c r="M1579" s="212" t="str">
        <f t="shared" si="4497"/>
        <v>-</v>
      </c>
      <c r="N1579" s="212" t="str">
        <f t="shared" si="4497"/>
        <v>-</v>
      </c>
      <c r="O1579" s="212" t="str">
        <f t="shared" si="4497"/>
        <v>-</v>
      </c>
      <c r="P1579" s="212" t="str">
        <f t="shared" si="4497"/>
        <v>-</v>
      </c>
      <c r="Q1579" s="212" t="str">
        <f t="shared" si="4497"/>
        <v>-</v>
      </c>
      <c r="R1579" s="212" t="str">
        <f t="shared" si="4497"/>
        <v>-</v>
      </c>
      <c r="S1579" s="212" t="str">
        <f t="shared" si="4497"/>
        <v>-</v>
      </c>
      <c r="T1579" s="212" t="str">
        <f t="shared" si="4497"/>
        <v>-</v>
      </c>
      <c r="U1579" s="212" t="str">
        <f t="shared" ref="U1579" si="4498">IF(U1213&gt;0,(U1220+U1213)/U1213,"-")</f>
        <v>-</v>
      </c>
      <c r="V1579" s="212" t="str">
        <f t="shared" ref="V1579" si="4499">IF(V1213&gt;0,(V1220+V1213)/V1213,"-")</f>
        <v>-</v>
      </c>
      <c r="W1579" s="212" t="str">
        <f t="shared" ref="W1579" si="4500">IF(W1213&gt;0,(W1220+W1213)/W1213,"-")</f>
        <v>-</v>
      </c>
      <c r="X1579" s="212" t="str">
        <f t="shared" ref="X1579" si="4501">IF(X1213&gt;0,(X1220+X1213)/X1213,"-")</f>
        <v>-</v>
      </c>
      <c r="Y1579" s="212" t="str">
        <f t="shared" ref="Y1579" si="4502">IF(Y1213&gt;0,(Y1220+Y1213)/Y1213,"-")</f>
        <v>-</v>
      </c>
      <c r="Z1579" s="212" t="str">
        <f t="shared" ref="Z1579" si="4503">IF(Z1213&gt;0,(Z1220+Z1213)/Z1213,"-")</f>
        <v>-</v>
      </c>
      <c r="AA1579" s="212" t="str">
        <f t="shared" ref="AA1579" si="4504">IF(AA1213&gt;0,(AA1220+AA1213)/AA1213,"-")</f>
        <v>-</v>
      </c>
      <c r="AB1579" s="212" t="str">
        <f t="shared" ref="AB1579:AC1579" si="4505">IF(AB1213&gt;0,(AB1220+AB1213)/AB1213,"-")</f>
        <v>-</v>
      </c>
      <c r="AC1579" s="212" t="str">
        <f t="shared" si="4505"/>
        <v>-</v>
      </c>
    </row>
    <row r="1580" spans="1:30" outlineLevel="1" x14ac:dyDescent="0.2">
      <c r="A1580" s="63"/>
      <c r="B1580" s="63"/>
      <c r="C1580" s="63"/>
      <c r="D1580" s="63"/>
      <c r="E1580" s="63"/>
      <c r="F1580" s="63"/>
      <c r="G1580" s="63"/>
      <c r="H1580" s="63"/>
      <c r="I1580" s="63"/>
      <c r="J1580" s="63"/>
      <c r="K1580" s="63"/>
      <c r="L1580" s="63"/>
      <c r="M1580" s="63"/>
      <c r="N1580" s="63"/>
      <c r="O1580" s="63"/>
      <c r="P1580" s="63"/>
      <c r="Q1580" s="63"/>
      <c r="R1580" s="63"/>
      <c r="S1580" s="63"/>
      <c r="T1580" s="63"/>
      <c r="U1580" s="63"/>
      <c r="V1580" s="63"/>
      <c r="W1580" s="63"/>
      <c r="X1580" s="63"/>
      <c r="Y1580" s="63"/>
      <c r="Z1580" s="63"/>
      <c r="AA1580" s="63"/>
      <c r="AB1580" s="63"/>
      <c r="AC1580" s="63"/>
      <c r="AD1580" s="63"/>
    </row>
    <row r="1581" spans="1:30" outlineLevel="1" x14ac:dyDescent="0.2">
      <c r="A1581" s="22" t="str">
        <f ca="1">Language!A$829</f>
        <v>График: Рентабельность активов</v>
      </c>
      <c r="B1581" s="19"/>
      <c r="C1581" s="19"/>
      <c r="D1581" s="19"/>
      <c r="E1581" s="19"/>
      <c r="F1581" s="19"/>
      <c r="G1581" s="19"/>
      <c r="H1581" s="19"/>
      <c r="I1581" s="19"/>
      <c r="J1581" s="19"/>
      <c r="K1581" s="19"/>
      <c r="L1581" s="19"/>
      <c r="M1581" s="19"/>
      <c r="N1581" s="19"/>
      <c r="O1581" s="19"/>
      <c r="P1581" s="19"/>
      <c r="Q1581" s="19"/>
      <c r="R1581" s="19"/>
      <c r="S1581" s="19"/>
      <c r="T1581" s="19"/>
      <c r="U1581" s="19"/>
      <c r="V1581" s="19"/>
      <c r="W1581" s="19"/>
      <c r="X1581" s="19"/>
      <c r="Y1581" s="19"/>
      <c r="Z1581" s="19"/>
      <c r="AA1581" s="19"/>
      <c r="AB1581" s="19"/>
      <c r="AC1581" s="19"/>
      <c r="AD1581" s="19"/>
    </row>
    <row r="1582" spans="1:30" outlineLevel="2" x14ac:dyDescent="0.2">
      <c r="A1582" s="19"/>
      <c r="B1582" s="19"/>
      <c r="C1582" s="19"/>
      <c r="D1582" s="19"/>
      <c r="E1582" s="19"/>
      <c r="F1582" s="19"/>
      <c r="G1582" s="19"/>
      <c r="H1582" s="19"/>
      <c r="I1582" s="19"/>
      <c r="J1582" s="19"/>
      <c r="K1582" s="19"/>
      <c r="L1582" s="19"/>
      <c r="M1582" s="19"/>
      <c r="N1582" s="19"/>
      <c r="O1582" s="19"/>
      <c r="P1582" s="19"/>
      <c r="Q1582" s="19"/>
      <c r="R1582" s="19"/>
      <c r="S1582" s="19"/>
      <c r="T1582" s="19"/>
      <c r="U1582" s="19"/>
      <c r="V1582" s="19"/>
      <c r="W1582" s="19"/>
      <c r="X1582" s="19"/>
      <c r="Y1582" s="19"/>
      <c r="Z1582" s="19"/>
      <c r="AA1582" s="19"/>
      <c r="AB1582" s="19"/>
      <c r="AC1582" s="19"/>
      <c r="AD1582" s="19"/>
    </row>
    <row r="1583" spans="1:30" outlineLevel="2" x14ac:dyDescent="0.2">
      <c r="A1583" s="19"/>
      <c r="B1583" s="19"/>
      <c r="C1583" s="19"/>
      <c r="D1583" s="19"/>
      <c r="E1583" s="19"/>
      <c r="F1583" s="19"/>
      <c r="G1583" s="19"/>
      <c r="H1583" s="19"/>
      <c r="I1583" s="19"/>
      <c r="J1583" s="19"/>
      <c r="K1583" s="19"/>
      <c r="L1583" s="19"/>
      <c r="M1583" s="19"/>
      <c r="N1583" s="19"/>
      <c r="O1583" s="19"/>
      <c r="P1583" s="19"/>
      <c r="Q1583" s="19"/>
      <c r="R1583" s="19"/>
      <c r="S1583" s="19"/>
      <c r="T1583" s="19"/>
      <c r="U1583" s="19"/>
      <c r="V1583" s="19"/>
      <c r="W1583" s="19"/>
      <c r="X1583" s="19"/>
      <c r="Y1583" s="19"/>
      <c r="Z1583" s="19"/>
      <c r="AA1583" s="19"/>
      <c r="AB1583" s="19"/>
      <c r="AC1583" s="19"/>
      <c r="AD1583" s="19"/>
    </row>
    <row r="1584" spans="1:30" outlineLevel="2" x14ac:dyDescent="0.2">
      <c r="A1584" s="19"/>
      <c r="B1584" s="19"/>
      <c r="C1584" s="19"/>
      <c r="D1584" s="19"/>
      <c r="E1584" s="19"/>
      <c r="F1584" s="19"/>
      <c r="G1584" s="19"/>
      <c r="H1584" s="19"/>
      <c r="I1584" s="19"/>
      <c r="J1584" s="19"/>
      <c r="K1584" s="19"/>
      <c r="L1584" s="19"/>
      <c r="M1584" s="19"/>
      <c r="N1584" s="19"/>
      <c r="O1584" s="19"/>
      <c r="P1584" s="19"/>
      <c r="Q1584" s="19"/>
      <c r="R1584" s="19"/>
      <c r="S1584" s="19"/>
      <c r="T1584" s="19"/>
      <c r="U1584" s="19"/>
      <c r="V1584" s="19"/>
      <c r="W1584" s="19"/>
      <c r="X1584" s="19"/>
      <c r="Y1584" s="19"/>
      <c r="Z1584" s="19"/>
      <c r="AA1584" s="19"/>
      <c r="AB1584" s="19"/>
      <c r="AC1584" s="19"/>
      <c r="AD1584" s="19"/>
    </row>
    <row r="1585" spans="1:30" outlineLevel="2" x14ac:dyDescent="0.2">
      <c r="A1585" s="19"/>
      <c r="B1585" s="19"/>
      <c r="C1585" s="19"/>
      <c r="D1585" s="19"/>
      <c r="E1585" s="19"/>
      <c r="F1585" s="19"/>
      <c r="G1585" s="19"/>
      <c r="H1585" s="19"/>
      <c r="I1585" s="19"/>
      <c r="J1585" s="19"/>
      <c r="K1585" s="19"/>
      <c r="L1585" s="19"/>
      <c r="M1585" s="19"/>
      <c r="N1585" s="19"/>
      <c r="O1585" s="19"/>
      <c r="P1585" s="19"/>
      <c r="Q1585" s="19"/>
      <c r="R1585" s="19"/>
      <c r="S1585" s="19"/>
      <c r="T1585" s="19"/>
      <c r="U1585" s="19"/>
      <c r="V1585" s="19"/>
      <c r="W1585" s="19"/>
      <c r="X1585" s="19"/>
      <c r="Y1585" s="19"/>
      <c r="Z1585" s="19"/>
      <c r="AA1585" s="19"/>
      <c r="AB1585" s="19"/>
      <c r="AC1585" s="19"/>
      <c r="AD1585" s="19"/>
    </row>
    <row r="1586" spans="1:30" outlineLevel="2" x14ac:dyDescent="0.2">
      <c r="A1586" s="19"/>
      <c r="B1586" s="19"/>
      <c r="C1586" s="19"/>
      <c r="D1586" s="19"/>
      <c r="E1586" s="19"/>
      <c r="F1586" s="19"/>
      <c r="G1586" s="19"/>
      <c r="H1586" s="19"/>
      <c r="I1586" s="19"/>
      <c r="J1586" s="19"/>
      <c r="K1586" s="19"/>
      <c r="L1586" s="19"/>
      <c r="M1586" s="19"/>
      <c r="N1586" s="19"/>
      <c r="O1586" s="19"/>
      <c r="P1586" s="19"/>
      <c r="Q1586" s="19"/>
      <c r="R1586" s="19"/>
      <c r="S1586" s="19"/>
      <c r="T1586" s="19"/>
      <c r="U1586" s="19"/>
      <c r="V1586" s="19"/>
      <c r="W1586" s="19"/>
      <c r="X1586" s="19"/>
      <c r="Y1586" s="19"/>
      <c r="Z1586" s="19"/>
      <c r="AA1586" s="19"/>
      <c r="AB1586" s="19"/>
      <c r="AC1586" s="19"/>
      <c r="AD1586" s="19"/>
    </row>
    <row r="1587" spans="1:30" outlineLevel="2" x14ac:dyDescent="0.2">
      <c r="A1587" s="19"/>
      <c r="B1587" s="19"/>
      <c r="C1587" s="19"/>
      <c r="D1587" s="19"/>
      <c r="E1587" s="19"/>
      <c r="F1587" s="19"/>
      <c r="G1587" s="19"/>
      <c r="H1587" s="19"/>
      <c r="I1587" s="19"/>
      <c r="J1587" s="19"/>
      <c r="K1587" s="19"/>
      <c r="L1587" s="19"/>
      <c r="M1587" s="19"/>
      <c r="N1587" s="19"/>
      <c r="O1587" s="19"/>
      <c r="P1587" s="19"/>
      <c r="Q1587" s="19"/>
      <c r="R1587" s="19"/>
      <c r="S1587" s="19"/>
      <c r="T1587" s="19"/>
      <c r="U1587" s="19"/>
      <c r="V1587" s="19"/>
      <c r="W1587" s="19"/>
      <c r="X1587" s="19"/>
      <c r="Y1587" s="19"/>
      <c r="Z1587" s="19"/>
      <c r="AA1587" s="19"/>
      <c r="AB1587" s="19"/>
      <c r="AC1587" s="19"/>
      <c r="AD1587" s="19"/>
    </row>
    <row r="1588" spans="1:30" outlineLevel="2" x14ac:dyDescent="0.2">
      <c r="A1588" s="19"/>
      <c r="B1588" s="19"/>
      <c r="C1588" s="19"/>
      <c r="D1588" s="19"/>
      <c r="E1588" s="19"/>
      <c r="F1588" s="19"/>
      <c r="G1588" s="19"/>
      <c r="H1588" s="19"/>
      <c r="I1588" s="19"/>
      <c r="J1588" s="19"/>
      <c r="K1588" s="19"/>
      <c r="L1588" s="19"/>
      <c r="M1588" s="19"/>
      <c r="N1588" s="19"/>
      <c r="O1588" s="19"/>
      <c r="P1588" s="19"/>
      <c r="Q1588" s="19"/>
      <c r="R1588" s="19"/>
      <c r="S1588" s="19"/>
      <c r="T1588" s="19"/>
      <c r="U1588" s="19"/>
      <c r="V1588" s="19"/>
      <c r="W1588" s="19"/>
      <c r="X1588" s="19"/>
      <c r="Y1588" s="19"/>
      <c r="Z1588" s="19"/>
      <c r="AA1588" s="19"/>
      <c r="AB1588" s="19"/>
      <c r="AC1588" s="19"/>
      <c r="AD1588" s="19"/>
    </row>
    <row r="1589" spans="1:30" outlineLevel="2" x14ac:dyDescent="0.2">
      <c r="A1589" s="19"/>
      <c r="B1589" s="19"/>
      <c r="C1589" s="19"/>
      <c r="D1589" s="19"/>
      <c r="E1589" s="19"/>
      <c r="F1589" s="19"/>
      <c r="G1589" s="19"/>
      <c r="H1589" s="19"/>
      <c r="I1589" s="19"/>
      <c r="J1589" s="19"/>
      <c r="K1589" s="19"/>
      <c r="L1589" s="19"/>
      <c r="M1589" s="19"/>
      <c r="N1589" s="19"/>
      <c r="O1589" s="19"/>
      <c r="P1589" s="19"/>
      <c r="Q1589" s="19"/>
      <c r="R1589" s="19"/>
      <c r="S1589" s="19"/>
      <c r="T1589" s="19"/>
      <c r="U1589" s="19"/>
      <c r="V1589" s="19"/>
      <c r="W1589" s="19"/>
      <c r="X1589" s="19"/>
      <c r="Y1589" s="19"/>
      <c r="Z1589" s="19"/>
      <c r="AA1589" s="19"/>
      <c r="AB1589" s="19"/>
      <c r="AC1589" s="19"/>
      <c r="AD1589" s="19"/>
    </row>
    <row r="1590" spans="1:30" outlineLevel="2" x14ac:dyDescent="0.2">
      <c r="A1590" s="19"/>
      <c r="B1590" s="19"/>
      <c r="C1590" s="19"/>
      <c r="D1590" s="19"/>
      <c r="E1590" s="19"/>
      <c r="F1590" s="19"/>
      <c r="G1590" s="19"/>
      <c r="H1590" s="19"/>
      <c r="I1590" s="19"/>
      <c r="J1590" s="19"/>
      <c r="K1590" s="19"/>
      <c r="L1590" s="19"/>
      <c r="M1590" s="19"/>
      <c r="N1590" s="19"/>
      <c r="O1590" s="19"/>
      <c r="P1590" s="19"/>
      <c r="Q1590" s="19"/>
      <c r="R1590" s="19"/>
      <c r="S1590" s="19"/>
      <c r="T1590" s="19"/>
      <c r="U1590" s="19"/>
      <c r="V1590" s="19"/>
      <c r="W1590" s="19"/>
      <c r="X1590" s="19"/>
      <c r="Y1590" s="19"/>
      <c r="Z1590" s="19"/>
      <c r="AA1590" s="19"/>
      <c r="AB1590" s="19"/>
      <c r="AC1590" s="19"/>
      <c r="AD1590" s="19"/>
    </row>
    <row r="1591" spans="1:30" outlineLevel="2" x14ac:dyDescent="0.2">
      <c r="A1591" s="19"/>
      <c r="B1591" s="19"/>
      <c r="C1591" s="19"/>
      <c r="D1591" s="19"/>
      <c r="E1591" s="19"/>
      <c r="F1591" s="19"/>
      <c r="G1591" s="19"/>
      <c r="H1591" s="19"/>
      <c r="I1591" s="19"/>
      <c r="J1591" s="19"/>
      <c r="K1591" s="19"/>
      <c r="L1591" s="19"/>
      <c r="M1591" s="19"/>
      <c r="N1591" s="19"/>
      <c r="O1591" s="19"/>
      <c r="P1591" s="19"/>
      <c r="Q1591" s="19"/>
      <c r="R1591" s="19"/>
      <c r="S1591" s="19"/>
      <c r="T1591" s="19"/>
      <c r="U1591" s="19"/>
      <c r="V1591" s="19"/>
      <c r="W1591" s="19"/>
      <c r="X1591" s="19"/>
      <c r="Y1591" s="19"/>
      <c r="Z1591" s="19"/>
      <c r="AA1591" s="19"/>
      <c r="AB1591" s="19"/>
      <c r="AC1591" s="19"/>
      <c r="AD1591" s="19"/>
    </row>
    <row r="1592" spans="1:30" outlineLevel="2" x14ac:dyDescent="0.2">
      <c r="A1592" s="19"/>
      <c r="B1592" s="19"/>
      <c r="C1592" s="19"/>
      <c r="D1592" s="19"/>
      <c r="E1592" s="19"/>
      <c r="F1592" s="19"/>
      <c r="G1592" s="19"/>
      <c r="H1592" s="19"/>
      <c r="I1592" s="19"/>
      <c r="J1592" s="19"/>
      <c r="K1592" s="19"/>
      <c r="L1592" s="19"/>
      <c r="M1592" s="19"/>
      <c r="N1592" s="19"/>
      <c r="O1592" s="19"/>
      <c r="P1592" s="19"/>
      <c r="Q1592" s="19"/>
      <c r="R1592" s="19"/>
      <c r="S1592" s="19"/>
      <c r="T1592" s="19"/>
      <c r="U1592" s="19"/>
      <c r="V1592" s="19"/>
      <c r="W1592" s="19"/>
      <c r="X1592" s="19"/>
      <c r="Y1592" s="19"/>
      <c r="Z1592" s="19"/>
      <c r="AA1592" s="19"/>
      <c r="AB1592" s="19"/>
      <c r="AC1592" s="19"/>
      <c r="AD1592" s="19"/>
    </row>
    <row r="1593" spans="1:30" outlineLevel="2" x14ac:dyDescent="0.2">
      <c r="A1593" s="19"/>
      <c r="B1593" s="19"/>
      <c r="C1593" s="19"/>
      <c r="D1593" s="19"/>
      <c r="E1593" s="19"/>
      <c r="F1593" s="19"/>
      <c r="G1593" s="19"/>
      <c r="H1593" s="19"/>
      <c r="I1593" s="19"/>
      <c r="J1593" s="19"/>
      <c r="K1593" s="19"/>
      <c r="L1593" s="19"/>
      <c r="M1593" s="19"/>
      <c r="N1593" s="19"/>
      <c r="O1593" s="19"/>
      <c r="P1593" s="19"/>
      <c r="Q1593" s="19"/>
      <c r="R1593" s="19"/>
      <c r="S1593" s="19"/>
      <c r="T1593" s="19"/>
      <c r="U1593" s="19"/>
      <c r="V1593" s="19"/>
      <c r="W1593" s="19"/>
      <c r="X1593" s="19"/>
      <c r="Y1593" s="19"/>
      <c r="Z1593" s="19"/>
      <c r="AA1593" s="19"/>
      <c r="AB1593" s="19"/>
      <c r="AC1593" s="19"/>
      <c r="AD1593" s="19"/>
    </row>
    <row r="1594" spans="1:30" outlineLevel="2" x14ac:dyDescent="0.2">
      <c r="A1594" s="19"/>
      <c r="B1594" s="19"/>
      <c r="C1594" s="19"/>
      <c r="D1594" s="19"/>
      <c r="E1594" s="19"/>
      <c r="F1594" s="19"/>
      <c r="G1594" s="19"/>
      <c r="H1594" s="19"/>
      <c r="I1594" s="19"/>
      <c r="J1594" s="19"/>
      <c r="K1594" s="19"/>
      <c r="L1594" s="19"/>
      <c r="M1594" s="19"/>
      <c r="N1594" s="19"/>
      <c r="O1594" s="19"/>
      <c r="P1594" s="19"/>
      <c r="Q1594" s="19"/>
      <c r="R1594" s="19"/>
      <c r="S1594" s="19"/>
      <c r="T1594" s="19"/>
      <c r="U1594" s="19"/>
      <c r="V1594" s="19"/>
      <c r="W1594" s="19"/>
      <c r="X1594" s="19"/>
      <c r="Y1594" s="19"/>
      <c r="Z1594" s="19"/>
      <c r="AA1594" s="19"/>
      <c r="AB1594" s="19"/>
      <c r="AC1594" s="19"/>
      <c r="AD1594" s="19"/>
    </row>
    <row r="1595" spans="1:30" outlineLevel="2" x14ac:dyDescent="0.2">
      <c r="A1595" s="19"/>
      <c r="B1595" s="19"/>
      <c r="C1595" s="19"/>
      <c r="D1595" s="19"/>
      <c r="E1595" s="19"/>
      <c r="F1595" s="19"/>
      <c r="G1595" s="19"/>
      <c r="H1595" s="19"/>
      <c r="I1595" s="19"/>
      <c r="J1595" s="19"/>
      <c r="K1595" s="19"/>
      <c r="L1595" s="19"/>
      <c r="M1595" s="19"/>
      <c r="N1595" s="19"/>
      <c r="O1595" s="19"/>
      <c r="P1595" s="19"/>
      <c r="Q1595" s="19"/>
      <c r="R1595" s="19"/>
      <c r="S1595" s="19"/>
      <c r="T1595" s="19"/>
      <c r="U1595" s="19"/>
      <c r="V1595" s="19"/>
      <c r="W1595" s="19"/>
      <c r="X1595" s="19"/>
      <c r="Y1595" s="19"/>
      <c r="Z1595" s="19"/>
      <c r="AA1595" s="19"/>
      <c r="AB1595" s="19"/>
      <c r="AC1595" s="19"/>
      <c r="AD1595" s="19"/>
    </row>
    <row r="1596" spans="1:30" outlineLevel="2" x14ac:dyDescent="0.2">
      <c r="A1596" s="19"/>
      <c r="B1596" s="19"/>
      <c r="C1596" s="19"/>
      <c r="D1596" s="19"/>
      <c r="E1596" s="19"/>
      <c r="F1596" s="19"/>
      <c r="G1596" s="19"/>
      <c r="H1596" s="19"/>
      <c r="I1596" s="19"/>
      <c r="J1596" s="19"/>
      <c r="K1596" s="19"/>
      <c r="L1596" s="19"/>
      <c r="M1596" s="19"/>
      <c r="N1596" s="19"/>
      <c r="O1596" s="19"/>
      <c r="P1596" s="19"/>
      <c r="Q1596" s="19"/>
      <c r="R1596" s="19"/>
      <c r="S1596" s="19"/>
      <c r="T1596" s="19"/>
      <c r="U1596" s="19"/>
      <c r="V1596" s="19"/>
      <c r="W1596" s="19"/>
      <c r="X1596" s="19"/>
      <c r="Y1596" s="19"/>
      <c r="Z1596" s="19"/>
      <c r="AA1596" s="19"/>
      <c r="AB1596" s="19"/>
      <c r="AC1596" s="19"/>
      <c r="AD1596" s="19"/>
    </row>
    <row r="1597" spans="1:30" outlineLevel="2" x14ac:dyDescent="0.2">
      <c r="A1597" s="19"/>
      <c r="B1597" s="19"/>
      <c r="C1597" s="19"/>
      <c r="D1597" s="19"/>
      <c r="E1597" s="19"/>
      <c r="F1597" s="19"/>
      <c r="G1597" s="19"/>
      <c r="H1597" s="19"/>
      <c r="I1597" s="19"/>
      <c r="J1597" s="19"/>
      <c r="K1597" s="19"/>
      <c r="L1597" s="19"/>
      <c r="M1597" s="19"/>
      <c r="N1597" s="19"/>
      <c r="O1597" s="19"/>
      <c r="P1597" s="19"/>
      <c r="Q1597" s="19"/>
      <c r="R1597" s="19"/>
      <c r="S1597" s="19"/>
      <c r="T1597" s="19"/>
      <c r="U1597" s="19"/>
      <c r="V1597" s="19"/>
      <c r="W1597" s="19"/>
      <c r="X1597" s="19"/>
      <c r="Y1597" s="19"/>
      <c r="Z1597" s="19"/>
      <c r="AA1597" s="19"/>
      <c r="AB1597" s="19"/>
      <c r="AC1597" s="19"/>
      <c r="AD1597" s="19"/>
    </row>
    <row r="1598" spans="1:30" outlineLevel="2" x14ac:dyDescent="0.2">
      <c r="A1598" s="19"/>
      <c r="B1598" s="19"/>
      <c r="C1598" s="19"/>
      <c r="D1598" s="19"/>
      <c r="E1598" s="19"/>
      <c r="F1598" s="19"/>
      <c r="G1598" s="19"/>
      <c r="H1598" s="19"/>
      <c r="I1598" s="19"/>
      <c r="J1598" s="19"/>
      <c r="K1598" s="19"/>
      <c r="L1598" s="19"/>
      <c r="M1598" s="19"/>
      <c r="N1598" s="19"/>
      <c r="O1598" s="19"/>
      <c r="P1598" s="19"/>
      <c r="Q1598" s="19"/>
      <c r="R1598" s="19"/>
      <c r="S1598" s="19"/>
      <c r="T1598" s="19"/>
      <c r="U1598" s="19"/>
      <c r="V1598" s="19"/>
      <c r="W1598" s="19"/>
      <c r="X1598" s="19"/>
      <c r="Y1598" s="19"/>
      <c r="Z1598" s="19"/>
      <c r="AA1598" s="19"/>
      <c r="AB1598" s="19"/>
      <c r="AC1598" s="19"/>
      <c r="AD1598" s="19"/>
    </row>
    <row r="1599" spans="1:30" outlineLevel="2" x14ac:dyDescent="0.2">
      <c r="A1599" s="19"/>
      <c r="B1599" s="19"/>
      <c r="C1599" s="19"/>
      <c r="D1599" s="19"/>
      <c r="E1599" s="19"/>
      <c r="F1599" s="19"/>
      <c r="G1599" s="19"/>
      <c r="H1599" s="19"/>
      <c r="I1599" s="19"/>
      <c r="J1599" s="19"/>
      <c r="K1599" s="19"/>
      <c r="L1599" s="19"/>
      <c r="M1599" s="19"/>
      <c r="N1599" s="19"/>
      <c r="O1599" s="19"/>
      <c r="P1599" s="19"/>
      <c r="Q1599" s="19"/>
      <c r="R1599" s="19"/>
      <c r="S1599" s="19"/>
      <c r="T1599" s="19"/>
      <c r="U1599" s="19"/>
      <c r="V1599" s="19"/>
      <c r="W1599" s="19"/>
      <c r="X1599" s="19"/>
      <c r="Y1599" s="19"/>
      <c r="Z1599" s="19"/>
      <c r="AA1599" s="19"/>
      <c r="AB1599" s="19"/>
      <c r="AC1599" s="19"/>
      <c r="AD1599" s="19"/>
    </row>
    <row r="1600" spans="1:30" outlineLevel="2" x14ac:dyDescent="0.2">
      <c r="A1600" s="19"/>
      <c r="B1600" s="19"/>
      <c r="C1600" s="19"/>
      <c r="D1600" s="19"/>
      <c r="E1600" s="19"/>
      <c r="F1600" s="19"/>
      <c r="G1600" s="19"/>
      <c r="H1600" s="19"/>
      <c r="I1600" s="19"/>
      <c r="J1600" s="19"/>
      <c r="K1600" s="19"/>
      <c r="L1600" s="19"/>
      <c r="M1600" s="19"/>
      <c r="N1600" s="19"/>
      <c r="O1600" s="19"/>
      <c r="P1600" s="19"/>
      <c r="Q1600" s="19"/>
      <c r="R1600" s="19"/>
      <c r="S1600" s="19"/>
      <c r="T1600" s="19"/>
      <c r="U1600" s="19"/>
      <c r="V1600" s="19"/>
      <c r="W1600" s="19"/>
      <c r="X1600" s="19"/>
      <c r="Y1600" s="19"/>
      <c r="Z1600" s="19"/>
      <c r="AA1600" s="19"/>
      <c r="AB1600" s="19"/>
      <c r="AC1600" s="19"/>
      <c r="AD1600" s="19"/>
    </row>
    <row r="1601" spans="1:30" outlineLevel="2" x14ac:dyDescent="0.2">
      <c r="A1601" s="19"/>
      <c r="B1601" s="19"/>
      <c r="C1601" s="19"/>
      <c r="D1601" s="19"/>
      <c r="E1601" s="19"/>
      <c r="F1601" s="19"/>
      <c r="G1601" s="19"/>
      <c r="H1601" s="19"/>
      <c r="I1601" s="19"/>
      <c r="J1601" s="19"/>
      <c r="K1601" s="19"/>
      <c r="L1601" s="19"/>
      <c r="M1601" s="19"/>
      <c r="N1601" s="19"/>
      <c r="O1601" s="19"/>
      <c r="P1601" s="19"/>
      <c r="Q1601" s="19"/>
      <c r="R1601" s="19"/>
      <c r="S1601" s="19"/>
      <c r="T1601" s="19"/>
      <c r="U1601" s="19"/>
      <c r="V1601" s="19"/>
      <c r="W1601" s="19"/>
      <c r="X1601" s="19"/>
      <c r="Y1601" s="19"/>
      <c r="Z1601" s="19"/>
      <c r="AA1601" s="19"/>
      <c r="AB1601" s="19"/>
      <c r="AC1601" s="19"/>
      <c r="AD1601" s="19"/>
    </row>
    <row r="1602" spans="1:30" outlineLevel="2" x14ac:dyDescent="0.2">
      <c r="A1602" s="19"/>
      <c r="B1602" s="19"/>
      <c r="C1602" s="19"/>
      <c r="D1602" s="19"/>
      <c r="E1602" s="19"/>
      <c r="F1602" s="19"/>
      <c r="G1602" s="19"/>
      <c r="H1602" s="19"/>
      <c r="I1602" s="19"/>
      <c r="J1602" s="19"/>
      <c r="K1602" s="19"/>
      <c r="L1602" s="19"/>
      <c r="M1602" s="19"/>
      <c r="N1602" s="19"/>
      <c r="O1602" s="19"/>
      <c r="P1602" s="19"/>
      <c r="Q1602" s="19"/>
      <c r="R1602" s="19"/>
      <c r="S1602" s="19"/>
      <c r="T1602" s="19"/>
      <c r="U1602" s="19"/>
      <c r="V1602" s="19"/>
      <c r="W1602" s="19"/>
      <c r="X1602" s="19"/>
      <c r="Y1602" s="19"/>
      <c r="Z1602" s="19"/>
      <c r="AA1602" s="19"/>
      <c r="AB1602" s="19"/>
      <c r="AC1602" s="19"/>
      <c r="AD1602" s="19"/>
    </row>
    <row r="1603" spans="1:30" outlineLevel="2" x14ac:dyDescent="0.2">
      <c r="A1603" s="19"/>
      <c r="B1603" s="19"/>
      <c r="C1603" s="19"/>
      <c r="D1603" s="19"/>
      <c r="E1603" s="19"/>
      <c r="F1603" s="19"/>
      <c r="G1603" s="19"/>
      <c r="H1603" s="19"/>
      <c r="I1603" s="19"/>
      <c r="J1603" s="19"/>
      <c r="K1603" s="19"/>
      <c r="L1603" s="19"/>
      <c r="M1603" s="19"/>
      <c r="N1603" s="19"/>
      <c r="O1603" s="19"/>
      <c r="P1603" s="19"/>
      <c r="Q1603" s="19"/>
      <c r="R1603" s="19"/>
      <c r="S1603" s="19"/>
      <c r="T1603" s="19"/>
      <c r="U1603" s="19"/>
      <c r="V1603" s="19"/>
      <c r="W1603" s="19"/>
      <c r="X1603" s="19"/>
      <c r="Y1603" s="19"/>
      <c r="Z1603" s="19"/>
      <c r="AA1603" s="19"/>
      <c r="AB1603" s="19"/>
      <c r="AC1603" s="19"/>
      <c r="AD1603" s="19"/>
    </row>
    <row r="1604" spans="1:30" outlineLevel="2" x14ac:dyDescent="0.2">
      <c r="A1604" s="19"/>
      <c r="B1604" s="19"/>
      <c r="C1604" s="19"/>
      <c r="D1604" s="19"/>
      <c r="E1604" s="19"/>
      <c r="F1604" s="19"/>
      <c r="G1604" s="19"/>
      <c r="H1604" s="19"/>
      <c r="I1604" s="19"/>
      <c r="J1604" s="19"/>
      <c r="K1604" s="19"/>
      <c r="L1604" s="19"/>
      <c r="M1604" s="19"/>
      <c r="N1604" s="19"/>
      <c r="O1604" s="19"/>
      <c r="P1604" s="19"/>
      <c r="Q1604" s="19"/>
      <c r="R1604" s="19"/>
      <c r="S1604" s="19"/>
      <c r="T1604" s="19"/>
      <c r="U1604" s="19"/>
      <c r="V1604" s="19"/>
      <c r="W1604" s="19"/>
      <c r="X1604" s="19"/>
      <c r="Y1604" s="19"/>
      <c r="Z1604" s="19"/>
      <c r="AA1604" s="19"/>
      <c r="AB1604" s="19"/>
      <c r="AC1604" s="19"/>
      <c r="AD1604" s="19"/>
    </row>
    <row r="1605" spans="1:30" outlineLevel="1" x14ac:dyDescent="0.2">
      <c r="A1605" s="19"/>
      <c r="B1605" s="19"/>
      <c r="C1605" s="19"/>
      <c r="D1605" s="19"/>
      <c r="E1605" s="19"/>
      <c r="F1605" s="19"/>
      <c r="G1605" s="19"/>
      <c r="H1605" s="19"/>
      <c r="I1605" s="19"/>
      <c r="J1605" s="19"/>
      <c r="K1605" s="19"/>
      <c r="L1605" s="19"/>
      <c r="M1605" s="19"/>
      <c r="N1605" s="19"/>
      <c r="O1605" s="19"/>
      <c r="P1605" s="19"/>
      <c r="Q1605" s="19"/>
      <c r="R1605" s="19"/>
      <c r="S1605" s="19"/>
      <c r="T1605" s="19"/>
      <c r="U1605" s="19"/>
      <c r="V1605" s="19"/>
      <c r="W1605" s="19"/>
      <c r="X1605" s="19"/>
      <c r="Y1605" s="19"/>
      <c r="Z1605" s="19"/>
      <c r="AA1605" s="19"/>
      <c r="AB1605" s="19"/>
      <c r="AC1605" s="19"/>
      <c r="AD1605" s="19"/>
    </row>
    <row r="1606" spans="1:30" outlineLevel="1" x14ac:dyDescent="0.2">
      <c r="A1606" s="22" t="str">
        <f ca="1">Language!A$830</f>
        <v>График: Прибыльность продаж</v>
      </c>
      <c r="B1606" s="19"/>
      <c r="C1606" s="19"/>
      <c r="D1606" s="19"/>
      <c r="E1606" s="19"/>
      <c r="F1606" s="19"/>
      <c r="G1606" s="19"/>
      <c r="H1606" s="19"/>
      <c r="I1606" s="19"/>
      <c r="J1606" s="19"/>
      <c r="K1606" s="19"/>
      <c r="L1606" s="19"/>
      <c r="M1606" s="19"/>
      <c r="N1606" s="19"/>
      <c r="O1606" s="19"/>
      <c r="P1606" s="19"/>
      <c r="Q1606" s="19"/>
      <c r="R1606" s="19"/>
      <c r="S1606" s="19"/>
      <c r="T1606" s="19"/>
      <c r="U1606" s="19"/>
      <c r="V1606" s="19"/>
      <c r="W1606" s="19"/>
      <c r="X1606" s="19"/>
      <c r="Y1606" s="19"/>
      <c r="Z1606" s="19"/>
      <c r="AA1606" s="19"/>
      <c r="AB1606" s="19"/>
      <c r="AC1606" s="19"/>
      <c r="AD1606" s="19"/>
    </row>
    <row r="1607" spans="1:30" outlineLevel="2" x14ac:dyDescent="0.2">
      <c r="A1607" s="19"/>
      <c r="B1607" s="19"/>
      <c r="C1607" s="19"/>
      <c r="D1607" s="19"/>
      <c r="E1607" s="19"/>
      <c r="F1607" s="19"/>
      <c r="G1607" s="19"/>
      <c r="H1607" s="19"/>
      <c r="I1607" s="19"/>
      <c r="J1607" s="19"/>
      <c r="K1607" s="19"/>
      <c r="L1607" s="19"/>
      <c r="M1607" s="19"/>
      <c r="N1607" s="19"/>
      <c r="O1607" s="19"/>
      <c r="P1607" s="19"/>
      <c r="Q1607" s="19"/>
      <c r="R1607" s="19"/>
      <c r="S1607" s="19"/>
      <c r="T1607" s="19"/>
      <c r="U1607" s="19"/>
      <c r="V1607" s="19"/>
      <c r="W1607" s="19"/>
      <c r="X1607" s="19"/>
      <c r="Y1607" s="19"/>
      <c r="Z1607" s="19"/>
      <c r="AA1607" s="19"/>
      <c r="AB1607" s="19"/>
      <c r="AC1607" s="19"/>
      <c r="AD1607" s="19"/>
    </row>
    <row r="1608" spans="1:30" outlineLevel="2" x14ac:dyDescent="0.2">
      <c r="A1608" s="19"/>
      <c r="B1608" s="19"/>
      <c r="C1608" s="19"/>
      <c r="D1608" s="19"/>
      <c r="E1608" s="19"/>
      <c r="F1608" s="19"/>
      <c r="G1608" s="19"/>
      <c r="H1608" s="19"/>
      <c r="I1608" s="19"/>
      <c r="J1608" s="19"/>
      <c r="K1608" s="19"/>
      <c r="L1608" s="19"/>
      <c r="M1608" s="19"/>
      <c r="N1608" s="19"/>
      <c r="O1608" s="19"/>
      <c r="P1608" s="19"/>
      <c r="Q1608" s="19"/>
      <c r="R1608" s="19"/>
      <c r="S1608" s="19"/>
      <c r="T1608" s="19"/>
      <c r="U1608" s="19"/>
      <c r="V1608" s="19"/>
      <c r="W1608" s="19"/>
      <c r="X1608" s="19"/>
      <c r="Y1608" s="19"/>
      <c r="Z1608" s="19"/>
      <c r="AA1608" s="19"/>
      <c r="AB1608" s="19"/>
      <c r="AC1608" s="19"/>
      <c r="AD1608" s="19"/>
    </row>
    <row r="1609" spans="1:30" outlineLevel="2" x14ac:dyDescent="0.2">
      <c r="A1609" s="19"/>
      <c r="B1609" s="19"/>
      <c r="C1609" s="19"/>
      <c r="D1609" s="19"/>
      <c r="E1609" s="19"/>
      <c r="F1609" s="19"/>
      <c r="G1609" s="19"/>
      <c r="H1609" s="19"/>
      <c r="I1609" s="19"/>
      <c r="J1609" s="19"/>
      <c r="K1609" s="19"/>
      <c r="L1609" s="19"/>
      <c r="M1609" s="19"/>
      <c r="N1609" s="19"/>
      <c r="O1609" s="19"/>
      <c r="P1609" s="19"/>
      <c r="Q1609" s="19"/>
      <c r="R1609" s="19"/>
      <c r="S1609" s="19"/>
      <c r="T1609" s="19"/>
      <c r="U1609" s="19"/>
      <c r="V1609" s="19"/>
      <c r="W1609" s="19"/>
      <c r="X1609" s="19"/>
      <c r="Y1609" s="19"/>
      <c r="Z1609" s="19"/>
      <c r="AA1609" s="19"/>
      <c r="AB1609" s="19"/>
      <c r="AC1609" s="19"/>
      <c r="AD1609" s="19"/>
    </row>
    <row r="1610" spans="1:30" outlineLevel="2" x14ac:dyDescent="0.2">
      <c r="A1610" s="19"/>
      <c r="B1610" s="19"/>
      <c r="C1610" s="19"/>
      <c r="D1610" s="19"/>
      <c r="E1610" s="19"/>
      <c r="F1610" s="19"/>
      <c r="G1610" s="19"/>
      <c r="H1610" s="19"/>
      <c r="I1610" s="19"/>
      <c r="J1610" s="19"/>
      <c r="K1610" s="19"/>
      <c r="L1610" s="19"/>
      <c r="M1610" s="19"/>
      <c r="N1610" s="19"/>
      <c r="O1610" s="19"/>
      <c r="P1610" s="19"/>
      <c r="Q1610" s="19"/>
      <c r="R1610" s="19"/>
      <c r="S1610" s="19"/>
      <c r="T1610" s="19"/>
      <c r="U1610" s="19"/>
      <c r="V1610" s="19"/>
      <c r="W1610" s="19"/>
      <c r="X1610" s="19"/>
      <c r="Y1610" s="19"/>
      <c r="Z1610" s="19"/>
      <c r="AA1610" s="19"/>
      <c r="AB1610" s="19"/>
      <c r="AC1610" s="19"/>
      <c r="AD1610" s="19"/>
    </row>
    <row r="1611" spans="1:30" outlineLevel="2" x14ac:dyDescent="0.2">
      <c r="A1611" s="19"/>
      <c r="B1611" s="19"/>
      <c r="C1611" s="19"/>
      <c r="D1611" s="19"/>
      <c r="E1611" s="19"/>
      <c r="F1611" s="19"/>
      <c r="G1611" s="19"/>
      <c r="H1611" s="19"/>
      <c r="I1611" s="19"/>
      <c r="J1611" s="19"/>
      <c r="K1611" s="19"/>
      <c r="L1611" s="19"/>
      <c r="M1611" s="19"/>
      <c r="N1611" s="19"/>
      <c r="O1611" s="19"/>
      <c r="P1611" s="19"/>
      <c r="Q1611" s="19"/>
      <c r="R1611" s="19"/>
      <c r="S1611" s="19"/>
      <c r="T1611" s="19"/>
      <c r="U1611" s="19"/>
      <c r="V1611" s="19"/>
      <c r="W1611" s="19"/>
      <c r="X1611" s="19"/>
      <c r="Y1611" s="19"/>
      <c r="Z1611" s="19"/>
      <c r="AA1611" s="19"/>
      <c r="AB1611" s="19"/>
      <c r="AC1611" s="19"/>
      <c r="AD1611" s="19"/>
    </row>
    <row r="1612" spans="1:30" outlineLevel="2" x14ac:dyDescent="0.2">
      <c r="A1612" s="19"/>
      <c r="B1612" s="19"/>
      <c r="C1612" s="19"/>
      <c r="D1612" s="19"/>
      <c r="E1612" s="19"/>
      <c r="F1612" s="19"/>
      <c r="G1612" s="19"/>
      <c r="H1612" s="19"/>
      <c r="I1612" s="19"/>
      <c r="J1612" s="19"/>
      <c r="K1612" s="19"/>
      <c r="L1612" s="19"/>
      <c r="M1612" s="19"/>
      <c r="N1612" s="19"/>
      <c r="O1612" s="19"/>
      <c r="P1612" s="19"/>
      <c r="Q1612" s="19"/>
      <c r="R1612" s="19"/>
      <c r="S1612" s="19"/>
      <c r="T1612" s="19"/>
      <c r="U1612" s="19"/>
      <c r="V1612" s="19"/>
      <c r="W1612" s="19"/>
      <c r="X1612" s="19"/>
      <c r="Y1612" s="19"/>
      <c r="Z1612" s="19"/>
      <c r="AA1612" s="19"/>
      <c r="AB1612" s="19"/>
      <c r="AC1612" s="19"/>
      <c r="AD1612" s="19"/>
    </row>
    <row r="1613" spans="1:30" outlineLevel="2" x14ac:dyDescent="0.2">
      <c r="A1613" s="19"/>
      <c r="B1613" s="19"/>
      <c r="C1613" s="19"/>
      <c r="D1613" s="19"/>
      <c r="E1613" s="19"/>
      <c r="F1613" s="19"/>
      <c r="G1613" s="19"/>
      <c r="H1613" s="19"/>
      <c r="I1613" s="19"/>
      <c r="J1613" s="19"/>
      <c r="K1613" s="19"/>
      <c r="L1613" s="19"/>
      <c r="M1613" s="19"/>
      <c r="N1613" s="19"/>
      <c r="O1613" s="19"/>
      <c r="P1613" s="19"/>
      <c r="Q1613" s="19"/>
      <c r="R1613" s="19"/>
      <c r="S1613" s="19"/>
      <c r="T1613" s="19"/>
      <c r="U1613" s="19"/>
      <c r="V1613" s="19"/>
      <c r="W1613" s="19"/>
      <c r="X1613" s="19"/>
      <c r="Y1613" s="19"/>
      <c r="Z1613" s="19"/>
      <c r="AA1613" s="19"/>
      <c r="AB1613" s="19"/>
      <c r="AC1613" s="19"/>
      <c r="AD1613" s="19"/>
    </row>
    <row r="1614" spans="1:30" outlineLevel="2" x14ac:dyDescent="0.2">
      <c r="A1614" s="19"/>
      <c r="B1614" s="19"/>
      <c r="C1614" s="19"/>
      <c r="D1614" s="19"/>
      <c r="E1614" s="19"/>
      <c r="F1614" s="19"/>
      <c r="G1614" s="19"/>
      <c r="H1614" s="19"/>
      <c r="I1614" s="19"/>
      <c r="J1614" s="19"/>
      <c r="K1614" s="19"/>
      <c r="L1614" s="19"/>
      <c r="M1614" s="19"/>
      <c r="N1614" s="19"/>
      <c r="O1614" s="19"/>
      <c r="P1614" s="19"/>
      <c r="Q1614" s="19"/>
      <c r="R1614" s="19"/>
      <c r="S1614" s="19"/>
      <c r="T1614" s="19"/>
      <c r="U1614" s="19"/>
      <c r="V1614" s="19"/>
      <c r="W1614" s="19"/>
      <c r="X1614" s="19"/>
      <c r="Y1614" s="19"/>
      <c r="Z1614" s="19"/>
      <c r="AA1614" s="19"/>
      <c r="AB1614" s="19"/>
      <c r="AC1614" s="19"/>
      <c r="AD1614" s="19"/>
    </row>
    <row r="1615" spans="1:30" outlineLevel="2" x14ac:dyDescent="0.2">
      <c r="A1615" s="19"/>
      <c r="B1615" s="19"/>
      <c r="C1615" s="19"/>
      <c r="D1615" s="19"/>
      <c r="E1615" s="19"/>
      <c r="F1615" s="19"/>
      <c r="G1615" s="19"/>
      <c r="H1615" s="19"/>
      <c r="I1615" s="19"/>
      <c r="J1615" s="19"/>
      <c r="K1615" s="19"/>
      <c r="L1615" s="19"/>
      <c r="M1615" s="19"/>
      <c r="N1615" s="19"/>
      <c r="O1615" s="19"/>
      <c r="P1615" s="19"/>
      <c r="Q1615" s="19"/>
      <c r="R1615" s="19"/>
      <c r="S1615" s="19"/>
      <c r="T1615" s="19"/>
      <c r="U1615" s="19"/>
      <c r="V1615" s="19"/>
      <c r="W1615" s="19"/>
      <c r="X1615" s="19"/>
      <c r="Y1615" s="19"/>
      <c r="Z1615" s="19"/>
      <c r="AA1615" s="19"/>
      <c r="AB1615" s="19"/>
      <c r="AC1615" s="19"/>
      <c r="AD1615" s="19"/>
    </row>
    <row r="1616" spans="1:30" outlineLevel="2" x14ac:dyDescent="0.2">
      <c r="A1616" s="19"/>
      <c r="B1616" s="19"/>
      <c r="C1616" s="19"/>
      <c r="D1616" s="19"/>
      <c r="E1616" s="19"/>
      <c r="F1616" s="19"/>
      <c r="G1616" s="19"/>
      <c r="H1616" s="19"/>
      <c r="I1616" s="19"/>
      <c r="J1616" s="19"/>
      <c r="K1616" s="19"/>
      <c r="L1616" s="19"/>
      <c r="M1616" s="19"/>
      <c r="N1616" s="19"/>
      <c r="O1616" s="19"/>
      <c r="P1616" s="19"/>
      <c r="Q1616" s="19"/>
      <c r="R1616" s="19"/>
      <c r="S1616" s="19"/>
      <c r="T1616" s="19"/>
      <c r="U1616" s="19"/>
      <c r="V1616" s="19"/>
      <c r="W1616" s="19"/>
      <c r="X1616" s="19"/>
      <c r="Y1616" s="19"/>
      <c r="Z1616" s="19"/>
      <c r="AA1616" s="19"/>
      <c r="AB1616" s="19"/>
      <c r="AC1616" s="19"/>
      <c r="AD1616" s="19"/>
    </row>
    <row r="1617" spans="1:30" outlineLevel="2" x14ac:dyDescent="0.2">
      <c r="A1617" s="19"/>
      <c r="B1617" s="19"/>
      <c r="C1617" s="19"/>
      <c r="D1617" s="19"/>
      <c r="E1617" s="19"/>
      <c r="F1617" s="19"/>
      <c r="G1617" s="19"/>
      <c r="H1617" s="19"/>
      <c r="I1617" s="19"/>
      <c r="J1617" s="19"/>
      <c r="K1617" s="19"/>
      <c r="L1617" s="19"/>
      <c r="M1617" s="19"/>
      <c r="N1617" s="19"/>
      <c r="O1617" s="19"/>
      <c r="P1617" s="19"/>
      <c r="Q1617" s="19"/>
      <c r="R1617" s="19"/>
      <c r="S1617" s="19"/>
      <c r="T1617" s="19"/>
      <c r="U1617" s="19"/>
      <c r="V1617" s="19"/>
      <c r="W1617" s="19"/>
      <c r="X1617" s="19"/>
      <c r="Y1617" s="19"/>
      <c r="Z1617" s="19"/>
      <c r="AA1617" s="19"/>
      <c r="AB1617" s="19"/>
      <c r="AC1617" s="19"/>
      <c r="AD1617" s="19"/>
    </row>
    <row r="1618" spans="1:30" outlineLevel="2" x14ac:dyDescent="0.2">
      <c r="A1618" s="19"/>
      <c r="B1618" s="19"/>
      <c r="C1618" s="19"/>
      <c r="D1618" s="19"/>
      <c r="E1618" s="19"/>
      <c r="F1618" s="19"/>
      <c r="G1618" s="19"/>
      <c r="H1618" s="19"/>
      <c r="I1618" s="19"/>
      <c r="J1618" s="19"/>
      <c r="K1618" s="19"/>
      <c r="L1618" s="19"/>
      <c r="M1618" s="19"/>
      <c r="N1618" s="19"/>
      <c r="O1618" s="19"/>
      <c r="P1618" s="19"/>
      <c r="Q1618" s="19"/>
      <c r="R1618" s="19"/>
      <c r="S1618" s="19"/>
      <c r="T1618" s="19"/>
      <c r="U1618" s="19"/>
      <c r="V1618" s="19"/>
      <c r="W1618" s="19"/>
      <c r="X1618" s="19"/>
      <c r="Y1618" s="19"/>
      <c r="Z1618" s="19"/>
      <c r="AA1618" s="19"/>
      <c r="AB1618" s="19"/>
      <c r="AC1618" s="19"/>
      <c r="AD1618" s="19"/>
    </row>
    <row r="1619" spans="1:30" outlineLevel="2" x14ac:dyDescent="0.2">
      <c r="A1619" s="19"/>
      <c r="B1619" s="19"/>
      <c r="C1619" s="19"/>
      <c r="D1619" s="19"/>
      <c r="E1619" s="19"/>
      <c r="F1619" s="19"/>
      <c r="G1619" s="19"/>
      <c r="H1619" s="19"/>
      <c r="I1619" s="19"/>
      <c r="J1619" s="19"/>
      <c r="K1619" s="19"/>
      <c r="L1619" s="19"/>
      <c r="M1619" s="19"/>
      <c r="N1619" s="19"/>
      <c r="O1619" s="19"/>
      <c r="P1619" s="19"/>
      <c r="Q1619" s="19"/>
      <c r="R1619" s="19"/>
      <c r="S1619" s="19"/>
      <c r="T1619" s="19"/>
      <c r="U1619" s="19"/>
      <c r="V1619" s="19"/>
      <c r="W1619" s="19"/>
      <c r="X1619" s="19"/>
      <c r="Y1619" s="19"/>
      <c r="Z1619" s="19"/>
      <c r="AA1619" s="19"/>
      <c r="AB1619" s="19"/>
      <c r="AC1619" s="19"/>
      <c r="AD1619" s="19"/>
    </row>
    <row r="1620" spans="1:30" outlineLevel="2" x14ac:dyDescent="0.2">
      <c r="A1620" s="19"/>
      <c r="B1620" s="19"/>
      <c r="C1620" s="19"/>
      <c r="D1620" s="19"/>
      <c r="E1620" s="19"/>
      <c r="F1620" s="19"/>
      <c r="G1620" s="19"/>
      <c r="H1620" s="19"/>
      <c r="I1620" s="19"/>
      <c r="J1620" s="19"/>
      <c r="K1620" s="19"/>
      <c r="L1620" s="19"/>
      <c r="M1620" s="19"/>
      <c r="N1620" s="19"/>
      <c r="O1620" s="19"/>
      <c r="P1620" s="19"/>
      <c r="Q1620" s="19"/>
      <c r="R1620" s="19"/>
      <c r="S1620" s="19"/>
      <c r="T1620" s="19"/>
      <c r="U1620" s="19"/>
      <c r="V1620" s="19"/>
      <c r="W1620" s="19"/>
      <c r="X1620" s="19"/>
      <c r="Y1620" s="19"/>
      <c r="Z1620" s="19"/>
      <c r="AA1620" s="19"/>
      <c r="AB1620" s="19"/>
      <c r="AC1620" s="19"/>
      <c r="AD1620" s="19"/>
    </row>
    <row r="1621" spans="1:30" outlineLevel="2" x14ac:dyDescent="0.2">
      <c r="A1621" s="19"/>
      <c r="B1621" s="19"/>
      <c r="C1621" s="19"/>
      <c r="D1621" s="19"/>
      <c r="E1621" s="19"/>
      <c r="F1621" s="19"/>
      <c r="G1621" s="19"/>
      <c r="H1621" s="19"/>
      <c r="I1621" s="19"/>
      <c r="J1621" s="19"/>
      <c r="K1621" s="19"/>
      <c r="L1621" s="19"/>
      <c r="M1621" s="19"/>
      <c r="N1621" s="19"/>
      <c r="O1621" s="19"/>
      <c r="P1621" s="19"/>
      <c r="Q1621" s="19"/>
      <c r="R1621" s="19"/>
      <c r="S1621" s="19"/>
      <c r="T1621" s="19"/>
      <c r="U1621" s="19"/>
      <c r="V1621" s="19"/>
      <c r="W1621" s="19"/>
      <c r="X1621" s="19"/>
      <c r="Y1621" s="19"/>
      <c r="Z1621" s="19"/>
      <c r="AA1621" s="19"/>
      <c r="AB1621" s="19"/>
      <c r="AC1621" s="19"/>
      <c r="AD1621" s="19"/>
    </row>
    <row r="1622" spans="1:30" outlineLevel="2" x14ac:dyDescent="0.2">
      <c r="A1622" s="19"/>
      <c r="B1622" s="19"/>
      <c r="C1622" s="19"/>
      <c r="D1622" s="19"/>
      <c r="E1622" s="19"/>
      <c r="F1622" s="19"/>
      <c r="G1622" s="19"/>
      <c r="H1622" s="19"/>
      <c r="I1622" s="19"/>
      <c r="J1622" s="19"/>
      <c r="K1622" s="19"/>
      <c r="L1622" s="19"/>
      <c r="M1622" s="19"/>
      <c r="N1622" s="19"/>
      <c r="O1622" s="19"/>
      <c r="P1622" s="19"/>
      <c r="Q1622" s="19"/>
      <c r="R1622" s="19"/>
      <c r="S1622" s="19"/>
      <c r="T1622" s="19"/>
      <c r="U1622" s="19"/>
      <c r="V1622" s="19"/>
      <c r="W1622" s="19"/>
      <c r="X1622" s="19"/>
      <c r="Y1622" s="19"/>
      <c r="Z1622" s="19"/>
      <c r="AA1622" s="19"/>
      <c r="AB1622" s="19"/>
      <c r="AC1622" s="19"/>
      <c r="AD1622" s="19"/>
    </row>
    <row r="1623" spans="1:30" outlineLevel="2" x14ac:dyDescent="0.2">
      <c r="A1623" s="19"/>
      <c r="B1623" s="19"/>
      <c r="C1623" s="19"/>
      <c r="D1623" s="19"/>
      <c r="E1623" s="19"/>
      <c r="F1623" s="19"/>
      <c r="G1623" s="19"/>
      <c r="H1623" s="19"/>
      <c r="I1623" s="19"/>
      <c r="J1623" s="19"/>
      <c r="K1623" s="19"/>
      <c r="L1623" s="19"/>
      <c r="M1623" s="19"/>
      <c r="N1623" s="19"/>
      <c r="O1623" s="19"/>
      <c r="P1623" s="19"/>
      <c r="Q1623" s="19"/>
      <c r="R1623" s="19"/>
      <c r="S1623" s="19"/>
      <c r="T1623" s="19"/>
      <c r="U1623" s="19"/>
      <c r="V1623" s="19"/>
      <c r="W1623" s="19"/>
      <c r="X1623" s="19"/>
      <c r="Y1623" s="19"/>
      <c r="Z1623" s="19"/>
      <c r="AA1623" s="19"/>
      <c r="AB1623" s="19"/>
      <c r="AC1623" s="19"/>
      <c r="AD1623" s="19"/>
    </row>
    <row r="1624" spans="1:30" outlineLevel="2" x14ac:dyDescent="0.2">
      <c r="A1624" s="19"/>
      <c r="B1624" s="19"/>
      <c r="C1624" s="19"/>
      <c r="D1624" s="19"/>
      <c r="E1624" s="19"/>
      <c r="F1624" s="19"/>
      <c r="G1624" s="19"/>
      <c r="H1624" s="19"/>
      <c r="I1624" s="19"/>
      <c r="J1624" s="19"/>
      <c r="K1624" s="19"/>
      <c r="L1624" s="19"/>
      <c r="M1624" s="19"/>
      <c r="N1624" s="19"/>
      <c r="O1624" s="19"/>
      <c r="P1624" s="19"/>
      <c r="Q1624" s="19"/>
      <c r="R1624" s="19"/>
      <c r="S1624" s="19"/>
      <c r="T1624" s="19"/>
      <c r="U1624" s="19"/>
      <c r="V1624" s="19"/>
      <c r="W1624" s="19"/>
      <c r="X1624" s="19"/>
      <c r="Y1624" s="19"/>
      <c r="Z1624" s="19"/>
      <c r="AA1624" s="19"/>
      <c r="AB1624" s="19"/>
      <c r="AC1624" s="19"/>
      <c r="AD1624" s="19"/>
    </row>
    <row r="1625" spans="1:30" outlineLevel="2" x14ac:dyDescent="0.2">
      <c r="A1625" s="19"/>
      <c r="B1625" s="19"/>
      <c r="C1625" s="19"/>
      <c r="D1625" s="19"/>
      <c r="E1625" s="19"/>
      <c r="F1625" s="19"/>
      <c r="G1625" s="19"/>
      <c r="H1625" s="19"/>
      <c r="I1625" s="19"/>
      <c r="J1625" s="19"/>
      <c r="K1625" s="19"/>
      <c r="L1625" s="19"/>
      <c r="M1625" s="19"/>
      <c r="N1625" s="19"/>
      <c r="O1625" s="19"/>
      <c r="P1625" s="19"/>
      <c r="Q1625" s="19"/>
      <c r="R1625" s="19"/>
      <c r="S1625" s="19"/>
      <c r="T1625" s="19"/>
      <c r="U1625" s="19"/>
      <c r="V1625" s="19"/>
      <c r="W1625" s="19"/>
      <c r="X1625" s="19"/>
      <c r="Y1625" s="19"/>
      <c r="Z1625" s="19"/>
      <c r="AA1625" s="19"/>
      <c r="AB1625" s="19"/>
      <c r="AC1625" s="19"/>
      <c r="AD1625" s="19"/>
    </row>
    <row r="1626" spans="1:30" outlineLevel="2" x14ac:dyDescent="0.2">
      <c r="A1626" s="19"/>
      <c r="B1626" s="19"/>
      <c r="C1626" s="19"/>
      <c r="D1626" s="19"/>
      <c r="E1626" s="19"/>
      <c r="F1626" s="19"/>
      <c r="G1626" s="19"/>
      <c r="H1626" s="19"/>
      <c r="I1626" s="19"/>
      <c r="J1626" s="19"/>
      <c r="K1626" s="19"/>
      <c r="L1626" s="19"/>
      <c r="M1626" s="19"/>
      <c r="N1626" s="19"/>
      <c r="O1626" s="19"/>
      <c r="P1626" s="19"/>
      <c r="Q1626" s="19"/>
      <c r="R1626" s="19"/>
      <c r="S1626" s="19"/>
      <c r="T1626" s="19"/>
      <c r="U1626" s="19"/>
      <c r="V1626" s="19"/>
      <c r="W1626" s="19"/>
      <c r="X1626" s="19"/>
      <c r="Y1626" s="19"/>
      <c r="Z1626" s="19"/>
      <c r="AA1626" s="19"/>
      <c r="AB1626" s="19"/>
      <c r="AC1626" s="19"/>
      <c r="AD1626" s="19"/>
    </row>
    <row r="1627" spans="1:30" outlineLevel="2" x14ac:dyDescent="0.2">
      <c r="A1627" s="19"/>
      <c r="B1627" s="19"/>
      <c r="C1627" s="19"/>
      <c r="D1627" s="19"/>
      <c r="E1627" s="19"/>
      <c r="F1627" s="19"/>
      <c r="G1627" s="19"/>
      <c r="H1627" s="19"/>
      <c r="I1627" s="19"/>
      <c r="J1627" s="19"/>
      <c r="K1627" s="19"/>
      <c r="L1627" s="19"/>
      <c r="M1627" s="19"/>
      <c r="N1627" s="19"/>
      <c r="O1627" s="19"/>
      <c r="P1627" s="19"/>
      <c r="Q1627" s="19"/>
      <c r="R1627" s="19"/>
      <c r="S1627" s="19"/>
      <c r="T1627" s="19"/>
      <c r="U1627" s="19"/>
      <c r="V1627" s="19"/>
      <c r="W1627" s="19"/>
      <c r="X1627" s="19"/>
      <c r="Y1627" s="19"/>
      <c r="Z1627" s="19"/>
      <c r="AA1627" s="19"/>
      <c r="AB1627" s="19"/>
      <c r="AC1627" s="19"/>
      <c r="AD1627" s="19"/>
    </row>
    <row r="1628" spans="1:30" outlineLevel="2" x14ac:dyDescent="0.2">
      <c r="A1628" s="19"/>
      <c r="B1628" s="19"/>
      <c r="C1628" s="19"/>
      <c r="D1628" s="19"/>
      <c r="E1628" s="19"/>
      <c r="F1628" s="19"/>
      <c r="G1628" s="19"/>
      <c r="H1628" s="19"/>
      <c r="I1628" s="19"/>
      <c r="J1628" s="19"/>
      <c r="K1628" s="19"/>
      <c r="L1628" s="19"/>
      <c r="M1628" s="19"/>
      <c r="N1628" s="19"/>
      <c r="O1628" s="19"/>
      <c r="P1628" s="19"/>
      <c r="Q1628" s="19"/>
      <c r="R1628" s="19"/>
      <c r="S1628" s="19"/>
      <c r="T1628" s="19"/>
      <c r="U1628" s="19"/>
      <c r="V1628" s="19"/>
      <c r="W1628" s="19"/>
      <c r="X1628" s="19"/>
      <c r="Y1628" s="19"/>
      <c r="Z1628" s="19"/>
      <c r="AA1628" s="19"/>
      <c r="AB1628" s="19"/>
      <c r="AC1628" s="19"/>
      <c r="AD1628" s="19"/>
    </row>
    <row r="1629" spans="1:30" outlineLevel="2" x14ac:dyDescent="0.2">
      <c r="A1629" s="19"/>
      <c r="B1629" s="19"/>
      <c r="C1629" s="19"/>
      <c r="D1629" s="19"/>
      <c r="E1629" s="19"/>
      <c r="F1629" s="19"/>
      <c r="G1629" s="19"/>
      <c r="H1629" s="19"/>
      <c r="I1629" s="19"/>
      <c r="J1629" s="19"/>
      <c r="K1629" s="19"/>
      <c r="L1629" s="19"/>
      <c r="M1629" s="19"/>
      <c r="N1629" s="19"/>
      <c r="O1629" s="19"/>
      <c r="P1629" s="19"/>
      <c r="Q1629" s="19"/>
      <c r="R1629" s="19"/>
      <c r="S1629" s="19"/>
      <c r="T1629" s="19"/>
      <c r="U1629" s="19"/>
      <c r="V1629" s="19"/>
      <c r="W1629" s="19"/>
      <c r="X1629" s="19"/>
      <c r="Y1629" s="19"/>
      <c r="Z1629" s="19"/>
      <c r="AA1629" s="19"/>
      <c r="AB1629" s="19"/>
      <c r="AC1629" s="19"/>
      <c r="AD1629" s="19"/>
    </row>
    <row r="1630" spans="1:30" outlineLevel="1" x14ac:dyDescent="0.2">
      <c r="A1630" s="19"/>
      <c r="B1630" s="19"/>
      <c r="C1630" s="19"/>
      <c r="D1630" s="19"/>
      <c r="E1630" s="19"/>
      <c r="F1630" s="19"/>
      <c r="G1630" s="19"/>
      <c r="H1630" s="19"/>
      <c r="I1630" s="19"/>
      <c r="J1630" s="19"/>
      <c r="K1630" s="19"/>
      <c r="L1630" s="19"/>
      <c r="M1630" s="19"/>
      <c r="N1630" s="19"/>
      <c r="O1630" s="19"/>
      <c r="P1630" s="19"/>
      <c r="Q1630" s="19"/>
      <c r="R1630" s="19"/>
      <c r="S1630" s="19"/>
      <c r="T1630" s="19"/>
      <c r="U1630" s="19"/>
      <c r="V1630" s="19"/>
      <c r="W1630" s="19"/>
      <c r="X1630" s="19"/>
      <c r="Y1630" s="19"/>
      <c r="Z1630" s="19"/>
      <c r="AA1630" s="19"/>
      <c r="AB1630" s="19"/>
      <c r="AC1630" s="19"/>
      <c r="AD1630" s="19"/>
    </row>
    <row r="1631" spans="1:30" outlineLevel="1" x14ac:dyDescent="0.2">
      <c r="A1631" s="22" t="str">
        <f ca="1">Language!A$831</f>
        <v>График: Рентабельность по EBITDA</v>
      </c>
      <c r="B1631" s="19"/>
      <c r="C1631" s="19"/>
      <c r="D1631" s="19"/>
      <c r="E1631" s="19"/>
      <c r="F1631" s="19"/>
      <c r="G1631" s="19"/>
      <c r="H1631" s="19"/>
      <c r="I1631" s="19"/>
      <c r="J1631" s="19"/>
      <c r="K1631" s="19"/>
      <c r="L1631" s="19"/>
      <c r="M1631" s="19"/>
      <c r="N1631" s="19"/>
      <c r="O1631" s="19"/>
      <c r="P1631" s="19"/>
      <c r="Q1631" s="19"/>
      <c r="R1631" s="19"/>
      <c r="S1631" s="19"/>
      <c r="T1631" s="19"/>
      <c r="U1631" s="19"/>
      <c r="V1631" s="19"/>
      <c r="W1631" s="19"/>
      <c r="X1631" s="19"/>
      <c r="Y1631" s="19"/>
      <c r="Z1631" s="19"/>
      <c r="AA1631" s="19"/>
      <c r="AB1631" s="19"/>
      <c r="AC1631" s="19"/>
      <c r="AD1631" s="19"/>
    </row>
    <row r="1632" spans="1:30" outlineLevel="2" x14ac:dyDescent="0.2">
      <c r="A1632" s="19"/>
      <c r="B1632" s="19"/>
      <c r="C1632" s="19"/>
      <c r="D1632" s="19"/>
      <c r="E1632" s="19"/>
      <c r="F1632" s="19"/>
      <c r="G1632" s="19"/>
      <c r="H1632" s="19"/>
      <c r="I1632" s="19"/>
      <c r="J1632" s="19"/>
      <c r="K1632" s="19"/>
      <c r="L1632" s="19"/>
      <c r="M1632" s="19"/>
      <c r="N1632" s="19"/>
      <c r="O1632" s="19"/>
      <c r="P1632" s="19"/>
      <c r="Q1632" s="19"/>
      <c r="R1632" s="19"/>
      <c r="S1632" s="19"/>
      <c r="T1632" s="19"/>
      <c r="U1632" s="19"/>
      <c r="V1632" s="19"/>
      <c r="W1632" s="19"/>
      <c r="X1632" s="19"/>
      <c r="Y1632" s="19"/>
      <c r="Z1632" s="19"/>
      <c r="AA1632" s="19"/>
      <c r="AB1632" s="19"/>
      <c r="AC1632" s="19"/>
      <c r="AD1632" s="19"/>
    </row>
    <row r="1633" spans="1:30" outlineLevel="2" x14ac:dyDescent="0.2">
      <c r="A1633" s="19"/>
      <c r="B1633" s="19"/>
      <c r="C1633" s="19"/>
      <c r="D1633" s="19"/>
      <c r="E1633" s="19"/>
      <c r="F1633" s="19"/>
      <c r="G1633" s="19"/>
      <c r="H1633" s="19"/>
      <c r="I1633" s="19"/>
      <c r="J1633" s="19"/>
      <c r="K1633" s="19"/>
      <c r="L1633" s="19"/>
      <c r="M1633" s="19"/>
      <c r="N1633" s="19"/>
      <c r="O1633" s="19"/>
      <c r="P1633" s="19"/>
      <c r="Q1633" s="19"/>
      <c r="R1633" s="19"/>
      <c r="S1633" s="19"/>
      <c r="T1633" s="19"/>
      <c r="U1633" s="19"/>
      <c r="V1633" s="19"/>
      <c r="W1633" s="19"/>
      <c r="X1633" s="19"/>
      <c r="Y1633" s="19"/>
      <c r="Z1633" s="19"/>
      <c r="AA1633" s="19"/>
      <c r="AB1633" s="19"/>
      <c r="AC1633" s="19"/>
      <c r="AD1633" s="19"/>
    </row>
    <row r="1634" spans="1:30" outlineLevel="2" x14ac:dyDescent="0.2">
      <c r="A1634" s="19"/>
      <c r="B1634" s="19"/>
      <c r="C1634" s="19"/>
      <c r="D1634" s="19"/>
      <c r="E1634" s="19"/>
      <c r="F1634" s="19"/>
      <c r="G1634" s="19"/>
      <c r="H1634" s="19"/>
      <c r="I1634" s="19"/>
      <c r="J1634" s="19"/>
      <c r="K1634" s="19"/>
      <c r="L1634" s="19"/>
      <c r="M1634" s="19"/>
      <c r="N1634" s="19"/>
      <c r="O1634" s="19"/>
      <c r="P1634" s="19"/>
      <c r="Q1634" s="19"/>
      <c r="R1634" s="19"/>
      <c r="S1634" s="19"/>
      <c r="T1634" s="19"/>
      <c r="U1634" s="19"/>
      <c r="V1634" s="19"/>
      <c r="W1634" s="19"/>
      <c r="X1634" s="19"/>
      <c r="Y1634" s="19"/>
      <c r="Z1634" s="19"/>
      <c r="AA1634" s="19"/>
      <c r="AB1634" s="19"/>
      <c r="AC1634" s="19"/>
      <c r="AD1634" s="19"/>
    </row>
    <row r="1635" spans="1:30" outlineLevel="2" x14ac:dyDescent="0.2">
      <c r="A1635" s="19"/>
      <c r="B1635" s="19"/>
      <c r="C1635" s="19"/>
      <c r="D1635" s="19"/>
      <c r="E1635" s="19"/>
      <c r="F1635" s="19"/>
      <c r="G1635" s="19"/>
      <c r="H1635" s="19"/>
      <c r="I1635" s="19"/>
      <c r="J1635" s="19"/>
      <c r="K1635" s="19"/>
      <c r="L1635" s="19"/>
      <c r="M1635" s="19"/>
      <c r="N1635" s="19"/>
      <c r="O1635" s="19"/>
      <c r="P1635" s="19"/>
      <c r="Q1635" s="19"/>
      <c r="R1635" s="19"/>
      <c r="S1635" s="19"/>
      <c r="T1635" s="19"/>
      <c r="U1635" s="19"/>
      <c r="V1635" s="19"/>
      <c r="W1635" s="19"/>
      <c r="X1635" s="19"/>
      <c r="Y1635" s="19"/>
      <c r="Z1635" s="19"/>
      <c r="AA1635" s="19"/>
      <c r="AB1635" s="19"/>
      <c r="AC1635" s="19"/>
      <c r="AD1635" s="19"/>
    </row>
    <row r="1636" spans="1:30" outlineLevel="2" x14ac:dyDescent="0.2">
      <c r="A1636" s="19"/>
      <c r="B1636" s="19"/>
      <c r="C1636" s="19"/>
      <c r="D1636" s="19"/>
      <c r="E1636" s="19"/>
      <c r="F1636" s="19"/>
      <c r="G1636" s="19"/>
      <c r="H1636" s="19"/>
      <c r="I1636" s="19"/>
      <c r="J1636" s="19"/>
      <c r="K1636" s="19"/>
      <c r="L1636" s="19"/>
      <c r="M1636" s="19"/>
      <c r="N1636" s="19"/>
      <c r="O1636" s="19"/>
      <c r="P1636" s="19"/>
      <c r="Q1636" s="19"/>
      <c r="R1636" s="19"/>
      <c r="S1636" s="19"/>
      <c r="T1636" s="19"/>
      <c r="U1636" s="19"/>
      <c r="V1636" s="19"/>
      <c r="W1636" s="19"/>
      <c r="X1636" s="19"/>
      <c r="Y1636" s="19"/>
      <c r="Z1636" s="19"/>
      <c r="AA1636" s="19"/>
      <c r="AB1636" s="19"/>
      <c r="AC1636" s="19"/>
      <c r="AD1636" s="19"/>
    </row>
    <row r="1637" spans="1:30" outlineLevel="2" x14ac:dyDescent="0.2">
      <c r="A1637" s="19"/>
      <c r="B1637" s="19"/>
      <c r="C1637" s="19"/>
      <c r="D1637" s="19"/>
      <c r="E1637" s="19"/>
      <c r="F1637" s="19"/>
      <c r="G1637" s="19"/>
      <c r="H1637" s="19"/>
      <c r="I1637" s="19"/>
      <c r="J1637" s="19"/>
      <c r="K1637" s="19"/>
      <c r="L1637" s="19"/>
      <c r="M1637" s="19"/>
      <c r="N1637" s="19"/>
      <c r="O1637" s="19"/>
      <c r="P1637" s="19"/>
      <c r="Q1637" s="19"/>
      <c r="R1637" s="19"/>
      <c r="S1637" s="19"/>
      <c r="T1637" s="19"/>
      <c r="U1637" s="19"/>
      <c r="V1637" s="19"/>
      <c r="W1637" s="19"/>
      <c r="X1637" s="19"/>
      <c r="Y1637" s="19"/>
      <c r="Z1637" s="19"/>
      <c r="AA1637" s="19"/>
      <c r="AB1637" s="19"/>
      <c r="AC1637" s="19"/>
      <c r="AD1637" s="19"/>
    </row>
    <row r="1638" spans="1:30" outlineLevel="2" x14ac:dyDescent="0.2">
      <c r="A1638" s="19"/>
      <c r="B1638" s="19"/>
      <c r="C1638" s="19"/>
      <c r="D1638" s="19"/>
      <c r="E1638" s="19"/>
      <c r="F1638" s="19"/>
      <c r="G1638" s="19"/>
      <c r="H1638" s="19"/>
      <c r="I1638" s="19"/>
      <c r="J1638" s="19"/>
      <c r="K1638" s="19"/>
      <c r="L1638" s="19"/>
      <c r="M1638" s="19"/>
      <c r="N1638" s="19"/>
      <c r="O1638" s="19"/>
      <c r="P1638" s="19"/>
      <c r="Q1638" s="19"/>
      <c r="R1638" s="19"/>
      <c r="S1638" s="19"/>
      <c r="T1638" s="19"/>
      <c r="U1638" s="19"/>
      <c r="V1638" s="19"/>
      <c r="W1638" s="19"/>
      <c r="X1638" s="19"/>
      <c r="Y1638" s="19"/>
      <c r="Z1638" s="19"/>
      <c r="AA1638" s="19"/>
      <c r="AB1638" s="19"/>
      <c r="AC1638" s="19"/>
      <c r="AD1638" s="19"/>
    </row>
    <row r="1639" spans="1:30" outlineLevel="2" x14ac:dyDescent="0.2">
      <c r="A1639" s="19"/>
      <c r="B1639" s="19"/>
      <c r="C1639" s="19"/>
      <c r="D1639" s="19"/>
      <c r="E1639" s="19"/>
      <c r="F1639" s="19"/>
      <c r="G1639" s="19"/>
      <c r="H1639" s="19"/>
      <c r="I1639" s="19"/>
      <c r="J1639" s="19"/>
      <c r="K1639" s="19"/>
      <c r="L1639" s="19"/>
      <c r="M1639" s="19"/>
      <c r="N1639" s="19"/>
      <c r="O1639" s="19"/>
      <c r="P1639" s="19"/>
      <c r="Q1639" s="19"/>
      <c r="R1639" s="19"/>
      <c r="S1639" s="19"/>
      <c r="T1639" s="19"/>
      <c r="U1639" s="19"/>
      <c r="V1639" s="19"/>
      <c r="W1639" s="19"/>
      <c r="X1639" s="19"/>
      <c r="Y1639" s="19"/>
      <c r="Z1639" s="19"/>
      <c r="AA1639" s="19"/>
      <c r="AB1639" s="19"/>
      <c r="AC1639" s="19"/>
      <c r="AD1639" s="19"/>
    </row>
    <row r="1640" spans="1:30" outlineLevel="2" x14ac:dyDescent="0.2">
      <c r="A1640" s="19"/>
      <c r="B1640" s="19"/>
      <c r="C1640" s="19"/>
      <c r="D1640" s="19"/>
      <c r="E1640" s="19"/>
      <c r="F1640" s="19"/>
      <c r="G1640" s="19"/>
      <c r="H1640" s="19"/>
      <c r="I1640" s="19"/>
      <c r="J1640" s="19"/>
      <c r="K1640" s="19"/>
      <c r="L1640" s="19"/>
      <c r="M1640" s="19"/>
      <c r="N1640" s="19"/>
      <c r="O1640" s="19"/>
      <c r="P1640" s="19"/>
      <c r="Q1640" s="19"/>
      <c r="R1640" s="19"/>
      <c r="S1640" s="19"/>
      <c r="T1640" s="19"/>
      <c r="U1640" s="19"/>
      <c r="V1640" s="19"/>
      <c r="W1640" s="19"/>
      <c r="X1640" s="19"/>
      <c r="Y1640" s="19"/>
      <c r="Z1640" s="19"/>
      <c r="AA1640" s="19"/>
      <c r="AB1640" s="19"/>
      <c r="AC1640" s="19"/>
      <c r="AD1640" s="19"/>
    </row>
    <row r="1641" spans="1:30" outlineLevel="2" x14ac:dyDescent="0.2">
      <c r="A1641" s="19"/>
      <c r="B1641" s="19"/>
      <c r="C1641" s="19"/>
      <c r="D1641" s="19"/>
      <c r="E1641" s="19"/>
      <c r="F1641" s="19"/>
      <c r="G1641" s="19"/>
      <c r="H1641" s="19"/>
      <c r="I1641" s="19"/>
      <c r="J1641" s="19"/>
      <c r="K1641" s="19"/>
      <c r="L1641" s="19"/>
      <c r="M1641" s="19"/>
      <c r="N1641" s="19"/>
      <c r="O1641" s="19"/>
      <c r="P1641" s="19"/>
      <c r="Q1641" s="19"/>
      <c r="R1641" s="19"/>
      <c r="S1641" s="19"/>
      <c r="T1641" s="19"/>
      <c r="U1641" s="19"/>
      <c r="V1641" s="19"/>
      <c r="W1641" s="19"/>
      <c r="X1641" s="19"/>
      <c r="Y1641" s="19"/>
      <c r="Z1641" s="19"/>
      <c r="AA1641" s="19"/>
      <c r="AB1641" s="19"/>
      <c r="AC1641" s="19"/>
      <c r="AD1641" s="19"/>
    </row>
    <row r="1642" spans="1:30" outlineLevel="2" x14ac:dyDescent="0.2">
      <c r="A1642" s="19"/>
      <c r="B1642" s="19"/>
      <c r="C1642" s="19"/>
      <c r="D1642" s="19"/>
      <c r="E1642" s="19"/>
      <c r="F1642" s="19"/>
      <c r="G1642" s="19"/>
      <c r="H1642" s="19"/>
      <c r="I1642" s="19"/>
      <c r="J1642" s="19"/>
      <c r="K1642" s="19"/>
      <c r="L1642" s="19"/>
      <c r="M1642" s="19"/>
      <c r="N1642" s="19"/>
      <c r="O1642" s="19"/>
      <c r="P1642" s="19"/>
      <c r="Q1642" s="19"/>
      <c r="R1642" s="19"/>
      <c r="S1642" s="19"/>
      <c r="T1642" s="19"/>
      <c r="U1642" s="19"/>
      <c r="V1642" s="19"/>
      <c r="W1642" s="19"/>
      <c r="X1642" s="19"/>
      <c r="Y1642" s="19"/>
      <c r="Z1642" s="19"/>
      <c r="AA1642" s="19"/>
      <c r="AB1642" s="19"/>
      <c r="AC1642" s="19"/>
      <c r="AD1642" s="19"/>
    </row>
    <row r="1643" spans="1:30" outlineLevel="2" x14ac:dyDescent="0.2">
      <c r="A1643" s="19"/>
      <c r="B1643" s="19"/>
      <c r="C1643" s="19"/>
      <c r="D1643" s="19"/>
      <c r="E1643" s="19"/>
      <c r="F1643" s="19"/>
      <c r="G1643" s="19"/>
      <c r="H1643" s="19"/>
      <c r="I1643" s="19"/>
      <c r="J1643" s="19"/>
      <c r="K1643" s="19"/>
      <c r="L1643" s="19"/>
      <c r="M1643" s="19"/>
      <c r="N1643" s="19"/>
      <c r="O1643" s="19"/>
      <c r="P1643" s="19"/>
      <c r="Q1643" s="19"/>
      <c r="R1643" s="19"/>
      <c r="S1643" s="19"/>
      <c r="T1643" s="19"/>
      <c r="U1643" s="19"/>
      <c r="V1643" s="19"/>
      <c r="W1643" s="19"/>
      <c r="X1643" s="19"/>
      <c r="Y1643" s="19"/>
      <c r="Z1643" s="19"/>
      <c r="AA1643" s="19"/>
      <c r="AB1643" s="19"/>
      <c r="AC1643" s="19"/>
      <c r="AD1643" s="19"/>
    </row>
    <row r="1644" spans="1:30" outlineLevel="2" x14ac:dyDescent="0.2">
      <c r="A1644" s="19"/>
      <c r="B1644" s="19"/>
      <c r="C1644" s="19"/>
      <c r="D1644" s="19"/>
      <c r="E1644" s="19"/>
      <c r="F1644" s="19"/>
      <c r="G1644" s="19"/>
      <c r="H1644" s="19"/>
      <c r="I1644" s="19"/>
      <c r="J1644" s="19"/>
      <c r="K1644" s="19"/>
      <c r="L1644" s="19"/>
      <c r="M1644" s="19"/>
      <c r="N1644" s="19"/>
      <c r="O1644" s="19"/>
      <c r="P1644" s="19"/>
      <c r="Q1644" s="19"/>
      <c r="R1644" s="19"/>
      <c r="S1644" s="19"/>
      <c r="T1644" s="19"/>
      <c r="U1644" s="19"/>
      <c r="V1644" s="19"/>
      <c r="W1644" s="19"/>
      <c r="X1644" s="19"/>
      <c r="Y1644" s="19"/>
      <c r="Z1644" s="19"/>
      <c r="AA1644" s="19"/>
      <c r="AB1644" s="19"/>
      <c r="AC1644" s="19"/>
      <c r="AD1644" s="19"/>
    </row>
    <row r="1645" spans="1:30" outlineLevel="2" x14ac:dyDescent="0.2">
      <c r="A1645" s="19"/>
      <c r="B1645" s="19"/>
      <c r="C1645" s="19"/>
      <c r="D1645" s="19"/>
      <c r="E1645" s="19"/>
      <c r="F1645" s="19"/>
      <c r="G1645" s="19"/>
      <c r="H1645" s="19"/>
      <c r="I1645" s="19"/>
      <c r="J1645" s="19"/>
      <c r="K1645" s="19"/>
      <c r="L1645" s="19"/>
      <c r="M1645" s="19"/>
      <c r="N1645" s="19"/>
      <c r="O1645" s="19"/>
      <c r="P1645" s="19"/>
      <c r="Q1645" s="19"/>
      <c r="R1645" s="19"/>
      <c r="S1645" s="19"/>
      <c r="T1645" s="19"/>
      <c r="U1645" s="19"/>
      <c r="V1645" s="19"/>
      <c r="W1645" s="19"/>
      <c r="X1645" s="19"/>
      <c r="Y1645" s="19"/>
      <c r="Z1645" s="19"/>
      <c r="AA1645" s="19"/>
      <c r="AB1645" s="19"/>
      <c r="AC1645" s="19"/>
      <c r="AD1645" s="19"/>
    </row>
    <row r="1646" spans="1:30" outlineLevel="2" x14ac:dyDescent="0.2">
      <c r="A1646" s="19"/>
      <c r="B1646" s="19"/>
      <c r="C1646" s="19"/>
      <c r="D1646" s="19"/>
      <c r="E1646" s="19"/>
      <c r="F1646" s="19"/>
      <c r="G1646" s="19"/>
      <c r="H1646" s="19"/>
      <c r="I1646" s="19"/>
      <c r="J1646" s="19"/>
      <c r="K1646" s="19"/>
      <c r="L1646" s="19"/>
      <c r="M1646" s="19"/>
      <c r="N1646" s="19"/>
      <c r="O1646" s="19"/>
      <c r="P1646" s="19"/>
      <c r="Q1646" s="19"/>
      <c r="R1646" s="19"/>
      <c r="S1646" s="19"/>
      <c r="T1646" s="19"/>
      <c r="U1646" s="19"/>
      <c r="V1646" s="19"/>
      <c r="W1646" s="19"/>
      <c r="X1646" s="19"/>
      <c r="Y1646" s="19"/>
      <c r="Z1646" s="19"/>
      <c r="AA1646" s="19"/>
      <c r="AB1646" s="19"/>
      <c r="AC1646" s="19"/>
      <c r="AD1646" s="19"/>
    </row>
    <row r="1647" spans="1:30" outlineLevel="2" x14ac:dyDescent="0.2">
      <c r="A1647" s="19"/>
      <c r="B1647" s="19"/>
      <c r="C1647" s="19"/>
      <c r="D1647" s="19"/>
      <c r="E1647" s="19"/>
      <c r="F1647" s="19"/>
      <c r="G1647" s="19"/>
      <c r="H1647" s="19"/>
      <c r="I1647" s="19"/>
      <c r="J1647" s="19"/>
      <c r="K1647" s="19"/>
      <c r="L1647" s="19"/>
      <c r="M1647" s="19"/>
      <c r="N1647" s="19"/>
      <c r="O1647" s="19"/>
      <c r="P1647" s="19"/>
      <c r="Q1647" s="19"/>
      <c r="R1647" s="19"/>
      <c r="S1647" s="19"/>
      <c r="T1647" s="19"/>
      <c r="U1647" s="19"/>
      <c r="V1647" s="19"/>
      <c r="W1647" s="19"/>
      <c r="X1647" s="19"/>
      <c r="Y1647" s="19"/>
      <c r="Z1647" s="19"/>
      <c r="AA1647" s="19"/>
      <c r="AB1647" s="19"/>
      <c r="AC1647" s="19"/>
      <c r="AD1647" s="19"/>
    </row>
    <row r="1648" spans="1:30" outlineLevel="2" x14ac:dyDescent="0.2">
      <c r="A1648" s="19"/>
      <c r="B1648" s="19"/>
      <c r="C1648" s="19"/>
      <c r="D1648" s="19"/>
      <c r="E1648" s="19"/>
      <c r="F1648" s="19"/>
      <c r="G1648" s="19"/>
      <c r="H1648" s="19"/>
      <c r="I1648" s="19"/>
      <c r="J1648" s="19"/>
      <c r="K1648" s="19"/>
      <c r="L1648" s="19"/>
      <c r="M1648" s="19"/>
      <c r="N1648" s="19"/>
      <c r="O1648" s="19"/>
      <c r="P1648" s="19"/>
      <c r="Q1648" s="19"/>
      <c r="R1648" s="19"/>
      <c r="S1648" s="19"/>
      <c r="T1648" s="19"/>
      <c r="U1648" s="19"/>
      <c r="V1648" s="19"/>
      <c r="W1648" s="19"/>
      <c r="X1648" s="19"/>
      <c r="Y1648" s="19"/>
      <c r="Z1648" s="19"/>
      <c r="AA1648" s="19"/>
      <c r="AB1648" s="19"/>
      <c r="AC1648" s="19"/>
      <c r="AD1648" s="19"/>
    </row>
    <row r="1649" spans="1:31" outlineLevel="2" x14ac:dyDescent="0.2">
      <c r="A1649" s="19"/>
      <c r="B1649" s="19"/>
      <c r="C1649" s="19"/>
      <c r="D1649" s="19"/>
      <c r="E1649" s="19"/>
      <c r="F1649" s="19"/>
      <c r="G1649" s="19"/>
      <c r="H1649" s="19"/>
      <c r="I1649" s="19"/>
      <c r="J1649" s="19"/>
      <c r="K1649" s="19"/>
      <c r="L1649" s="19"/>
      <c r="M1649" s="19"/>
      <c r="N1649" s="19"/>
      <c r="O1649" s="19"/>
      <c r="P1649" s="19"/>
      <c r="Q1649" s="19"/>
      <c r="R1649" s="19"/>
      <c r="S1649" s="19"/>
      <c r="T1649" s="19"/>
      <c r="U1649" s="19"/>
      <c r="V1649" s="19"/>
      <c r="W1649" s="19"/>
      <c r="X1649" s="19"/>
      <c r="Y1649" s="19"/>
      <c r="Z1649" s="19"/>
      <c r="AA1649" s="19"/>
      <c r="AB1649" s="19"/>
      <c r="AC1649" s="19"/>
      <c r="AD1649" s="19"/>
    </row>
    <row r="1650" spans="1:31" outlineLevel="2" x14ac:dyDescent="0.2">
      <c r="A1650" s="19"/>
      <c r="B1650" s="19"/>
      <c r="C1650" s="19"/>
      <c r="D1650" s="19"/>
      <c r="E1650" s="19"/>
      <c r="F1650" s="19"/>
      <c r="G1650" s="19"/>
      <c r="H1650" s="19"/>
      <c r="I1650" s="19"/>
      <c r="J1650" s="19"/>
      <c r="K1650" s="19"/>
      <c r="L1650" s="19"/>
      <c r="M1650" s="19"/>
      <c r="N1650" s="19"/>
      <c r="O1650" s="19"/>
      <c r="P1650" s="19"/>
      <c r="Q1650" s="19"/>
      <c r="R1650" s="19"/>
      <c r="S1650" s="19"/>
      <c r="T1650" s="19"/>
      <c r="U1650" s="19"/>
      <c r="V1650" s="19"/>
      <c r="W1650" s="19"/>
      <c r="X1650" s="19"/>
      <c r="Y1650" s="19"/>
      <c r="Z1650" s="19"/>
      <c r="AA1650" s="19"/>
      <c r="AB1650" s="19"/>
      <c r="AC1650" s="19"/>
      <c r="AD1650" s="19"/>
    </row>
    <row r="1651" spans="1:31" outlineLevel="2" x14ac:dyDescent="0.2">
      <c r="A1651" s="19"/>
      <c r="B1651" s="19"/>
      <c r="C1651" s="19"/>
      <c r="D1651" s="19"/>
      <c r="E1651" s="19"/>
      <c r="F1651" s="19"/>
      <c r="G1651" s="19"/>
      <c r="H1651" s="19"/>
      <c r="I1651" s="19"/>
      <c r="J1651" s="19"/>
      <c r="K1651" s="19"/>
      <c r="L1651" s="19"/>
      <c r="M1651" s="19"/>
      <c r="N1651" s="19"/>
      <c r="O1651" s="19"/>
      <c r="P1651" s="19"/>
      <c r="Q1651" s="19"/>
      <c r="R1651" s="19"/>
      <c r="S1651" s="19"/>
      <c r="T1651" s="19"/>
      <c r="U1651" s="19"/>
      <c r="V1651" s="19"/>
      <c r="W1651" s="19"/>
      <c r="X1651" s="19"/>
      <c r="Y1651" s="19"/>
      <c r="Z1651" s="19"/>
      <c r="AA1651" s="19"/>
      <c r="AB1651" s="19"/>
      <c r="AC1651" s="19"/>
      <c r="AD1651" s="19"/>
    </row>
    <row r="1652" spans="1:31" outlineLevel="2" x14ac:dyDescent="0.2">
      <c r="A1652" s="19"/>
      <c r="B1652" s="19"/>
      <c r="C1652" s="19"/>
      <c r="D1652" s="19"/>
      <c r="E1652" s="19"/>
      <c r="F1652" s="19"/>
      <c r="G1652" s="19"/>
      <c r="H1652" s="19"/>
      <c r="I1652" s="19"/>
      <c r="J1652" s="19"/>
      <c r="K1652" s="19"/>
      <c r="L1652" s="19"/>
      <c r="M1652" s="19"/>
      <c r="N1652" s="19"/>
      <c r="O1652" s="19"/>
      <c r="P1652" s="19"/>
      <c r="Q1652" s="19"/>
      <c r="R1652" s="19"/>
      <c r="S1652" s="19"/>
      <c r="T1652" s="19"/>
      <c r="U1652" s="19"/>
      <c r="V1652" s="19"/>
      <c r="W1652" s="19"/>
      <c r="X1652" s="19"/>
      <c r="Y1652" s="19"/>
      <c r="Z1652" s="19"/>
      <c r="AA1652" s="19"/>
      <c r="AB1652" s="19"/>
      <c r="AC1652" s="19"/>
      <c r="AD1652" s="19"/>
    </row>
    <row r="1653" spans="1:31" outlineLevel="2" x14ac:dyDescent="0.2">
      <c r="A1653" s="19"/>
      <c r="B1653" s="19"/>
      <c r="C1653" s="19"/>
      <c r="D1653" s="19"/>
      <c r="E1653" s="19"/>
      <c r="F1653" s="19"/>
      <c r="G1653" s="19"/>
      <c r="H1653" s="19"/>
      <c r="I1653" s="19"/>
      <c r="J1653" s="19"/>
      <c r="K1653" s="19"/>
      <c r="L1653" s="19"/>
      <c r="M1653" s="19"/>
      <c r="N1653" s="19"/>
      <c r="O1653" s="19"/>
      <c r="P1653" s="19"/>
      <c r="Q1653" s="19"/>
      <c r="R1653" s="19"/>
      <c r="S1653" s="19"/>
      <c r="T1653" s="19"/>
      <c r="U1653" s="19"/>
      <c r="V1653" s="19"/>
      <c r="W1653" s="19"/>
      <c r="X1653" s="19"/>
      <c r="Y1653" s="19"/>
      <c r="Z1653" s="19"/>
      <c r="AA1653" s="19"/>
      <c r="AB1653" s="19"/>
      <c r="AC1653" s="19"/>
      <c r="AD1653" s="19"/>
    </row>
    <row r="1654" spans="1:31" outlineLevel="2" x14ac:dyDescent="0.2">
      <c r="A1654" s="19"/>
      <c r="B1654" s="19"/>
      <c r="C1654" s="19"/>
      <c r="D1654" s="19"/>
      <c r="E1654" s="19"/>
      <c r="F1654" s="19"/>
      <c r="G1654" s="19"/>
      <c r="H1654" s="19"/>
      <c r="I1654" s="19"/>
      <c r="J1654" s="19"/>
      <c r="K1654" s="19"/>
      <c r="L1654" s="19"/>
      <c r="M1654" s="19"/>
      <c r="N1654" s="19"/>
      <c r="O1654" s="19"/>
      <c r="P1654" s="19"/>
      <c r="Q1654" s="19"/>
      <c r="R1654" s="19"/>
      <c r="S1654" s="19"/>
      <c r="T1654" s="19"/>
      <c r="U1654" s="19"/>
      <c r="V1654" s="19"/>
      <c r="W1654" s="19"/>
      <c r="X1654" s="19"/>
      <c r="Y1654" s="19"/>
      <c r="Z1654" s="19"/>
      <c r="AA1654" s="19"/>
      <c r="AB1654" s="19"/>
      <c r="AC1654" s="19"/>
      <c r="AD1654" s="19"/>
    </row>
    <row r="1655" spans="1:31" outlineLevel="1" x14ac:dyDescent="0.2">
      <c r="A1655" s="19"/>
      <c r="B1655" s="19"/>
      <c r="C1655" s="19"/>
      <c r="D1655" s="19"/>
      <c r="E1655" s="19"/>
      <c r="F1655" s="19"/>
      <c r="G1655" s="19"/>
      <c r="H1655" s="19"/>
      <c r="I1655" s="19"/>
      <c r="J1655" s="19"/>
      <c r="K1655" s="19"/>
      <c r="L1655" s="19"/>
      <c r="M1655" s="19"/>
      <c r="N1655" s="19"/>
      <c r="O1655" s="19"/>
      <c r="P1655" s="19"/>
      <c r="Q1655" s="19"/>
      <c r="R1655" s="19"/>
      <c r="S1655" s="19"/>
      <c r="T1655" s="19"/>
      <c r="U1655" s="19"/>
      <c r="V1655" s="19"/>
      <c r="W1655" s="19"/>
      <c r="X1655" s="19"/>
      <c r="Y1655" s="19"/>
      <c r="Z1655" s="19"/>
      <c r="AA1655" s="19"/>
      <c r="AB1655" s="19"/>
      <c r="AC1655" s="19"/>
      <c r="AD1655" s="19"/>
    </row>
    <row r="1656" spans="1:31" outlineLevel="1" x14ac:dyDescent="0.2">
      <c r="A1656" s="19"/>
      <c r="B1656" s="19"/>
      <c r="C1656" s="19"/>
      <c r="D1656" s="19"/>
      <c r="E1656" s="19"/>
      <c r="F1656" s="19"/>
      <c r="G1656" s="19"/>
      <c r="H1656" s="19"/>
      <c r="I1656" s="19"/>
      <c r="J1656" s="19"/>
      <c r="K1656" s="19"/>
      <c r="L1656" s="19"/>
      <c r="M1656" s="19"/>
      <c r="N1656" s="19"/>
      <c r="O1656" s="19"/>
      <c r="P1656" s="19"/>
      <c r="Q1656" s="19"/>
      <c r="R1656" s="19"/>
      <c r="S1656" s="19"/>
      <c r="T1656" s="19"/>
      <c r="U1656" s="19"/>
      <c r="V1656" s="19"/>
      <c r="W1656" s="19"/>
      <c r="X1656" s="19"/>
      <c r="Y1656" s="19"/>
      <c r="Z1656" s="19"/>
      <c r="AA1656" s="19"/>
      <c r="AB1656" s="19"/>
      <c r="AC1656" s="19"/>
      <c r="AD1656" s="19"/>
    </row>
    <row r="1657" spans="1:31" s="4" customFormat="1" ht="15.95" customHeight="1" thickBot="1" x14ac:dyDescent="0.25">
      <c r="A1657" s="165" t="str">
        <f ca="1">Language!A$1024</f>
        <v xml:space="preserve">         АНАЛИЗ СЕБЕСТОИМОСТИ</v>
      </c>
      <c r="B1657" s="165"/>
      <c r="C1657" s="165"/>
      <c r="D1657" s="165"/>
      <c r="E1657" s="165"/>
      <c r="F1657" s="177" t="str">
        <f t="shared" ref="F1657:AC1657" ca="1" si="4506">PeriodTitle</f>
        <v>1 кв. 2016</v>
      </c>
      <c r="G1657" s="177" t="str">
        <f t="shared" ca="1" si="4506"/>
        <v>2 кв. 2016</v>
      </c>
      <c r="H1657" s="177" t="str">
        <f t="shared" ca="1" si="4506"/>
        <v>3 кв. 2016</v>
      </c>
      <c r="I1657" s="177" t="str">
        <f t="shared" ca="1" si="4506"/>
        <v>4 кв. 2016</v>
      </c>
      <c r="J1657" s="177" t="str">
        <f t="shared" ca="1" si="4506"/>
        <v>1 кв. 2017</v>
      </c>
      <c r="K1657" s="177" t="str">
        <f t="shared" ca="1" si="4506"/>
        <v>2 кв. 2017</v>
      </c>
      <c r="L1657" s="177" t="str">
        <f t="shared" ca="1" si="4506"/>
        <v>3 кв. 2017</v>
      </c>
      <c r="M1657" s="177" t="str">
        <f t="shared" ca="1" si="4506"/>
        <v>4 кв. 2017</v>
      </c>
      <c r="N1657" s="177" t="str">
        <f t="shared" ca="1" si="4506"/>
        <v>1 кв. 2018</v>
      </c>
      <c r="O1657" s="177" t="str">
        <f t="shared" ca="1" si="4506"/>
        <v>2 кв. 2018</v>
      </c>
      <c r="P1657" s="177" t="str">
        <f t="shared" ca="1" si="4506"/>
        <v>3 кв. 2018</v>
      </c>
      <c r="Q1657" s="177" t="str">
        <f t="shared" ca="1" si="4506"/>
        <v>4 кв. 2018</v>
      </c>
      <c r="R1657" s="177" t="str">
        <f t="shared" ca="1" si="4506"/>
        <v>1 кв. 2019</v>
      </c>
      <c r="S1657" s="177" t="str">
        <f t="shared" ca="1" si="4506"/>
        <v>2 кв. 2019</v>
      </c>
      <c r="T1657" s="177" t="str">
        <f t="shared" ca="1" si="4506"/>
        <v>3 кв. 2019</v>
      </c>
      <c r="U1657" s="177" t="str">
        <f t="shared" ca="1" si="4506"/>
        <v>4 кв. 2019</v>
      </c>
      <c r="V1657" s="177" t="str">
        <f t="shared" ca="1" si="4506"/>
        <v>1 кв. 2020</v>
      </c>
      <c r="W1657" s="177" t="str">
        <f t="shared" ca="1" si="4506"/>
        <v>2 кв. 2020</v>
      </c>
      <c r="X1657" s="177" t="str">
        <f t="shared" ca="1" si="4506"/>
        <v>3 кв. 2020</v>
      </c>
      <c r="Y1657" s="177" t="str">
        <f t="shared" ca="1" si="4506"/>
        <v>4 кв. 2020</v>
      </c>
      <c r="Z1657" s="177" t="str">
        <f t="shared" ca="1" si="4506"/>
        <v>1 кв. 2021</v>
      </c>
      <c r="AA1657" s="177" t="str">
        <f t="shared" ca="1" si="4506"/>
        <v>2 кв. 2021</v>
      </c>
      <c r="AB1657" s="177" t="str">
        <f t="shared" ca="1" si="4506"/>
        <v>3 кв. 2021</v>
      </c>
      <c r="AC1657" s="177" t="str">
        <f t="shared" ca="1" si="4506"/>
        <v>4 кв. 2021</v>
      </c>
      <c r="AD1657" s="165"/>
      <c r="AE1657" s="38"/>
    </row>
    <row r="1658" spans="1:31" ht="12" outlineLevel="1" thickTop="1" x14ac:dyDescent="0.2">
      <c r="D1658" s="48"/>
      <c r="E1658" s="48"/>
    </row>
    <row r="1659" spans="1:31" outlineLevel="1" x14ac:dyDescent="0.2">
      <c r="A1659" s="51" t="str">
        <f ca="1">Language!A$1025</f>
        <v>База распределения постоянных расходов</v>
      </c>
      <c r="B1659" s="254">
        <v>1</v>
      </c>
      <c r="C1659" s="316" t="str">
        <f ca="1">CHOOSE(B1659,Language!A1026,Language!A1027,Language!A1028)</f>
        <v>Затраты на сырье и материалы</v>
      </c>
    </row>
    <row r="1660" spans="1:31" outlineLevel="1" x14ac:dyDescent="0.2">
      <c r="D1660">
        <v>0</v>
      </c>
      <c r="E1660">
        <v>24</v>
      </c>
    </row>
    <row r="1661" spans="1:31" outlineLevel="1" x14ac:dyDescent="0.2">
      <c r="A1661" s="35" t="str">
        <f>A664</f>
        <v>Долота</v>
      </c>
      <c r="F1661" s="43"/>
      <c r="G1661" s="43"/>
      <c r="H1661" s="43"/>
      <c r="I1661" s="43"/>
      <c r="J1661" s="43"/>
      <c r="K1661" s="43"/>
      <c r="L1661" s="43"/>
      <c r="M1661" s="43"/>
      <c r="N1661" s="43"/>
      <c r="O1661" s="43"/>
      <c r="P1661" s="43"/>
      <c r="Q1661" s="43"/>
      <c r="R1661" s="43"/>
      <c r="S1661" s="43"/>
      <c r="T1661" s="43"/>
      <c r="U1661" s="43"/>
      <c r="V1661" s="43"/>
      <c r="W1661" s="43"/>
      <c r="X1661" s="43"/>
      <c r="Y1661" s="43"/>
      <c r="Z1661" s="43"/>
      <c r="AA1661" s="43"/>
      <c r="AB1661" s="43"/>
      <c r="AC1661" s="43"/>
    </row>
    <row r="1662" spans="1:31" outlineLevel="1" x14ac:dyDescent="0.2">
      <c r="A1662" s="23" t="str">
        <f ca="1">Language!A$995</f>
        <v>Цена реализации</v>
      </c>
      <c r="C1662" s="5" t="str">
        <f ca="1">CUR_Main&amp;" / " &amp;C671</f>
        <v>тыс. EUR / ед.</v>
      </c>
      <c r="D1662" s="16" t="s">
        <v>2429</v>
      </c>
      <c r="F1662" s="317">
        <f t="shared" ref="F1662:X1662" si="4507">F681*IF($B678=1,1,F$88)</f>
        <v>0</v>
      </c>
      <c r="G1662" s="317">
        <f t="shared" si="4507"/>
        <v>0</v>
      </c>
      <c r="H1662" s="317">
        <f t="shared" si="4507"/>
        <v>0</v>
      </c>
      <c r="I1662" s="317">
        <f t="shared" si="4507"/>
        <v>0</v>
      </c>
      <c r="J1662" s="317">
        <f t="shared" si="4507"/>
        <v>0</v>
      </c>
      <c r="K1662" s="317">
        <f t="shared" si="4507"/>
        <v>8.5066776748961868</v>
      </c>
      <c r="L1662" s="317">
        <f t="shared" si="4507"/>
        <v>8.5134748275305991</v>
      </c>
      <c r="M1662" s="317">
        <f t="shared" si="4507"/>
        <v>8.4676262884251177</v>
      </c>
      <c r="N1662" s="317">
        <f t="shared" si="4507"/>
        <v>8.4906447461459571</v>
      </c>
      <c r="O1662" s="317">
        <f t="shared" si="4507"/>
        <v>8.4906447461459571</v>
      </c>
      <c r="P1662" s="317">
        <f t="shared" si="4507"/>
        <v>8.4906447461459571</v>
      </c>
      <c r="Q1662" s="317">
        <f t="shared" si="4507"/>
        <v>8.4906447461459571</v>
      </c>
      <c r="R1662" s="317">
        <f t="shared" si="4507"/>
        <v>8.4906447461459571</v>
      </c>
      <c r="S1662" s="317">
        <f t="shared" si="4507"/>
        <v>8.4906447461459571</v>
      </c>
      <c r="T1662" s="317">
        <f t="shared" si="4507"/>
        <v>8.4906447461459571</v>
      </c>
      <c r="U1662" s="317">
        <f t="shared" si="4507"/>
        <v>8.4906447461459571</v>
      </c>
      <c r="V1662" s="317">
        <f t="shared" si="4507"/>
        <v>8.4906447461459571</v>
      </c>
      <c r="W1662" s="317">
        <f t="shared" si="4507"/>
        <v>8.4906447461459571</v>
      </c>
      <c r="X1662" s="317">
        <f t="shared" si="4507"/>
        <v>8.4906447461459571</v>
      </c>
      <c r="Y1662" s="317">
        <f t="shared" ref="Y1662" si="4508">Y681*IF($B678=1,1,Y$88)</f>
        <v>8.4906447461459571</v>
      </c>
      <c r="Z1662" s="317">
        <f t="shared" ref="Z1662" si="4509">Z681*IF($B678=1,1,Z$88)</f>
        <v>8.4906447461459571</v>
      </c>
      <c r="AA1662" s="317">
        <f t="shared" ref="AA1662" si="4510">AA681*IF($B678=1,1,AA$88)</f>
        <v>8.4906447461459571</v>
      </c>
      <c r="AB1662" s="317">
        <f t="shared" ref="AB1662:AC1662" si="4511">AB681*IF($B678=1,1,AB$88)</f>
        <v>8.4906447461459571</v>
      </c>
      <c r="AC1662" s="317">
        <f t="shared" si="4511"/>
        <v>8.4906447461459571</v>
      </c>
    </row>
    <row r="1663" spans="1:31" outlineLevel="1" collapsed="1" x14ac:dyDescent="0.2">
      <c r="A1663" s="23" t="str">
        <f ca="1">Language!A$1029</f>
        <v>Себестоимость единицы</v>
      </c>
      <c r="C1663" s="5" t="str">
        <f ca="1">CUR_Main&amp;" / " &amp;C671</f>
        <v>тыс. EUR / ед.</v>
      </c>
      <c r="D1663" s="16" t="s">
        <v>2429</v>
      </c>
      <c r="F1663" s="318" t="str">
        <f t="shared" ref="F1663:X1663" ca="1" si="4512">IF(F1675="-","-",IF(F671&gt;0,F1666/F671,"-"))</f>
        <v>-</v>
      </c>
      <c r="G1663" s="318" t="str">
        <f t="shared" ca="1" si="4512"/>
        <v>-</v>
      </c>
      <c r="H1663" s="318" t="str">
        <f t="shared" ca="1" si="4512"/>
        <v>-</v>
      </c>
      <c r="I1663" s="318" t="str">
        <f t="shared" ca="1" si="4512"/>
        <v>-</v>
      </c>
      <c r="J1663" s="318" t="str">
        <f t="shared" ca="1" si="4512"/>
        <v>-</v>
      </c>
      <c r="K1663" s="318">
        <f t="shared" ca="1" si="4512"/>
        <v>14.82304699752639</v>
      </c>
      <c r="L1663" s="318">
        <f t="shared" ca="1" si="4512"/>
        <v>8.1871157007050659</v>
      </c>
      <c r="M1663" s="318">
        <f t="shared" ca="1" si="4512"/>
        <v>7.2789984392374256</v>
      </c>
      <c r="N1663" s="318">
        <f t="shared" ca="1" si="4512"/>
        <v>6.8751859194176648</v>
      </c>
      <c r="O1663" s="318">
        <f t="shared" ca="1" si="4512"/>
        <v>6.7043217716741177</v>
      </c>
      <c r="P1663" s="318">
        <f t="shared" ca="1" si="4512"/>
        <v>6.7043217716741177</v>
      </c>
      <c r="Q1663" s="318">
        <f t="shared" ca="1" si="4512"/>
        <v>6.7043217716741177</v>
      </c>
      <c r="R1663" s="318">
        <f t="shared" ca="1" si="4512"/>
        <v>6.7043217716741177</v>
      </c>
      <c r="S1663" s="318">
        <f t="shared" ca="1" si="4512"/>
        <v>6.7043217716741177</v>
      </c>
      <c r="T1663" s="318">
        <f t="shared" ca="1" si="4512"/>
        <v>6.7043217716741177</v>
      </c>
      <c r="U1663" s="318">
        <f t="shared" ca="1" si="4512"/>
        <v>6.7043217716741177</v>
      </c>
      <c r="V1663" s="318">
        <f t="shared" ca="1" si="4512"/>
        <v>6.7043217716741177</v>
      </c>
      <c r="W1663" s="318">
        <f t="shared" ca="1" si="4512"/>
        <v>6.7043217716741177</v>
      </c>
      <c r="X1663" s="318">
        <f t="shared" ca="1" si="4512"/>
        <v>6.7043217716741177</v>
      </c>
      <c r="Y1663" s="318">
        <f t="shared" ref="Y1663" ca="1" si="4513">IF(Y1675="-","-",IF(Y671&gt;0,Y1666/Y671,"-"))</f>
        <v>6.7043217716741177</v>
      </c>
      <c r="Z1663" s="318">
        <f t="shared" ref="Z1663" ca="1" si="4514">IF(Z1675="-","-",IF(Z671&gt;0,Z1666/Z671,"-"))</f>
        <v>6.7043217716741177</v>
      </c>
      <c r="AA1663" s="318">
        <f t="shared" ref="AA1663" ca="1" si="4515">IF(AA1675="-","-",IF(AA671&gt;0,AA1666/AA671,"-"))</f>
        <v>6.7043217716741177</v>
      </c>
      <c r="AB1663" s="318">
        <f t="shared" ref="AB1663:AC1663" ca="1" si="4516">IF(AB1675="-","-",IF(AB671&gt;0,AB1666/AB671,"-"))</f>
        <v>6.7043217716741177</v>
      </c>
      <c r="AC1663" s="318">
        <f t="shared" ca="1" si="4516"/>
        <v>6.7043217716741177</v>
      </c>
    </row>
    <row r="1664" spans="1:31" hidden="1" outlineLevel="2" x14ac:dyDescent="0.2">
      <c r="A1664" s="23" t="str">
        <f ca="1">Language!A$1043</f>
        <v xml:space="preserve">    постоянные затраты на единицу</v>
      </c>
      <c r="C1664" s="5" t="str">
        <f ca="1">CUR_Main&amp;" / " &amp;C671</f>
        <v>тыс. EUR / ед.</v>
      </c>
      <c r="D1664" s="16" t="s">
        <v>2429</v>
      </c>
      <c r="F1664" s="318" t="str">
        <f t="shared" ref="F1664:X1664" ca="1" si="4517">IF(F1675="-","-",IF(F671&gt;0,F1677/F671,"-"))</f>
        <v>-</v>
      </c>
      <c r="G1664" s="318" t="str">
        <f t="shared" ca="1" si="4517"/>
        <v>-</v>
      </c>
      <c r="H1664" s="318" t="str">
        <f t="shared" ca="1" si="4517"/>
        <v>-</v>
      </c>
      <c r="I1664" s="318" t="str">
        <f t="shared" ca="1" si="4517"/>
        <v>-</v>
      </c>
      <c r="J1664" s="318" t="str">
        <f t="shared" ca="1" si="4517"/>
        <v>-</v>
      </c>
      <c r="K1664" s="318">
        <f t="shared" ca="1" si="4517"/>
        <v>9.1901464766927976</v>
      </c>
      <c r="L1664" s="318">
        <f t="shared" ca="1" si="4517"/>
        <v>2.5492165384283116</v>
      </c>
      <c r="M1664" s="318">
        <f t="shared" ca="1" si="4517"/>
        <v>1.67481639646757</v>
      </c>
      <c r="N1664" s="318">
        <f t="shared" ca="1" si="4517"/>
        <v>1.2540760507021989</v>
      </c>
      <c r="O1664" s="318">
        <f t="shared" ca="1" si="4517"/>
        <v>1.0832119029586516</v>
      </c>
      <c r="P1664" s="318">
        <f t="shared" ca="1" si="4517"/>
        <v>1.0832119029586516</v>
      </c>
      <c r="Q1664" s="318">
        <f t="shared" ca="1" si="4517"/>
        <v>1.0832119029586516</v>
      </c>
      <c r="R1664" s="318">
        <f t="shared" ca="1" si="4517"/>
        <v>1.0832119029586516</v>
      </c>
      <c r="S1664" s="318">
        <f t="shared" ca="1" si="4517"/>
        <v>1.0832119029586516</v>
      </c>
      <c r="T1664" s="318">
        <f t="shared" ca="1" si="4517"/>
        <v>1.0832119029586516</v>
      </c>
      <c r="U1664" s="318">
        <f t="shared" ca="1" si="4517"/>
        <v>1.0832119029586516</v>
      </c>
      <c r="V1664" s="318">
        <f t="shared" ca="1" si="4517"/>
        <v>1.0832119029586516</v>
      </c>
      <c r="W1664" s="318">
        <f t="shared" ca="1" si="4517"/>
        <v>1.0832119029586516</v>
      </c>
      <c r="X1664" s="318">
        <f t="shared" ca="1" si="4517"/>
        <v>1.0832119029586516</v>
      </c>
      <c r="Y1664" s="318">
        <f t="shared" ref="Y1664" ca="1" si="4518">IF(Y1675="-","-",IF(Y671&gt;0,Y1677/Y671,"-"))</f>
        <v>1.0832119029586516</v>
      </c>
      <c r="Z1664" s="318">
        <f t="shared" ref="Z1664" ca="1" si="4519">IF(Z1675="-","-",IF(Z671&gt;0,Z1677/Z671,"-"))</f>
        <v>1.0832119029586516</v>
      </c>
      <c r="AA1664" s="318">
        <f t="shared" ref="AA1664" ca="1" si="4520">IF(AA1675="-","-",IF(AA671&gt;0,AA1677/AA671,"-"))</f>
        <v>1.0832119029586516</v>
      </c>
      <c r="AB1664" s="318">
        <f t="shared" ref="AB1664:AC1664" ca="1" si="4521">IF(AB1675="-","-",IF(AB671&gt;0,AB1677/AB671,"-"))</f>
        <v>1.0832119029586516</v>
      </c>
      <c r="AC1664" s="318">
        <f t="shared" ca="1" si="4521"/>
        <v>1.0832119029586516</v>
      </c>
    </row>
    <row r="1665" spans="1:29" hidden="1" outlineLevel="2" x14ac:dyDescent="0.2">
      <c r="A1665" s="23" t="str">
        <f ca="1">Language!A$1044</f>
        <v xml:space="preserve">    переменные затраты на единицу</v>
      </c>
      <c r="C1665" s="5" t="str">
        <f ca="1">CUR_Main&amp;" / " &amp;C671</f>
        <v>тыс. EUR / ед.</v>
      </c>
      <c r="D1665" s="16" t="s">
        <v>2429</v>
      </c>
      <c r="F1665" s="318" t="str">
        <f t="shared" ref="F1665:X1665" ca="1" si="4522">IF(F1675="-","-",IF(F671&gt;0,F1676/F671,"-"))</f>
        <v>-</v>
      </c>
      <c r="G1665" s="318" t="str">
        <f t="shared" ca="1" si="4522"/>
        <v>-</v>
      </c>
      <c r="H1665" s="318" t="str">
        <f t="shared" ca="1" si="4522"/>
        <v>-</v>
      </c>
      <c r="I1665" s="318" t="str">
        <f t="shared" ca="1" si="4522"/>
        <v>-</v>
      </c>
      <c r="J1665" s="318" t="str">
        <f t="shared" ca="1" si="4522"/>
        <v>-</v>
      </c>
      <c r="K1665" s="318">
        <f t="shared" ca="1" si="4522"/>
        <v>5.6329005208335916</v>
      </c>
      <c r="L1665" s="318">
        <f t="shared" ca="1" si="4522"/>
        <v>5.6378991622767556</v>
      </c>
      <c r="M1665" s="318">
        <f t="shared" ca="1" si="4522"/>
        <v>5.6041820427698559</v>
      </c>
      <c r="N1665" s="318">
        <f t="shared" ca="1" si="4522"/>
        <v>5.6211098687154664</v>
      </c>
      <c r="O1665" s="318">
        <f t="shared" ca="1" si="4522"/>
        <v>5.6211098687154664</v>
      </c>
      <c r="P1665" s="318">
        <f t="shared" ca="1" si="4522"/>
        <v>5.6211098687154664</v>
      </c>
      <c r="Q1665" s="318">
        <f t="shared" ca="1" si="4522"/>
        <v>5.6211098687154664</v>
      </c>
      <c r="R1665" s="318">
        <f t="shared" ca="1" si="4522"/>
        <v>5.6211098687154664</v>
      </c>
      <c r="S1665" s="318">
        <f t="shared" ca="1" si="4522"/>
        <v>5.6211098687154664</v>
      </c>
      <c r="T1665" s="318">
        <f t="shared" ca="1" si="4522"/>
        <v>5.6211098687154664</v>
      </c>
      <c r="U1665" s="318">
        <f t="shared" ca="1" si="4522"/>
        <v>5.6211098687154664</v>
      </c>
      <c r="V1665" s="318">
        <f t="shared" ca="1" si="4522"/>
        <v>5.6211098687154664</v>
      </c>
      <c r="W1665" s="318">
        <f t="shared" ca="1" si="4522"/>
        <v>5.6211098687154664</v>
      </c>
      <c r="X1665" s="318">
        <f t="shared" ca="1" si="4522"/>
        <v>5.6211098687154664</v>
      </c>
      <c r="Y1665" s="318">
        <f t="shared" ref="Y1665" ca="1" si="4523">IF(Y1675="-","-",IF(Y671&gt;0,Y1676/Y671,"-"))</f>
        <v>5.6211098687154664</v>
      </c>
      <c r="Z1665" s="318">
        <f t="shared" ref="Z1665" ca="1" si="4524">IF(Z1675="-","-",IF(Z671&gt;0,Z1676/Z671,"-"))</f>
        <v>5.6211098687154664</v>
      </c>
      <c r="AA1665" s="318">
        <f t="shared" ref="AA1665" ca="1" si="4525">IF(AA1675="-","-",IF(AA671&gt;0,AA1676/AA671,"-"))</f>
        <v>5.6211098687154664</v>
      </c>
      <c r="AB1665" s="318">
        <f t="shared" ref="AB1665:AC1665" ca="1" si="4526">IF(AB1675="-","-",IF(AB671&gt;0,AB1676/AB671,"-"))</f>
        <v>5.6211098687154664</v>
      </c>
      <c r="AC1665" s="318">
        <f t="shared" ca="1" si="4526"/>
        <v>5.6211098687154664</v>
      </c>
    </row>
    <row r="1666" spans="1:29" hidden="1" outlineLevel="2" x14ac:dyDescent="0.2">
      <c r="A1666" s="23" t="str">
        <f ca="1">Language!A$1030</f>
        <v xml:space="preserve">    Итого затраты</v>
      </c>
      <c r="C1666" s="5" t="str">
        <f ca="1">CUR_Main</f>
        <v>тыс. EUR</v>
      </c>
      <c r="F1666" s="319" t="str">
        <f t="shared" ref="F1666:T1666" ca="1" si="4527">IF(F1675="-","-",F1677+F1676)</f>
        <v>-</v>
      </c>
      <c r="G1666" s="319" t="str">
        <f t="shared" ca="1" si="4527"/>
        <v>-</v>
      </c>
      <c r="H1666" s="319" t="str">
        <f t="shared" ca="1" si="4527"/>
        <v>-</v>
      </c>
      <c r="I1666" s="319" t="str">
        <f t="shared" ca="1" si="4527"/>
        <v>-</v>
      </c>
      <c r="J1666" s="319" t="str">
        <f t="shared" ca="1" si="4527"/>
        <v>-</v>
      </c>
      <c r="K1666" s="319">
        <f t="shared" ca="1" si="4527"/>
        <v>1245.1359477922167</v>
      </c>
      <c r="L1666" s="319">
        <f t="shared" ca="1" si="4527"/>
        <v>1113.4477352958891</v>
      </c>
      <c r="M1666" s="319">
        <f t="shared" ca="1" si="4527"/>
        <v>1484.9156816044349</v>
      </c>
      <c r="N1666" s="319">
        <f t="shared" ca="1" si="4527"/>
        <v>1856.3001982427695</v>
      </c>
      <c r="O1666" s="319">
        <f t="shared" ca="1" si="4527"/>
        <v>1810.1668783520117</v>
      </c>
      <c r="P1666" s="319">
        <f t="shared" ca="1" si="4527"/>
        <v>1810.1668783520117</v>
      </c>
      <c r="Q1666" s="319">
        <f t="shared" ca="1" si="4527"/>
        <v>1810.1668783520117</v>
      </c>
      <c r="R1666" s="319">
        <f t="shared" ca="1" si="4527"/>
        <v>1810.1668783520117</v>
      </c>
      <c r="S1666" s="319">
        <f t="shared" ca="1" si="4527"/>
        <v>1810.1668783520117</v>
      </c>
      <c r="T1666" s="319">
        <f t="shared" ca="1" si="4527"/>
        <v>1810.1668783520117</v>
      </c>
      <c r="U1666" s="319">
        <f t="shared" ref="U1666" ca="1" si="4528">IF(U1675="-","-",U1677+U1676)</f>
        <v>1810.1668783520117</v>
      </c>
      <c r="V1666" s="319">
        <f t="shared" ref="V1666" ca="1" si="4529">IF(V1675="-","-",V1677+V1676)</f>
        <v>1810.1668783520117</v>
      </c>
      <c r="W1666" s="319">
        <f t="shared" ref="W1666" ca="1" si="4530">IF(W1675="-","-",W1677+W1676)</f>
        <v>1810.1668783520117</v>
      </c>
      <c r="X1666" s="319">
        <f t="shared" ref="X1666" ca="1" si="4531">IF(X1675="-","-",X1677+X1676)</f>
        <v>1810.1668783520117</v>
      </c>
      <c r="Y1666" s="319">
        <f t="shared" ref="Y1666" ca="1" si="4532">IF(Y1675="-","-",Y1677+Y1676)</f>
        <v>1810.1668783520117</v>
      </c>
      <c r="Z1666" s="319">
        <f t="shared" ref="Z1666" ca="1" si="4533">IF(Z1675="-","-",Z1677+Z1676)</f>
        <v>1810.1668783520117</v>
      </c>
      <c r="AA1666" s="319">
        <f t="shared" ref="AA1666" ca="1" si="4534">IF(AA1675="-","-",AA1677+AA1676)</f>
        <v>1810.1668783520117</v>
      </c>
      <c r="AB1666" s="319">
        <f t="shared" ref="AB1666:AC1666" ca="1" si="4535">IF(AB1675="-","-",AB1677+AB1676)</f>
        <v>1810.1668783520117</v>
      </c>
      <c r="AC1666" s="319">
        <f t="shared" ca="1" si="4535"/>
        <v>1810.1668783520117</v>
      </c>
    </row>
    <row r="1667" spans="1:29" hidden="1" outlineLevel="2" x14ac:dyDescent="0.2">
      <c r="A1667" s="23" t="str">
        <f ca="1">Language!A$1031</f>
        <v xml:space="preserve">    сырье и материалы</v>
      </c>
      <c r="C1667" s="5" t="str">
        <f t="shared" ref="C1667:C1674" ca="1" si="4536">CUR_Main</f>
        <v>тыс. EUR</v>
      </c>
      <c r="F1667" s="43">
        <f t="shared" ref="F1667:X1667" si="4537">SUMIF($D771:$D786,"*1_10*",F771:F786)+SUMIF($D771:$D786,"*2_10*",F771:F786)*F$88</f>
        <v>0</v>
      </c>
      <c r="G1667" s="43">
        <f t="shared" si="4537"/>
        <v>0</v>
      </c>
      <c r="H1667" s="43">
        <f t="shared" si="4537"/>
        <v>0</v>
      </c>
      <c r="I1667" s="43">
        <f t="shared" si="4537"/>
        <v>0</v>
      </c>
      <c r="J1667" s="43">
        <f t="shared" si="4537"/>
        <v>0</v>
      </c>
      <c r="K1667" s="43">
        <f t="shared" si="4537"/>
        <v>473.16364375002166</v>
      </c>
      <c r="L1667" s="43">
        <f t="shared" si="4537"/>
        <v>766.75428606963874</v>
      </c>
      <c r="M1667" s="43">
        <f t="shared" si="4537"/>
        <v>1143.2531367250506</v>
      </c>
      <c r="N1667" s="43">
        <f t="shared" si="4537"/>
        <v>1517.6996645531758</v>
      </c>
      <c r="O1667" s="43">
        <f t="shared" si="4537"/>
        <v>1517.6996645531758</v>
      </c>
      <c r="P1667" s="43">
        <f t="shared" si="4537"/>
        <v>1517.6996645531758</v>
      </c>
      <c r="Q1667" s="43">
        <f t="shared" si="4537"/>
        <v>1517.6996645531758</v>
      </c>
      <c r="R1667" s="43">
        <f t="shared" si="4537"/>
        <v>1517.6996645531758</v>
      </c>
      <c r="S1667" s="43">
        <f t="shared" si="4537"/>
        <v>1517.6996645531758</v>
      </c>
      <c r="T1667" s="43">
        <f t="shared" si="4537"/>
        <v>1517.6996645531758</v>
      </c>
      <c r="U1667" s="43">
        <f t="shared" si="4537"/>
        <v>1517.6996645531758</v>
      </c>
      <c r="V1667" s="43">
        <f t="shared" si="4537"/>
        <v>1517.6996645531758</v>
      </c>
      <c r="W1667" s="43">
        <f t="shared" si="4537"/>
        <v>1517.6996645531758</v>
      </c>
      <c r="X1667" s="43">
        <f t="shared" si="4537"/>
        <v>1517.6996645531758</v>
      </c>
      <c r="Y1667" s="43">
        <f t="shared" ref="Y1667" si="4538">SUMIF($D771:$D786,"*1_10*",Y771:Y786)+SUMIF($D771:$D786,"*2_10*",Y771:Y786)*Y$88</f>
        <v>1517.6996645531758</v>
      </c>
      <c r="Z1667" s="43">
        <f t="shared" ref="Z1667" si="4539">SUMIF($D771:$D786,"*1_10*",Z771:Z786)+SUMIF($D771:$D786,"*2_10*",Z771:Z786)*Z$88</f>
        <v>1517.6996645531758</v>
      </c>
      <c r="AA1667" s="43">
        <f t="shared" ref="AA1667" si="4540">SUMIF($D771:$D786,"*1_10*",AA771:AA786)+SUMIF($D771:$D786,"*2_10*",AA771:AA786)*AA$88</f>
        <v>1517.6996645531758</v>
      </c>
      <c r="AB1667" s="43">
        <f t="shared" ref="AB1667:AC1667" si="4541">SUMIF($D771:$D786,"*1_10*",AB771:AB786)+SUMIF($D771:$D786,"*2_10*",AB771:AB786)*AB$88</f>
        <v>1517.6996645531758</v>
      </c>
      <c r="AC1667" s="43">
        <f t="shared" si="4541"/>
        <v>1517.6996645531758</v>
      </c>
    </row>
    <row r="1668" spans="1:29" hidden="1" outlineLevel="2" x14ac:dyDescent="0.2">
      <c r="A1668" s="23" t="str">
        <f ca="1">Language!A$1032</f>
        <v xml:space="preserve">    прочие переменные расходы</v>
      </c>
      <c r="C1668" s="5" t="str">
        <f t="shared" ca="1" si="4536"/>
        <v>тыс. EUR</v>
      </c>
      <c r="F1668" s="43">
        <f t="shared" ref="F1668:T1668" si="4542">SUMIF($D823:$D837,"*1_10*",F823:F837)+SUMIF($D823:$D837,"*2_10*",F823:F837)*F$88</f>
        <v>0</v>
      </c>
      <c r="G1668" s="43">
        <f t="shared" si="4542"/>
        <v>0</v>
      </c>
      <c r="H1668" s="43">
        <f t="shared" si="4542"/>
        <v>0</v>
      </c>
      <c r="I1668" s="43">
        <f t="shared" si="4542"/>
        <v>0</v>
      </c>
      <c r="J1668" s="43">
        <f t="shared" si="4542"/>
        <v>0</v>
      </c>
      <c r="K1668" s="43">
        <f t="shared" si="4542"/>
        <v>0</v>
      </c>
      <c r="L1668" s="43">
        <f t="shared" si="4542"/>
        <v>0</v>
      </c>
      <c r="M1668" s="43">
        <f t="shared" si="4542"/>
        <v>0</v>
      </c>
      <c r="N1668" s="43">
        <f t="shared" si="4542"/>
        <v>0</v>
      </c>
      <c r="O1668" s="43">
        <f t="shared" si="4542"/>
        <v>0</v>
      </c>
      <c r="P1668" s="43">
        <f t="shared" si="4542"/>
        <v>0</v>
      </c>
      <c r="Q1668" s="43">
        <f t="shared" si="4542"/>
        <v>0</v>
      </c>
      <c r="R1668" s="43">
        <f t="shared" si="4542"/>
        <v>0</v>
      </c>
      <c r="S1668" s="43">
        <f t="shared" si="4542"/>
        <v>0</v>
      </c>
      <c r="T1668" s="43">
        <f t="shared" si="4542"/>
        <v>0</v>
      </c>
      <c r="U1668" s="43">
        <f t="shared" ref="U1668" si="4543">SUMIF($D823:$D837,"*1_10*",U823:U837)+SUMIF($D823:$D837,"*2_10*",U823:U837)*U$88</f>
        <v>0</v>
      </c>
      <c r="V1668" s="43">
        <f t="shared" ref="V1668" si="4544">SUMIF($D823:$D837,"*1_10*",V823:V837)+SUMIF($D823:$D837,"*2_10*",V823:V837)*V$88</f>
        <v>0</v>
      </c>
      <c r="W1668" s="43">
        <f t="shared" ref="W1668" si="4545">SUMIF($D823:$D837,"*1_10*",W823:W837)+SUMIF($D823:$D837,"*2_10*",W823:W837)*W$88</f>
        <v>0</v>
      </c>
      <c r="X1668" s="43">
        <f t="shared" ref="X1668" si="4546">SUMIF($D823:$D837,"*1_10*",X823:X837)+SUMIF($D823:$D837,"*2_10*",X823:X837)*X$88</f>
        <v>0</v>
      </c>
      <c r="Y1668" s="43">
        <f t="shared" ref="Y1668" si="4547">SUMIF($D823:$D837,"*1_10*",Y823:Y837)+SUMIF($D823:$D837,"*2_10*",Y823:Y837)*Y$88</f>
        <v>0</v>
      </c>
      <c r="Z1668" s="43">
        <f t="shared" ref="Z1668" si="4548">SUMIF($D823:$D837,"*1_10*",Z823:Z837)+SUMIF($D823:$D837,"*2_10*",Z823:Z837)*Z$88</f>
        <v>0</v>
      </c>
      <c r="AA1668" s="43">
        <f t="shared" ref="AA1668" si="4549">SUMIF($D823:$D837,"*1_10*",AA823:AA837)+SUMIF($D823:$D837,"*2_10*",AA823:AA837)*AA$88</f>
        <v>0</v>
      </c>
      <c r="AB1668" s="43">
        <f t="shared" ref="AB1668:AC1668" si="4550">SUMIF($D823:$D837,"*1_10*",AB823:AB837)+SUMIF($D823:$D837,"*2_10*",AB823:AB837)*AB$88</f>
        <v>0</v>
      </c>
      <c r="AC1668" s="43">
        <f t="shared" si="4550"/>
        <v>0</v>
      </c>
    </row>
    <row r="1669" spans="1:29" hidden="1" outlineLevel="2" x14ac:dyDescent="0.2">
      <c r="A1669" s="23" t="str">
        <f ca="1">Language!A$626</f>
        <v xml:space="preserve">    оплата труда</v>
      </c>
      <c r="C1669" s="5" t="str">
        <f t="shared" ca="1" si="4536"/>
        <v>тыс. EUR</v>
      </c>
      <c r="F1669" s="319" t="str">
        <f t="shared" ref="F1669:T1669" ca="1" si="4551">IF(F1675="-","-",F916*F1675)</f>
        <v>-</v>
      </c>
      <c r="G1669" s="319" t="str">
        <f t="shared" ca="1" si="4551"/>
        <v>-</v>
      </c>
      <c r="H1669" s="319" t="str">
        <f t="shared" ca="1" si="4551"/>
        <v>-</v>
      </c>
      <c r="I1669" s="319" t="str">
        <f t="shared" ca="1" si="4551"/>
        <v>-</v>
      </c>
      <c r="J1669" s="319" t="str">
        <f t="shared" ca="1" si="4551"/>
        <v>-</v>
      </c>
      <c r="K1669" s="319">
        <f t="shared" ca="1" si="4551"/>
        <v>439.81937999999997</v>
      </c>
      <c r="L1669" s="319">
        <f t="shared" ca="1" si="4551"/>
        <v>182.57601242136806</v>
      </c>
      <c r="M1669" s="319">
        <f t="shared" ca="1" si="4551"/>
        <v>169.47309449453428</v>
      </c>
      <c r="N1669" s="319">
        <f t="shared" ca="1" si="4551"/>
        <v>157.5798155077924</v>
      </c>
      <c r="O1669" s="319">
        <f t="shared" ca="1" si="4551"/>
        <v>130.53350135923409</v>
      </c>
      <c r="P1669" s="319">
        <f t="shared" ca="1" si="4551"/>
        <v>130.53350135923409</v>
      </c>
      <c r="Q1669" s="319">
        <f t="shared" ca="1" si="4551"/>
        <v>130.53350135923409</v>
      </c>
      <c r="R1669" s="319">
        <f t="shared" ca="1" si="4551"/>
        <v>130.53350135923409</v>
      </c>
      <c r="S1669" s="319">
        <f t="shared" ca="1" si="4551"/>
        <v>130.53350135923409</v>
      </c>
      <c r="T1669" s="319">
        <f t="shared" ca="1" si="4551"/>
        <v>130.53350135923409</v>
      </c>
      <c r="U1669" s="319">
        <f t="shared" ref="U1669" ca="1" si="4552">IF(U1675="-","-",U916*U1675)</f>
        <v>130.53350135923409</v>
      </c>
      <c r="V1669" s="319">
        <f t="shared" ref="V1669" ca="1" si="4553">IF(V1675="-","-",V916*V1675)</f>
        <v>130.53350135923409</v>
      </c>
      <c r="W1669" s="319">
        <f t="shared" ref="W1669" ca="1" si="4554">IF(W1675="-","-",W916*W1675)</f>
        <v>130.53350135923409</v>
      </c>
      <c r="X1669" s="319">
        <f t="shared" ref="X1669" ca="1" si="4555">IF(X1675="-","-",X916*X1675)</f>
        <v>130.53350135923409</v>
      </c>
      <c r="Y1669" s="319">
        <f t="shared" ref="Y1669" ca="1" si="4556">IF(Y1675="-","-",Y916*Y1675)</f>
        <v>130.53350135923409</v>
      </c>
      <c r="Z1669" s="319">
        <f t="shared" ref="Z1669" ca="1" si="4557">IF(Z1675="-","-",Z916*Z1675)</f>
        <v>130.53350135923409</v>
      </c>
      <c r="AA1669" s="319">
        <f t="shared" ref="AA1669" ca="1" si="4558">IF(AA1675="-","-",AA916*AA1675)</f>
        <v>130.53350135923409</v>
      </c>
      <c r="AB1669" s="319">
        <f t="shared" ref="AB1669:AC1669" ca="1" si="4559">IF(AB1675="-","-",AB916*AB1675)</f>
        <v>130.53350135923409</v>
      </c>
      <c r="AC1669" s="319">
        <f t="shared" ca="1" si="4559"/>
        <v>130.53350135923409</v>
      </c>
    </row>
    <row r="1670" spans="1:29" hidden="1" outlineLevel="2" x14ac:dyDescent="0.2">
      <c r="A1670" s="23" t="str">
        <f ca="1">Language!A$1037</f>
        <v xml:space="preserve">    амортизация</v>
      </c>
      <c r="C1670" s="5" t="str">
        <f t="shared" ca="1" si="4536"/>
        <v>тыс. EUR</v>
      </c>
      <c r="F1670" s="319" t="str">
        <f t="shared" ref="F1670:T1670" ca="1" si="4560">IF(F1675="-","-",F944*F1675)</f>
        <v>-</v>
      </c>
      <c r="G1670" s="319" t="str">
        <f t="shared" ca="1" si="4560"/>
        <v>-</v>
      </c>
      <c r="H1670" s="319" t="str">
        <f t="shared" ca="1" si="4560"/>
        <v>-</v>
      </c>
      <c r="I1670" s="319" t="str">
        <f t="shared" ca="1" si="4560"/>
        <v>-</v>
      </c>
      <c r="J1670" s="319" t="str">
        <f t="shared" ca="1" si="4560"/>
        <v>-</v>
      </c>
      <c r="K1670" s="319">
        <f t="shared" ca="1" si="4560"/>
        <v>309.35251270876392</v>
      </c>
      <c r="L1670" s="319">
        <f t="shared" ca="1" si="4560"/>
        <v>128.41714297104576</v>
      </c>
      <c r="M1670" s="319">
        <f t="shared" ca="1" si="4560"/>
        <v>119.20104025069102</v>
      </c>
      <c r="N1670" s="319">
        <f t="shared" ca="1" si="4560"/>
        <v>110.835752347973</v>
      </c>
      <c r="O1670" s="319">
        <f t="shared" ca="1" si="4560"/>
        <v>91.812385889298284</v>
      </c>
      <c r="P1670" s="319">
        <f t="shared" ca="1" si="4560"/>
        <v>91.812385889298284</v>
      </c>
      <c r="Q1670" s="319">
        <f t="shared" ca="1" si="4560"/>
        <v>91.812385889298284</v>
      </c>
      <c r="R1670" s="319">
        <f t="shared" ca="1" si="4560"/>
        <v>91.812385889298284</v>
      </c>
      <c r="S1670" s="319">
        <f t="shared" ca="1" si="4560"/>
        <v>91.812385889298284</v>
      </c>
      <c r="T1670" s="319">
        <f t="shared" ca="1" si="4560"/>
        <v>91.812385889298284</v>
      </c>
      <c r="U1670" s="319">
        <f t="shared" ref="U1670" ca="1" si="4561">IF(U1675="-","-",U944*U1675)</f>
        <v>91.812385889298284</v>
      </c>
      <c r="V1670" s="319">
        <f t="shared" ref="V1670" ca="1" si="4562">IF(V1675="-","-",V944*V1675)</f>
        <v>91.812385889298284</v>
      </c>
      <c r="W1670" s="319">
        <f t="shared" ref="W1670" ca="1" si="4563">IF(W1675="-","-",W944*W1675)</f>
        <v>91.812385889298284</v>
      </c>
      <c r="X1670" s="319">
        <f t="shared" ref="X1670" ca="1" si="4564">IF(X1675="-","-",X944*X1675)</f>
        <v>91.812385889298284</v>
      </c>
      <c r="Y1670" s="319">
        <f t="shared" ref="Y1670" ca="1" si="4565">IF(Y1675="-","-",Y944*Y1675)</f>
        <v>91.812385889298284</v>
      </c>
      <c r="Z1670" s="319">
        <f t="shared" ref="Z1670" ca="1" si="4566">IF(Z1675="-","-",Z944*Z1675)</f>
        <v>91.812385889298284</v>
      </c>
      <c r="AA1670" s="319">
        <f t="shared" ref="AA1670" ca="1" si="4567">IF(AA1675="-","-",AA944*AA1675)</f>
        <v>91.812385889298284</v>
      </c>
      <c r="AB1670" s="319">
        <f t="shared" ref="AB1670:AC1670" ca="1" si="4568">IF(AB1675="-","-",AB944*AB1675)</f>
        <v>91.812385889298284</v>
      </c>
      <c r="AC1670" s="319">
        <f t="shared" ca="1" si="4568"/>
        <v>91.812385889298284</v>
      </c>
    </row>
    <row r="1671" spans="1:29" hidden="1" outlineLevel="2" x14ac:dyDescent="0.2">
      <c r="A1671" s="23" t="str">
        <f ca="1">Language!A$1033</f>
        <v xml:space="preserve">    лизинговые платежи</v>
      </c>
      <c r="C1671" s="5" t="str">
        <f t="shared" ca="1" si="4536"/>
        <v>тыс. EUR</v>
      </c>
      <c r="F1671" s="319" t="str">
        <f t="shared" ref="F1671:X1671" ca="1" si="4569">IF(F1675="-","-",F647*F1675)</f>
        <v>-</v>
      </c>
      <c r="G1671" s="319" t="str">
        <f t="shared" ca="1" si="4569"/>
        <v>-</v>
      </c>
      <c r="H1671" s="319" t="str">
        <f t="shared" ca="1" si="4569"/>
        <v>-</v>
      </c>
      <c r="I1671" s="319" t="str">
        <f t="shared" ca="1" si="4569"/>
        <v>-</v>
      </c>
      <c r="J1671" s="319" t="str">
        <f t="shared" ca="1" si="4569"/>
        <v>-</v>
      </c>
      <c r="K1671" s="319">
        <f t="shared" ca="1" si="4569"/>
        <v>0</v>
      </c>
      <c r="L1671" s="319">
        <f t="shared" ca="1" si="4569"/>
        <v>0</v>
      </c>
      <c r="M1671" s="319">
        <f t="shared" ca="1" si="4569"/>
        <v>0</v>
      </c>
      <c r="N1671" s="319">
        <f t="shared" ca="1" si="4569"/>
        <v>0</v>
      </c>
      <c r="O1671" s="319">
        <f t="shared" ca="1" si="4569"/>
        <v>0</v>
      </c>
      <c r="P1671" s="319">
        <f t="shared" ca="1" si="4569"/>
        <v>0</v>
      </c>
      <c r="Q1671" s="319">
        <f t="shared" ca="1" si="4569"/>
        <v>0</v>
      </c>
      <c r="R1671" s="319">
        <f t="shared" ca="1" si="4569"/>
        <v>0</v>
      </c>
      <c r="S1671" s="319">
        <f t="shared" ca="1" si="4569"/>
        <v>0</v>
      </c>
      <c r="T1671" s="319">
        <f t="shared" ca="1" si="4569"/>
        <v>0</v>
      </c>
      <c r="U1671" s="319">
        <f t="shared" ca="1" si="4569"/>
        <v>0</v>
      </c>
      <c r="V1671" s="319">
        <f t="shared" ca="1" si="4569"/>
        <v>0</v>
      </c>
      <c r="W1671" s="319">
        <f t="shared" ca="1" si="4569"/>
        <v>0</v>
      </c>
      <c r="X1671" s="319">
        <f t="shared" ca="1" si="4569"/>
        <v>0</v>
      </c>
      <c r="Y1671" s="319">
        <f t="shared" ref="Y1671" ca="1" si="4570">IF(Y1675="-","-",Y647*Y1675)</f>
        <v>0</v>
      </c>
      <c r="Z1671" s="319">
        <f t="shared" ref="Z1671" ca="1" si="4571">IF(Z1675="-","-",Z647*Z1675)</f>
        <v>0</v>
      </c>
      <c r="AA1671" s="319">
        <f t="shared" ref="AA1671" ca="1" si="4572">IF(AA1675="-","-",AA647*AA1675)</f>
        <v>0</v>
      </c>
      <c r="AB1671" s="319">
        <f t="shared" ref="AB1671:AC1671" ca="1" si="4573">IF(AB1675="-","-",AB647*AB1675)</f>
        <v>0</v>
      </c>
      <c r="AC1671" s="319">
        <f t="shared" ca="1" si="4573"/>
        <v>0</v>
      </c>
    </row>
    <row r="1672" spans="1:29" hidden="1" outlineLevel="2" x14ac:dyDescent="0.2">
      <c r="A1672" s="23" t="str">
        <f ca="1">Language!A$1034</f>
        <v xml:space="preserve">    прочие производственные расходы</v>
      </c>
      <c r="C1672" s="5" t="str">
        <f t="shared" ca="1" si="4536"/>
        <v>тыс. EUR</v>
      </c>
      <c r="F1672" s="319" t="str">
        <f t="shared" ref="F1672:T1672" ca="1" si="4574">IF(F1675="-","-",(F998+F996)*F1675)</f>
        <v>-</v>
      </c>
      <c r="G1672" s="319" t="str">
        <f t="shared" ca="1" si="4574"/>
        <v>-</v>
      </c>
      <c r="H1672" s="319" t="str">
        <f t="shared" ca="1" si="4574"/>
        <v>-</v>
      </c>
      <c r="I1672" s="319" t="str">
        <f t="shared" ca="1" si="4574"/>
        <v>-</v>
      </c>
      <c r="J1672" s="319" t="str">
        <f t="shared" ca="1" si="4574"/>
        <v>-</v>
      </c>
      <c r="K1672" s="319">
        <f t="shared" ca="1" si="4574"/>
        <v>8.6055020209305813</v>
      </c>
      <c r="L1672" s="319">
        <f t="shared" ca="1" si="4574"/>
        <v>12.697665251747406</v>
      </c>
      <c r="M1672" s="319">
        <f t="shared" ca="1" si="4574"/>
        <v>18.690816032407518</v>
      </c>
      <c r="N1672" s="319">
        <f t="shared" ca="1" si="4574"/>
        <v>24.653975897233035</v>
      </c>
      <c r="O1672" s="319">
        <f t="shared" ca="1" si="4574"/>
        <v>24.59033661370826</v>
      </c>
      <c r="P1672" s="319">
        <f t="shared" ca="1" si="4574"/>
        <v>24.59033661370826</v>
      </c>
      <c r="Q1672" s="319">
        <f t="shared" ca="1" si="4574"/>
        <v>24.59033661370826</v>
      </c>
      <c r="R1672" s="319">
        <f t="shared" ca="1" si="4574"/>
        <v>24.59033661370826</v>
      </c>
      <c r="S1672" s="319">
        <f t="shared" ca="1" si="4574"/>
        <v>24.59033661370826</v>
      </c>
      <c r="T1672" s="319">
        <f t="shared" ca="1" si="4574"/>
        <v>24.59033661370826</v>
      </c>
      <c r="U1672" s="319">
        <f t="shared" ref="U1672" ca="1" si="4575">IF(U1675="-","-",(U998+U996)*U1675)</f>
        <v>24.59033661370826</v>
      </c>
      <c r="V1672" s="319">
        <f t="shared" ref="V1672" ca="1" si="4576">IF(V1675="-","-",(V998+V996)*V1675)</f>
        <v>24.59033661370826</v>
      </c>
      <c r="W1672" s="319">
        <f t="shared" ref="W1672" ca="1" si="4577">IF(W1675="-","-",(W998+W996)*W1675)</f>
        <v>24.59033661370826</v>
      </c>
      <c r="X1672" s="319">
        <f t="shared" ref="X1672" ca="1" si="4578">IF(X1675="-","-",(X998+X996)*X1675)</f>
        <v>24.59033661370826</v>
      </c>
      <c r="Y1672" s="319">
        <f t="shared" ref="Y1672" ca="1" si="4579">IF(Y1675="-","-",(Y998+Y996)*Y1675)</f>
        <v>24.59033661370826</v>
      </c>
      <c r="Z1672" s="319">
        <f t="shared" ref="Z1672" ca="1" si="4580">IF(Z1675="-","-",(Z998+Z996)*Z1675)</f>
        <v>24.59033661370826</v>
      </c>
      <c r="AA1672" s="319">
        <f t="shared" ref="AA1672" ca="1" si="4581">IF(AA1675="-","-",(AA998+AA996)*AA1675)</f>
        <v>24.59033661370826</v>
      </c>
      <c r="AB1672" s="319">
        <f t="shared" ref="AB1672:AC1672" ca="1" si="4582">IF(AB1675="-","-",(AB998+AB996)*AB1675)</f>
        <v>24.59033661370826</v>
      </c>
      <c r="AC1672" s="319">
        <f t="shared" ca="1" si="4582"/>
        <v>24.59033661370826</v>
      </c>
    </row>
    <row r="1673" spans="1:29" hidden="1" outlineLevel="2" x14ac:dyDescent="0.2">
      <c r="A1673" s="23" t="str">
        <f ca="1">Language!A$1035</f>
        <v xml:space="preserve">    административные расходы</v>
      </c>
      <c r="C1673" s="5" t="str">
        <f t="shared" ca="1" si="4536"/>
        <v>тыс. EUR</v>
      </c>
      <c r="F1673" s="319" t="str">
        <f t="shared" ref="F1673:T1673" ca="1" si="4583">IF(F1675="-","-",F990*F1675)</f>
        <v>-</v>
      </c>
      <c r="G1673" s="319" t="str">
        <f t="shared" ca="1" si="4583"/>
        <v>-</v>
      </c>
      <c r="H1673" s="319" t="str">
        <f t="shared" ca="1" si="4583"/>
        <v>-</v>
      </c>
      <c r="I1673" s="319" t="str">
        <f t="shared" ca="1" si="4583"/>
        <v>-</v>
      </c>
      <c r="J1673" s="319" t="str">
        <f t="shared" ca="1" si="4583"/>
        <v>-</v>
      </c>
      <c r="K1673" s="319">
        <f t="shared" ca="1" si="4583"/>
        <v>2.3658182187501087</v>
      </c>
      <c r="L1673" s="319">
        <f t="shared" ca="1" si="4583"/>
        <v>3.833771430348194</v>
      </c>
      <c r="M1673" s="319">
        <f t="shared" ca="1" si="4583"/>
        <v>5.7162656836252523</v>
      </c>
      <c r="N1673" s="319">
        <f t="shared" ca="1" si="4583"/>
        <v>7.5884983227658811</v>
      </c>
      <c r="O1673" s="319">
        <f t="shared" ca="1" si="4583"/>
        <v>7.5884983227658767</v>
      </c>
      <c r="P1673" s="319">
        <f t="shared" ca="1" si="4583"/>
        <v>7.5884983227658767</v>
      </c>
      <c r="Q1673" s="319">
        <f t="shared" ca="1" si="4583"/>
        <v>7.5884983227658767</v>
      </c>
      <c r="R1673" s="319">
        <f t="shared" ca="1" si="4583"/>
        <v>7.5884983227658767</v>
      </c>
      <c r="S1673" s="319">
        <f t="shared" ca="1" si="4583"/>
        <v>7.5884983227658767</v>
      </c>
      <c r="T1673" s="319">
        <f t="shared" ca="1" si="4583"/>
        <v>7.5884983227658767</v>
      </c>
      <c r="U1673" s="319">
        <f t="shared" ref="U1673" ca="1" si="4584">IF(U1675="-","-",U990*U1675)</f>
        <v>7.5884983227658767</v>
      </c>
      <c r="V1673" s="319">
        <f t="shared" ref="V1673" ca="1" si="4585">IF(V1675="-","-",V990*V1675)</f>
        <v>7.5884983227658767</v>
      </c>
      <c r="W1673" s="319">
        <f t="shared" ref="W1673" ca="1" si="4586">IF(W1675="-","-",W990*W1675)</f>
        <v>7.5884983227658767</v>
      </c>
      <c r="X1673" s="319">
        <f t="shared" ref="X1673" ca="1" si="4587">IF(X1675="-","-",X990*X1675)</f>
        <v>7.5884983227658767</v>
      </c>
      <c r="Y1673" s="319">
        <f t="shared" ref="Y1673" ca="1" si="4588">IF(Y1675="-","-",Y990*Y1675)</f>
        <v>7.5884983227658767</v>
      </c>
      <c r="Z1673" s="319">
        <f t="shared" ref="Z1673" ca="1" si="4589">IF(Z1675="-","-",Z990*Z1675)</f>
        <v>7.5884983227658767</v>
      </c>
      <c r="AA1673" s="319">
        <f t="shared" ref="AA1673" ca="1" si="4590">IF(AA1675="-","-",AA990*AA1675)</f>
        <v>7.5884983227658767</v>
      </c>
      <c r="AB1673" s="319">
        <f t="shared" ref="AB1673:AC1673" ca="1" si="4591">IF(AB1675="-","-",AB990*AB1675)</f>
        <v>7.5884983227658767</v>
      </c>
      <c r="AC1673" s="319">
        <f t="shared" ca="1" si="4591"/>
        <v>7.5884983227658767</v>
      </c>
    </row>
    <row r="1674" spans="1:29" hidden="1" outlineLevel="2" x14ac:dyDescent="0.2">
      <c r="A1674" s="23" t="str">
        <f ca="1">Language!A$1036</f>
        <v xml:space="preserve">    коммерческие расходы</v>
      </c>
      <c r="C1674" s="5" t="str">
        <f t="shared" ca="1" si="4536"/>
        <v>тыс. EUR</v>
      </c>
      <c r="F1674" s="319" t="str">
        <f t="shared" ref="F1674:T1674" ca="1" si="4592">IF(F1675="-","-",F989*F1675)</f>
        <v>-</v>
      </c>
      <c r="G1674" s="319" t="str">
        <f t="shared" ca="1" si="4592"/>
        <v>-</v>
      </c>
      <c r="H1674" s="319" t="str">
        <f t="shared" ca="1" si="4592"/>
        <v>-</v>
      </c>
      <c r="I1674" s="319" t="str">
        <f t="shared" ca="1" si="4592"/>
        <v>-</v>
      </c>
      <c r="J1674" s="319" t="str">
        <f t="shared" ca="1" si="4592"/>
        <v>-</v>
      </c>
      <c r="K1674" s="319">
        <f t="shared" ca="1" si="4592"/>
        <v>11.829091093750543</v>
      </c>
      <c r="L1674" s="319">
        <f t="shared" ca="1" si="4592"/>
        <v>19.168857151740969</v>
      </c>
      <c r="M1674" s="319">
        <f t="shared" ca="1" si="4592"/>
        <v>28.581328418126262</v>
      </c>
      <c r="N1674" s="319">
        <f t="shared" ca="1" si="4592"/>
        <v>37.942491613829404</v>
      </c>
      <c r="O1674" s="319">
        <f t="shared" ca="1" si="4592"/>
        <v>37.94249161382939</v>
      </c>
      <c r="P1674" s="319">
        <f t="shared" ca="1" si="4592"/>
        <v>37.94249161382939</v>
      </c>
      <c r="Q1674" s="319">
        <f t="shared" ca="1" si="4592"/>
        <v>37.94249161382939</v>
      </c>
      <c r="R1674" s="319">
        <f t="shared" ca="1" si="4592"/>
        <v>37.94249161382939</v>
      </c>
      <c r="S1674" s="319">
        <f t="shared" ca="1" si="4592"/>
        <v>37.94249161382939</v>
      </c>
      <c r="T1674" s="319">
        <f t="shared" ca="1" si="4592"/>
        <v>37.94249161382939</v>
      </c>
      <c r="U1674" s="319">
        <f t="shared" ref="U1674" ca="1" si="4593">IF(U1675="-","-",U989*U1675)</f>
        <v>37.94249161382939</v>
      </c>
      <c r="V1674" s="319">
        <f t="shared" ref="V1674" ca="1" si="4594">IF(V1675="-","-",V989*V1675)</f>
        <v>37.94249161382939</v>
      </c>
      <c r="W1674" s="319">
        <f t="shared" ref="W1674" ca="1" si="4595">IF(W1675="-","-",W989*W1675)</f>
        <v>37.94249161382939</v>
      </c>
      <c r="X1674" s="319">
        <f t="shared" ref="X1674" ca="1" si="4596">IF(X1675="-","-",X989*X1675)</f>
        <v>37.94249161382939</v>
      </c>
      <c r="Y1674" s="319">
        <f t="shared" ref="Y1674" ca="1" si="4597">IF(Y1675="-","-",Y989*Y1675)</f>
        <v>37.94249161382939</v>
      </c>
      <c r="Z1674" s="319">
        <f t="shared" ref="Z1674" ca="1" si="4598">IF(Z1675="-","-",Z989*Z1675)</f>
        <v>37.94249161382939</v>
      </c>
      <c r="AA1674" s="319">
        <f t="shared" ref="AA1674" ca="1" si="4599">IF(AA1675="-","-",AA989*AA1675)</f>
        <v>37.94249161382939</v>
      </c>
      <c r="AB1674" s="319">
        <f t="shared" ref="AB1674:AC1674" ca="1" si="4600">IF(AB1675="-","-",AB989*AB1675)</f>
        <v>37.94249161382939</v>
      </c>
      <c r="AC1674" s="319">
        <f t="shared" ca="1" si="4600"/>
        <v>37.94249161382939</v>
      </c>
    </row>
    <row r="1675" spans="1:29" hidden="1" outlineLevel="2" x14ac:dyDescent="0.2">
      <c r="A1675" s="23" t="str">
        <f ca="1">Language!A$1040</f>
        <v xml:space="preserve">    коэффициент распределения постоянных расходов</v>
      </c>
      <c r="C1675" s="5" t="str">
        <f ca="1">Language!A$198</f>
        <v>разы</v>
      </c>
      <c r="D1675" s="16" t="s">
        <v>2429</v>
      </c>
      <c r="F1675" s="318" t="str">
        <f t="shared" ref="F1675:X1675" ca="1" si="4601">CHOOSE($B1659,IF(F815=0,"-",F1667/F815),IF(F815+F861=0,"-",(F1667+F1668)/(F815+F861)),IF(F715=0,"-",F698*IF($B678=1,1,F$88)/F715))</f>
        <v>-</v>
      </c>
      <c r="G1675" s="318" t="str">
        <f t="shared" ca="1" si="4601"/>
        <v>-</v>
      </c>
      <c r="H1675" s="318" t="str">
        <f t="shared" ca="1" si="4601"/>
        <v>-</v>
      </c>
      <c r="I1675" s="318" t="str">
        <f t="shared" ca="1" si="4601"/>
        <v>-</v>
      </c>
      <c r="J1675" s="318" t="str">
        <f t="shared" ca="1" si="4601"/>
        <v>-</v>
      </c>
      <c r="K1675" s="318">
        <f t="shared" ca="1" si="4601"/>
        <v>1</v>
      </c>
      <c r="L1675" s="318">
        <f t="shared" ca="1" si="4601"/>
        <v>0.41511588784779807</v>
      </c>
      <c r="M1675" s="318">
        <f t="shared" ca="1" si="4601"/>
        <v>0.38532429947614927</v>
      </c>
      <c r="N1675" s="318">
        <f t="shared" ca="1" si="4601"/>
        <v>0.35828301951540292</v>
      </c>
      <c r="O1675" s="318">
        <f t="shared" ca="1" si="4601"/>
        <v>0.2967888803791095</v>
      </c>
      <c r="P1675" s="318">
        <f t="shared" ca="1" si="4601"/>
        <v>0.2967888803791095</v>
      </c>
      <c r="Q1675" s="318">
        <f t="shared" ca="1" si="4601"/>
        <v>0.2967888803791095</v>
      </c>
      <c r="R1675" s="318">
        <f t="shared" ca="1" si="4601"/>
        <v>0.2967888803791095</v>
      </c>
      <c r="S1675" s="318">
        <f t="shared" ca="1" si="4601"/>
        <v>0.2967888803791095</v>
      </c>
      <c r="T1675" s="318">
        <f t="shared" ca="1" si="4601"/>
        <v>0.2967888803791095</v>
      </c>
      <c r="U1675" s="318">
        <f t="shared" ca="1" si="4601"/>
        <v>0.2967888803791095</v>
      </c>
      <c r="V1675" s="318">
        <f t="shared" ca="1" si="4601"/>
        <v>0.2967888803791095</v>
      </c>
      <c r="W1675" s="318">
        <f t="shared" ca="1" si="4601"/>
        <v>0.2967888803791095</v>
      </c>
      <c r="X1675" s="318">
        <f t="shared" ca="1" si="4601"/>
        <v>0.2967888803791095</v>
      </c>
      <c r="Y1675" s="318">
        <f t="shared" ref="Y1675" ca="1" si="4602">CHOOSE($B1659,IF(Y815=0,"-",Y1667/Y815),IF(Y815+Y861=0,"-",(Y1667+Y1668)/(Y815+Y861)),IF(Y715=0,"-",Y698*IF($B678=1,1,Y$88)/Y715))</f>
        <v>0.2967888803791095</v>
      </c>
      <c r="Z1675" s="318">
        <f t="shared" ref="Z1675" ca="1" si="4603">CHOOSE($B1659,IF(Z815=0,"-",Z1667/Z815),IF(Z815+Z861=0,"-",(Z1667+Z1668)/(Z815+Z861)),IF(Z715=0,"-",Z698*IF($B678=1,1,Z$88)/Z715))</f>
        <v>0.2967888803791095</v>
      </c>
      <c r="AA1675" s="318">
        <f t="shared" ref="AA1675" ca="1" si="4604">CHOOSE($B1659,IF(AA815=0,"-",AA1667/AA815),IF(AA815+AA861=0,"-",(AA1667+AA1668)/(AA815+AA861)),IF(AA715=0,"-",AA698*IF($B678=1,1,AA$88)/AA715))</f>
        <v>0.2967888803791095</v>
      </c>
      <c r="AB1675" s="318">
        <f t="shared" ref="AB1675:AC1675" ca="1" si="4605">CHOOSE($B1659,IF(AB815=0,"-",AB1667/AB815),IF(AB815+AB861=0,"-",(AB1667+AB1668)/(AB815+AB861)),IF(AB715=0,"-",AB698*IF($B678=1,1,AB$88)/AB715))</f>
        <v>0.2967888803791095</v>
      </c>
      <c r="AC1675" s="318">
        <f t="shared" ca="1" si="4605"/>
        <v>0.2967888803791095</v>
      </c>
    </row>
    <row r="1676" spans="1:29" hidden="1" outlineLevel="2" x14ac:dyDescent="0.2">
      <c r="A1676" s="23" t="str">
        <f ca="1">Language!A$1038</f>
        <v xml:space="preserve">    переменные затраты</v>
      </c>
      <c r="C1676" s="5" t="str">
        <f ca="1">CUR_Main</f>
        <v>тыс. EUR</v>
      </c>
      <c r="F1676" s="43">
        <f t="shared" ref="F1676:T1676" si="4606">F1667+F1668</f>
        <v>0</v>
      </c>
      <c r="G1676" s="43">
        <f t="shared" si="4606"/>
        <v>0</v>
      </c>
      <c r="H1676" s="43">
        <f t="shared" si="4606"/>
        <v>0</v>
      </c>
      <c r="I1676" s="43">
        <f t="shared" si="4606"/>
        <v>0</v>
      </c>
      <c r="J1676" s="43">
        <f t="shared" si="4606"/>
        <v>0</v>
      </c>
      <c r="K1676" s="43">
        <f t="shared" si="4606"/>
        <v>473.16364375002166</v>
      </c>
      <c r="L1676" s="43">
        <f t="shared" si="4606"/>
        <v>766.75428606963874</v>
      </c>
      <c r="M1676" s="43">
        <f t="shared" si="4606"/>
        <v>1143.2531367250506</v>
      </c>
      <c r="N1676" s="43">
        <f t="shared" si="4606"/>
        <v>1517.6996645531758</v>
      </c>
      <c r="O1676" s="43">
        <f t="shared" si="4606"/>
        <v>1517.6996645531758</v>
      </c>
      <c r="P1676" s="43">
        <f t="shared" si="4606"/>
        <v>1517.6996645531758</v>
      </c>
      <c r="Q1676" s="43">
        <f t="shared" si="4606"/>
        <v>1517.6996645531758</v>
      </c>
      <c r="R1676" s="43">
        <f t="shared" si="4606"/>
        <v>1517.6996645531758</v>
      </c>
      <c r="S1676" s="43">
        <f t="shared" si="4606"/>
        <v>1517.6996645531758</v>
      </c>
      <c r="T1676" s="43">
        <f t="shared" si="4606"/>
        <v>1517.6996645531758</v>
      </c>
      <c r="U1676" s="43">
        <f t="shared" ref="U1676" si="4607">U1667+U1668</f>
        <v>1517.6996645531758</v>
      </c>
      <c r="V1676" s="43">
        <f t="shared" ref="V1676" si="4608">V1667+V1668</f>
        <v>1517.6996645531758</v>
      </c>
      <c r="W1676" s="43">
        <f t="shared" ref="W1676" si="4609">W1667+W1668</f>
        <v>1517.6996645531758</v>
      </c>
      <c r="X1676" s="43">
        <f t="shared" ref="X1676" si="4610">X1667+X1668</f>
        <v>1517.6996645531758</v>
      </c>
      <c r="Y1676" s="43">
        <f t="shared" ref="Y1676" si="4611">Y1667+Y1668</f>
        <v>1517.6996645531758</v>
      </c>
      <c r="Z1676" s="43">
        <f t="shared" ref="Z1676" si="4612">Z1667+Z1668</f>
        <v>1517.6996645531758</v>
      </c>
      <c r="AA1676" s="43">
        <f t="shared" ref="AA1676" si="4613">AA1667+AA1668</f>
        <v>1517.6996645531758</v>
      </c>
      <c r="AB1676" s="43">
        <f t="shared" ref="AB1676:AC1676" si="4614">AB1667+AB1668</f>
        <v>1517.6996645531758</v>
      </c>
      <c r="AC1676" s="43">
        <f t="shared" si="4614"/>
        <v>1517.6996645531758</v>
      </c>
    </row>
    <row r="1677" spans="1:29" hidden="1" outlineLevel="2" x14ac:dyDescent="0.2">
      <c r="A1677" s="23" t="str">
        <f ca="1">Language!A$1039</f>
        <v xml:space="preserve">    постоянные затраты</v>
      </c>
      <c r="C1677" s="5" t="str">
        <f ca="1">CUR_Main</f>
        <v>тыс. EUR</v>
      </c>
      <c r="F1677" s="319" t="str">
        <f t="shared" ref="F1677:T1677" ca="1" si="4615">IF(F1675="-","-",SUM(F1669:F1674))</f>
        <v>-</v>
      </c>
      <c r="G1677" s="319" t="str">
        <f t="shared" ca="1" si="4615"/>
        <v>-</v>
      </c>
      <c r="H1677" s="319" t="str">
        <f t="shared" ca="1" si="4615"/>
        <v>-</v>
      </c>
      <c r="I1677" s="319" t="str">
        <f t="shared" ca="1" si="4615"/>
        <v>-</v>
      </c>
      <c r="J1677" s="319" t="str">
        <f t="shared" ca="1" si="4615"/>
        <v>-</v>
      </c>
      <c r="K1677" s="319">
        <f t="shared" ca="1" si="4615"/>
        <v>771.97230404219499</v>
      </c>
      <c r="L1677" s="319">
        <f t="shared" ca="1" si="4615"/>
        <v>346.69344922625038</v>
      </c>
      <c r="M1677" s="319">
        <f t="shared" ca="1" si="4615"/>
        <v>341.66254487938426</v>
      </c>
      <c r="N1677" s="319">
        <f t="shared" ca="1" si="4615"/>
        <v>338.6005336895937</v>
      </c>
      <c r="O1677" s="319">
        <f t="shared" ca="1" si="4615"/>
        <v>292.46721379883593</v>
      </c>
      <c r="P1677" s="319">
        <f t="shared" ca="1" si="4615"/>
        <v>292.46721379883593</v>
      </c>
      <c r="Q1677" s="319">
        <f t="shared" ca="1" si="4615"/>
        <v>292.46721379883593</v>
      </c>
      <c r="R1677" s="319">
        <f t="shared" ca="1" si="4615"/>
        <v>292.46721379883593</v>
      </c>
      <c r="S1677" s="319">
        <f t="shared" ca="1" si="4615"/>
        <v>292.46721379883593</v>
      </c>
      <c r="T1677" s="319">
        <f t="shared" ca="1" si="4615"/>
        <v>292.46721379883593</v>
      </c>
      <c r="U1677" s="319">
        <f t="shared" ref="U1677" ca="1" si="4616">IF(U1675="-","-",SUM(U1669:U1674))</f>
        <v>292.46721379883593</v>
      </c>
      <c r="V1677" s="319">
        <f t="shared" ref="V1677" ca="1" si="4617">IF(V1675="-","-",SUM(V1669:V1674))</f>
        <v>292.46721379883593</v>
      </c>
      <c r="W1677" s="319">
        <f t="shared" ref="W1677" ca="1" si="4618">IF(W1675="-","-",SUM(W1669:W1674))</f>
        <v>292.46721379883593</v>
      </c>
      <c r="X1677" s="319">
        <f t="shared" ref="X1677" ca="1" si="4619">IF(X1675="-","-",SUM(X1669:X1674))</f>
        <v>292.46721379883593</v>
      </c>
      <c r="Y1677" s="319">
        <f t="shared" ref="Y1677" ca="1" si="4620">IF(Y1675="-","-",SUM(Y1669:Y1674))</f>
        <v>292.46721379883593</v>
      </c>
      <c r="Z1677" s="319">
        <f t="shared" ref="Z1677" ca="1" si="4621">IF(Z1675="-","-",SUM(Z1669:Z1674))</f>
        <v>292.46721379883593</v>
      </c>
      <c r="AA1677" s="319">
        <f t="shared" ref="AA1677" ca="1" si="4622">IF(AA1675="-","-",SUM(AA1669:AA1674))</f>
        <v>292.46721379883593</v>
      </c>
      <c r="AB1677" s="319">
        <f t="shared" ref="AB1677:AC1677" ca="1" si="4623">IF(AB1675="-","-",SUM(AB1669:AB1674))</f>
        <v>292.46721379883593</v>
      </c>
      <c r="AC1677" s="319">
        <f t="shared" ca="1" si="4623"/>
        <v>292.46721379883593</v>
      </c>
    </row>
    <row r="1678" spans="1:29" outlineLevel="1" collapsed="1" x14ac:dyDescent="0.2">
      <c r="A1678" s="23" t="str">
        <f ca="1">Language!A$1042</f>
        <v>Ценовой коэффициент</v>
      </c>
      <c r="C1678" s="5" t="s">
        <v>2430</v>
      </c>
      <c r="D1678" s="16" t="s">
        <v>2429</v>
      </c>
      <c r="F1678" s="320" t="str">
        <f t="shared" ref="F1678:X1678" ca="1" si="4624">IF(OR(F698=0,F1663="-"),"-",(F698*IF($B678=1,1,F$88)-F1676)/(F698*IF($B678=1,1,F$88)))</f>
        <v>-</v>
      </c>
      <c r="G1678" s="320" t="str">
        <f t="shared" ca="1" si="4624"/>
        <v>-</v>
      </c>
      <c r="H1678" s="320" t="str">
        <f t="shared" ca="1" si="4624"/>
        <v>-</v>
      </c>
      <c r="I1678" s="320" t="str">
        <f t="shared" ca="1" si="4624"/>
        <v>-</v>
      </c>
      <c r="J1678" s="320" t="str">
        <f t="shared" ca="1" si="4624"/>
        <v>-</v>
      </c>
      <c r="K1678" s="320">
        <f t="shared" ca="1" si="4624"/>
        <v>0.3378260307832418</v>
      </c>
      <c r="L1678" s="320">
        <f t="shared" ca="1" si="4624"/>
        <v>0.33776756536060926</v>
      </c>
      <c r="M1678" s="320">
        <f t="shared" ca="1" si="4624"/>
        <v>0.33816374838949464</v>
      </c>
      <c r="N1678" s="320">
        <f t="shared" ca="1" si="4624"/>
        <v>0.33796430815610556</v>
      </c>
      <c r="O1678" s="320">
        <f t="shared" ca="1" si="4624"/>
        <v>0.33796430815610556</v>
      </c>
      <c r="P1678" s="320">
        <f t="shared" ca="1" si="4624"/>
        <v>0.33796430815610556</v>
      </c>
      <c r="Q1678" s="320">
        <f t="shared" ca="1" si="4624"/>
        <v>0.33796430815610556</v>
      </c>
      <c r="R1678" s="320">
        <f t="shared" ca="1" si="4624"/>
        <v>0.33796430815610556</v>
      </c>
      <c r="S1678" s="320">
        <f t="shared" ca="1" si="4624"/>
        <v>0.33796430815610556</v>
      </c>
      <c r="T1678" s="320">
        <f t="shared" ca="1" si="4624"/>
        <v>0.33796430815610556</v>
      </c>
      <c r="U1678" s="320">
        <f t="shared" ca="1" si="4624"/>
        <v>0.33796430815610556</v>
      </c>
      <c r="V1678" s="320">
        <f t="shared" ca="1" si="4624"/>
        <v>0.33796430815610556</v>
      </c>
      <c r="W1678" s="320">
        <f t="shared" ca="1" si="4624"/>
        <v>0.33796430815610556</v>
      </c>
      <c r="X1678" s="320">
        <f t="shared" ca="1" si="4624"/>
        <v>0.33796430815610556</v>
      </c>
      <c r="Y1678" s="320">
        <f t="shared" ref="Y1678" ca="1" si="4625">IF(OR(Y698=0,Y1663="-"),"-",(Y698*IF($B678=1,1,Y$88)-Y1676)/(Y698*IF($B678=1,1,Y$88)))</f>
        <v>0.33796430815610556</v>
      </c>
      <c r="Z1678" s="320">
        <f t="shared" ref="Z1678" ca="1" si="4626">IF(OR(Z698=0,Z1663="-"),"-",(Z698*IF($B678=1,1,Z$88)-Z1676)/(Z698*IF($B678=1,1,Z$88)))</f>
        <v>0.33796430815610556</v>
      </c>
      <c r="AA1678" s="320">
        <f t="shared" ref="AA1678" ca="1" si="4627">IF(OR(AA698=0,AA1663="-"),"-",(AA698*IF($B678=1,1,AA$88)-AA1676)/(AA698*IF($B678=1,1,AA$88)))</f>
        <v>0.33796430815610556</v>
      </c>
      <c r="AB1678" s="320">
        <f t="shared" ref="AB1678:AC1678" ca="1" si="4628">IF(OR(AB698=0,AB1663="-"),"-",(AB698*IF($B678=1,1,AB$88)-AB1676)/(AB698*IF($B678=1,1,AB$88)))</f>
        <v>0.33796430815610556</v>
      </c>
      <c r="AC1678" s="320">
        <f t="shared" ca="1" si="4628"/>
        <v>0.33796430815610556</v>
      </c>
    </row>
    <row r="1679" spans="1:29" hidden="1" outlineLevel="2" x14ac:dyDescent="0.2">
      <c r="A1679" s="23" t="str">
        <f ca="1">Language!A$1041</f>
        <v>Маржинальная прибыль</v>
      </c>
      <c r="C1679" s="5" t="str">
        <f ca="1">CUR_Main</f>
        <v>тыс. EUR</v>
      </c>
      <c r="F1679" s="43">
        <f t="shared" ref="F1679:X1679" si="4629">F698*IF($B678=1,1,F$88)-F1676</f>
        <v>0</v>
      </c>
      <c r="G1679" s="43">
        <f t="shared" si="4629"/>
        <v>0</v>
      </c>
      <c r="H1679" s="43">
        <f t="shared" si="4629"/>
        <v>0</v>
      </c>
      <c r="I1679" s="43">
        <f t="shared" si="4629"/>
        <v>0</v>
      </c>
      <c r="J1679" s="43">
        <f t="shared" si="4629"/>
        <v>0</v>
      </c>
      <c r="K1679" s="43">
        <f t="shared" si="4629"/>
        <v>241.39728094125797</v>
      </c>
      <c r="L1679" s="43">
        <f t="shared" si="4629"/>
        <v>391.07829047452265</v>
      </c>
      <c r="M1679" s="43">
        <f t="shared" si="4629"/>
        <v>584.14262611367349</v>
      </c>
      <c r="N1679" s="43">
        <f t="shared" si="4629"/>
        <v>774.77441690623255</v>
      </c>
      <c r="O1679" s="43">
        <f t="shared" si="4629"/>
        <v>774.77441690623255</v>
      </c>
      <c r="P1679" s="43">
        <f t="shared" si="4629"/>
        <v>774.77441690623255</v>
      </c>
      <c r="Q1679" s="43">
        <f t="shared" si="4629"/>
        <v>774.77441690623255</v>
      </c>
      <c r="R1679" s="43">
        <f t="shared" si="4629"/>
        <v>774.77441690623255</v>
      </c>
      <c r="S1679" s="43">
        <f t="shared" si="4629"/>
        <v>774.77441690623255</v>
      </c>
      <c r="T1679" s="43">
        <f t="shared" si="4629"/>
        <v>774.77441690623255</v>
      </c>
      <c r="U1679" s="43">
        <f t="shared" si="4629"/>
        <v>774.77441690623255</v>
      </c>
      <c r="V1679" s="43">
        <f t="shared" si="4629"/>
        <v>774.77441690623255</v>
      </c>
      <c r="W1679" s="43">
        <f t="shared" si="4629"/>
        <v>774.77441690623255</v>
      </c>
      <c r="X1679" s="43">
        <f t="shared" si="4629"/>
        <v>774.77441690623255</v>
      </c>
      <c r="Y1679" s="43">
        <f t="shared" ref="Y1679" si="4630">Y698*IF($B678=1,1,Y$88)-Y1676</f>
        <v>774.77441690623255</v>
      </c>
      <c r="Z1679" s="43">
        <f t="shared" ref="Z1679" si="4631">Z698*IF($B678=1,1,Z$88)-Z1676</f>
        <v>774.77441690623255</v>
      </c>
      <c r="AA1679" s="43">
        <f t="shared" ref="AA1679" si="4632">AA698*IF($B678=1,1,AA$88)-AA1676</f>
        <v>774.77441690623255</v>
      </c>
      <c r="AB1679" s="43">
        <f t="shared" ref="AB1679:AC1679" si="4633">AB698*IF($B678=1,1,AB$88)-AB1676</f>
        <v>774.77441690623255</v>
      </c>
      <c r="AC1679" s="43">
        <f t="shared" si="4633"/>
        <v>774.77441690623255</v>
      </c>
    </row>
    <row r="1680" spans="1:29" hidden="1" outlineLevel="2" x14ac:dyDescent="0.2">
      <c r="A1680" s="23" t="str">
        <f ca="1">Language!A$816</f>
        <v>Точка безубыточности</v>
      </c>
      <c r="C1680" s="5" t="str">
        <f ca="1">CUR_Main</f>
        <v>тыс. EUR</v>
      </c>
      <c r="D1680" s="16" t="s">
        <v>2429</v>
      </c>
      <c r="F1680" s="319" t="str">
        <f t="shared" ref="F1680:X1680" ca="1" si="4634">IF(F1675="-","-",IF(F1679=0,"-",F1677*F698*IF($B678=1,1,F$88)/F1679))</f>
        <v>-</v>
      </c>
      <c r="G1680" s="319" t="str">
        <f t="shared" ca="1" si="4634"/>
        <v>-</v>
      </c>
      <c r="H1680" s="319" t="str">
        <f t="shared" ca="1" si="4634"/>
        <v>-</v>
      </c>
      <c r="I1680" s="319" t="str">
        <f t="shared" ca="1" si="4634"/>
        <v>-</v>
      </c>
      <c r="J1680" s="319" t="str">
        <f t="shared" ca="1" si="4634"/>
        <v>-</v>
      </c>
      <c r="K1680" s="319">
        <f t="shared" ca="1" si="4634"/>
        <v>2285.1178822792167</v>
      </c>
      <c r="L1680" s="319">
        <f t="shared" ca="1" si="4634"/>
        <v>1026.4261130464424</v>
      </c>
      <c r="M1680" s="319">
        <f t="shared" ca="1" si="4634"/>
        <v>1010.3464564328749</v>
      </c>
      <c r="N1680" s="319">
        <f t="shared" ca="1" si="4634"/>
        <v>1001.8825228526624</v>
      </c>
      <c r="O1680" s="319">
        <f t="shared" ca="1" si="4634"/>
        <v>865.37899636356121</v>
      </c>
      <c r="P1680" s="319">
        <f t="shared" ca="1" si="4634"/>
        <v>865.37899636356121</v>
      </c>
      <c r="Q1680" s="319">
        <f t="shared" ca="1" si="4634"/>
        <v>865.37899636356121</v>
      </c>
      <c r="R1680" s="319">
        <f t="shared" ca="1" si="4634"/>
        <v>865.37899636356121</v>
      </c>
      <c r="S1680" s="319">
        <f t="shared" ca="1" si="4634"/>
        <v>865.37899636356121</v>
      </c>
      <c r="T1680" s="319">
        <f t="shared" ca="1" si="4634"/>
        <v>865.37899636356121</v>
      </c>
      <c r="U1680" s="319">
        <f t="shared" ca="1" si="4634"/>
        <v>865.37899636356121</v>
      </c>
      <c r="V1680" s="319">
        <f t="shared" ca="1" si="4634"/>
        <v>865.37899636356121</v>
      </c>
      <c r="W1680" s="319">
        <f t="shared" ca="1" si="4634"/>
        <v>865.37899636356121</v>
      </c>
      <c r="X1680" s="319">
        <f t="shared" ca="1" si="4634"/>
        <v>865.37899636356121</v>
      </c>
      <c r="Y1680" s="319">
        <f t="shared" ref="Y1680" ca="1" si="4635">IF(Y1675="-","-",IF(Y1679=0,"-",Y1677*Y698*IF($B678=1,1,Y$88)/Y1679))</f>
        <v>865.37899636356121</v>
      </c>
      <c r="Z1680" s="319">
        <f t="shared" ref="Z1680" ca="1" si="4636">IF(Z1675="-","-",IF(Z1679=0,"-",Z1677*Z698*IF($B678=1,1,Z$88)/Z1679))</f>
        <v>865.37899636356121</v>
      </c>
      <c r="AA1680" s="319">
        <f t="shared" ref="AA1680" ca="1" si="4637">IF(AA1675="-","-",IF(AA1679=0,"-",AA1677*AA698*IF($B678=1,1,AA$88)/AA1679))</f>
        <v>865.37899636356121</v>
      </c>
      <c r="AB1680" s="319">
        <f t="shared" ref="AB1680:AC1680" ca="1" si="4638">IF(AB1675="-","-",IF(AB1679=0,"-",AB1677*AB698*IF($B678=1,1,AB$88)/AB1679))</f>
        <v>865.37899636356121</v>
      </c>
      <c r="AC1680" s="319">
        <f t="shared" ca="1" si="4638"/>
        <v>865.37899636356121</v>
      </c>
    </row>
    <row r="1681" spans="1:29" hidden="1" outlineLevel="2" x14ac:dyDescent="0.2">
      <c r="A1681" s="23" t="str">
        <f ca="1">Language!A$816</f>
        <v>Точка безубыточности</v>
      </c>
      <c r="C1681" s="5" t="str">
        <f ca="1">C671</f>
        <v>ед.</v>
      </c>
      <c r="D1681" s="16" t="s">
        <v>2429</v>
      </c>
      <c r="F1681" s="319" t="str">
        <f t="shared" ref="F1681:T1681" ca="1" si="4639">IF(F1665="-","-",IF(F1662-F1665=0,"-",F1677/(F1662-F1665)))</f>
        <v>-</v>
      </c>
      <c r="G1681" s="319" t="str">
        <f t="shared" ca="1" si="4639"/>
        <v>-</v>
      </c>
      <c r="H1681" s="319" t="str">
        <f t="shared" ca="1" si="4639"/>
        <v>-</v>
      </c>
      <c r="I1681" s="319" t="str">
        <f t="shared" ca="1" si="4639"/>
        <v>-</v>
      </c>
      <c r="J1681" s="319" t="str">
        <f t="shared" ca="1" si="4639"/>
        <v>-</v>
      </c>
      <c r="K1681" s="319">
        <f t="shared" ca="1" si="4639"/>
        <v>268.62636267773053</v>
      </c>
      <c r="L1681" s="319">
        <f t="shared" ca="1" si="4639"/>
        <v>120.56488494301045</v>
      </c>
      <c r="M1681" s="319">
        <f t="shared" ca="1" si="4639"/>
        <v>119.3187349108658</v>
      </c>
      <c r="N1681" s="319">
        <f t="shared" ca="1" si="4639"/>
        <v>117.9984032787891</v>
      </c>
      <c r="O1681" s="319">
        <f t="shared" ca="1" si="4639"/>
        <v>101.92147030487537</v>
      </c>
      <c r="P1681" s="319">
        <f t="shared" ca="1" si="4639"/>
        <v>101.92147030487537</v>
      </c>
      <c r="Q1681" s="319">
        <f t="shared" ca="1" si="4639"/>
        <v>101.92147030487537</v>
      </c>
      <c r="R1681" s="319">
        <f t="shared" ca="1" si="4639"/>
        <v>101.92147030487537</v>
      </c>
      <c r="S1681" s="319">
        <f t="shared" ca="1" si="4639"/>
        <v>101.92147030487537</v>
      </c>
      <c r="T1681" s="319">
        <f t="shared" ca="1" si="4639"/>
        <v>101.92147030487537</v>
      </c>
      <c r="U1681" s="319">
        <f t="shared" ref="U1681" ca="1" si="4640">IF(U1665="-","-",IF(U1662-U1665=0,"-",U1677/(U1662-U1665)))</f>
        <v>101.92147030487537</v>
      </c>
      <c r="V1681" s="319">
        <f t="shared" ref="V1681" ca="1" si="4641">IF(V1665="-","-",IF(V1662-V1665=0,"-",V1677/(V1662-V1665)))</f>
        <v>101.92147030487537</v>
      </c>
      <c r="W1681" s="319">
        <f t="shared" ref="W1681" ca="1" si="4642">IF(W1665="-","-",IF(W1662-W1665=0,"-",W1677/(W1662-W1665)))</f>
        <v>101.92147030487537</v>
      </c>
      <c r="X1681" s="319">
        <f t="shared" ref="X1681" ca="1" si="4643">IF(X1665="-","-",IF(X1662-X1665=0,"-",X1677/(X1662-X1665)))</f>
        <v>101.92147030487537</v>
      </c>
      <c r="Y1681" s="319">
        <f t="shared" ref="Y1681" ca="1" si="4644">IF(Y1665="-","-",IF(Y1662-Y1665=0,"-",Y1677/(Y1662-Y1665)))</f>
        <v>101.92147030487537</v>
      </c>
      <c r="Z1681" s="319">
        <f t="shared" ref="Z1681" ca="1" si="4645">IF(Z1665="-","-",IF(Z1662-Z1665=0,"-",Z1677/(Z1662-Z1665)))</f>
        <v>101.92147030487537</v>
      </c>
      <c r="AA1681" s="319">
        <f t="shared" ref="AA1681" ca="1" si="4646">IF(AA1665="-","-",IF(AA1662-AA1665=0,"-",AA1677/(AA1662-AA1665)))</f>
        <v>101.92147030487537</v>
      </c>
      <c r="AB1681" s="319">
        <f t="shared" ref="AB1681:AC1681" ca="1" si="4647">IF(AB1665="-","-",IF(AB1662-AB1665=0,"-",AB1677/(AB1662-AB1665)))</f>
        <v>101.92147030487537</v>
      </c>
      <c r="AC1681" s="319">
        <f t="shared" ca="1" si="4647"/>
        <v>101.92147030487537</v>
      </c>
    </row>
    <row r="1682" spans="1:29" hidden="1" outlineLevel="2" x14ac:dyDescent="0.2">
      <c r="A1682" s="23" t="str">
        <f ca="1">Language!A$817</f>
        <v>"Запас прочности"</v>
      </c>
      <c r="C1682" s="5" t="s">
        <v>2430</v>
      </c>
      <c r="D1682" s="16" t="s">
        <v>2429</v>
      </c>
      <c r="F1682" s="320" t="str">
        <f t="shared" ref="F1682:X1682" ca="1" si="4648">IF(OR(F1680="-",F698=0),"-",(F698*IF($B678=1,1,F$88)-F1680)/(F698*IF($B678=1,1,F$88)))</f>
        <v>-</v>
      </c>
      <c r="G1682" s="320" t="str">
        <f t="shared" ca="1" si="4648"/>
        <v>-</v>
      </c>
      <c r="H1682" s="320" t="str">
        <f t="shared" ca="1" si="4648"/>
        <v>-</v>
      </c>
      <c r="I1682" s="320" t="str">
        <f t="shared" ca="1" si="4648"/>
        <v>-</v>
      </c>
      <c r="J1682" s="320" t="str">
        <f t="shared" ca="1" si="4648"/>
        <v>-</v>
      </c>
      <c r="K1682" s="320">
        <f t="shared" ca="1" si="4648"/>
        <v>-2.1979328890206022</v>
      </c>
      <c r="L1682" s="320">
        <f t="shared" ca="1" si="4648"/>
        <v>0.11349349306609956</v>
      </c>
      <c r="M1682" s="320">
        <f t="shared" ca="1" si="4648"/>
        <v>0.41510424063301093</v>
      </c>
      <c r="N1682" s="320">
        <f t="shared" ca="1" si="4648"/>
        <v>0.56296887674522555</v>
      </c>
      <c r="O1682" s="320">
        <f t="shared" ca="1" si="4648"/>
        <v>0.62251307294490599</v>
      </c>
      <c r="P1682" s="320">
        <f t="shared" ca="1" si="4648"/>
        <v>0.62251307294490599</v>
      </c>
      <c r="Q1682" s="320">
        <f t="shared" ca="1" si="4648"/>
        <v>0.62251307294490599</v>
      </c>
      <c r="R1682" s="320">
        <f t="shared" ca="1" si="4648"/>
        <v>0.62251307294490599</v>
      </c>
      <c r="S1682" s="320">
        <f t="shared" ca="1" si="4648"/>
        <v>0.62251307294490599</v>
      </c>
      <c r="T1682" s="320">
        <f t="shared" ca="1" si="4648"/>
        <v>0.62251307294490599</v>
      </c>
      <c r="U1682" s="320">
        <f t="shared" ca="1" si="4648"/>
        <v>0.62251307294490599</v>
      </c>
      <c r="V1682" s="320">
        <f t="shared" ca="1" si="4648"/>
        <v>0.62251307294490599</v>
      </c>
      <c r="W1682" s="320">
        <f t="shared" ca="1" si="4648"/>
        <v>0.62251307294490599</v>
      </c>
      <c r="X1682" s="320">
        <f t="shared" ca="1" si="4648"/>
        <v>0.62251307294490599</v>
      </c>
      <c r="Y1682" s="320">
        <f t="shared" ref="Y1682" ca="1" si="4649">IF(OR(Y1680="-",Y698=0),"-",(Y698*IF($B678=1,1,Y$88)-Y1680)/(Y698*IF($B678=1,1,Y$88)))</f>
        <v>0.62251307294490599</v>
      </c>
      <c r="Z1682" s="320">
        <f t="shared" ref="Z1682" ca="1" si="4650">IF(OR(Z1680="-",Z698=0),"-",(Z698*IF($B678=1,1,Z$88)-Z1680)/(Z698*IF($B678=1,1,Z$88)))</f>
        <v>0.62251307294490599</v>
      </c>
      <c r="AA1682" s="320">
        <f t="shared" ref="AA1682" ca="1" si="4651">IF(OR(AA1680="-",AA698=0),"-",(AA698*IF($B678=1,1,AA$88)-AA1680)/(AA698*IF($B678=1,1,AA$88)))</f>
        <v>0.62251307294490599</v>
      </c>
      <c r="AB1682" s="320">
        <f t="shared" ref="AB1682:AC1682" ca="1" si="4652">IF(OR(AB1680="-",AB698=0),"-",(AB698*IF($B678=1,1,AB$88)-AB1680)/(AB698*IF($B678=1,1,AB$88)))</f>
        <v>0.62251307294490599</v>
      </c>
      <c r="AC1682" s="320">
        <f t="shared" ca="1" si="4652"/>
        <v>0.62251307294490599</v>
      </c>
    </row>
    <row r="1683" spans="1:29" outlineLevel="1" x14ac:dyDescent="0.2">
      <c r="A1683" s="23" t="str">
        <f ca="1">Language!A$1045</f>
        <v>Рентабельность</v>
      </c>
      <c r="C1683" s="5" t="s">
        <v>2430</v>
      </c>
      <c r="D1683" s="16" t="s">
        <v>2429</v>
      </c>
      <c r="F1683" s="320" t="str">
        <f t="shared" ref="F1683:X1683" ca="1" si="4653">IF(OR(F698=0,F1663="-"),"-",(F698*IF($B678=1,1,F$88)-F1666)/(F698*IF($B678=1,1,F$88)))</f>
        <v>-</v>
      </c>
      <c r="G1683" s="320" t="str">
        <f t="shared" ca="1" si="4653"/>
        <v>-</v>
      </c>
      <c r="H1683" s="320" t="str">
        <f t="shared" ca="1" si="4653"/>
        <v>-</v>
      </c>
      <c r="I1683" s="320" t="str">
        <f t="shared" ca="1" si="4653"/>
        <v>-</v>
      </c>
      <c r="J1683" s="320" t="str">
        <f t="shared" ca="1" si="4653"/>
        <v>-</v>
      </c>
      <c r="K1683" s="320">
        <f t="shared" ca="1" si="4653"/>
        <v>-0.74251894382577355</v>
      </c>
      <c r="L1683" s="320">
        <f t="shared" ca="1" si="4653"/>
        <v>3.8334420837207651E-2</v>
      </c>
      <c r="M1683" s="320">
        <f t="shared" ca="1" si="4653"/>
        <v>0.14037320598483372</v>
      </c>
      <c r="N1683" s="320">
        <f t="shared" ca="1" si="4653"/>
        <v>0.19026338694262002</v>
      </c>
      <c r="O1683" s="320">
        <f t="shared" ca="1" si="4653"/>
        <v>0.21038720001595645</v>
      </c>
      <c r="P1683" s="320">
        <f t="shared" ca="1" si="4653"/>
        <v>0.21038720001595645</v>
      </c>
      <c r="Q1683" s="320">
        <f t="shared" ca="1" si="4653"/>
        <v>0.21038720001595645</v>
      </c>
      <c r="R1683" s="320">
        <f t="shared" ca="1" si="4653"/>
        <v>0.21038720001595645</v>
      </c>
      <c r="S1683" s="320">
        <f t="shared" ca="1" si="4653"/>
        <v>0.21038720001595645</v>
      </c>
      <c r="T1683" s="320">
        <f t="shared" ca="1" si="4653"/>
        <v>0.21038720001595645</v>
      </c>
      <c r="U1683" s="320">
        <f t="shared" ca="1" si="4653"/>
        <v>0.21038720001595645</v>
      </c>
      <c r="V1683" s="320">
        <f t="shared" ca="1" si="4653"/>
        <v>0.21038720001595645</v>
      </c>
      <c r="W1683" s="320">
        <f t="shared" ca="1" si="4653"/>
        <v>0.21038720001595645</v>
      </c>
      <c r="X1683" s="320">
        <f t="shared" ca="1" si="4653"/>
        <v>0.21038720001595645</v>
      </c>
      <c r="Y1683" s="320">
        <f t="shared" ref="Y1683" ca="1" si="4654">IF(OR(Y698=0,Y1663="-"),"-",(Y698*IF($B678=1,1,Y$88)-Y1666)/(Y698*IF($B678=1,1,Y$88)))</f>
        <v>0.21038720001595645</v>
      </c>
      <c r="Z1683" s="320">
        <f t="shared" ref="Z1683" ca="1" si="4655">IF(OR(Z698=0,Z1663="-"),"-",(Z698*IF($B678=1,1,Z$88)-Z1666)/(Z698*IF($B678=1,1,Z$88)))</f>
        <v>0.21038720001595645</v>
      </c>
      <c r="AA1683" s="320">
        <f t="shared" ref="AA1683" ca="1" si="4656">IF(OR(AA698=0,AA1663="-"),"-",(AA698*IF($B678=1,1,AA$88)-AA1666)/(AA698*IF($B678=1,1,AA$88)))</f>
        <v>0.21038720001595645</v>
      </c>
      <c r="AB1683" s="320">
        <f t="shared" ref="AB1683:AC1683" ca="1" si="4657">IF(OR(AB698=0,AB1663="-"),"-",(AB698*IF($B678=1,1,AB$88)-AB1666)/(AB698*IF($B678=1,1,AB$88)))</f>
        <v>0.21038720001595645</v>
      </c>
      <c r="AC1683" s="320">
        <f t="shared" ca="1" si="4657"/>
        <v>0.21038720001595645</v>
      </c>
    </row>
    <row r="1684" spans="1:29" outlineLevel="1" x14ac:dyDescent="0.2">
      <c r="F1684" s="43"/>
      <c r="G1684" s="43"/>
      <c r="H1684" s="43"/>
      <c r="I1684" s="43"/>
      <c r="J1684" s="43"/>
      <c r="K1684" s="43"/>
      <c r="L1684" s="43"/>
      <c r="M1684" s="43"/>
      <c r="N1684" s="43"/>
      <c r="O1684" s="43"/>
      <c r="P1684" s="43"/>
      <c r="Q1684" s="43"/>
      <c r="R1684" s="43"/>
      <c r="S1684" s="43"/>
      <c r="T1684" s="43"/>
      <c r="U1684" s="43"/>
      <c r="V1684" s="43"/>
      <c r="W1684" s="43"/>
      <c r="X1684" s="43"/>
      <c r="Y1684" s="43"/>
      <c r="Z1684" s="43"/>
      <c r="AA1684" s="43"/>
      <c r="AB1684" s="43"/>
      <c r="AC1684" s="43"/>
    </row>
    <row r="1685" spans="1:29" outlineLevel="1" x14ac:dyDescent="0.2">
      <c r="A1685" s="35" t="str">
        <f>A665</f>
        <v>ВЗД</v>
      </c>
      <c r="F1685" s="43"/>
      <c r="G1685" s="43"/>
      <c r="H1685" s="43"/>
      <c r="I1685" s="43"/>
      <c r="J1685" s="43"/>
      <c r="K1685" s="43"/>
      <c r="L1685" s="43"/>
      <c r="M1685" s="43"/>
      <c r="N1685" s="43"/>
      <c r="O1685" s="43"/>
      <c r="P1685" s="43"/>
      <c r="Q1685" s="43"/>
      <c r="R1685" s="43"/>
      <c r="S1685" s="43"/>
      <c r="T1685" s="43"/>
      <c r="U1685" s="43"/>
      <c r="V1685" s="43"/>
      <c r="W1685" s="43"/>
      <c r="X1685" s="43"/>
      <c r="Y1685" s="43"/>
      <c r="Z1685" s="43"/>
      <c r="AA1685" s="43"/>
      <c r="AB1685" s="43"/>
      <c r="AC1685" s="43"/>
    </row>
    <row r="1686" spans="1:29" outlineLevel="1" x14ac:dyDescent="0.2">
      <c r="A1686" s="23" t="str">
        <f ca="1">Language!A$995</f>
        <v>Цена реализации</v>
      </c>
      <c r="C1686" s="5" t="str">
        <f ca="1">CUR_Main&amp;" / " &amp;C672</f>
        <v>тыс. EUR / ед.</v>
      </c>
      <c r="D1686" s="16" t="s">
        <v>2429</v>
      </c>
      <c r="F1686" s="317">
        <f t="shared" ref="F1686:AC1686" si="4658">F688*IF($B685=1,1,F$88)</f>
        <v>0</v>
      </c>
      <c r="G1686" s="317">
        <f t="shared" si="4658"/>
        <v>0</v>
      </c>
      <c r="H1686" s="317">
        <f t="shared" si="4658"/>
        <v>0</v>
      </c>
      <c r="I1686" s="317">
        <f t="shared" si="4658"/>
        <v>0</v>
      </c>
      <c r="J1686" s="317">
        <f t="shared" si="4658"/>
        <v>0</v>
      </c>
      <c r="K1686" s="317">
        <f t="shared" si="4658"/>
        <v>0</v>
      </c>
      <c r="L1686" s="317">
        <f t="shared" si="4658"/>
        <v>21.553160407801261</v>
      </c>
      <c r="M1686" s="317">
        <f t="shared" si="4658"/>
        <v>21.756598703636698</v>
      </c>
      <c r="N1686" s="317">
        <f t="shared" si="4658"/>
        <v>21.739266573339638</v>
      </c>
      <c r="O1686" s="317">
        <f t="shared" si="4658"/>
        <v>21.803949462157622</v>
      </c>
      <c r="P1686" s="317">
        <f t="shared" si="4658"/>
        <v>21.803949462157622</v>
      </c>
      <c r="Q1686" s="317">
        <f t="shared" si="4658"/>
        <v>21.803949462157622</v>
      </c>
      <c r="R1686" s="317">
        <f t="shared" si="4658"/>
        <v>21.803949462157622</v>
      </c>
      <c r="S1686" s="317">
        <f t="shared" si="4658"/>
        <v>21.803949462157622</v>
      </c>
      <c r="T1686" s="317">
        <f t="shared" si="4658"/>
        <v>21.803949462157622</v>
      </c>
      <c r="U1686" s="317">
        <f t="shared" si="4658"/>
        <v>21.803949462157622</v>
      </c>
      <c r="V1686" s="317">
        <f t="shared" si="4658"/>
        <v>21.803949462157622</v>
      </c>
      <c r="W1686" s="317">
        <f t="shared" si="4658"/>
        <v>21.803949462157622</v>
      </c>
      <c r="X1686" s="317">
        <f t="shared" si="4658"/>
        <v>21.803949462157622</v>
      </c>
      <c r="Y1686" s="317">
        <f t="shared" si="4658"/>
        <v>21.803949462157622</v>
      </c>
      <c r="Z1686" s="317">
        <f t="shared" si="4658"/>
        <v>21.803949462157622</v>
      </c>
      <c r="AA1686" s="317">
        <f t="shared" si="4658"/>
        <v>21.803949462157622</v>
      </c>
      <c r="AB1686" s="317">
        <f t="shared" si="4658"/>
        <v>21.803949462157622</v>
      </c>
      <c r="AC1686" s="317">
        <f t="shared" si="4658"/>
        <v>21.803949462157622</v>
      </c>
    </row>
    <row r="1687" spans="1:29" outlineLevel="1" collapsed="1" x14ac:dyDescent="0.2">
      <c r="A1687" s="23" t="str">
        <f ca="1">Language!A$1029</f>
        <v>Себестоимость единицы</v>
      </c>
      <c r="C1687" s="5" t="str">
        <f ca="1">CUR_Main&amp;" / " &amp;C672</f>
        <v>тыс. EUR / ед.</v>
      </c>
      <c r="D1687" s="16" t="s">
        <v>2429</v>
      </c>
      <c r="F1687" s="318" t="str">
        <f t="shared" ref="F1687:AC1687" ca="1" si="4659">IF(F1699="-","-",IF(F672&gt;0,F1690/F672,"-"))</f>
        <v>-</v>
      </c>
      <c r="G1687" s="318" t="str">
        <f t="shared" ca="1" si="4659"/>
        <v>-</v>
      </c>
      <c r="H1687" s="318" t="str">
        <f t="shared" ca="1" si="4659"/>
        <v>-</v>
      </c>
      <c r="I1687" s="318" t="str">
        <f t="shared" ca="1" si="4659"/>
        <v>-</v>
      </c>
      <c r="J1687" s="318" t="str">
        <f t="shared" ca="1" si="4659"/>
        <v>-</v>
      </c>
      <c r="K1687" s="318" t="str">
        <f t="shared" ca="1" si="4659"/>
        <v>-</v>
      </c>
      <c r="L1687" s="318">
        <f t="shared" ca="1" si="4659"/>
        <v>21.490545769609412</v>
      </c>
      <c r="M1687" s="318">
        <f t="shared" ca="1" si="4659"/>
        <v>19.416082574181829</v>
      </c>
      <c r="N1687" s="318">
        <f t="shared" ca="1" si="4659"/>
        <v>18.268131481742284</v>
      </c>
      <c r="O1687" s="318">
        <f t="shared" ca="1" si="4659"/>
        <v>17.870860980378925</v>
      </c>
      <c r="P1687" s="318">
        <f t="shared" ca="1" si="4659"/>
        <v>17.870860980378925</v>
      </c>
      <c r="Q1687" s="318">
        <f t="shared" ca="1" si="4659"/>
        <v>17.870860980378925</v>
      </c>
      <c r="R1687" s="318">
        <f t="shared" ca="1" si="4659"/>
        <v>17.870860980378925</v>
      </c>
      <c r="S1687" s="318">
        <f t="shared" ca="1" si="4659"/>
        <v>17.870860980378925</v>
      </c>
      <c r="T1687" s="318">
        <f t="shared" ca="1" si="4659"/>
        <v>17.870860980378925</v>
      </c>
      <c r="U1687" s="318">
        <f t="shared" ca="1" si="4659"/>
        <v>17.870860980378925</v>
      </c>
      <c r="V1687" s="318">
        <f t="shared" ca="1" si="4659"/>
        <v>17.870860980378925</v>
      </c>
      <c r="W1687" s="318">
        <f t="shared" ca="1" si="4659"/>
        <v>17.870860980378925</v>
      </c>
      <c r="X1687" s="318">
        <f t="shared" ca="1" si="4659"/>
        <v>17.870860980378925</v>
      </c>
      <c r="Y1687" s="318">
        <f t="shared" ca="1" si="4659"/>
        <v>17.870860980378925</v>
      </c>
      <c r="Z1687" s="318">
        <f t="shared" ca="1" si="4659"/>
        <v>17.870860980378925</v>
      </c>
      <c r="AA1687" s="318">
        <f t="shared" ca="1" si="4659"/>
        <v>17.870860980378925</v>
      </c>
      <c r="AB1687" s="318">
        <f t="shared" ca="1" si="4659"/>
        <v>17.870860980378925</v>
      </c>
      <c r="AC1687" s="318">
        <f t="shared" ca="1" si="4659"/>
        <v>17.870860980378925</v>
      </c>
    </row>
    <row r="1688" spans="1:29" ht="12" hidden="1" outlineLevel="2" thickTop="1" x14ac:dyDescent="0.2">
      <c r="A1688" s="23" t="str">
        <f ca="1">Language!A$1043</f>
        <v xml:space="preserve">    постоянные затраты на единицу</v>
      </c>
      <c r="C1688" s="5" t="str">
        <f ca="1">CUR_Main&amp;" / " &amp;C672</f>
        <v>тыс. EUR / ед.</v>
      </c>
      <c r="D1688" s="16" t="s">
        <v>2429</v>
      </c>
      <c r="F1688" s="318" t="str">
        <f t="shared" ref="F1688:AC1688" ca="1" si="4660">IF(F1699="-","-",IF(F672&gt;0,F1701/F672,"-"))</f>
        <v>-</v>
      </c>
      <c r="G1688" s="318" t="str">
        <f t="shared" ca="1" si="4660"/>
        <v>-</v>
      </c>
      <c r="H1688" s="318" t="str">
        <f t="shared" ca="1" si="4660"/>
        <v>-</v>
      </c>
      <c r="I1688" s="318" t="str">
        <f t="shared" ca="1" si="4660"/>
        <v>-</v>
      </c>
      <c r="J1688" s="318" t="str">
        <f t="shared" ca="1" si="4660"/>
        <v>-</v>
      </c>
      <c r="K1688" s="318" t="str">
        <f t="shared" ca="1" si="4660"/>
        <v>-</v>
      </c>
      <c r="L1688" s="318">
        <f t="shared" ca="1" si="4660"/>
        <v>6.6914963338091038</v>
      </c>
      <c r="M1688" s="318">
        <f t="shared" ca="1" si="4660"/>
        <v>4.4674241548284686</v>
      </c>
      <c r="N1688" s="318">
        <f t="shared" ca="1" si="4660"/>
        <v>3.3322191502673348</v>
      </c>
      <c r="O1688" s="318">
        <f t="shared" ca="1" si="4660"/>
        <v>2.8873807059579644</v>
      </c>
      <c r="P1688" s="318">
        <f t="shared" ca="1" si="4660"/>
        <v>2.8873807059579644</v>
      </c>
      <c r="Q1688" s="318">
        <f t="shared" ca="1" si="4660"/>
        <v>2.8873807059579644</v>
      </c>
      <c r="R1688" s="318">
        <f t="shared" ca="1" si="4660"/>
        <v>2.8873807059579644</v>
      </c>
      <c r="S1688" s="318">
        <f t="shared" ca="1" si="4660"/>
        <v>2.8873807059579644</v>
      </c>
      <c r="T1688" s="318">
        <f t="shared" ca="1" si="4660"/>
        <v>2.8873807059579644</v>
      </c>
      <c r="U1688" s="318">
        <f t="shared" ca="1" si="4660"/>
        <v>2.8873807059579644</v>
      </c>
      <c r="V1688" s="318">
        <f t="shared" ca="1" si="4660"/>
        <v>2.8873807059579644</v>
      </c>
      <c r="W1688" s="318">
        <f t="shared" ca="1" si="4660"/>
        <v>2.8873807059579644</v>
      </c>
      <c r="X1688" s="318">
        <f t="shared" ca="1" si="4660"/>
        <v>2.8873807059579644</v>
      </c>
      <c r="Y1688" s="318">
        <f t="shared" ca="1" si="4660"/>
        <v>2.8873807059579644</v>
      </c>
      <c r="Z1688" s="318">
        <f t="shared" ca="1" si="4660"/>
        <v>2.8873807059579644</v>
      </c>
      <c r="AA1688" s="318">
        <f t="shared" ca="1" si="4660"/>
        <v>2.8873807059579644</v>
      </c>
      <c r="AB1688" s="318">
        <f t="shared" ca="1" si="4660"/>
        <v>2.8873807059579644</v>
      </c>
      <c r="AC1688" s="318">
        <f t="shared" ca="1" si="4660"/>
        <v>2.8873807059579644</v>
      </c>
    </row>
    <row r="1689" spans="1:29" ht="12" hidden="1" outlineLevel="2" thickTop="1" x14ac:dyDescent="0.2">
      <c r="A1689" s="23" t="str">
        <f ca="1">Language!A$1044</f>
        <v xml:space="preserve">    переменные затраты на единицу</v>
      </c>
      <c r="C1689" s="5" t="str">
        <f ca="1">CUR_Main&amp;" / " &amp;C672</f>
        <v>тыс. EUR / ед.</v>
      </c>
      <c r="D1689" s="16" t="s">
        <v>2429</v>
      </c>
      <c r="F1689" s="318" t="str">
        <f t="shared" ref="F1689:AC1689" ca="1" si="4661">IF(F1699="-","-",IF(F672&gt;0,F1700/F672,"-"))</f>
        <v>-</v>
      </c>
      <c r="G1689" s="318" t="str">
        <f t="shared" ca="1" si="4661"/>
        <v>-</v>
      </c>
      <c r="H1689" s="318" t="str">
        <f t="shared" ca="1" si="4661"/>
        <v>-</v>
      </c>
      <c r="I1689" s="318" t="str">
        <f t="shared" ca="1" si="4661"/>
        <v>-</v>
      </c>
      <c r="J1689" s="318" t="str">
        <f t="shared" ca="1" si="4661"/>
        <v>-</v>
      </c>
      <c r="K1689" s="318" t="str">
        <f t="shared" ca="1" si="4661"/>
        <v>-</v>
      </c>
      <c r="L1689" s="318">
        <f t="shared" ca="1" si="4661"/>
        <v>14.799049435800308</v>
      </c>
      <c r="M1689" s="318">
        <f t="shared" ca="1" si="4661"/>
        <v>14.948658419353359</v>
      </c>
      <c r="N1689" s="318">
        <f t="shared" ca="1" si="4661"/>
        <v>14.935912331474951</v>
      </c>
      <c r="O1689" s="318">
        <f t="shared" ca="1" si="4661"/>
        <v>14.983480274420959</v>
      </c>
      <c r="P1689" s="318">
        <f t="shared" ca="1" si="4661"/>
        <v>14.983480274420959</v>
      </c>
      <c r="Q1689" s="318">
        <f t="shared" ca="1" si="4661"/>
        <v>14.983480274420959</v>
      </c>
      <c r="R1689" s="318">
        <f t="shared" ca="1" si="4661"/>
        <v>14.983480274420959</v>
      </c>
      <c r="S1689" s="318">
        <f t="shared" ca="1" si="4661"/>
        <v>14.983480274420959</v>
      </c>
      <c r="T1689" s="318">
        <f t="shared" ca="1" si="4661"/>
        <v>14.983480274420959</v>
      </c>
      <c r="U1689" s="318">
        <f t="shared" ca="1" si="4661"/>
        <v>14.983480274420959</v>
      </c>
      <c r="V1689" s="318">
        <f t="shared" ca="1" si="4661"/>
        <v>14.983480274420959</v>
      </c>
      <c r="W1689" s="318">
        <f t="shared" ca="1" si="4661"/>
        <v>14.983480274420959</v>
      </c>
      <c r="X1689" s="318">
        <f t="shared" ca="1" si="4661"/>
        <v>14.983480274420959</v>
      </c>
      <c r="Y1689" s="318">
        <f t="shared" ca="1" si="4661"/>
        <v>14.983480274420959</v>
      </c>
      <c r="Z1689" s="318">
        <f t="shared" ca="1" si="4661"/>
        <v>14.983480274420959</v>
      </c>
      <c r="AA1689" s="318">
        <f t="shared" ca="1" si="4661"/>
        <v>14.983480274420959</v>
      </c>
      <c r="AB1689" s="318">
        <f t="shared" ca="1" si="4661"/>
        <v>14.983480274420959</v>
      </c>
      <c r="AC1689" s="318">
        <f t="shared" ca="1" si="4661"/>
        <v>14.983480274420959</v>
      </c>
    </row>
    <row r="1690" spans="1:29" ht="12" hidden="1" outlineLevel="2" thickTop="1" x14ac:dyDescent="0.2">
      <c r="A1690" s="23" t="str">
        <f ca="1">Language!A$1030</f>
        <v xml:space="preserve">    Итого затраты</v>
      </c>
      <c r="C1690" s="5" t="str">
        <f t="shared" ref="C1690:C1698" ca="1" si="4662">CUR_Main</f>
        <v>тыс. EUR</v>
      </c>
      <c r="F1690" s="319" t="str">
        <f t="shared" ref="F1690:AC1690" ca="1" si="4663">IF(F1699="-","-",F1701+F1700)</f>
        <v>-</v>
      </c>
      <c r="G1690" s="319" t="str">
        <f t="shared" ca="1" si="4663"/>
        <v>-</v>
      </c>
      <c r="H1690" s="319" t="str">
        <f t="shared" ca="1" si="4663"/>
        <v>-</v>
      </c>
      <c r="I1690" s="319" t="str">
        <f t="shared" ca="1" si="4663"/>
        <v>-</v>
      </c>
      <c r="J1690" s="319" t="str">
        <f t="shared" ca="1" si="4663"/>
        <v>-</v>
      </c>
      <c r="K1690" s="319">
        <f t="shared" ca="1" si="4663"/>
        <v>0</v>
      </c>
      <c r="L1690" s="319">
        <f t="shared" ca="1" si="4663"/>
        <v>1568.8098411814872</v>
      </c>
      <c r="M1690" s="319">
        <f t="shared" ca="1" si="4663"/>
        <v>2368.7620740501829</v>
      </c>
      <c r="N1690" s="319">
        <f t="shared" ca="1" si="4663"/>
        <v>3324.7999296770959</v>
      </c>
      <c r="O1690" s="319">
        <f t="shared" ca="1" si="4663"/>
        <v>4289.0066352909416</v>
      </c>
      <c r="P1690" s="319">
        <f t="shared" ca="1" si="4663"/>
        <v>4289.0066352909416</v>
      </c>
      <c r="Q1690" s="319">
        <f t="shared" ca="1" si="4663"/>
        <v>4289.0066352909416</v>
      </c>
      <c r="R1690" s="319">
        <f t="shared" ca="1" si="4663"/>
        <v>4289.0066352909416</v>
      </c>
      <c r="S1690" s="319">
        <f t="shared" ca="1" si="4663"/>
        <v>4289.0066352909416</v>
      </c>
      <c r="T1690" s="319">
        <f t="shared" ca="1" si="4663"/>
        <v>4289.0066352909416</v>
      </c>
      <c r="U1690" s="319">
        <f t="shared" ca="1" si="4663"/>
        <v>4289.0066352909416</v>
      </c>
      <c r="V1690" s="319">
        <f t="shared" ca="1" si="4663"/>
        <v>4289.0066352909416</v>
      </c>
      <c r="W1690" s="319">
        <f t="shared" ca="1" si="4663"/>
        <v>4289.0066352909416</v>
      </c>
      <c r="X1690" s="319">
        <f t="shared" ca="1" si="4663"/>
        <v>4289.0066352909416</v>
      </c>
      <c r="Y1690" s="319">
        <f t="shared" ca="1" si="4663"/>
        <v>4289.0066352909416</v>
      </c>
      <c r="Z1690" s="319">
        <f t="shared" ca="1" si="4663"/>
        <v>4289.0066352909416</v>
      </c>
      <c r="AA1690" s="319">
        <f t="shared" ca="1" si="4663"/>
        <v>4289.0066352909416</v>
      </c>
      <c r="AB1690" s="319">
        <f t="shared" ca="1" si="4663"/>
        <v>4289.0066352909416</v>
      </c>
      <c r="AC1690" s="319">
        <f t="shared" ca="1" si="4663"/>
        <v>4289.0066352909416</v>
      </c>
    </row>
    <row r="1691" spans="1:29" ht="12" hidden="1" outlineLevel="2" thickTop="1" x14ac:dyDescent="0.2">
      <c r="A1691" s="23" t="str">
        <f ca="1">Language!A$1031</f>
        <v xml:space="preserve">    сырье и материалы</v>
      </c>
      <c r="C1691" s="5" t="str">
        <f t="shared" ca="1" si="4662"/>
        <v>тыс. EUR</v>
      </c>
      <c r="F1691" s="43">
        <f t="shared" ref="F1691:AC1691" si="4664">SUMIF($D788:$D803,"*1_10*",F788:F803)+SUMIF($D788:$D803,"*2_10*",F788:F803)*F$88</f>
        <v>0</v>
      </c>
      <c r="G1691" s="43">
        <f t="shared" si="4664"/>
        <v>0</v>
      </c>
      <c r="H1691" s="43">
        <f t="shared" si="4664"/>
        <v>0</v>
      </c>
      <c r="I1691" s="43">
        <f t="shared" si="4664"/>
        <v>0</v>
      </c>
      <c r="J1691" s="43">
        <f t="shared" si="4664"/>
        <v>0</v>
      </c>
      <c r="K1691" s="43">
        <f t="shared" si="4664"/>
        <v>0</v>
      </c>
      <c r="L1691" s="43">
        <f t="shared" si="4664"/>
        <v>1080.3306088134225</v>
      </c>
      <c r="M1691" s="43">
        <f t="shared" si="4664"/>
        <v>1823.7363271611098</v>
      </c>
      <c r="N1691" s="43">
        <f t="shared" si="4664"/>
        <v>2718.3360443284409</v>
      </c>
      <c r="O1691" s="43">
        <f t="shared" si="4664"/>
        <v>3596.03526586103</v>
      </c>
      <c r="P1691" s="43">
        <f t="shared" si="4664"/>
        <v>3596.03526586103</v>
      </c>
      <c r="Q1691" s="43">
        <f t="shared" si="4664"/>
        <v>3596.03526586103</v>
      </c>
      <c r="R1691" s="43">
        <f t="shared" si="4664"/>
        <v>3596.03526586103</v>
      </c>
      <c r="S1691" s="43">
        <f t="shared" si="4664"/>
        <v>3596.03526586103</v>
      </c>
      <c r="T1691" s="43">
        <f t="shared" si="4664"/>
        <v>3596.03526586103</v>
      </c>
      <c r="U1691" s="43">
        <f t="shared" si="4664"/>
        <v>3596.03526586103</v>
      </c>
      <c r="V1691" s="43">
        <f t="shared" si="4664"/>
        <v>3596.03526586103</v>
      </c>
      <c r="W1691" s="43">
        <f t="shared" si="4664"/>
        <v>3596.03526586103</v>
      </c>
      <c r="X1691" s="43">
        <f t="shared" si="4664"/>
        <v>3596.03526586103</v>
      </c>
      <c r="Y1691" s="43">
        <f t="shared" si="4664"/>
        <v>3596.03526586103</v>
      </c>
      <c r="Z1691" s="43">
        <f t="shared" si="4664"/>
        <v>3596.03526586103</v>
      </c>
      <c r="AA1691" s="43">
        <f t="shared" si="4664"/>
        <v>3596.03526586103</v>
      </c>
      <c r="AB1691" s="43">
        <f t="shared" si="4664"/>
        <v>3596.03526586103</v>
      </c>
      <c r="AC1691" s="43">
        <f t="shared" si="4664"/>
        <v>3596.03526586103</v>
      </c>
    </row>
    <row r="1692" spans="1:29" ht="12" hidden="1" outlineLevel="2" thickTop="1" x14ac:dyDescent="0.2">
      <c r="A1692" s="23" t="str">
        <f ca="1">Language!A$1032</f>
        <v xml:space="preserve">    прочие переменные расходы</v>
      </c>
      <c r="C1692" s="5" t="str">
        <f t="shared" ca="1" si="4662"/>
        <v>тыс. EUR</v>
      </c>
      <c r="F1692" s="43">
        <f t="shared" ref="F1692:AC1692" si="4665">SUMIF($D839:$D853,"*1_10*",F839:F853)+SUMIF($D839:$D853,"*2_10*",F839:F853)*F$88</f>
        <v>0</v>
      </c>
      <c r="G1692" s="43">
        <f t="shared" si="4665"/>
        <v>0</v>
      </c>
      <c r="H1692" s="43">
        <f t="shared" si="4665"/>
        <v>0</v>
      </c>
      <c r="I1692" s="43">
        <f t="shared" si="4665"/>
        <v>0</v>
      </c>
      <c r="J1692" s="43">
        <f t="shared" si="4665"/>
        <v>0</v>
      </c>
      <c r="K1692" s="43">
        <f t="shared" si="4665"/>
        <v>0</v>
      </c>
      <c r="L1692" s="43">
        <f t="shared" si="4665"/>
        <v>0</v>
      </c>
      <c r="M1692" s="43">
        <f t="shared" si="4665"/>
        <v>0</v>
      </c>
      <c r="N1692" s="43">
        <f t="shared" si="4665"/>
        <v>0</v>
      </c>
      <c r="O1692" s="43">
        <f t="shared" si="4665"/>
        <v>0</v>
      </c>
      <c r="P1692" s="43">
        <f t="shared" si="4665"/>
        <v>0</v>
      </c>
      <c r="Q1692" s="43">
        <f t="shared" si="4665"/>
        <v>0</v>
      </c>
      <c r="R1692" s="43">
        <f t="shared" si="4665"/>
        <v>0</v>
      </c>
      <c r="S1692" s="43">
        <f t="shared" si="4665"/>
        <v>0</v>
      </c>
      <c r="T1692" s="43">
        <f t="shared" si="4665"/>
        <v>0</v>
      </c>
      <c r="U1692" s="43">
        <f t="shared" si="4665"/>
        <v>0</v>
      </c>
      <c r="V1692" s="43">
        <f t="shared" si="4665"/>
        <v>0</v>
      </c>
      <c r="W1692" s="43">
        <f t="shared" si="4665"/>
        <v>0</v>
      </c>
      <c r="X1692" s="43">
        <f t="shared" si="4665"/>
        <v>0</v>
      </c>
      <c r="Y1692" s="43">
        <f t="shared" si="4665"/>
        <v>0</v>
      </c>
      <c r="Z1692" s="43">
        <f t="shared" si="4665"/>
        <v>0</v>
      </c>
      <c r="AA1692" s="43">
        <f t="shared" si="4665"/>
        <v>0</v>
      </c>
      <c r="AB1692" s="43">
        <f t="shared" si="4665"/>
        <v>0</v>
      </c>
      <c r="AC1692" s="43">
        <f t="shared" si="4665"/>
        <v>0</v>
      </c>
    </row>
    <row r="1693" spans="1:29" ht="12" hidden="1" outlineLevel="2" thickTop="1" x14ac:dyDescent="0.2">
      <c r="A1693" s="23" t="str">
        <f ca="1">Language!A$626</f>
        <v xml:space="preserve">    оплата труда</v>
      </c>
      <c r="C1693" s="5" t="str">
        <f t="shared" ca="1" si="4662"/>
        <v>тыс. EUR</v>
      </c>
      <c r="F1693" s="319" t="str">
        <f t="shared" ref="F1693:AC1693" ca="1" si="4666">IF(F1699="-","-",F916*F1699)</f>
        <v>-</v>
      </c>
      <c r="G1693" s="319" t="str">
        <f t="shared" ca="1" si="4666"/>
        <v>-</v>
      </c>
      <c r="H1693" s="319" t="str">
        <f t="shared" ca="1" si="4666"/>
        <v>-</v>
      </c>
      <c r="I1693" s="319" t="str">
        <f t="shared" ca="1" si="4666"/>
        <v>-</v>
      </c>
      <c r="J1693" s="319" t="str">
        <f t="shared" ca="1" si="4666"/>
        <v>-</v>
      </c>
      <c r="K1693" s="319">
        <f t="shared" ca="1" si="4666"/>
        <v>0</v>
      </c>
      <c r="L1693" s="319">
        <f t="shared" ca="1" si="4666"/>
        <v>257.24336757863188</v>
      </c>
      <c r="M1693" s="319">
        <f t="shared" ca="1" si="4666"/>
        <v>270.34628550546569</v>
      </c>
      <c r="N1693" s="319">
        <f t="shared" ca="1" si="4666"/>
        <v>282.23956449220759</v>
      </c>
      <c r="O1693" s="319">
        <f t="shared" ca="1" si="4666"/>
        <v>309.28587864076582</v>
      </c>
      <c r="P1693" s="319">
        <f t="shared" ca="1" si="4666"/>
        <v>309.28587864076582</v>
      </c>
      <c r="Q1693" s="319">
        <f t="shared" ca="1" si="4666"/>
        <v>309.28587864076582</v>
      </c>
      <c r="R1693" s="319">
        <f t="shared" ca="1" si="4666"/>
        <v>309.28587864076582</v>
      </c>
      <c r="S1693" s="319">
        <f t="shared" ca="1" si="4666"/>
        <v>309.28587864076582</v>
      </c>
      <c r="T1693" s="319">
        <f t="shared" ca="1" si="4666"/>
        <v>309.28587864076582</v>
      </c>
      <c r="U1693" s="319">
        <f t="shared" ca="1" si="4666"/>
        <v>309.28587864076582</v>
      </c>
      <c r="V1693" s="319">
        <f t="shared" ca="1" si="4666"/>
        <v>309.28587864076582</v>
      </c>
      <c r="W1693" s="319">
        <f t="shared" ca="1" si="4666"/>
        <v>309.28587864076582</v>
      </c>
      <c r="X1693" s="319">
        <f t="shared" ca="1" si="4666"/>
        <v>309.28587864076582</v>
      </c>
      <c r="Y1693" s="319">
        <f t="shared" ca="1" si="4666"/>
        <v>309.28587864076582</v>
      </c>
      <c r="Z1693" s="319">
        <f t="shared" ca="1" si="4666"/>
        <v>309.28587864076582</v>
      </c>
      <c r="AA1693" s="319">
        <f t="shared" ca="1" si="4666"/>
        <v>309.28587864076582</v>
      </c>
      <c r="AB1693" s="319">
        <f t="shared" ca="1" si="4666"/>
        <v>309.28587864076582</v>
      </c>
      <c r="AC1693" s="319">
        <f t="shared" ca="1" si="4666"/>
        <v>309.28587864076582</v>
      </c>
    </row>
    <row r="1694" spans="1:29" ht="12" hidden="1" outlineLevel="2" thickTop="1" x14ac:dyDescent="0.2">
      <c r="A1694" s="23" t="str">
        <f ca="1">Language!A$1037</f>
        <v xml:space="preserve">    амортизация</v>
      </c>
      <c r="C1694" s="5" t="str">
        <f t="shared" ca="1" si="4662"/>
        <v>тыс. EUR</v>
      </c>
      <c r="F1694" s="319" t="str">
        <f t="shared" ref="F1694:AC1694" ca="1" si="4667">IF(F1699="-","-",F944*F1699)</f>
        <v>-</v>
      </c>
      <c r="G1694" s="319" t="str">
        <f t="shared" ca="1" si="4667"/>
        <v>-</v>
      </c>
      <c r="H1694" s="319" t="str">
        <f t="shared" ca="1" si="4667"/>
        <v>-</v>
      </c>
      <c r="I1694" s="319" t="str">
        <f t="shared" ca="1" si="4667"/>
        <v>-</v>
      </c>
      <c r="J1694" s="319" t="str">
        <f t="shared" ca="1" si="4667"/>
        <v>-</v>
      </c>
      <c r="K1694" s="319">
        <f t="shared" ca="1" si="4667"/>
        <v>0</v>
      </c>
      <c r="L1694" s="319">
        <f t="shared" ca="1" si="4667"/>
        <v>180.93536973771816</v>
      </c>
      <c r="M1694" s="319">
        <f t="shared" ca="1" si="4667"/>
        <v>190.15147245807287</v>
      </c>
      <c r="N1694" s="319">
        <f t="shared" ca="1" si="4667"/>
        <v>198.51676036079095</v>
      </c>
      <c r="O1694" s="319">
        <f t="shared" ca="1" si="4667"/>
        <v>217.5401268194656</v>
      </c>
      <c r="P1694" s="319">
        <f t="shared" ca="1" si="4667"/>
        <v>217.5401268194656</v>
      </c>
      <c r="Q1694" s="319">
        <f t="shared" ca="1" si="4667"/>
        <v>217.5401268194656</v>
      </c>
      <c r="R1694" s="319">
        <f t="shared" ca="1" si="4667"/>
        <v>217.5401268194656</v>
      </c>
      <c r="S1694" s="319">
        <f t="shared" ca="1" si="4667"/>
        <v>217.5401268194656</v>
      </c>
      <c r="T1694" s="319">
        <f t="shared" ca="1" si="4667"/>
        <v>217.5401268194656</v>
      </c>
      <c r="U1694" s="319">
        <f t="shared" ca="1" si="4667"/>
        <v>217.5401268194656</v>
      </c>
      <c r="V1694" s="319">
        <f t="shared" ca="1" si="4667"/>
        <v>217.5401268194656</v>
      </c>
      <c r="W1694" s="319">
        <f t="shared" ca="1" si="4667"/>
        <v>217.5401268194656</v>
      </c>
      <c r="X1694" s="319">
        <f t="shared" ca="1" si="4667"/>
        <v>217.5401268194656</v>
      </c>
      <c r="Y1694" s="319">
        <f t="shared" ca="1" si="4667"/>
        <v>217.5401268194656</v>
      </c>
      <c r="Z1694" s="319">
        <f t="shared" ca="1" si="4667"/>
        <v>217.5401268194656</v>
      </c>
      <c r="AA1694" s="319">
        <f t="shared" ca="1" si="4667"/>
        <v>217.5401268194656</v>
      </c>
      <c r="AB1694" s="319">
        <f t="shared" ca="1" si="4667"/>
        <v>217.5401268194656</v>
      </c>
      <c r="AC1694" s="319">
        <f t="shared" ca="1" si="4667"/>
        <v>217.5401268194656</v>
      </c>
    </row>
    <row r="1695" spans="1:29" ht="12" hidden="1" outlineLevel="2" thickTop="1" x14ac:dyDescent="0.2">
      <c r="A1695" s="23" t="str">
        <f ca="1">Language!A$1033</f>
        <v xml:space="preserve">    лизинговые платежи</v>
      </c>
      <c r="C1695" s="5" t="str">
        <f t="shared" ca="1" si="4662"/>
        <v>тыс. EUR</v>
      </c>
      <c r="F1695" s="319" t="str">
        <f t="shared" ref="F1695:AC1695" ca="1" si="4668">IF(F1699="-","-",F647*F1699)</f>
        <v>-</v>
      </c>
      <c r="G1695" s="319" t="str">
        <f t="shared" ca="1" si="4668"/>
        <v>-</v>
      </c>
      <c r="H1695" s="319" t="str">
        <f t="shared" ca="1" si="4668"/>
        <v>-</v>
      </c>
      <c r="I1695" s="319" t="str">
        <f t="shared" ca="1" si="4668"/>
        <v>-</v>
      </c>
      <c r="J1695" s="319" t="str">
        <f t="shared" ca="1" si="4668"/>
        <v>-</v>
      </c>
      <c r="K1695" s="319">
        <f t="shared" ca="1" si="4668"/>
        <v>0</v>
      </c>
      <c r="L1695" s="319">
        <f t="shared" ca="1" si="4668"/>
        <v>0</v>
      </c>
      <c r="M1695" s="319">
        <f t="shared" ca="1" si="4668"/>
        <v>0</v>
      </c>
      <c r="N1695" s="319">
        <f t="shared" ca="1" si="4668"/>
        <v>0</v>
      </c>
      <c r="O1695" s="319">
        <f t="shared" ca="1" si="4668"/>
        <v>0</v>
      </c>
      <c r="P1695" s="319">
        <f t="shared" ca="1" si="4668"/>
        <v>0</v>
      </c>
      <c r="Q1695" s="319">
        <f t="shared" ca="1" si="4668"/>
        <v>0</v>
      </c>
      <c r="R1695" s="319">
        <f t="shared" ca="1" si="4668"/>
        <v>0</v>
      </c>
      <c r="S1695" s="319">
        <f t="shared" ca="1" si="4668"/>
        <v>0</v>
      </c>
      <c r="T1695" s="319">
        <f t="shared" ca="1" si="4668"/>
        <v>0</v>
      </c>
      <c r="U1695" s="319">
        <f t="shared" ca="1" si="4668"/>
        <v>0</v>
      </c>
      <c r="V1695" s="319">
        <f t="shared" ca="1" si="4668"/>
        <v>0</v>
      </c>
      <c r="W1695" s="319">
        <f t="shared" ca="1" si="4668"/>
        <v>0</v>
      </c>
      <c r="X1695" s="319">
        <f t="shared" ca="1" si="4668"/>
        <v>0</v>
      </c>
      <c r="Y1695" s="319">
        <f t="shared" ca="1" si="4668"/>
        <v>0</v>
      </c>
      <c r="Z1695" s="319">
        <f t="shared" ca="1" si="4668"/>
        <v>0</v>
      </c>
      <c r="AA1695" s="319">
        <f t="shared" ca="1" si="4668"/>
        <v>0</v>
      </c>
      <c r="AB1695" s="319">
        <f t="shared" ca="1" si="4668"/>
        <v>0</v>
      </c>
      <c r="AC1695" s="319">
        <f t="shared" ca="1" si="4668"/>
        <v>0</v>
      </c>
    </row>
    <row r="1696" spans="1:29" ht="12" hidden="1" outlineLevel="2" thickTop="1" x14ac:dyDescent="0.2">
      <c r="A1696" s="23" t="str">
        <f ca="1">Language!A$1034</f>
        <v xml:space="preserve">    прочие производственные расходы</v>
      </c>
      <c r="C1696" s="5" t="str">
        <f t="shared" ca="1" si="4662"/>
        <v>тыс. EUR</v>
      </c>
      <c r="F1696" s="319" t="str">
        <f t="shared" ref="F1696:AC1696" ca="1" si="4669">IF(F1699="-","-",(F998+F996)*F1699)</f>
        <v>-</v>
      </c>
      <c r="G1696" s="319" t="str">
        <f t="shared" ca="1" si="4669"/>
        <v>-</v>
      </c>
      <c r="H1696" s="319" t="str">
        <f t="shared" ca="1" si="4669"/>
        <v>-</v>
      </c>
      <c r="I1696" s="319" t="str">
        <f t="shared" ca="1" si="4669"/>
        <v>-</v>
      </c>
      <c r="J1696" s="319" t="str">
        <f t="shared" ca="1" si="4669"/>
        <v>-</v>
      </c>
      <c r="K1696" s="319">
        <f t="shared" ca="1" si="4669"/>
        <v>0</v>
      </c>
      <c r="L1696" s="319">
        <f t="shared" ca="1" si="4669"/>
        <v>17.890576787311804</v>
      </c>
      <c r="M1696" s="319">
        <f t="shared" ca="1" si="4669"/>
        <v>29.815899110701277</v>
      </c>
      <c r="N1696" s="319">
        <f t="shared" ca="1" si="4669"/>
        <v>44.157479165803075</v>
      </c>
      <c r="O1696" s="319">
        <f t="shared" ca="1" si="4669"/>
        <v>58.264305993849248</v>
      </c>
      <c r="P1696" s="319">
        <f t="shared" ca="1" si="4669"/>
        <v>58.264305993849248</v>
      </c>
      <c r="Q1696" s="319">
        <f t="shared" ca="1" si="4669"/>
        <v>58.264305993849248</v>
      </c>
      <c r="R1696" s="319">
        <f t="shared" ca="1" si="4669"/>
        <v>58.264305993849248</v>
      </c>
      <c r="S1696" s="319">
        <f t="shared" ca="1" si="4669"/>
        <v>58.264305993849248</v>
      </c>
      <c r="T1696" s="319">
        <f t="shared" ca="1" si="4669"/>
        <v>58.264305993849248</v>
      </c>
      <c r="U1696" s="319">
        <f t="shared" ca="1" si="4669"/>
        <v>58.264305993849248</v>
      </c>
      <c r="V1696" s="319">
        <f t="shared" ca="1" si="4669"/>
        <v>58.264305993849248</v>
      </c>
      <c r="W1696" s="319">
        <f t="shared" ca="1" si="4669"/>
        <v>58.264305993849248</v>
      </c>
      <c r="X1696" s="319">
        <f t="shared" ca="1" si="4669"/>
        <v>58.264305993849248</v>
      </c>
      <c r="Y1696" s="319">
        <f t="shared" ca="1" si="4669"/>
        <v>58.264305993849248</v>
      </c>
      <c r="Z1696" s="319">
        <f t="shared" ca="1" si="4669"/>
        <v>58.264305993849248</v>
      </c>
      <c r="AA1696" s="319">
        <f t="shared" ca="1" si="4669"/>
        <v>58.264305993849248</v>
      </c>
      <c r="AB1696" s="319">
        <f t="shared" ca="1" si="4669"/>
        <v>58.264305993849248</v>
      </c>
      <c r="AC1696" s="319">
        <f t="shared" ca="1" si="4669"/>
        <v>58.264305993849248</v>
      </c>
    </row>
    <row r="1697" spans="1:31" ht="12" hidden="1" outlineLevel="2" thickTop="1" x14ac:dyDescent="0.2">
      <c r="A1697" s="23" t="str">
        <f ca="1">Language!A$1035</f>
        <v xml:space="preserve">    административные расходы</v>
      </c>
      <c r="C1697" s="5" t="str">
        <f t="shared" ca="1" si="4662"/>
        <v>тыс. EUR</v>
      </c>
      <c r="F1697" s="319" t="str">
        <f t="shared" ref="F1697:AC1697" ca="1" si="4670">IF(F1699="-","-",F990*F1699)</f>
        <v>-</v>
      </c>
      <c r="G1697" s="319" t="str">
        <f t="shared" ca="1" si="4670"/>
        <v>-</v>
      </c>
      <c r="H1697" s="319" t="str">
        <f t="shared" ca="1" si="4670"/>
        <v>-</v>
      </c>
      <c r="I1697" s="319" t="str">
        <f t="shared" ca="1" si="4670"/>
        <v>-</v>
      </c>
      <c r="J1697" s="319" t="str">
        <f t="shared" ca="1" si="4670"/>
        <v>-</v>
      </c>
      <c r="K1697" s="319">
        <f t="shared" ca="1" si="4670"/>
        <v>0</v>
      </c>
      <c r="L1697" s="319">
        <f t="shared" ca="1" si="4670"/>
        <v>5.4016530440671131</v>
      </c>
      <c r="M1697" s="319">
        <f t="shared" ca="1" si="4670"/>
        <v>9.1186816358055491</v>
      </c>
      <c r="N1697" s="319">
        <f t="shared" ca="1" si="4670"/>
        <v>13.591680221642207</v>
      </c>
      <c r="O1697" s="319">
        <f t="shared" ca="1" si="4670"/>
        <v>17.980176329305145</v>
      </c>
      <c r="P1697" s="319">
        <f t="shared" ca="1" si="4670"/>
        <v>17.980176329305145</v>
      </c>
      <c r="Q1697" s="319">
        <f t="shared" ca="1" si="4670"/>
        <v>17.980176329305145</v>
      </c>
      <c r="R1697" s="319">
        <f t="shared" ca="1" si="4670"/>
        <v>17.980176329305145</v>
      </c>
      <c r="S1697" s="319">
        <f t="shared" ca="1" si="4670"/>
        <v>17.980176329305145</v>
      </c>
      <c r="T1697" s="319">
        <f t="shared" ca="1" si="4670"/>
        <v>17.980176329305145</v>
      </c>
      <c r="U1697" s="319">
        <f t="shared" ca="1" si="4670"/>
        <v>17.980176329305145</v>
      </c>
      <c r="V1697" s="319">
        <f t="shared" ca="1" si="4670"/>
        <v>17.980176329305145</v>
      </c>
      <c r="W1697" s="319">
        <f t="shared" ca="1" si="4670"/>
        <v>17.980176329305145</v>
      </c>
      <c r="X1697" s="319">
        <f t="shared" ca="1" si="4670"/>
        <v>17.980176329305145</v>
      </c>
      <c r="Y1697" s="319">
        <f t="shared" ca="1" si="4670"/>
        <v>17.980176329305145</v>
      </c>
      <c r="Z1697" s="319">
        <f t="shared" ca="1" si="4670"/>
        <v>17.980176329305145</v>
      </c>
      <c r="AA1697" s="319">
        <f t="shared" ca="1" si="4670"/>
        <v>17.980176329305145</v>
      </c>
      <c r="AB1697" s="319">
        <f t="shared" ca="1" si="4670"/>
        <v>17.980176329305145</v>
      </c>
      <c r="AC1697" s="319">
        <f t="shared" ca="1" si="4670"/>
        <v>17.980176329305145</v>
      </c>
    </row>
    <row r="1698" spans="1:31" ht="12" hidden="1" outlineLevel="2" thickTop="1" x14ac:dyDescent="0.2">
      <c r="A1698" s="23" t="str">
        <f ca="1">Language!A$1036</f>
        <v xml:space="preserve">    коммерческие расходы</v>
      </c>
      <c r="C1698" s="5" t="str">
        <f t="shared" ca="1" si="4662"/>
        <v>тыс. EUR</v>
      </c>
      <c r="F1698" s="319" t="str">
        <f t="shared" ref="F1698:AC1698" ca="1" si="4671">IF(F1699="-","-",F989*F1699)</f>
        <v>-</v>
      </c>
      <c r="G1698" s="319" t="str">
        <f t="shared" ca="1" si="4671"/>
        <v>-</v>
      </c>
      <c r="H1698" s="319" t="str">
        <f t="shared" ca="1" si="4671"/>
        <v>-</v>
      </c>
      <c r="I1698" s="319" t="str">
        <f t="shared" ca="1" si="4671"/>
        <v>-</v>
      </c>
      <c r="J1698" s="319" t="str">
        <f t="shared" ca="1" si="4671"/>
        <v>-</v>
      </c>
      <c r="K1698" s="319">
        <f t="shared" ca="1" si="4671"/>
        <v>0</v>
      </c>
      <c r="L1698" s="319">
        <f t="shared" ca="1" si="4671"/>
        <v>27.008265220335563</v>
      </c>
      <c r="M1698" s="319">
        <f t="shared" ca="1" si="4671"/>
        <v>45.593408179027747</v>
      </c>
      <c r="N1698" s="319">
        <f t="shared" ca="1" si="4671"/>
        <v>67.958401108211035</v>
      </c>
      <c r="O1698" s="319">
        <f t="shared" ca="1" si="4671"/>
        <v>89.900881646525733</v>
      </c>
      <c r="P1698" s="319">
        <f t="shared" ca="1" si="4671"/>
        <v>89.900881646525733</v>
      </c>
      <c r="Q1698" s="319">
        <f t="shared" ca="1" si="4671"/>
        <v>89.900881646525733</v>
      </c>
      <c r="R1698" s="319">
        <f t="shared" ca="1" si="4671"/>
        <v>89.900881646525733</v>
      </c>
      <c r="S1698" s="319">
        <f t="shared" ca="1" si="4671"/>
        <v>89.900881646525733</v>
      </c>
      <c r="T1698" s="319">
        <f t="shared" ca="1" si="4671"/>
        <v>89.900881646525733</v>
      </c>
      <c r="U1698" s="319">
        <f t="shared" ca="1" si="4671"/>
        <v>89.900881646525733</v>
      </c>
      <c r="V1698" s="319">
        <f t="shared" ca="1" si="4671"/>
        <v>89.900881646525733</v>
      </c>
      <c r="W1698" s="319">
        <f t="shared" ca="1" si="4671"/>
        <v>89.900881646525733</v>
      </c>
      <c r="X1698" s="319">
        <f t="shared" ca="1" si="4671"/>
        <v>89.900881646525733</v>
      </c>
      <c r="Y1698" s="319">
        <f t="shared" ca="1" si="4671"/>
        <v>89.900881646525733</v>
      </c>
      <c r="Z1698" s="319">
        <f t="shared" ca="1" si="4671"/>
        <v>89.900881646525733</v>
      </c>
      <c r="AA1698" s="319">
        <f t="shared" ca="1" si="4671"/>
        <v>89.900881646525733</v>
      </c>
      <c r="AB1698" s="319">
        <f t="shared" ca="1" si="4671"/>
        <v>89.900881646525733</v>
      </c>
      <c r="AC1698" s="319">
        <f t="shared" ca="1" si="4671"/>
        <v>89.900881646525733</v>
      </c>
    </row>
    <row r="1699" spans="1:31" ht="12" hidden="1" outlineLevel="2" thickTop="1" x14ac:dyDescent="0.2">
      <c r="A1699" s="23" t="str">
        <f ca="1">Language!A$1040</f>
        <v xml:space="preserve">    коэффициент распределения постоянных расходов</v>
      </c>
      <c r="C1699" s="5" t="str">
        <f ca="1">Language!A$198</f>
        <v>разы</v>
      </c>
      <c r="D1699" s="16" t="s">
        <v>2429</v>
      </c>
      <c r="F1699" s="318" t="str">
        <f t="shared" ref="F1699:AC1699" ca="1" si="4672">CHOOSE($B1659,IF(F815=0,"-",F1691/F815),IF(F815+F861=0,"-",(F1691+F1692)/(F815+F861)),IF(F715=0,"-",F706*IF($B685=1,1,F$88)/F715))</f>
        <v>-</v>
      </c>
      <c r="G1699" s="318" t="str">
        <f t="shared" ca="1" si="4672"/>
        <v>-</v>
      </c>
      <c r="H1699" s="318" t="str">
        <f t="shared" ca="1" si="4672"/>
        <v>-</v>
      </c>
      <c r="I1699" s="318" t="str">
        <f t="shared" ca="1" si="4672"/>
        <v>-</v>
      </c>
      <c r="J1699" s="318" t="str">
        <f t="shared" ca="1" si="4672"/>
        <v>-</v>
      </c>
      <c r="K1699" s="318">
        <f t="shared" ca="1" si="4672"/>
        <v>0</v>
      </c>
      <c r="L1699" s="318">
        <f t="shared" ca="1" si="4672"/>
        <v>0.58488411215220193</v>
      </c>
      <c r="M1699" s="318">
        <f t="shared" ca="1" si="4672"/>
        <v>0.61467570052385068</v>
      </c>
      <c r="N1699" s="318">
        <f t="shared" ca="1" si="4672"/>
        <v>0.64171698048459713</v>
      </c>
      <c r="O1699" s="318">
        <f t="shared" ca="1" si="4672"/>
        <v>0.70321111962089033</v>
      </c>
      <c r="P1699" s="318">
        <f t="shared" ca="1" si="4672"/>
        <v>0.70321111962089033</v>
      </c>
      <c r="Q1699" s="318">
        <f t="shared" ca="1" si="4672"/>
        <v>0.70321111962089033</v>
      </c>
      <c r="R1699" s="318">
        <f t="shared" ca="1" si="4672"/>
        <v>0.70321111962089033</v>
      </c>
      <c r="S1699" s="318">
        <f t="shared" ca="1" si="4672"/>
        <v>0.70321111962089033</v>
      </c>
      <c r="T1699" s="318">
        <f t="shared" ca="1" si="4672"/>
        <v>0.70321111962089033</v>
      </c>
      <c r="U1699" s="318">
        <f t="shared" ca="1" si="4672"/>
        <v>0.70321111962089033</v>
      </c>
      <c r="V1699" s="318">
        <f t="shared" ca="1" si="4672"/>
        <v>0.70321111962089033</v>
      </c>
      <c r="W1699" s="318">
        <f t="shared" ca="1" si="4672"/>
        <v>0.70321111962089033</v>
      </c>
      <c r="X1699" s="318">
        <f t="shared" ca="1" si="4672"/>
        <v>0.70321111962089033</v>
      </c>
      <c r="Y1699" s="318">
        <f t="shared" ca="1" si="4672"/>
        <v>0.70321111962089033</v>
      </c>
      <c r="Z1699" s="318">
        <f t="shared" ca="1" si="4672"/>
        <v>0.70321111962089033</v>
      </c>
      <c r="AA1699" s="318">
        <f t="shared" ca="1" si="4672"/>
        <v>0.70321111962089033</v>
      </c>
      <c r="AB1699" s="318">
        <f t="shared" ca="1" si="4672"/>
        <v>0.70321111962089033</v>
      </c>
      <c r="AC1699" s="318">
        <f t="shared" ca="1" si="4672"/>
        <v>0.70321111962089033</v>
      </c>
    </row>
    <row r="1700" spans="1:31" ht="12" hidden="1" outlineLevel="2" thickTop="1" x14ac:dyDescent="0.2">
      <c r="A1700" s="23" t="str">
        <f ca="1">Language!A$1038</f>
        <v xml:space="preserve">    переменные затраты</v>
      </c>
      <c r="C1700" s="5" t="str">
        <f ca="1">CUR_Main</f>
        <v>тыс. EUR</v>
      </c>
      <c r="F1700" s="43">
        <f t="shared" ref="F1700:AC1700" si="4673">F1691+F1692</f>
        <v>0</v>
      </c>
      <c r="G1700" s="43">
        <f t="shared" si="4673"/>
        <v>0</v>
      </c>
      <c r="H1700" s="43">
        <f t="shared" si="4673"/>
        <v>0</v>
      </c>
      <c r="I1700" s="43">
        <f t="shared" si="4673"/>
        <v>0</v>
      </c>
      <c r="J1700" s="43">
        <f t="shared" si="4673"/>
        <v>0</v>
      </c>
      <c r="K1700" s="43">
        <f t="shared" si="4673"/>
        <v>0</v>
      </c>
      <c r="L1700" s="43">
        <f t="shared" si="4673"/>
        <v>1080.3306088134225</v>
      </c>
      <c r="M1700" s="43">
        <f t="shared" si="4673"/>
        <v>1823.7363271611098</v>
      </c>
      <c r="N1700" s="43">
        <f t="shared" si="4673"/>
        <v>2718.3360443284409</v>
      </c>
      <c r="O1700" s="43">
        <f t="shared" si="4673"/>
        <v>3596.03526586103</v>
      </c>
      <c r="P1700" s="43">
        <f t="shared" si="4673"/>
        <v>3596.03526586103</v>
      </c>
      <c r="Q1700" s="43">
        <f t="shared" si="4673"/>
        <v>3596.03526586103</v>
      </c>
      <c r="R1700" s="43">
        <f t="shared" si="4673"/>
        <v>3596.03526586103</v>
      </c>
      <c r="S1700" s="43">
        <f t="shared" si="4673"/>
        <v>3596.03526586103</v>
      </c>
      <c r="T1700" s="43">
        <f t="shared" si="4673"/>
        <v>3596.03526586103</v>
      </c>
      <c r="U1700" s="43">
        <f t="shared" si="4673"/>
        <v>3596.03526586103</v>
      </c>
      <c r="V1700" s="43">
        <f t="shared" si="4673"/>
        <v>3596.03526586103</v>
      </c>
      <c r="W1700" s="43">
        <f t="shared" si="4673"/>
        <v>3596.03526586103</v>
      </c>
      <c r="X1700" s="43">
        <f t="shared" si="4673"/>
        <v>3596.03526586103</v>
      </c>
      <c r="Y1700" s="43">
        <f t="shared" si="4673"/>
        <v>3596.03526586103</v>
      </c>
      <c r="Z1700" s="43">
        <f t="shared" si="4673"/>
        <v>3596.03526586103</v>
      </c>
      <c r="AA1700" s="43">
        <f t="shared" si="4673"/>
        <v>3596.03526586103</v>
      </c>
      <c r="AB1700" s="43">
        <f t="shared" si="4673"/>
        <v>3596.03526586103</v>
      </c>
      <c r="AC1700" s="43">
        <f t="shared" si="4673"/>
        <v>3596.03526586103</v>
      </c>
    </row>
    <row r="1701" spans="1:31" ht="12" hidden="1" outlineLevel="2" thickTop="1" x14ac:dyDescent="0.2">
      <c r="A1701" s="23" t="str">
        <f ca="1">Language!A$1039</f>
        <v xml:space="preserve">    постоянные затраты</v>
      </c>
      <c r="C1701" s="5" t="str">
        <f ca="1">CUR_Main</f>
        <v>тыс. EUR</v>
      </c>
      <c r="F1701" s="319" t="str">
        <f t="shared" ref="F1701:AC1701" ca="1" si="4674">IF(F1699="-","-",SUM(F1693:F1698))</f>
        <v>-</v>
      </c>
      <c r="G1701" s="319" t="str">
        <f t="shared" ca="1" si="4674"/>
        <v>-</v>
      </c>
      <c r="H1701" s="319" t="str">
        <f t="shared" ca="1" si="4674"/>
        <v>-</v>
      </c>
      <c r="I1701" s="319" t="str">
        <f t="shared" ca="1" si="4674"/>
        <v>-</v>
      </c>
      <c r="J1701" s="319" t="str">
        <f t="shared" ca="1" si="4674"/>
        <v>-</v>
      </c>
      <c r="K1701" s="319">
        <f t="shared" ca="1" si="4674"/>
        <v>0</v>
      </c>
      <c r="L1701" s="319">
        <f t="shared" ca="1" si="4674"/>
        <v>488.47923236806457</v>
      </c>
      <c r="M1701" s="319">
        <f t="shared" ca="1" si="4674"/>
        <v>545.02574688907316</v>
      </c>
      <c r="N1701" s="319">
        <f t="shared" ca="1" si="4674"/>
        <v>606.46388534865491</v>
      </c>
      <c r="O1701" s="319">
        <f t="shared" ca="1" si="4674"/>
        <v>692.97136942991142</v>
      </c>
      <c r="P1701" s="319">
        <f t="shared" ca="1" si="4674"/>
        <v>692.97136942991142</v>
      </c>
      <c r="Q1701" s="319">
        <f t="shared" ca="1" si="4674"/>
        <v>692.97136942991142</v>
      </c>
      <c r="R1701" s="319">
        <f t="shared" ca="1" si="4674"/>
        <v>692.97136942991142</v>
      </c>
      <c r="S1701" s="319">
        <f t="shared" ca="1" si="4674"/>
        <v>692.97136942991142</v>
      </c>
      <c r="T1701" s="319">
        <f t="shared" ca="1" si="4674"/>
        <v>692.97136942991142</v>
      </c>
      <c r="U1701" s="319">
        <f t="shared" ca="1" si="4674"/>
        <v>692.97136942991142</v>
      </c>
      <c r="V1701" s="319">
        <f t="shared" ca="1" si="4674"/>
        <v>692.97136942991142</v>
      </c>
      <c r="W1701" s="319">
        <f t="shared" ca="1" si="4674"/>
        <v>692.97136942991142</v>
      </c>
      <c r="X1701" s="319">
        <f t="shared" ca="1" si="4674"/>
        <v>692.97136942991142</v>
      </c>
      <c r="Y1701" s="319">
        <f t="shared" ca="1" si="4674"/>
        <v>692.97136942991142</v>
      </c>
      <c r="Z1701" s="319">
        <f t="shared" ca="1" si="4674"/>
        <v>692.97136942991142</v>
      </c>
      <c r="AA1701" s="319">
        <f t="shared" ca="1" si="4674"/>
        <v>692.97136942991142</v>
      </c>
      <c r="AB1701" s="319">
        <f t="shared" ca="1" si="4674"/>
        <v>692.97136942991142</v>
      </c>
      <c r="AC1701" s="319">
        <f t="shared" ca="1" si="4674"/>
        <v>692.97136942991142</v>
      </c>
    </row>
    <row r="1702" spans="1:31" outlineLevel="1" collapsed="1" x14ac:dyDescent="0.2">
      <c r="A1702" s="23" t="str">
        <f ca="1">Language!A$1042</f>
        <v>Ценовой коэффициент</v>
      </c>
      <c r="C1702" s="5" t="s">
        <v>2430</v>
      </c>
      <c r="D1702" s="16" t="s">
        <v>2429</v>
      </c>
      <c r="F1702" s="320" t="str">
        <f t="shared" ref="F1702:AC1702" ca="1" si="4675">IF(OR(F706=0,F1687="-"),"-",(F706*IF($B685=1,1,F$88)-F1700)/(F706*IF($B685=1,1,F$88)))</f>
        <v>-</v>
      </c>
      <c r="G1702" s="320" t="str">
        <f t="shared" ca="1" si="4675"/>
        <v>-</v>
      </c>
      <c r="H1702" s="320" t="str">
        <f t="shared" ca="1" si="4675"/>
        <v>-</v>
      </c>
      <c r="I1702" s="320" t="str">
        <f t="shared" ca="1" si="4675"/>
        <v>-</v>
      </c>
      <c r="J1702" s="320" t="str">
        <f t="shared" ca="1" si="4675"/>
        <v>-</v>
      </c>
      <c r="K1702" s="320" t="str">
        <f t="shared" ca="1" si="4675"/>
        <v>-</v>
      </c>
      <c r="L1702" s="320">
        <f t="shared" ca="1" si="4675"/>
        <v>0.31336986521736615</v>
      </c>
      <c r="M1702" s="320">
        <f t="shared" ca="1" si="4675"/>
        <v>0.31291381419584507</v>
      </c>
      <c r="N1702" s="320">
        <f t="shared" ca="1" si="4675"/>
        <v>0.31295233530132566</v>
      </c>
      <c r="O1702" s="320">
        <f t="shared" ca="1" si="4675"/>
        <v>0.31280888811332536</v>
      </c>
      <c r="P1702" s="320">
        <f t="shared" ca="1" si="4675"/>
        <v>0.31280888811332536</v>
      </c>
      <c r="Q1702" s="320">
        <f t="shared" ca="1" si="4675"/>
        <v>0.31280888811332536</v>
      </c>
      <c r="R1702" s="320">
        <f t="shared" ca="1" si="4675"/>
        <v>0.31280888811332536</v>
      </c>
      <c r="S1702" s="320">
        <f t="shared" ca="1" si="4675"/>
        <v>0.31280888811332536</v>
      </c>
      <c r="T1702" s="320">
        <f t="shared" ca="1" si="4675"/>
        <v>0.31280888811332536</v>
      </c>
      <c r="U1702" s="320">
        <f t="shared" ca="1" si="4675"/>
        <v>0.31280888811332536</v>
      </c>
      <c r="V1702" s="320">
        <f t="shared" ca="1" si="4675"/>
        <v>0.31280888811332536</v>
      </c>
      <c r="W1702" s="320">
        <f t="shared" ca="1" si="4675"/>
        <v>0.31280888811332536</v>
      </c>
      <c r="X1702" s="320">
        <f t="shared" ca="1" si="4675"/>
        <v>0.31280888811332536</v>
      </c>
      <c r="Y1702" s="320">
        <f t="shared" ca="1" si="4675"/>
        <v>0.31280888811332536</v>
      </c>
      <c r="Z1702" s="320">
        <f t="shared" ca="1" si="4675"/>
        <v>0.31280888811332536</v>
      </c>
      <c r="AA1702" s="320">
        <f t="shared" ca="1" si="4675"/>
        <v>0.31280888811332536</v>
      </c>
      <c r="AB1702" s="320">
        <f t="shared" ca="1" si="4675"/>
        <v>0.31280888811332536</v>
      </c>
      <c r="AC1702" s="320">
        <f t="shared" ca="1" si="4675"/>
        <v>0.31280888811332536</v>
      </c>
    </row>
    <row r="1703" spans="1:31" ht="12" hidden="1" outlineLevel="2" thickTop="1" x14ac:dyDescent="0.2">
      <c r="A1703" s="23" t="str">
        <f ca="1">Language!A$1041</f>
        <v>Маржинальная прибыль</v>
      </c>
      <c r="C1703" s="5" t="str">
        <f ca="1">CUR_Main</f>
        <v>тыс. EUR</v>
      </c>
      <c r="F1703" s="43">
        <f t="shared" ref="F1703:AC1703" si="4676">F706*IF($B685=1,1,F$88)-F1700</f>
        <v>0</v>
      </c>
      <c r="G1703" s="43">
        <f t="shared" si="4676"/>
        <v>0</v>
      </c>
      <c r="H1703" s="43">
        <f t="shared" si="4676"/>
        <v>0</v>
      </c>
      <c r="I1703" s="43">
        <f t="shared" si="4676"/>
        <v>0</v>
      </c>
      <c r="J1703" s="43">
        <f t="shared" si="4676"/>
        <v>0</v>
      </c>
      <c r="K1703" s="43">
        <f t="shared" si="4676"/>
        <v>0</v>
      </c>
      <c r="L1703" s="43">
        <f t="shared" si="4676"/>
        <v>493.05010095606963</v>
      </c>
      <c r="M1703" s="43">
        <f t="shared" si="4676"/>
        <v>830.56871468256713</v>
      </c>
      <c r="N1703" s="43">
        <f t="shared" si="4676"/>
        <v>1238.2104720193729</v>
      </c>
      <c r="O1703" s="43">
        <f t="shared" si="4676"/>
        <v>1636.9126050567993</v>
      </c>
      <c r="P1703" s="43">
        <f t="shared" si="4676"/>
        <v>1636.9126050567993</v>
      </c>
      <c r="Q1703" s="43">
        <f t="shared" si="4676"/>
        <v>1636.9126050567993</v>
      </c>
      <c r="R1703" s="43">
        <f t="shared" si="4676"/>
        <v>1636.9126050567993</v>
      </c>
      <c r="S1703" s="43">
        <f t="shared" si="4676"/>
        <v>1636.9126050567993</v>
      </c>
      <c r="T1703" s="43">
        <f t="shared" si="4676"/>
        <v>1636.9126050567993</v>
      </c>
      <c r="U1703" s="43">
        <f t="shared" si="4676"/>
        <v>1636.9126050567993</v>
      </c>
      <c r="V1703" s="43">
        <f t="shared" si="4676"/>
        <v>1636.9126050567993</v>
      </c>
      <c r="W1703" s="43">
        <f t="shared" si="4676"/>
        <v>1636.9126050567993</v>
      </c>
      <c r="X1703" s="43">
        <f t="shared" si="4676"/>
        <v>1636.9126050567993</v>
      </c>
      <c r="Y1703" s="43">
        <f t="shared" si="4676"/>
        <v>1636.9126050567993</v>
      </c>
      <c r="Z1703" s="43">
        <f t="shared" si="4676"/>
        <v>1636.9126050567993</v>
      </c>
      <c r="AA1703" s="43">
        <f t="shared" si="4676"/>
        <v>1636.9126050567993</v>
      </c>
      <c r="AB1703" s="43">
        <f t="shared" si="4676"/>
        <v>1636.9126050567993</v>
      </c>
      <c r="AC1703" s="43">
        <f t="shared" si="4676"/>
        <v>1636.9126050567993</v>
      </c>
    </row>
    <row r="1704" spans="1:31" ht="12" hidden="1" outlineLevel="2" thickTop="1" x14ac:dyDescent="0.2">
      <c r="A1704" s="23" t="str">
        <f ca="1">Language!A$816</f>
        <v>Точка безубыточности</v>
      </c>
      <c r="C1704" s="5" t="str">
        <f ca="1">CUR_Main</f>
        <v>тыс. EUR</v>
      </c>
      <c r="D1704" s="16" t="s">
        <v>2429</v>
      </c>
      <c r="F1704" s="319" t="str">
        <f t="shared" ref="F1704:AC1704" ca="1" si="4677">IF(F1699="-","-",IF(F1703=0,"-",F1701*F706*IF($B685=1,1,F$88)/F1703))</f>
        <v>-</v>
      </c>
      <c r="G1704" s="319" t="str">
        <f t="shared" ca="1" si="4677"/>
        <v>-</v>
      </c>
      <c r="H1704" s="319" t="str">
        <f t="shared" ca="1" si="4677"/>
        <v>-</v>
      </c>
      <c r="I1704" s="319" t="str">
        <f t="shared" ca="1" si="4677"/>
        <v>-</v>
      </c>
      <c r="J1704" s="319" t="str">
        <f t="shared" ca="1" si="4677"/>
        <v>-</v>
      </c>
      <c r="K1704" s="319" t="str">
        <f t="shared" ca="1" si="4677"/>
        <v>-</v>
      </c>
      <c r="L1704" s="319">
        <f t="shared" ca="1" si="4677"/>
        <v>1558.7945319159371</v>
      </c>
      <c r="M1704" s="319">
        <f t="shared" ca="1" si="4677"/>
        <v>1741.775920918451</v>
      </c>
      <c r="N1704" s="319">
        <f t="shared" ca="1" si="4677"/>
        <v>1937.8794050688969</v>
      </c>
      <c r="O1704" s="319">
        <f t="shared" ca="1" si="4677"/>
        <v>2215.3186682434025</v>
      </c>
      <c r="P1704" s="319">
        <f t="shared" ca="1" si="4677"/>
        <v>2215.3186682434025</v>
      </c>
      <c r="Q1704" s="319">
        <f t="shared" ca="1" si="4677"/>
        <v>2215.3186682434025</v>
      </c>
      <c r="R1704" s="319">
        <f t="shared" ca="1" si="4677"/>
        <v>2215.3186682434025</v>
      </c>
      <c r="S1704" s="319">
        <f t="shared" ca="1" si="4677"/>
        <v>2215.3186682434025</v>
      </c>
      <c r="T1704" s="319">
        <f t="shared" ca="1" si="4677"/>
        <v>2215.3186682434025</v>
      </c>
      <c r="U1704" s="319">
        <f t="shared" ca="1" si="4677"/>
        <v>2215.3186682434025</v>
      </c>
      <c r="V1704" s="319">
        <f t="shared" ca="1" si="4677"/>
        <v>2215.3186682434025</v>
      </c>
      <c r="W1704" s="319">
        <f t="shared" ca="1" si="4677"/>
        <v>2215.3186682434025</v>
      </c>
      <c r="X1704" s="319">
        <f t="shared" ca="1" si="4677"/>
        <v>2215.3186682434025</v>
      </c>
      <c r="Y1704" s="319">
        <f t="shared" ca="1" si="4677"/>
        <v>2215.3186682434025</v>
      </c>
      <c r="Z1704" s="319">
        <f t="shared" ca="1" si="4677"/>
        <v>2215.3186682434025</v>
      </c>
      <c r="AA1704" s="319">
        <f t="shared" ca="1" si="4677"/>
        <v>2215.3186682434025</v>
      </c>
      <c r="AB1704" s="319">
        <f t="shared" ca="1" si="4677"/>
        <v>2215.3186682434025</v>
      </c>
      <c r="AC1704" s="319">
        <f t="shared" ca="1" si="4677"/>
        <v>2215.3186682434025</v>
      </c>
    </row>
    <row r="1705" spans="1:31" ht="12" hidden="1" outlineLevel="2" thickTop="1" x14ac:dyDescent="0.2">
      <c r="A1705" s="23" t="str">
        <f ca="1">Language!A$816</f>
        <v>Точка безубыточности</v>
      </c>
      <c r="C1705" s="5" t="str">
        <f ca="1">C672</f>
        <v>ед.</v>
      </c>
      <c r="D1705" s="16" t="s">
        <v>2429</v>
      </c>
      <c r="F1705" s="319" t="str">
        <f t="shared" ref="F1705:AC1705" ca="1" si="4678">IF(F1689="-","-",IF(F1686-F1689=0,"-",F1701/(F1686-F1689)))</f>
        <v>-</v>
      </c>
      <c r="G1705" s="319" t="str">
        <f t="shared" ca="1" si="4678"/>
        <v>-</v>
      </c>
      <c r="H1705" s="319" t="str">
        <f t="shared" ca="1" si="4678"/>
        <v>-</v>
      </c>
      <c r="I1705" s="319" t="str">
        <f t="shared" ca="1" si="4678"/>
        <v>-</v>
      </c>
      <c r="J1705" s="319" t="str">
        <f t="shared" ca="1" si="4678"/>
        <v>-</v>
      </c>
      <c r="K1705" s="319" t="str">
        <f t="shared" ca="1" si="4678"/>
        <v>-</v>
      </c>
      <c r="L1705" s="319">
        <f t="shared" ca="1" si="4678"/>
        <v>72.323246448429188</v>
      </c>
      <c r="M1705" s="319">
        <f t="shared" ca="1" si="4678"/>
        <v>80.05736303934799</v>
      </c>
      <c r="N1705" s="319">
        <f t="shared" ca="1" si="4678"/>
        <v>89.141894393321081</v>
      </c>
      <c r="O1705" s="319">
        <f t="shared" ca="1" si="4678"/>
        <v>101.60171541803714</v>
      </c>
      <c r="P1705" s="319">
        <f t="shared" ca="1" si="4678"/>
        <v>101.60171541803714</v>
      </c>
      <c r="Q1705" s="319">
        <f t="shared" ca="1" si="4678"/>
        <v>101.60171541803714</v>
      </c>
      <c r="R1705" s="319">
        <f t="shared" ca="1" si="4678"/>
        <v>101.60171541803714</v>
      </c>
      <c r="S1705" s="319">
        <f t="shared" ca="1" si="4678"/>
        <v>101.60171541803714</v>
      </c>
      <c r="T1705" s="319">
        <f t="shared" ca="1" si="4678"/>
        <v>101.60171541803714</v>
      </c>
      <c r="U1705" s="319">
        <f t="shared" ca="1" si="4678"/>
        <v>101.60171541803714</v>
      </c>
      <c r="V1705" s="319">
        <f t="shared" ca="1" si="4678"/>
        <v>101.60171541803714</v>
      </c>
      <c r="W1705" s="319">
        <f t="shared" ca="1" si="4678"/>
        <v>101.60171541803714</v>
      </c>
      <c r="X1705" s="319">
        <f t="shared" ca="1" si="4678"/>
        <v>101.60171541803714</v>
      </c>
      <c r="Y1705" s="319">
        <f t="shared" ca="1" si="4678"/>
        <v>101.60171541803714</v>
      </c>
      <c r="Z1705" s="319">
        <f t="shared" ca="1" si="4678"/>
        <v>101.60171541803714</v>
      </c>
      <c r="AA1705" s="319">
        <f t="shared" ca="1" si="4678"/>
        <v>101.60171541803714</v>
      </c>
      <c r="AB1705" s="319">
        <f t="shared" ca="1" si="4678"/>
        <v>101.60171541803714</v>
      </c>
      <c r="AC1705" s="319">
        <f t="shared" ca="1" si="4678"/>
        <v>101.60171541803714</v>
      </c>
    </row>
    <row r="1706" spans="1:31" ht="12" hidden="1" outlineLevel="2" thickTop="1" x14ac:dyDescent="0.2">
      <c r="A1706" s="23" t="str">
        <f ca="1">Language!A$817</f>
        <v>"Запас прочности"</v>
      </c>
      <c r="C1706" s="5" t="s">
        <v>2430</v>
      </c>
      <c r="D1706" s="16" t="s">
        <v>2429</v>
      </c>
      <c r="F1706" s="320" t="str">
        <f t="shared" ref="F1706:AC1706" ca="1" si="4679">IF(OR(F1704="-",F706=0),"-",(F706*IF($B685=1,1,F$88)-F1704)/(F706*IF($B685=1,1,F$88)))</f>
        <v>-</v>
      </c>
      <c r="G1706" s="320" t="str">
        <f t="shared" ca="1" si="4679"/>
        <v>-</v>
      </c>
      <c r="H1706" s="320" t="str">
        <f t="shared" ca="1" si="4679"/>
        <v>-</v>
      </c>
      <c r="I1706" s="320" t="str">
        <f t="shared" ca="1" si="4679"/>
        <v>-</v>
      </c>
      <c r="J1706" s="320" t="str">
        <f t="shared" ca="1" si="4679"/>
        <v>-</v>
      </c>
      <c r="K1706" s="320" t="str">
        <f t="shared" ca="1" si="4679"/>
        <v>-</v>
      </c>
      <c r="L1706" s="320">
        <f t="shared" ca="1" si="4679"/>
        <v>9.2705965968604923E-3</v>
      </c>
      <c r="M1706" s="320">
        <f t="shared" ca="1" si="4679"/>
        <v>0.34379210623485246</v>
      </c>
      <c r="N1706" s="320">
        <f t="shared" ca="1" si="4679"/>
        <v>0.51020937146526879</v>
      </c>
      <c r="O1706" s="320">
        <f t="shared" ca="1" si="4679"/>
        <v>0.57665951909151192</v>
      </c>
      <c r="P1706" s="320">
        <f t="shared" ca="1" si="4679"/>
        <v>0.57665951909151192</v>
      </c>
      <c r="Q1706" s="320">
        <f t="shared" ca="1" si="4679"/>
        <v>0.57665951909151192</v>
      </c>
      <c r="R1706" s="320">
        <f t="shared" ca="1" si="4679"/>
        <v>0.57665951909151192</v>
      </c>
      <c r="S1706" s="320">
        <f t="shared" ca="1" si="4679"/>
        <v>0.57665951909151192</v>
      </c>
      <c r="T1706" s="320">
        <f t="shared" ca="1" si="4679"/>
        <v>0.57665951909151192</v>
      </c>
      <c r="U1706" s="320">
        <f t="shared" ca="1" si="4679"/>
        <v>0.57665951909151192</v>
      </c>
      <c r="V1706" s="320">
        <f t="shared" ca="1" si="4679"/>
        <v>0.57665951909151192</v>
      </c>
      <c r="W1706" s="320">
        <f t="shared" ca="1" si="4679"/>
        <v>0.57665951909151192</v>
      </c>
      <c r="X1706" s="320">
        <f t="shared" ca="1" si="4679"/>
        <v>0.57665951909151192</v>
      </c>
      <c r="Y1706" s="320">
        <f t="shared" ca="1" si="4679"/>
        <v>0.57665951909151192</v>
      </c>
      <c r="Z1706" s="320">
        <f t="shared" ca="1" si="4679"/>
        <v>0.57665951909151192</v>
      </c>
      <c r="AA1706" s="320">
        <f t="shared" ca="1" si="4679"/>
        <v>0.57665951909151192</v>
      </c>
      <c r="AB1706" s="320">
        <f t="shared" ca="1" si="4679"/>
        <v>0.57665951909151192</v>
      </c>
      <c r="AC1706" s="320">
        <f t="shared" ca="1" si="4679"/>
        <v>0.57665951909151192</v>
      </c>
    </row>
    <row r="1707" spans="1:31" outlineLevel="1" x14ac:dyDescent="0.2">
      <c r="A1707" s="23" t="str">
        <f ca="1">Language!A$1045</f>
        <v>Рентабельность</v>
      </c>
      <c r="C1707" s="5" t="s">
        <v>2430</v>
      </c>
      <c r="D1707" s="16" t="s">
        <v>2429</v>
      </c>
      <c r="F1707" s="320" t="str">
        <f t="shared" ref="F1707:AC1707" ca="1" si="4680">IF(OR(F706=0,F1687="-"),"-",(F706*IF($B685=1,1,F$88)-F1690)/(F706*IF($B685=1,1,F$88)))</f>
        <v>-</v>
      </c>
      <c r="G1707" s="320" t="str">
        <f t="shared" ca="1" si="4680"/>
        <v>-</v>
      </c>
      <c r="H1707" s="320" t="str">
        <f t="shared" ca="1" si="4680"/>
        <v>-</v>
      </c>
      <c r="I1707" s="320" t="str">
        <f t="shared" ca="1" si="4680"/>
        <v>-</v>
      </c>
      <c r="J1707" s="320" t="str">
        <f t="shared" ca="1" si="4680"/>
        <v>-</v>
      </c>
      <c r="K1707" s="320" t="str">
        <f t="shared" ca="1" si="4680"/>
        <v>-</v>
      </c>
      <c r="L1707" s="320">
        <f t="shared" ca="1" si="4680"/>
        <v>2.9051256060426698E-3</v>
      </c>
      <c r="M1707" s="320">
        <f t="shared" ca="1" si="4680"/>
        <v>0.10757729925237085</v>
      </c>
      <c r="N1707" s="320">
        <f t="shared" ca="1" si="4680"/>
        <v>0.15967121429267739</v>
      </c>
      <c r="O1707" s="320">
        <f t="shared" ca="1" si="4680"/>
        <v>0.1803842229869807</v>
      </c>
      <c r="P1707" s="320">
        <f t="shared" ca="1" si="4680"/>
        <v>0.1803842229869807</v>
      </c>
      <c r="Q1707" s="320">
        <f t="shared" ca="1" si="4680"/>
        <v>0.1803842229869807</v>
      </c>
      <c r="R1707" s="320">
        <f t="shared" ca="1" si="4680"/>
        <v>0.1803842229869807</v>
      </c>
      <c r="S1707" s="320">
        <f t="shared" ca="1" si="4680"/>
        <v>0.1803842229869807</v>
      </c>
      <c r="T1707" s="320">
        <f t="shared" ca="1" si="4680"/>
        <v>0.1803842229869807</v>
      </c>
      <c r="U1707" s="320">
        <f t="shared" ca="1" si="4680"/>
        <v>0.1803842229869807</v>
      </c>
      <c r="V1707" s="320">
        <f t="shared" ca="1" si="4680"/>
        <v>0.1803842229869807</v>
      </c>
      <c r="W1707" s="320">
        <f t="shared" ca="1" si="4680"/>
        <v>0.1803842229869807</v>
      </c>
      <c r="X1707" s="320">
        <f t="shared" ca="1" si="4680"/>
        <v>0.1803842229869807</v>
      </c>
      <c r="Y1707" s="320">
        <f t="shared" ca="1" si="4680"/>
        <v>0.1803842229869807</v>
      </c>
      <c r="Z1707" s="320">
        <f t="shared" ca="1" si="4680"/>
        <v>0.1803842229869807</v>
      </c>
      <c r="AA1707" s="320">
        <f t="shared" ca="1" si="4680"/>
        <v>0.1803842229869807</v>
      </c>
      <c r="AB1707" s="320">
        <f t="shared" ca="1" si="4680"/>
        <v>0.1803842229869807</v>
      </c>
      <c r="AC1707" s="320">
        <f t="shared" ca="1" si="4680"/>
        <v>0.1803842229869807</v>
      </c>
    </row>
    <row r="1708" spans="1:31" outlineLevel="1" x14ac:dyDescent="0.2">
      <c r="F1708" s="43"/>
      <c r="G1708" s="43"/>
      <c r="H1708" s="43"/>
      <c r="I1708" s="43"/>
      <c r="J1708" s="43"/>
      <c r="K1708" s="43"/>
      <c r="L1708" s="43"/>
      <c r="M1708" s="43"/>
      <c r="N1708" s="43"/>
      <c r="O1708" s="43"/>
      <c r="P1708" s="43"/>
      <c r="Q1708" s="43"/>
      <c r="R1708" s="43"/>
      <c r="S1708" s="43"/>
      <c r="T1708" s="43"/>
      <c r="U1708" s="43"/>
      <c r="V1708" s="43"/>
      <c r="W1708" s="43"/>
      <c r="X1708" s="43"/>
      <c r="Y1708" s="43"/>
      <c r="Z1708" s="43"/>
      <c r="AA1708" s="43"/>
      <c r="AB1708" s="43"/>
      <c r="AC1708" s="43"/>
    </row>
    <row r="1709" spans="1:31" outlineLevel="1" x14ac:dyDescent="0.2">
      <c r="A1709" s="63"/>
      <c r="B1709" s="63"/>
      <c r="C1709" s="63"/>
      <c r="D1709" s="63"/>
      <c r="E1709" s="63"/>
      <c r="F1709" s="63"/>
      <c r="G1709" s="63"/>
      <c r="H1709" s="63"/>
      <c r="I1709" s="63"/>
      <c r="J1709" s="63"/>
      <c r="K1709" s="63"/>
      <c r="L1709" s="63"/>
      <c r="M1709" s="63"/>
      <c r="N1709" s="63"/>
      <c r="O1709" s="63"/>
      <c r="P1709" s="63"/>
      <c r="Q1709" s="63"/>
      <c r="R1709" s="63"/>
      <c r="S1709" s="63"/>
      <c r="T1709" s="63"/>
      <c r="U1709" s="63"/>
      <c r="V1709" s="63"/>
      <c r="W1709" s="63"/>
      <c r="X1709" s="63"/>
      <c r="Y1709" s="63"/>
      <c r="Z1709" s="63"/>
      <c r="AA1709" s="63"/>
      <c r="AB1709" s="63"/>
      <c r="AC1709" s="63"/>
      <c r="AD1709" s="63"/>
    </row>
    <row r="1710" spans="1:31" outlineLevel="1" x14ac:dyDescent="0.2">
      <c r="A1710" s="27"/>
      <c r="B1710" s="27"/>
      <c r="C1710" s="27"/>
      <c r="D1710" s="27"/>
      <c r="E1710" s="27"/>
      <c r="F1710" s="27"/>
      <c r="G1710" s="27"/>
      <c r="H1710" s="27"/>
      <c r="I1710" s="27"/>
      <c r="J1710" s="27"/>
      <c r="K1710" s="27"/>
      <c r="L1710" s="27"/>
      <c r="M1710" s="27"/>
      <c r="N1710" s="27"/>
      <c r="O1710" s="27"/>
      <c r="P1710" s="27"/>
      <c r="Q1710" s="27"/>
      <c r="R1710" s="27"/>
      <c r="S1710" s="27"/>
      <c r="T1710" s="27"/>
      <c r="U1710" s="27"/>
      <c r="V1710" s="27"/>
      <c r="W1710" s="27"/>
      <c r="X1710" s="27"/>
      <c r="Y1710" s="27"/>
      <c r="Z1710" s="27"/>
      <c r="AA1710" s="27"/>
      <c r="AB1710" s="27"/>
      <c r="AC1710" s="27"/>
      <c r="AD1710" s="27"/>
    </row>
    <row r="1711" spans="1:31" s="4" customFormat="1" ht="15.95" customHeight="1" thickBot="1" x14ac:dyDescent="0.25">
      <c r="A1711" s="165" t="str">
        <f ca="1">Language!A$832</f>
        <v xml:space="preserve">         ЭФФЕКТИВНОСТЬ ПОЛНЫХ ИНВЕСТИЦИОННЫХ ЗАТРАТ</v>
      </c>
      <c r="B1711" s="165"/>
      <c r="C1711" s="165"/>
      <c r="D1711" s="165"/>
      <c r="E1711" s="165"/>
      <c r="F1711" s="177" t="str">
        <f t="shared" ref="F1711:AC1711" ca="1" si="4681">PeriodTitle</f>
        <v>1 кв. 2016</v>
      </c>
      <c r="G1711" s="177" t="str">
        <f t="shared" ca="1" si="4681"/>
        <v>2 кв. 2016</v>
      </c>
      <c r="H1711" s="177" t="str">
        <f t="shared" ca="1" si="4681"/>
        <v>3 кв. 2016</v>
      </c>
      <c r="I1711" s="177" t="str">
        <f t="shared" ca="1" si="4681"/>
        <v>4 кв. 2016</v>
      </c>
      <c r="J1711" s="177" t="str">
        <f t="shared" ca="1" si="4681"/>
        <v>1 кв. 2017</v>
      </c>
      <c r="K1711" s="177" t="str">
        <f t="shared" ca="1" si="4681"/>
        <v>2 кв. 2017</v>
      </c>
      <c r="L1711" s="177" t="str">
        <f t="shared" ca="1" si="4681"/>
        <v>3 кв. 2017</v>
      </c>
      <c r="M1711" s="177" t="str">
        <f t="shared" ca="1" si="4681"/>
        <v>4 кв. 2017</v>
      </c>
      <c r="N1711" s="177" t="str">
        <f t="shared" ca="1" si="4681"/>
        <v>1 кв. 2018</v>
      </c>
      <c r="O1711" s="177" t="str">
        <f t="shared" ca="1" si="4681"/>
        <v>2 кв. 2018</v>
      </c>
      <c r="P1711" s="177" t="str">
        <f t="shared" ca="1" si="4681"/>
        <v>3 кв. 2018</v>
      </c>
      <c r="Q1711" s="177" t="str">
        <f t="shared" ca="1" si="4681"/>
        <v>4 кв. 2018</v>
      </c>
      <c r="R1711" s="177" t="str">
        <f t="shared" ca="1" si="4681"/>
        <v>1 кв. 2019</v>
      </c>
      <c r="S1711" s="177" t="str">
        <f t="shared" ca="1" si="4681"/>
        <v>2 кв. 2019</v>
      </c>
      <c r="T1711" s="177" t="str">
        <f t="shared" ca="1" si="4681"/>
        <v>3 кв. 2019</v>
      </c>
      <c r="U1711" s="177" t="str">
        <f t="shared" ca="1" si="4681"/>
        <v>4 кв. 2019</v>
      </c>
      <c r="V1711" s="177" t="str">
        <f t="shared" ca="1" si="4681"/>
        <v>1 кв. 2020</v>
      </c>
      <c r="W1711" s="177" t="str">
        <f t="shared" ca="1" si="4681"/>
        <v>2 кв. 2020</v>
      </c>
      <c r="X1711" s="177" t="str">
        <f t="shared" ca="1" si="4681"/>
        <v>3 кв. 2020</v>
      </c>
      <c r="Y1711" s="177" t="str">
        <f t="shared" ca="1" si="4681"/>
        <v>4 кв. 2020</v>
      </c>
      <c r="Z1711" s="177" t="str">
        <f t="shared" ca="1" si="4681"/>
        <v>1 кв. 2021</v>
      </c>
      <c r="AA1711" s="177" t="str">
        <f t="shared" ca="1" si="4681"/>
        <v>2 кв. 2021</v>
      </c>
      <c r="AB1711" s="177" t="str">
        <f t="shared" ca="1" si="4681"/>
        <v>3 кв. 2021</v>
      </c>
      <c r="AC1711" s="177" t="str">
        <f t="shared" ca="1" si="4681"/>
        <v>4 кв. 2021</v>
      </c>
      <c r="AD1711" s="165"/>
      <c r="AE1711" s="166" t="str">
        <f ca="1">Language!A$372</f>
        <v>ИТОГО</v>
      </c>
    </row>
    <row r="1712" spans="1:31" ht="12" outlineLevel="1" thickTop="1" x14ac:dyDescent="0.2"/>
    <row r="1713" spans="1:31" outlineLevel="1" x14ac:dyDescent="0.2">
      <c r="A1713" t="str">
        <f ca="1">Language!A$838</f>
        <v>Учитывать ранее осуществленные инвестиции</v>
      </c>
      <c r="B1713" s="254">
        <v>1</v>
      </c>
      <c r="C1713" s="36" t="str">
        <f ca="1">CHOOSE(B1713,Language!A833,Language!A834)</f>
        <v>Да</v>
      </c>
    </row>
    <row r="1714" spans="1:31" outlineLevel="1" x14ac:dyDescent="0.2">
      <c r="A1714" t="str">
        <f ca="1">Language!A$839</f>
        <v>Учитывать остаточную стоимость проекта</v>
      </c>
      <c r="B1714" s="254">
        <v>2</v>
      </c>
      <c r="C1714" s="36" t="str">
        <f ca="1">CHOOSE(B1714,Language!A833,Language!A834)</f>
        <v>Нет</v>
      </c>
    </row>
    <row r="1715" spans="1:31" outlineLevel="1" x14ac:dyDescent="0.2">
      <c r="A1715" t="str">
        <f ca="1">Language!A$840</f>
        <v>Валюта расчетов:</v>
      </c>
      <c r="B1715" s="254">
        <v>1</v>
      </c>
      <c r="C1715" s="17" t="str">
        <f ca="1">CHOOSE(B1715,CUR_Main,CUR_Foreign)</f>
        <v>тыс. EUR</v>
      </c>
    </row>
    <row r="1716" spans="1:31" outlineLevel="1" collapsed="1" x14ac:dyDescent="0.2">
      <c r="A1716" t="str">
        <f ca="1">Language!A$841</f>
        <v>Годовая ставка дисконтирования:</v>
      </c>
      <c r="B1716" s="272">
        <v>0.15</v>
      </c>
      <c r="C1716" s="5" t="s">
        <v>2430</v>
      </c>
      <c r="D1716" s="16" t="s">
        <v>2429</v>
      </c>
      <c r="F1716" s="134">
        <f>$B$1716</f>
        <v>0.15</v>
      </c>
      <c r="G1716" s="134">
        <f t="shared" ref="G1716:AC1716" si="4682">F1716</f>
        <v>0.15</v>
      </c>
      <c r="H1716" s="134">
        <f t="shared" si="4682"/>
        <v>0.15</v>
      </c>
      <c r="I1716" s="134">
        <f t="shared" si="4682"/>
        <v>0.15</v>
      </c>
      <c r="J1716" s="134">
        <f t="shared" si="4682"/>
        <v>0.15</v>
      </c>
      <c r="K1716" s="134">
        <f t="shared" si="4682"/>
        <v>0.15</v>
      </c>
      <c r="L1716" s="134">
        <f t="shared" si="4682"/>
        <v>0.15</v>
      </c>
      <c r="M1716" s="134">
        <f t="shared" si="4682"/>
        <v>0.15</v>
      </c>
      <c r="N1716" s="134">
        <f t="shared" si="4682"/>
        <v>0.15</v>
      </c>
      <c r="O1716" s="134">
        <f t="shared" si="4682"/>
        <v>0.15</v>
      </c>
      <c r="P1716" s="134">
        <f t="shared" si="4682"/>
        <v>0.15</v>
      </c>
      <c r="Q1716" s="134">
        <f t="shared" si="4682"/>
        <v>0.15</v>
      </c>
      <c r="R1716" s="134">
        <f t="shared" si="4682"/>
        <v>0.15</v>
      </c>
      <c r="S1716" s="134">
        <f t="shared" si="4682"/>
        <v>0.15</v>
      </c>
      <c r="T1716" s="134">
        <f t="shared" si="4682"/>
        <v>0.15</v>
      </c>
      <c r="U1716" s="134">
        <f t="shared" si="4682"/>
        <v>0.15</v>
      </c>
      <c r="V1716" s="134">
        <f t="shared" si="4682"/>
        <v>0.15</v>
      </c>
      <c r="W1716" s="134">
        <f t="shared" si="4682"/>
        <v>0.15</v>
      </c>
      <c r="X1716" s="134">
        <f t="shared" si="4682"/>
        <v>0.15</v>
      </c>
      <c r="Y1716" s="134">
        <f t="shared" si="4682"/>
        <v>0.15</v>
      </c>
      <c r="Z1716" s="134">
        <f t="shared" si="4682"/>
        <v>0.15</v>
      </c>
      <c r="AA1716" s="134">
        <f t="shared" si="4682"/>
        <v>0.15</v>
      </c>
      <c r="AB1716" s="134">
        <f t="shared" si="4682"/>
        <v>0.15</v>
      </c>
      <c r="AC1716" s="134">
        <f t="shared" si="4682"/>
        <v>0.15</v>
      </c>
    </row>
    <row r="1717" spans="1:31" hidden="1" outlineLevel="2" x14ac:dyDescent="0.2">
      <c r="A1717" t="str">
        <f ca="1">Language!A$842</f>
        <v xml:space="preserve">    ставка дисконтирования на расчетный период</v>
      </c>
      <c r="D1717" s="16" t="s">
        <v>2429</v>
      </c>
      <c r="F1717" s="134">
        <f t="shared" ref="F1717:X1717" si="4683">IF(CalcMethod=1,(POWER(1+F1716,PRJ_Step/360)-1-IF($B$1715=1,F$81,F$92))/(1+IF($B$1715=1,F$81,F$92)),POWER(1+F1716,PRJ_Step/360)-1)</f>
        <v>3.5558076341622114E-2</v>
      </c>
      <c r="G1717" s="134">
        <f t="shared" si="4683"/>
        <v>3.5558076341622114E-2</v>
      </c>
      <c r="H1717" s="134">
        <f t="shared" si="4683"/>
        <v>3.5558076341622114E-2</v>
      </c>
      <c r="I1717" s="134">
        <f t="shared" si="4683"/>
        <v>3.5558076341622114E-2</v>
      </c>
      <c r="J1717" s="134">
        <f t="shared" si="4683"/>
        <v>3.5558076341622114E-2</v>
      </c>
      <c r="K1717" s="134">
        <f t="shared" si="4683"/>
        <v>3.5558076341622114E-2</v>
      </c>
      <c r="L1717" s="134">
        <f t="shared" si="4683"/>
        <v>3.5558076341622114E-2</v>
      </c>
      <c r="M1717" s="134">
        <f t="shared" si="4683"/>
        <v>3.5558076341622114E-2</v>
      </c>
      <c r="N1717" s="134">
        <f t="shared" si="4683"/>
        <v>3.5558076341622114E-2</v>
      </c>
      <c r="O1717" s="134">
        <f t="shared" si="4683"/>
        <v>3.5558076341622114E-2</v>
      </c>
      <c r="P1717" s="134">
        <f t="shared" si="4683"/>
        <v>3.5558076341622114E-2</v>
      </c>
      <c r="Q1717" s="134">
        <f t="shared" si="4683"/>
        <v>3.5558076341622114E-2</v>
      </c>
      <c r="R1717" s="134">
        <f t="shared" si="4683"/>
        <v>3.5558076341622114E-2</v>
      </c>
      <c r="S1717" s="134">
        <f t="shared" si="4683"/>
        <v>3.5558076341622114E-2</v>
      </c>
      <c r="T1717" s="134">
        <f t="shared" si="4683"/>
        <v>3.5558076341622114E-2</v>
      </c>
      <c r="U1717" s="134">
        <f t="shared" si="4683"/>
        <v>3.5558076341622114E-2</v>
      </c>
      <c r="V1717" s="134">
        <f t="shared" si="4683"/>
        <v>3.5558076341622114E-2</v>
      </c>
      <c r="W1717" s="134">
        <f t="shared" si="4683"/>
        <v>3.5558076341622114E-2</v>
      </c>
      <c r="X1717" s="134">
        <f t="shared" si="4683"/>
        <v>3.5558076341622114E-2</v>
      </c>
      <c r="Y1717" s="134">
        <f t="shared" ref="Y1717" si="4684">IF(CalcMethod=1,(POWER(1+Y1716,PRJ_Step/360)-1-IF($B$1715=1,Y$81,Y$92))/(1+IF($B$1715=1,Y$81,Y$92)),POWER(1+Y1716,PRJ_Step/360)-1)</f>
        <v>3.5558076341622114E-2</v>
      </c>
      <c r="Z1717" s="134">
        <f t="shared" ref="Z1717" si="4685">IF(CalcMethod=1,(POWER(1+Z1716,PRJ_Step/360)-1-IF($B$1715=1,Z$81,Z$92))/(1+IF($B$1715=1,Z$81,Z$92)),POWER(1+Z1716,PRJ_Step/360)-1)</f>
        <v>3.5558076341622114E-2</v>
      </c>
      <c r="AA1717" s="134">
        <f t="shared" ref="AA1717" si="4686">IF(CalcMethod=1,(POWER(1+AA1716,PRJ_Step/360)-1-IF($B$1715=1,AA$81,AA$92))/(1+IF($B$1715=1,AA$81,AA$92)),POWER(1+AA1716,PRJ_Step/360)-1)</f>
        <v>3.5558076341622114E-2</v>
      </c>
      <c r="AB1717" s="134">
        <f t="shared" ref="AB1717:AC1717" si="4687">IF(CalcMethod=1,(POWER(1+AB1716,PRJ_Step/360)-1-IF($B$1715=1,AB$81,AB$92))/(1+IF($B$1715=1,AB$81,AB$92)),POWER(1+AB1716,PRJ_Step/360)-1)</f>
        <v>3.5558076341622114E-2</v>
      </c>
      <c r="AC1717" s="134">
        <f t="shared" si="4687"/>
        <v>3.5558076341622114E-2</v>
      </c>
    </row>
    <row r="1718" spans="1:31" hidden="1" outlineLevel="2" x14ac:dyDescent="0.2">
      <c r="A1718" t="str">
        <f ca="1">Language!A$843</f>
        <v xml:space="preserve">    коэффициент дисконта для потока на начало периода</v>
      </c>
      <c r="D1718" s="16" t="s">
        <v>2429</v>
      </c>
      <c r="F1718" s="135">
        <v>1</v>
      </c>
      <c r="G1718" s="135">
        <f t="shared" ref="G1718:AC1718" si="4688">F1718*(1+F1717)</f>
        <v>1.0355580763416221</v>
      </c>
      <c r="H1718" s="135">
        <f t="shared" si="4688"/>
        <v>1.0723805294763609</v>
      </c>
      <c r="I1718" s="135">
        <f t="shared" si="4688"/>
        <v>1.1105123182107504</v>
      </c>
      <c r="J1718" s="135">
        <f t="shared" si="4688"/>
        <v>1.1499999999999999</v>
      </c>
      <c r="K1718" s="135">
        <f t="shared" si="4688"/>
        <v>1.1908917877928653</v>
      </c>
      <c r="L1718" s="135">
        <f t="shared" si="4688"/>
        <v>1.2332376088978148</v>
      </c>
      <c r="M1718" s="135">
        <f t="shared" si="4688"/>
        <v>1.2770891659423627</v>
      </c>
      <c r="N1718" s="135">
        <f t="shared" si="4688"/>
        <v>1.3224999999999998</v>
      </c>
      <c r="O1718" s="135">
        <f t="shared" si="4688"/>
        <v>1.3695255559617949</v>
      </c>
      <c r="P1718" s="135">
        <f t="shared" si="4688"/>
        <v>1.418223250232487</v>
      </c>
      <c r="Q1718" s="135">
        <f t="shared" si="4688"/>
        <v>1.4686525408337172</v>
      </c>
      <c r="R1718" s="135">
        <f t="shared" si="4688"/>
        <v>1.5208749999999998</v>
      </c>
      <c r="S1718" s="135">
        <f t="shared" si="4688"/>
        <v>1.5749543893560642</v>
      </c>
      <c r="T1718" s="135">
        <f t="shared" si="4688"/>
        <v>1.6309567377673599</v>
      </c>
      <c r="U1718" s="135">
        <f t="shared" si="4688"/>
        <v>1.6889504219587748</v>
      </c>
      <c r="V1718" s="135">
        <f t="shared" si="4688"/>
        <v>1.7490062499999997</v>
      </c>
      <c r="W1718" s="135">
        <f t="shared" si="4688"/>
        <v>1.8111975477594739</v>
      </c>
      <c r="X1718" s="135">
        <f t="shared" si="4688"/>
        <v>1.8756002484324641</v>
      </c>
      <c r="Y1718" s="135">
        <f t="shared" si="4688"/>
        <v>1.942292985252591</v>
      </c>
      <c r="Z1718" s="135">
        <f t="shared" si="4688"/>
        <v>2.0113571874999998</v>
      </c>
      <c r="AA1718" s="135">
        <f t="shared" si="4688"/>
        <v>2.0828771799233952</v>
      </c>
      <c r="AB1718" s="135">
        <f t="shared" si="4688"/>
        <v>2.1569402856973339</v>
      </c>
      <c r="AC1718" s="135">
        <f t="shared" si="4688"/>
        <v>2.2336369330404797</v>
      </c>
    </row>
    <row r="1719" spans="1:31" outlineLevel="1" x14ac:dyDescent="0.2">
      <c r="F1719" s="135"/>
    </row>
    <row r="1720" spans="1:31" outlineLevel="1" x14ac:dyDescent="0.2">
      <c r="A1720" s="23" t="str">
        <f ca="1">Language!A$845</f>
        <v>Учитываемые денежные потоки проекта:</v>
      </c>
    </row>
    <row r="1721" spans="1:31" outlineLevel="2" x14ac:dyDescent="0.2">
      <c r="A1721" t="str">
        <f ca="1">Language!A$846</f>
        <v>Денежные потоки от операционной деятельности</v>
      </c>
      <c r="B1721" s="36" t="str">
        <f ca="1">Language!A$833</f>
        <v>Да</v>
      </c>
      <c r="C1721" s="5" t="str">
        <f ca="1">C1715</f>
        <v>тыс. EUR</v>
      </c>
      <c r="F1721" s="84">
        <f t="shared" ref="F1721:X1721" ca="1" si="4689">(F1331+F1346-(F1126-F1125)*F171)*IF(CUR_I_Report&lt;&gt;$B$1715,IF(CUR_I_Report=2,F$88,1/F$88),1)</f>
        <v>0</v>
      </c>
      <c r="G1721" s="84">
        <f t="shared" ca="1" si="4689"/>
        <v>0</v>
      </c>
      <c r="H1721" s="84">
        <f t="shared" ca="1" si="4689"/>
        <v>0</v>
      </c>
      <c r="I1721" s="84">
        <f t="shared" ca="1" si="4689"/>
        <v>0</v>
      </c>
      <c r="J1721" s="84">
        <f t="shared" ca="1" si="4689"/>
        <v>0</v>
      </c>
      <c r="K1721" s="84">
        <f t="shared" ca="1" si="4689"/>
        <v>2728.6487015162002</v>
      </c>
      <c r="L1721" s="84">
        <f t="shared" ca="1" si="4689"/>
        <v>15.623261900942879</v>
      </c>
      <c r="M1721" s="84">
        <f t="shared" ca="1" si="4689"/>
        <v>662.99303790614749</v>
      </c>
      <c r="N1721" s="84">
        <f t="shared" ca="1" si="4689"/>
        <v>916.10593866502631</v>
      </c>
      <c r="O1721" s="84">
        <f t="shared" ca="1" si="4689"/>
        <v>1243.6178106695488</v>
      </c>
      <c r="P1721" s="84">
        <f t="shared" ca="1" si="4689"/>
        <v>1454.7746893858591</v>
      </c>
      <c r="Q1721" s="84">
        <f t="shared" ca="1" si="4689"/>
        <v>1454.7746893858591</v>
      </c>
      <c r="R1721" s="84">
        <f t="shared" ca="1" si="4689"/>
        <v>1454.7746893858591</v>
      </c>
      <c r="S1721" s="84">
        <f t="shared" ca="1" si="4689"/>
        <v>1454.7746893858591</v>
      </c>
      <c r="T1721" s="84">
        <f t="shared" ca="1" si="4689"/>
        <v>1454.7746893858591</v>
      </c>
      <c r="U1721" s="84">
        <f t="shared" ca="1" si="4689"/>
        <v>1454.7746893858591</v>
      </c>
      <c r="V1721" s="84">
        <f t="shared" ca="1" si="4689"/>
        <v>1454.7746893858591</v>
      </c>
      <c r="W1721" s="84">
        <f t="shared" ca="1" si="4689"/>
        <v>1454.7746893858591</v>
      </c>
      <c r="X1721" s="84">
        <f t="shared" ca="1" si="4689"/>
        <v>1454.7746893858591</v>
      </c>
      <c r="Y1721" s="84">
        <f t="shared" ref="Y1721" ca="1" si="4690">(Y1331+Y1346-(Y1126-Y1125)*Y171)*IF(CUR_I_Report&lt;&gt;$B$1715,IF(CUR_I_Report=2,Y$88,1/Y$88),1)</f>
        <v>1454.7746893858591</v>
      </c>
      <c r="Z1721" s="84">
        <f t="shared" ref="Z1721" ca="1" si="4691">(Z1331+Z1346-(Z1126-Z1125)*Z171)*IF(CUR_I_Report&lt;&gt;$B$1715,IF(CUR_I_Report=2,Z$88,1/Z$88),1)</f>
        <v>1454.7746893858591</v>
      </c>
      <c r="AA1721" s="84">
        <f t="shared" ref="AA1721" ca="1" si="4692">(AA1331+AA1346-(AA1126-AA1125)*AA171)*IF(CUR_I_Report&lt;&gt;$B$1715,IF(CUR_I_Report=2,AA$88,1/AA$88),1)</f>
        <v>1454.7746893858591</v>
      </c>
      <c r="AB1721" s="84">
        <f t="shared" ref="AB1721:AC1721" ca="1" si="4693">(AB1331+AB1346-(AB1126-AB1125)*AB171)*IF(CUR_I_Report&lt;&gt;$B$1715,IF(CUR_I_Report=2,AB$88,1/AB$88),1)</f>
        <v>1454.7746893858591</v>
      </c>
      <c r="AC1721" s="84">
        <f t="shared" ca="1" si="4693"/>
        <v>1454.7746893858591</v>
      </c>
      <c r="AE1721" s="54">
        <f ca="1">SUM(F1721:AC1721)</f>
        <v>25933.834402059896</v>
      </c>
    </row>
    <row r="1722" spans="1:31" outlineLevel="2" x14ac:dyDescent="0.2">
      <c r="A1722" t="str">
        <f ca="1">Language!A$847</f>
        <v xml:space="preserve">    за исключением процентов по кредитам</v>
      </c>
      <c r="B1722" s="36" t="str">
        <f ca="1">Language!A$833</f>
        <v>Да</v>
      </c>
      <c r="C1722" s="5" t="str">
        <f ca="1">C1715</f>
        <v>тыс. EUR</v>
      </c>
      <c r="D1722" s="5"/>
      <c r="F1722" s="53">
        <f t="shared" ref="F1722:X1722" si="4694">-F1327*IF(CUR_I_Report&lt;&gt;$B$1715,IF(CUR_I_Report=2,F$88,1/F$88),1)</f>
        <v>0</v>
      </c>
      <c r="G1722" s="53">
        <f t="shared" si="4694"/>
        <v>0</v>
      </c>
      <c r="H1722" s="53">
        <f t="shared" si="4694"/>
        <v>0</v>
      </c>
      <c r="I1722" s="53">
        <f t="shared" si="4694"/>
        <v>0</v>
      </c>
      <c r="J1722" s="53">
        <f t="shared" si="4694"/>
        <v>0</v>
      </c>
      <c r="K1722" s="53">
        <f t="shared" si="4694"/>
        <v>0</v>
      </c>
      <c r="L1722" s="53">
        <f t="shared" si="4694"/>
        <v>0</v>
      </c>
      <c r="M1722" s="53">
        <f t="shared" si="4694"/>
        <v>0</v>
      </c>
      <c r="N1722" s="53">
        <f t="shared" si="4694"/>
        <v>0</v>
      </c>
      <c r="O1722" s="53">
        <f t="shared" si="4694"/>
        <v>0</v>
      </c>
      <c r="P1722" s="53">
        <f t="shared" si="4694"/>
        <v>0</v>
      </c>
      <c r="Q1722" s="53">
        <f t="shared" si="4694"/>
        <v>0</v>
      </c>
      <c r="R1722" s="53">
        <f t="shared" si="4694"/>
        <v>0</v>
      </c>
      <c r="S1722" s="53">
        <f t="shared" si="4694"/>
        <v>0</v>
      </c>
      <c r="T1722" s="53">
        <f t="shared" si="4694"/>
        <v>0</v>
      </c>
      <c r="U1722" s="53">
        <f t="shared" si="4694"/>
        <v>0</v>
      </c>
      <c r="V1722" s="53">
        <f t="shared" si="4694"/>
        <v>0</v>
      </c>
      <c r="W1722" s="53">
        <f t="shared" si="4694"/>
        <v>0</v>
      </c>
      <c r="X1722" s="53">
        <f t="shared" si="4694"/>
        <v>0</v>
      </c>
      <c r="Y1722" s="53">
        <f t="shared" ref="Y1722" si="4695">-Y1327*IF(CUR_I_Report&lt;&gt;$B$1715,IF(CUR_I_Report=2,Y$88,1/Y$88),1)</f>
        <v>0</v>
      </c>
      <c r="Z1722" s="53">
        <f t="shared" ref="Z1722" si="4696">-Z1327*IF(CUR_I_Report&lt;&gt;$B$1715,IF(CUR_I_Report=2,Z$88,1/Z$88),1)</f>
        <v>0</v>
      </c>
      <c r="AA1722" s="53">
        <f t="shared" ref="AA1722" si="4697">-AA1327*IF(CUR_I_Report&lt;&gt;$B$1715,IF(CUR_I_Report=2,AA$88,1/AA$88),1)</f>
        <v>0</v>
      </c>
      <c r="AB1722" s="53">
        <f t="shared" ref="AB1722:AC1722" si="4698">-AB1327*IF(CUR_I_Report&lt;&gt;$B$1715,IF(CUR_I_Report=2,AB$88,1/AB$88),1)</f>
        <v>0</v>
      </c>
      <c r="AC1722" s="53">
        <f t="shared" si="4698"/>
        <v>0</v>
      </c>
      <c r="AE1722" s="54">
        <f>SUM(F1722:AC1722)</f>
        <v>0</v>
      </c>
    </row>
    <row r="1723" spans="1:31" outlineLevel="2" x14ac:dyDescent="0.2">
      <c r="A1723" t="str">
        <f ca="1">Language!A$848</f>
        <v>Денежные потоки от инвестиционной деятельности</v>
      </c>
      <c r="B1723" s="36" t="str">
        <f ca="1">Language!A$833</f>
        <v>Да</v>
      </c>
      <c r="C1723" s="5" t="str">
        <f ca="1">C1715</f>
        <v>тыс. EUR</v>
      </c>
      <c r="D1723" s="5"/>
      <c r="F1723" s="53">
        <f t="shared" ref="F1723:X1723" ca="1" si="4699">F1342*IF(CUR_I_Report&lt;&gt;$B$1715,IF(CUR_I_Report=2,F$88,1/F$88),1)</f>
        <v>0</v>
      </c>
      <c r="G1723" s="53">
        <f t="shared" ca="1" si="4699"/>
        <v>0</v>
      </c>
      <c r="H1723" s="53">
        <f t="shared" ca="1" si="4699"/>
        <v>-5695.3855543220343</v>
      </c>
      <c r="I1723" s="53">
        <f t="shared" ca="1" si="4699"/>
        <v>-1519.56</v>
      </c>
      <c r="J1723" s="53">
        <f t="shared" ca="1" si="4699"/>
        <v>-7024.8891971793519</v>
      </c>
      <c r="K1723" s="53">
        <f t="shared" ca="1" si="4699"/>
        <v>-2883.7623677660667</v>
      </c>
      <c r="L1723" s="53">
        <f t="shared" ca="1" si="4699"/>
        <v>-5.6843418860808015E-14</v>
      </c>
      <c r="M1723" s="53">
        <f t="shared" ca="1" si="4699"/>
        <v>0</v>
      </c>
      <c r="N1723" s="53">
        <f t="shared" ca="1" si="4699"/>
        <v>47.90430408785906</v>
      </c>
      <c r="O1723" s="53">
        <f t="shared" ca="1" si="4699"/>
        <v>41.655454582366474</v>
      </c>
      <c r="P1723" s="53">
        <f t="shared" ca="1" si="4699"/>
        <v>0</v>
      </c>
      <c r="Q1723" s="53">
        <f t="shared" ca="1" si="4699"/>
        <v>0</v>
      </c>
      <c r="R1723" s="53">
        <f t="shared" ca="1" si="4699"/>
        <v>0</v>
      </c>
      <c r="S1723" s="53">
        <f t="shared" ca="1" si="4699"/>
        <v>0</v>
      </c>
      <c r="T1723" s="53">
        <f t="shared" ca="1" si="4699"/>
        <v>0</v>
      </c>
      <c r="U1723" s="53">
        <f t="shared" ca="1" si="4699"/>
        <v>0</v>
      </c>
      <c r="V1723" s="53">
        <f t="shared" ca="1" si="4699"/>
        <v>0</v>
      </c>
      <c r="W1723" s="53">
        <f t="shared" ca="1" si="4699"/>
        <v>0</v>
      </c>
      <c r="X1723" s="53">
        <f t="shared" ca="1" si="4699"/>
        <v>0</v>
      </c>
      <c r="Y1723" s="53">
        <f t="shared" ref="Y1723" ca="1" si="4700">Y1342*IF(CUR_I_Report&lt;&gt;$B$1715,IF(CUR_I_Report=2,Y$88,1/Y$88),1)</f>
        <v>0</v>
      </c>
      <c r="Z1723" s="53">
        <f t="shared" ref="Z1723" ca="1" si="4701">Z1342*IF(CUR_I_Report&lt;&gt;$B$1715,IF(CUR_I_Report=2,Z$88,1/Z$88),1)</f>
        <v>0</v>
      </c>
      <c r="AA1723" s="53">
        <f t="shared" ref="AA1723" ca="1" si="4702">AA1342*IF(CUR_I_Report&lt;&gt;$B$1715,IF(CUR_I_Report=2,AA$88,1/AA$88),1)</f>
        <v>0</v>
      </c>
      <c r="AB1723" s="53">
        <f t="shared" ref="AB1723:AC1723" ca="1" si="4703">AB1342*IF(CUR_I_Report&lt;&gt;$B$1715,IF(CUR_I_Report=2,AB$88,1/AB$88),1)</f>
        <v>0</v>
      </c>
      <c r="AC1723" s="53">
        <f t="shared" ca="1" si="4703"/>
        <v>0</v>
      </c>
      <c r="AE1723" s="54">
        <f ca="1">SUM(F1723:AC1723)</f>
        <v>-17034.037360597224</v>
      </c>
    </row>
    <row r="1724" spans="1:31" outlineLevel="2" x14ac:dyDescent="0.2">
      <c r="A1724" t="str">
        <f ca="1">Language!A$849</f>
        <v>Поступления собственного капитала</v>
      </c>
      <c r="B1724" s="36" t="str">
        <f ca="1">Language!A$834</f>
        <v>Нет</v>
      </c>
      <c r="C1724" s="5" t="str">
        <f ca="1">C1715</f>
        <v>тыс. EUR</v>
      </c>
      <c r="D1724" s="5"/>
    </row>
    <row r="1725" spans="1:31" outlineLevel="2" x14ac:dyDescent="0.2">
      <c r="A1725" t="str">
        <f ca="1">Language!A$850</f>
        <v>Поступления целевого финансирования</v>
      </c>
      <c r="B1725" s="36" t="str">
        <f ca="1">Language!A$834</f>
        <v>Нет</v>
      </c>
      <c r="C1725" s="5" t="str">
        <f ca="1">C1715</f>
        <v>тыс. EUR</v>
      </c>
      <c r="D1725" s="5"/>
    </row>
    <row r="1726" spans="1:31" outlineLevel="2" x14ac:dyDescent="0.2">
      <c r="A1726" t="str">
        <f ca="1">Language!A$851</f>
        <v>Поступления кредитов</v>
      </c>
      <c r="B1726" s="36" t="str">
        <f ca="1">Language!A$834</f>
        <v>Нет</v>
      </c>
      <c r="C1726" s="5" t="str">
        <f ca="1">C1715</f>
        <v>тыс. EUR</v>
      </c>
      <c r="D1726" s="5"/>
    </row>
    <row r="1727" spans="1:31" outlineLevel="2" x14ac:dyDescent="0.2">
      <c r="A1727" t="str">
        <f ca="1">Language!A$852</f>
        <v>Возврат кредитов</v>
      </c>
      <c r="B1727" s="36" t="str">
        <f ca="1">Language!A$834</f>
        <v>Нет</v>
      </c>
      <c r="C1727" s="5" t="str">
        <f ca="1">C1715</f>
        <v>тыс. EUR</v>
      </c>
      <c r="D1727" s="5"/>
    </row>
    <row r="1728" spans="1:31" outlineLevel="2" x14ac:dyDescent="0.2">
      <c r="A1728" t="str">
        <f ca="1">Language!A$853</f>
        <v>Лизинговые платежи</v>
      </c>
      <c r="B1728" s="36" t="str">
        <f ca="1">Language!A$833</f>
        <v>Да</v>
      </c>
      <c r="C1728" s="5" t="str">
        <f ca="1">C1715</f>
        <v>тыс. EUR</v>
      </c>
      <c r="D1728" s="5"/>
      <c r="F1728" s="53">
        <f t="shared" ref="F1728:X1728" ca="1" si="4704">F1349*IF(CUR_I_Report&lt;&gt;$B$1715,IF(CUR_I_Report=2,F$88,1/F$88),1)</f>
        <v>0</v>
      </c>
      <c r="G1728" s="53">
        <f t="shared" ca="1" si="4704"/>
        <v>0</v>
      </c>
      <c r="H1728" s="53">
        <f t="shared" ca="1" si="4704"/>
        <v>0</v>
      </c>
      <c r="I1728" s="53">
        <f t="shared" ca="1" si="4704"/>
        <v>0</v>
      </c>
      <c r="J1728" s="53">
        <f t="shared" ca="1" si="4704"/>
        <v>0</v>
      </c>
      <c r="K1728" s="53">
        <f t="shared" ca="1" si="4704"/>
        <v>0</v>
      </c>
      <c r="L1728" s="53">
        <f t="shared" ca="1" si="4704"/>
        <v>0</v>
      </c>
      <c r="M1728" s="53">
        <f t="shared" ca="1" si="4704"/>
        <v>0</v>
      </c>
      <c r="N1728" s="53">
        <f t="shared" ca="1" si="4704"/>
        <v>0</v>
      </c>
      <c r="O1728" s="53">
        <f t="shared" ca="1" si="4704"/>
        <v>0</v>
      </c>
      <c r="P1728" s="53">
        <f t="shared" ca="1" si="4704"/>
        <v>0</v>
      </c>
      <c r="Q1728" s="53">
        <f t="shared" ca="1" si="4704"/>
        <v>0</v>
      </c>
      <c r="R1728" s="53">
        <f t="shared" ca="1" si="4704"/>
        <v>0</v>
      </c>
      <c r="S1728" s="53">
        <f t="shared" ca="1" si="4704"/>
        <v>0</v>
      </c>
      <c r="T1728" s="53">
        <f t="shared" ca="1" si="4704"/>
        <v>0</v>
      </c>
      <c r="U1728" s="53">
        <f t="shared" ca="1" si="4704"/>
        <v>0</v>
      </c>
      <c r="V1728" s="53">
        <f t="shared" ca="1" si="4704"/>
        <v>0</v>
      </c>
      <c r="W1728" s="53">
        <f t="shared" ca="1" si="4704"/>
        <v>0</v>
      </c>
      <c r="X1728" s="53">
        <f t="shared" ca="1" si="4704"/>
        <v>0</v>
      </c>
      <c r="Y1728" s="53">
        <f t="shared" ref="Y1728" ca="1" si="4705">Y1349*IF(CUR_I_Report&lt;&gt;$B$1715,IF(CUR_I_Report=2,Y$88,1/Y$88),1)</f>
        <v>0</v>
      </c>
      <c r="Z1728" s="53">
        <f t="shared" ref="Z1728" ca="1" si="4706">Z1349*IF(CUR_I_Report&lt;&gt;$B$1715,IF(CUR_I_Report=2,Z$88,1/Z$88),1)</f>
        <v>0</v>
      </c>
      <c r="AA1728" s="53">
        <f t="shared" ref="AA1728" ca="1" si="4707">AA1349*IF(CUR_I_Report&lt;&gt;$B$1715,IF(CUR_I_Report=2,AA$88,1/AA$88),1)</f>
        <v>0</v>
      </c>
      <c r="AB1728" s="53">
        <f t="shared" ref="AB1728:AC1728" ca="1" si="4708">AB1349*IF(CUR_I_Report&lt;&gt;$B$1715,IF(CUR_I_Report=2,AB$88,1/AB$88),1)</f>
        <v>0</v>
      </c>
      <c r="AC1728" s="53">
        <f t="shared" ca="1" si="4708"/>
        <v>0</v>
      </c>
      <c r="AE1728" s="54">
        <f ca="1">SUM(F1728:AC1728)</f>
        <v>0</v>
      </c>
    </row>
    <row r="1729" spans="1:31" outlineLevel="2" x14ac:dyDescent="0.2">
      <c r="A1729" t="str">
        <f ca="1">Language!A$854</f>
        <v>Выплата дивидендов</v>
      </c>
      <c r="B1729" s="36" t="str">
        <f ca="1">Language!A$834</f>
        <v>Нет</v>
      </c>
      <c r="C1729" s="5" t="str">
        <f ca="1">C1715</f>
        <v>тыс. EUR</v>
      </c>
      <c r="D1729" s="5"/>
    </row>
    <row r="1730" spans="1:31" outlineLevel="2" x14ac:dyDescent="0.2">
      <c r="A1730" t="str">
        <f ca="1">Language!A$855</f>
        <v>Ранее осуществленные инвестиции</v>
      </c>
      <c r="B1730" s="36" t="str">
        <f ca="1">CHOOSE(B1713,Language!A833,Language!A834)</f>
        <v>Да</v>
      </c>
      <c r="C1730" s="5" t="str">
        <f ca="1">C1715</f>
        <v>тыс. EUR</v>
      </c>
      <c r="D1730" s="5"/>
      <c r="F1730" s="53">
        <f>IF($B1713=1,-$B$548/IF($B$1715=2,F$88,1),0)</f>
        <v>0</v>
      </c>
      <c r="G1730">
        <v>0</v>
      </c>
      <c r="H1730">
        <v>0</v>
      </c>
      <c r="I1730">
        <v>0</v>
      </c>
      <c r="J1730">
        <v>0</v>
      </c>
      <c r="K1730">
        <v>0</v>
      </c>
      <c r="L1730">
        <v>0</v>
      </c>
      <c r="M1730">
        <v>0</v>
      </c>
      <c r="N1730">
        <v>0</v>
      </c>
      <c r="O1730">
        <v>0</v>
      </c>
      <c r="P1730">
        <v>0</v>
      </c>
      <c r="Q1730">
        <v>0</v>
      </c>
      <c r="R1730">
        <v>0</v>
      </c>
      <c r="S1730">
        <v>0</v>
      </c>
      <c r="T1730">
        <v>0</v>
      </c>
      <c r="U1730">
        <v>0</v>
      </c>
      <c r="V1730">
        <v>0</v>
      </c>
      <c r="W1730">
        <v>0</v>
      </c>
      <c r="X1730">
        <v>0</v>
      </c>
      <c r="Y1730">
        <v>0</v>
      </c>
      <c r="Z1730">
        <v>0</v>
      </c>
      <c r="AA1730">
        <v>0</v>
      </c>
      <c r="AB1730">
        <v>0</v>
      </c>
      <c r="AC1730">
        <v>0</v>
      </c>
      <c r="AE1730" s="54">
        <f>SUM(F1730:AC1730)</f>
        <v>0</v>
      </c>
    </row>
    <row r="1731" spans="1:31" outlineLevel="2" x14ac:dyDescent="0.2">
      <c r="A1731" t="str">
        <f ca="1">Language!A$856</f>
        <v>Остаточная стоимость проекта</v>
      </c>
      <c r="B1731" s="36" t="str">
        <f ca="1">CHOOSE(B1714,Language!A833,Language!A834)</f>
        <v>Нет</v>
      </c>
      <c r="C1731" s="5" t="str">
        <f ca="1">C1715</f>
        <v>тыс. EUR</v>
      </c>
      <c r="D1731" s="5"/>
      <c r="F1731" s="110">
        <f t="shared" ref="F1731:X1731" si="4709">IF($B1714=1,IF(F$29=PRJ_Len,(F$1498-F$1461)*IF(CUR_I_Report&lt;&gt;$B$1715,IF(CUR_I_Report=2,F$88,1/F$88),1),0),0)</f>
        <v>0</v>
      </c>
      <c r="G1731" s="110">
        <f t="shared" si="4709"/>
        <v>0</v>
      </c>
      <c r="H1731" s="110">
        <f t="shared" si="4709"/>
        <v>0</v>
      </c>
      <c r="I1731" s="110">
        <f t="shared" si="4709"/>
        <v>0</v>
      </c>
      <c r="J1731" s="110">
        <f t="shared" si="4709"/>
        <v>0</v>
      </c>
      <c r="K1731" s="110">
        <f t="shared" si="4709"/>
        <v>0</v>
      </c>
      <c r="L1731" s="110">
        <f t="shared" si="4709"/>
        <v>0</v>
      </c>
      <c r="M1731" s="110">
        <f t="shared" si="4709"/>
        <v>0</v>
      </c>
      <c r="N1731" s="110">
        <f t="shared" si="4709"/>
        <v>0</v>
      </c>
      <c r="O1731" s="110">
        <f t="shared" si="4709"/>
        <v>0</v>
      </c>
      <c r="P1731" s="110">
        <f t="shared" si="4709"/>
        <v>0</v>
      </c>
      <c r="Q1731" s="110">
        <f t="shared" si="4709"/>
        <v>0</v>
      </c>
      <c r="R1731" s="110">
        <f t="shared" si="4709"/>
        <v>0</v>
      </c>
      <c r="S1731" s="110">
        <f t="shared" si="4709"/>
        <v>0</v>
      </c>
      <c r="T1731" s="110">
        <f t="shared" si="4709"/>
        <v>0</v>
      </c>
      <c r="U1731" s="110">
        <f t="shared" si="4709"/>
        <v>0</v>
      </c>
      <c r="V1731" s="110">
        <f t="shared" si="4709"/>
        <v>0</v>
      </c>
      <c r="W1731" s="110">
        <f t="shared" si="4709"/>
        <v>0</v>
      </c>
      <c r="X1731" s="110">
        <f t="shared" si="4709"/>
        <v>0</v>
      </c>
      <c r="Y1731" s="110">
        <f t="shared" ref="Y1731" si="4710">IF($B1714=1,IF(Y$29=PRJ_Len,(Y$1498-Y$1461)*IF(CUR_I_Report&lt;&gt;$B$1715,IF(CUR_I_Report=2,Y$88,1/Y$88),1),0),0)</f>
        <v>0</v>
      </c>
      <c r="Z1731" s="110">
        <f t="shared" ref="Z1731" si="4711">IF($B1714=1,IF(Z$29=PRJ_Len,(Z$1498-Z$1461)*IF(CUR_I_Report&lt;&gt;$B$1715,IF(CUR_I_Report=2,Z$88,1/Z$88),1),0),0)</f>
        <v>0</v>
      </c>
      <c r="AA1731" s="110">
        <f t="shared" ref="AA1731" si="4712">IF($B1714=1,IF(AA$29=PRJ_Len,(AA$1498-AA$1461)*IF(CUR_I_Report&lt;&gt;$B$1715,IF(CUR_I_Report=2,AA$88,1/AA$88),1),0),0)</f>
        <v>0</v>
      </c>
      <c r="AB1731" s="110">
        <f t="shared" ref="AB1731:AC1731" si="4713">IF($B1714=1,IF(AB$29=PRJ_Len,(AB$1498-AB$1461)*IF(CUR_I_Report&lt;&gt;$B$1715,IF(CUR_I_Report=2,AB$88,1/AB$88),1),0),0)</f>
        <v>0</v>
      </c>
      <c r="AC1731" s="110">
        <f t="shared" si="4713"/>
        <v>0</v>
      </c>
      <c r="AE1731" s="54">
        <f>SUM(F1731:AC1731)</f>
        <v>0</v>
      </c>
    </row>
    <row r="1732" spans="1:31" outlineLevel="2" x14ac:dyDescent="0.2">
      <c r="A1732" s="63"/>
      <c r="B1732" s="63"/>
      <c r="C1732" s="67"/>
      <c r="D1732" s="67"/>
      <c r="E1732" s="63"/>
      <c r="F1732" s="139"/>
      <c r="G1732" s="139"/>
      <c r="H1732" s="139"/>
      <c r="I1732" s="139"/>
      <c r="J1732" s="139"/>
      <c r="K1732" s="139"/>
      <c r="L1732" s="139"/>
      <c r="M1732" s="139"/>
      <c r="N1732" s="139"/>
      <c r="O1732" s="139"/>
      <c r="P1732" s="139"/>
      <c r="Q1732" s="139"/>
      <c r="R1732" s="139"/>
      <c r="S1732" s="139"/>
      <c r="T1732" s="139"/>
      <c r="U1732" s="139"/>
      <c r="V1732" s="139"/>
      <c r="W1732" s="139"/>
      <c r="X1732" s="139"/>
      <c r="Y1732" s="139"/>
      <c r="Z1732" s="139"/>
      <c r="AA1732" s="139"/>
      <c r="AB1732" s="139"/>
      <c r="AC1732" s="139"/>
      <c r="AD1732" s="139"/>
      <c r="AE1732" s="160"/>
    </row>
    <row r="1733" spans="1:31" outlineLevel="1" x14ac:dyDescent="0.2">
      <c r="A1733" s="24" t="str">
        <f ca="1">Language!A$857</f>
        <v>Чистый денежный поток</v>
      </c>
      <c r="B1733" s="24"/>
      <c r="C1733" s="114" t="str">
        <f ca="1">C1715</f>
        <v>тыс. EUR</v>
      </c>
      <c r="D1733" s="114"/>
      <c r="E1733" s="24"/>
      <c r="F1733" s="161">
        <f t="shared" ref="F1733:T1733" ca="1" si="4714">SUM(F1721:F1731)</f>
        <v>0</v>
      </c>
      <c r="G1733" s="161">
        <f t="shared" ca="1" si="4714"/>
        <v>0</v>
      </c>
      <c r="H1733" s="161">
        <f t="shared" ca="1" si="4714"/>
        <v>-5695.3855543220343</v>
      </c>
      <c r="I1733" s="161">
        <f t="shared" ca="1" si="4714"/>
        <v>-1519.56</v>
      </c>
      <c r="J1733" s="161">
        <f t="shared" ca="1" si="4714"/>
        <v>-7024.8891971793519</v>
      </c>
      <c r="K1733" s="161">
        <f t="shared" ca="1" si="4714"/>
        <v>-155.11366624986658</v>
      </c>
      <c r="L1733" s="161">
        <f t="shared" ca="1" si="4714"/>
        <v>15.623261900942822</v>
      </c>
      <c r="M1733" s="161">
        <f t="shared" ca="1" si="4714"/>
        <v>662.99303790614749</v>
      </c>
      <c r="N1733" s="161">
        <f t="shared" ca="1" si="4714"/>
        <v>964.01024275288535</v>
      </c>
      <c r="O1733" s="161">
        <f t="shared" ca="1" si="4714"/>
        <v>1285.2732652519153</v>
      </c>
      <c r="P1733" s="161">
        <f t="shared" ca="1" si="4714"/>
        <v>1454.7746893858591</v>
      </c>
      <c r="Q1733" s="161">
        <f t="shared" ca="1" si="4714"/>
        <v>1454.7746893858591</v>
      </c>
      <c r="R1733" s="161">
        <f t="shared" ca="1" si="4714"/>
        <v>1454.7746893858591</v>
      </c>
      <c r="S1733" s="161">
        <f t="shared" ca="1" si="4714"/>
        <v>1454.7746893858591</v>
      </c>
      <c r="T1733" s="161">
        <f t="shared" ca="1" si="4714"/>
        <v>1454.7746893858591</v>
      </c>
      <c r="U1733" s="161">
        <f t="shared" ref="U1733" ca="1" si="4715">SUM(U1721:U1731)</f>
        <v>1454.7746893858591</v>
      </c>
      <c r="V1733" s="161">
        <f t="shared" ref="V1733" ca="1" si="4716">SUM(V1721:V1731)</f>
        <v>1454.7746893858591</v>
      </c>
      <c r="W1733" s="161">
        <f t="shared" ref="W1733" ca="1" si="4717">SUM(W1721:W1731)</f>
        <v>1454.7746893858591</v>
      </c>
      <c r="X1733" s="161">
        <f t="shared" ref="X1733" ca="1" si="4718">SUM(X1721:X1731)</f>
        <v>1454.7746893858591</v>
      </c>
      <c r="Y1733" s="161">
        <f t="shared" ref="Y1733" ca="1" si="4719">SUM(Y1721:Y1731)</f>
        <v>1454.7746893858591</v>
      </c>
      <c r="Z1733" s="161">
        <f t="shared" ref="Z1733" ca="1" si="4720">SUM(Z1721:Z1731)</f>
        <v>1454.7746893858591</v>
      </c>
      <c r="AA1733" s="161">
        <f t="shared" ref="AA1733" ca="1" si="4721">SUM(AA1721:AA1731)</f>
        <v>1454.7746893858591</v>
      </c>
      <c r="AB1733" s="161">
        <f t="shared" ref="AB1733:AC1733" ca="1" si="4722">SUM(AB1721:AB1731)</f>
        <v>1454.7746893858591</v>
      </c>
      <c r="AC1733" s="161">
        <f t="shared" ca="1" si="4722"/>
        <v>1454.7746893858591</v>
      </c>
      <c r="AD1733" s="24"/>
      <c r="AE1733" s="54">
        <f ca="1">SUM(F1733:AC1733)</f>
        <v>8899.797041462667</v>
      </c>
    </row>
    <row r="1734" spans="1:31" outlineLevel="1" x14ac:dyDescent="0.2">
      <c r="A1734" t="str">
        <f ca="1">Language!A$858</f>
        <v>Дисконтированный чистый денежный поток</v>
      </c>
      <c r="C1734" s="5" t="str">
        <f ca="1">C1715</f>
        <v>тыс. EUR</v>
      </c>
      <c r="D1734" s="5"/>
      <c r="F1734" s="53">
        <f t="shared" ref="F1734:T1734" ca="1" si="4723">F1733/F1718</f>
        <v>0</v>
      </c>
      <c r="G1734" s="53">
        <f t="shared" ca="1" si="4723"/>
        <v>0</v>
      </c>
      <c r="H1734" s="53">
        <f t="shared" ca="1" si="4723"/>
        <v>-5310.9744141877218</v>
      </c>
      <c r="I1734" s="53">
        <f t="shared" ca="1" si="4723"/>
        <v>-1368.3414178136306</v>
      </c>
      <c r="J1734" s="53">
        <f t="shared" ca="1" si="4723"/>
        <v>-6108.5993018950894</v>
      </c>
      <c r="K1734" s="53">
        <f t="shared" ca="1" si="4723"/>
        <v>-130.25000914427827</v>
      </c>
      <c r="L1734" s="53">
        <f t="shared" ca="1" si="4723"/>
        <v>12.668492906979903</v>
      </c>
      <c r="M1734" s="53">
        <f t="shared" ca="1" si="4723"/>
        <v>519.14389033041846</v>
      </c>
      <c r="N1734" s="53">
        <f t="shared" ca="1" si="4723"/>
        <v>728.93024026683213</v>
      </c>
      <c r="O1734" s="53">
        <f t="shared" ca="1" si="4723"/>
        <v>938.48067285556374</v>
      </c>
      <c r="P1734" s="53">
        <f t="shared" ca="1" si="4723"/>
        <v>1025.7726977380892</v>
      </c>
      <c r="Q1734" s="53">
        <f t="shared" ca="1" si="4723"/>
        <v>990.55062306297441</v>
      </c>
      <c r="R1734" s="53">
        <f t="shared" ca="1" si="4723"/>
        <v>956.5379728024061</v>
      </c>
      <c r="S1734" s="53">
        <f t="shared" ca="1" si="4723"/>
        <v>923.6932188116624</v>
      </c>
      <c r="T1734" s="53">
        <f t="shared" ca="1" si="4723"/>
        <v>891.97625890268614</v>
      </c>
      <c r="U1734" s="53">
        <f t="shared" ref="U1734" ca="1" si="4724">U1733/U1718</f>
        <v>861.34836788084738</v>
      </c>
      <c r="V1734" s="53">
        <f t="shared" ref="V1734" ca="1" si="4725">V1733/V1718</f>
        <v>831.77215026296187</v>
      </c>
      <c r="W1734" s="53">
        <f t="shared" ref="W1734" ca="1" si="4726">W1733/W1718</f>
        <v>803.21149461883681</v>
      </c>
      <c r="X1734" s="53">
        <f t="shared" ref="X1734" ca="1" si="4727">X1733/X1718</f>
        <v>775.63152948059667</v>
      </c>
      <c r="Y1734" s="53">
        <f t="shared" ref="Y1734" ca="1" si="4728">Y1733/Y1718</f>
        <v>748.99858076595422</v>
      </c>
      <c r="Z1734" s="53">
        <f t="shared" ref="Z1734" ca="1" si="4729">Z1733/Z1718</f>
        <v>723.28013066344499</v>
      </c>
      <c r="AA1734" s="53">
        <f t="shared" ref="AA1734" ca="1" si="4730">AA1733/AA1718</f>
        <v>698.44477792942325</v>
      </c>
      <c r="AB1734" s="53">
        <f t="shared" ref="AB1734:AC1734" ca="1" si="4731">AB1733/AB1718</f>
        <v>674.46219954834487</v>
      </c>
      <c r="AC1734" s="53">
        <f t="shared" ca="1" si="4731"/>
        <v>651.30311370952541</v>
      </c>
      <c r="AE1734" s="54">
        <f ca="1">SUM(F1734:AC1734)</f>
        <v>838.04126949682859</v>
      </c>
    </row>
    <row r="1735" spans="1:31" outlineLevel="1" x14ac:dyDescent="0.2">
      <c r="A1735" t="str">
        <f ca="1">Language!A$859</f>
        <v>Дисконтированный поток нарастающим итогом</v>
      </c>
      <c r="C1735" s="5" t="str">
        <f ca="1">C1715</f>
        <v>тыс. EUR</v>
      </c>
      <c r="D1735" s="16" t="s">
        <v>2594</v>
      </c>
      <c r="F1735" s="105">
        <f t="shared" ref="F1735:AC1735" ca="1" si="4732">E1735+F1734</f>
        <v>0</v>
      </c>
      <c r="G1735" s="105">
        <f t="shared" ca="1" si="4732"/>
        <v>0</v>
      </c>
      <c r="H1735" s="105">
        <f t="shared" ca="1" si="4732"/>
        <v>-5310.9744141877218</v>
      </c>
      <c r="I1735" s="105">
        <f t="shared" ca="1" si="4732"/>
        <v>-6679.3158320013526</v>
      </c>
      <c r="J1735" s="105">
        <f t="shared" ca="1" si="4732"/>
        <v>-12787.915133896442</v>
      </c>
      <c r="K1735" s="105">
        <f t="shared" ca="1" si="4732"/>
        <v>-12918.16514304072</v>
      </c>
      <c r="L1735" s="105">
        <f t="shared" ca="1" si="4732"/>
        <v>-12905.49665013374</v>
      </c>
      <c r="M1735" s="105">
        <f t="shared" ca="1" si="4732"/>
        <v>-12386.352759803322</v>
      </c>
      <c r="N1735" s="105">
        <f t="shared" ca="1" si="4732"/>
        <v>-11657.422519536489</v>
      </c>
      <c r="O1735" s="105">
        <f t="shared" ca="1" si="4732"/>
        <v>-10718.941846680926</v>
      </c>
      <c r="P1735" s="105">
        <f t="shared" ca="1" si="4732"/>
        <v>-9693.1691489428358</v>
      </c>
      <c r="Q1735" s="105">
        <f t="shared" ca="1" si="4732"/>
        <v>-8702.6185258798614</v>
      </c>
      <c r="R1735" s="105">
        <f t="shared" ca="1" si="4732"/>
        <v>-7746.0805530774551</v>
      </c>
      <c r="S1735" s="105">
        <f t="shared" ca="1" si="4732"/>
        <v>-6822.3873342657926</v>
      </c>
      <c r="T1735" s="105">
        <f t="shared" ca="1" si="4732"/>
        <v>-5930.4110753631066</v>
      </c>
      <c r="U1735" s="105">
        <f t="shared" ca="1" si="4732"/>
        <v>-5069.0627074822596</v>
      </c>
      <c r="V1735" s="105">
        <f t="shared" ca="1" si="4732"/>
        <v>-4237.2905572192976</v>
      </c>
      <c r="W1735" s="105">
        <f t="shared" ca="1" si="4732"/>
        <v>-3434.0790626004609</v>
      </c>
      <c r="X1735" s="105">
        <f t="shared" ca="1" si="4732"/>
        <v>-2658.4475331198641</v>
      </c>
      <c r="Y1735" s="105">
        <f t="shared" ca="1" si="4732"/>
        <v>-1909.44895235391</v>
      </c>
      <c r="Z1735" s="105">
        <f t="shared" ca="1" si="4732"/>
        <v>-1186.1688216904649</v>
      </c>
      <c r="AA1735" s="105">
        <f t="shared" ca="1" si="4732"/>
        <v>-487.72404376104168</v>
      </c>
      <c r="AB1735" s="105">
        <f t="shared" ca="1" si="4732"/>
        <v>186.73815578730319</v>
      </c>
      <c r="AC1735" s="105">
        <f t="shared" ca="1" si="4732"/>
        <v>838.04126949682859</v>
      </c>
    </row>
    <row r="1736" spans="1:31" outlineLevel="1" x14ac:dyDescent="0.2"/>
    <row r="1737" spans="1:31" outlineLevel="1" collapsed="1" x14ac:dyDescent="0.2">
      <c r="A1737" s="23" t="str">
        <f ca="1">Language!A$860</f>
        <v>Простой срок окупаемости</v>
      </c>
      <c r="B1737" s="163">
        <f ca="1">IF(ISERROR(E1739),Language!A$834,IF(E1739&gt;=PRJ_Len,Language!A$834,IF(OR(E1739=0),E1739*PRJ_Step/360,(E1739-OFFSET(F1738,0,E1739-1)/(-OFFSET(F1738,0,E1739-1)+OFFSET(F1738,0,E1739)))*PRJ_Step/360)))</f>
        <v>4.4705884171624257</v>
      </c>
      <c r="C1737" s="17" t="str">
        <f ca="1">IF(B1737=0,Language!A$33,IF(OR(B1737&lt;1,AND(B1737&gt;1,B1737&lt;5)),Language!A$835,IF(B1737=1,Language!A$37,Language!A$33)))</f>
        <v>года</v>
      </c>
    </row>
    <row r="1738" spans="1:31" hidden="1" outlineLevel="2" x14ac:dyDescent="0.2">
      <c r="A1738" t="str">
        <f ca="1">Language!A$861</f>
        <v xml:space="preserve">    недисконтированный поток нарастающим итогом</v>
      </c>
      <c r="D1738" s="16" t="s">
        <v>2594</v>
      </c>
      <c r="F1738" s="53">
        <f t="shared" ref="F1738:AC1738" ca="1" si="4733">E1738+F1733</f>
        <v>0</v>
      </c>
      <c r="G1738" s="53">
        <f t="shared" ca="1" si="4733"/>
        <v>0</v>
      </c>
      <c r="H1738" s="53">
        <f t="shared" ca="1" si="4733"/>
        <v>-5695.3855543220343</v>
      </c>
      <c r="I1738" s="53">
        <f t="shared" ca="1" si="4733"/>
        <v>-7214.9455543220338</v>
      </c>
      <c r="J1738" s="53">
        <f t="shared" ca="1" si="4733"/>
        <v>-14239.834751501385</v>
      </c>
      <c r="K1738" s="53">
        <f t="shared" ca="1" si="4733"/>
        <v>-14394.948417751251</v>
      </c>
      <c r="L1738" s="53">
        <f t="shared" ca="1" si="4733"/>
        <v>-14379.325155850309</v>
      </c>
      <c r="M1738" s="53">
        <f t="shared" ca="1" si="4733"/>
        <v>-13716.332117944161</v>
      </c>
      <c r="N1738" s="53">
        <f t="shared" ca="1" si="4733"/>
        <v>-12752.321875191275</v>
      </c>
      <c r="O1738" s="53">
        <f t="shared" ca="1" si="4733"/>
        <v>-11467.04860993936</v>
      </c>
      <c r="P1738" s="53">
        <f t="shared" ca="1" si="4733"/>
        <v>-10012.273920553502</v>
      </c>
      <c r="Q1738" s="53">
        <f t="shared" ca="1" si="4733"/>
        <v>-8557.4992311676433</v>
      </c>
      <c r="R1738" s="53">
        <f t="shared" ca="1" si="4733"/>
        <v>-7102.724541781784</v>
      </c>
      <c r="S1738" s="53">
        <f t="shared" ca="1" si="4733"/>
        <v>-5647.9498523959246</v>
      </c>
      <c r="T1738" s="53">
        <f t="shared" ca="1" si="4733"/>
        <v>-4193.1751630100653</v>
      </c>
      <c r="U1738" s="53">
        <f t="shared" ca="1" si="4733"/>
        <v>-2738.4004736242059</v>
      </c>
      <c r="V1738" s="53">
        <f t="shared" ca="1" si="4733"/>
        <v>-1283.6257842383468</v>
      </c>
      <c r="W1738" s="53">
        <f t="shared" ca="1" si="4733"/>
        <v>171.14890514751232</v>
      </c>
      <c r="X1738" s="53">
        <f t="shared" ca="1" si="4733"/>
        <v>1625.9235945333714</v>
      </c>
      <c r="Y1738" s="53">
        <f t="shared" ca="1" si="4733"/>
        <v>3080.6982839192306</v>
      </c>
      <c r="Z1738" s="53">
        <f t="shared" ca="1" si="4733"/>
        <v>4535.4729733050899</v>
      </c>
      <c r="AA1738" s="53">
        <f t="shared" ca="1" si="4733"/>
        <v>5990.2476626909493</v>
      </c>
      <c r="AB1738" s="53">
        <f t="shared" ca="1" si="4733"/>
        <v>7445.0223520768086</v>
      </c>
      <c r="AC1738" s="53">
        <f t="shared" ca="1" si="4733"/>
        <v>8899.797041462667</v>
      </c>
    </row>
    <row r="1739" spans="1:31" hidden="1" outlineLevel="2" x14ac:dyDescent="0.2">
      <c r="A1739" t="str">
        <f ca="1">Language!A$862</f>
        <v xml:space="preserve">    знак остатка денежных средств</v>
      </c>
      <c r="D1739" s="16" t="s">
        <v>2594</v>
      </c>
      <c r="E1739" s="100">
        <f ca="1">PRJ_Len+1-(MATCH(-1,F1740:AD1740,0))</f>
        <v>17</v>
      </c>
      <c r="F1739" s="16">
        <f t="shared" ref="F1739:T1739" ca="1" si="4734">SIGN(F1738)</f>
        <v>0</v>
      </c>
      <c r="G1739" s="16">
        <f t="shared" ca="1" si="4734"/>
        <v>0</v>
      </c>
      <c r="H1739" s="16">
        <f t="shared" ca="1" si="4734"/>
        <v>-1</v>
      </c>
      <c r="I1739" s="16">
        <f t="shared" ca="1" si="4734"/>
        <v>-1</v>
      </c>
      <c r="J1739" s="16">
        <f t="shared" ca="1" si="4734"/>
        <v>-1</v>
      </c>
      <c r="K1739" s="16">
        <f t="shared" ca="1" si="4734"/>
        <v>-1</v>
      </c>
      <c r="L1739" s="16">
        <f t="shared" ca="1" si="4734"/>
        <v>-1</v>
      </c>
      <c r="M1739" s="16">
        <f t="shared" ca="1" si="4734"/>
        <v>-1</v>
      </c>
      <c r="N1739" s="16">
        <f t="shared" ca="1" si="4734"/>
        <v>-1</v>
      </c>
      <c r="O1739" s="16">
        <f t="shared" ca="1" si="4734"/>
        <v>-1</v>
      </c>
      <c r="P1739" s="16">
        <f t="shared" ca="1" si="4734"/>
        <v>-1</v>
      </c>
      <c r="Q1739" s="16">
        <f t="shared" ca="1" si="4734"/>
        <v>-1</v>
      </c>
      <c r="R1739" s="16">
        <f t="shared" ca="1" si="4734"/>
        <v>-1</v>
      </c>
      <c r="S1739" s="16">
        <f t="shared" ca="1" si="4734"/>
        <v>-1</v>
      </c>
      <c r="T1739" s="16">
        <f t="shared" ca="1" si="4734"/>
        <v>-1</v>
      </c>
      <c r="U1739" s="16">
        <f t="shared" ref="U1739" ca="1" si="4735">SIGN(U1738)</f>
        <v>-1</v>
      </c>
      <c r="V1739" s="16">
        <f t="shared" ref="V1739" ca="1" si="4736">SIGN(V1738)</f>
        <v>-1</v>
      </c>
      <c r="W1739" s="16">
        <f t="shared" ref="W1739" ca="1" si="4737">SIGN(W1738)</f>
        <v>1</v>
      </c>
      <c r="X1739" s="16">
        <f t="shared" ref="X1739" ca="1" si="4738">SIGN(X1738)</f>
        <v>1</v>
      </c>
      <c r="Y1739" s="16">
        <f t="shared" ref="Y1739" ca="1" si="4739">SIGN(Y1738)</f>
        <v>1</v>
      </c>
      <c r="Z1739" s="16">
        <f t="shared" ref="Z1739" ca="1" si="4740">SIGN(Z1738)</f>
        <v>1</v>
      </c>
      <c r="AA1739" s="16">
        <f t="shared" ref="AA1739" ca="1" si="4741">SIGN(AA1738)</f>
        <v>1</v>
      </c>
      <c r="AB1739" s="16">
        <f t="shared" ref="AB1739:AC1739" ca="1" si="4742">SIGN(AB1738)</f>
        <v>1</v>
      </c>
      <c r="AC1739" s="16">
        <f t="shared" ca="1" si="4742"/>
        <v>1</v>
      </c>
    </row>
    <row r="1740" spans="1:31" hidden="1" outlineLevel="2" x14ac:dyDescent="0.2">
      <c r="A1740" t="str">
        <f ca="1">Language!A$863</f>
        <v xml:space="preserve">    знак остатка денежных средств (с конца)</v>
      </c>
      <c r="D1740" s="16" t="s">
        <v>2594</v>
      </c>
      <c r="E1740" s="48"/>
      <c r="F1740" s="100">
        <f t="shared" ref="F1740:T1740" ca="1" si="4743">OFFSET(F1739,0,PRJ_Len-F$29-F$29+1)</f>
        <v>1</v>
      </c>
      <c r="G1740" s="100">
        <f t="shared" ca="1" si="4743"/>
        <v>1</v>
      </c>
      <c r="H1740" s="100">
        <f t="shared" ca="1" si="4743"/>
        <v>1</v>
      </c>
      <c r="I1740" s="100">
        <f t="shared" ca="1" si="4743"/>
        <v>1</v>
      </c>
      <c r="J1740" s="100">
        <f t="shared" ca="1" si="4743"/>
        <v>1</v>
      </c>
      <c r="K1740" s="100">
        <f t="shared" ca="1" si="4743"/>
        <v>1</v>
      </c>
      <c r="L1740" s="100">
        <f t="shared" ca="1" si="4743"/>
        <v>1</v>
      </c>
      <c r="M1740" s="100">
        <f t="shared" ca="1" si="4743"/>
        <v>-1</v>
      </c>
      <c r="N1740" s="100">
        <f t="shared" ca="1" si="4743"/>
        <v>-1</v>
      </c>
      <c r="O1740" s="100">
        <f t="shared" ca="1" si="4743"/>
        <v>-1</v>
      </c>
      <c r="P1740" s="100">
        <f t="shared" ca="1" si="4743"/>
        <v>-1</v>
      </c>
      <c r="Q1740" s="100">
        <f t="shared" ca="1" si="4743"/>
        <v>-1</v>
      </c>
      <c r="R1740" s="100">
        <f t="shared" ca="1" si="4743"/>
        <v>-1</v>
      </c>
      <c r="S1740" s="100">
        <f t="shared" ca="1" si="4743"/>
        <v>-1</v>
      </c>
      <c r="T1740" s="100">
        <f t="shared" ca="1" si="4743"/>
        <v>-1</v>
      </c>
      <c r="U1740" s="100">
        <f t="shared" ref="U1740" ca="1" si="4744">OFFSET(U1739,0,PRJ_Len-U$29-U$29+1)</f>
        <v>-1</v>
      </c>
      <c r="V1740" s="100">
        <f t="shared" ref="V1740" ca="1" si="4745">OFFSET(V1739,0,PRJ_Len-V$29-V$29+1)</f>
        <v>-1</v>
      </c>
      <c r="W1740" s="100">
        <f t="shared" ref="W1740" ca="1" si="4746">OFFSET(W1739,0,PRJ_Len-W$29-W$29+1)</f>
        <v>-1</v>
      </c>
      <c r="X1740" s="100">
        <f t="shared" ref="X1740" ca="1" si="4747">OFFSET(X1739,0,PRJ_Len-X$29-X$29+1)</f>
        <v>-1</v>
      </c>
      <c r="Y1740" s="100">
        <f t="shared" ref="Y1740" ca="1" si="4748">OFFSET(Y1739,0,PRJ_Len-Y$29-Y$29+1)</f>
        <v>-1</v>
      </c>
      <c r="Z1740" s="100">
        <f t="shared" ref="Z1740" ca="1" si="4749">OFFSET(Z1739,0,PRJ_Len-Z$29-Z$29+1)</f>
        <v>-1</v>
      </c>
      <c r="AA1740" s="100">
        <f t="shared" ref="AA1740" ca="1" si="4750">OFFSET(AA1739,0,PRJ_Len-AA$29-AA$29+1)</f>
        <v>-1</v>
      </c>
      <c r="AB1740" s="100">
        <f t="shared" ref="AB1740:AC1740" ca="1" si="4751">OFFSET(AB1739,0,PRJ_Len-AB$29-AB$29+1)</f>
        <v>0</v>
      </c>
      <c r="AC1740" s="100">
        <f t="shared" ca="1" si="4751"/>
        <v>0</v>
      </c>
    </row>
    <row r="1741" spans="1:31" outlineLevel="1" x14ac:dyDescent="0.2">
      <c r="E1741" s="48"/>
    </row>
    <row r="1742" spans="1:31" outlineLevel="1" x14ac:dyDescent="0.2">
      <c r="A1742" s="35" t="str">
        <f ca="1">Language!A$864</f>
        <v>Чистая приведенная стоимость (NPV)</v>
      </c>
      <c r="B1742" s="150">
        <f ca="1">AE1734</f>
        <v>838.04126949682859</v>
      </c>
      <c r="C1742" s="5" t="str">
        <f ca="1">C1715</f>
        <v>тыс. EUR</v>
      </c>
      <c r="E1742" s="48"/>
    </row>
    <row r="1743" spans="1:31" outlineLevel="1" collapsed="1" x14ac:dyDescent="0.2">
      <c r="A1743" s="35" t="str">
        <f ca="1">Language!A$865</f>
        <v>Дисконтированный срок окупаемости (PBP)</v>
      </c>
      <c r="B1743" s="149">
        <f ca="1">IF(ISERROR(E1744),Language!A$834,IF(E1744&gt;=PRJ_Len,Language!A$834,IF(OR(E1744=0),E1744*PRJ_Step/360,(E1744-OFFSET(F1735,0,E1744-1)/(-OFFSET(F1735,0,E1744-1)+OFFSET(F1735,0,E1744)))*PRJ_Step/360)))</f>
        <v>5.6807825716873559</v>
      </c>
      <c r="C1743" s="17" t="str">
        <f ca="1">IF(B1743=0,Language!A$33,IF(OR(B1743&lt;1,AND(B1743&gt;1,B1743&lt;5)),Language!A$835,IF(B1743=1,Language!A$37,Language!A$33)))</f>
        <v>лет</v>
      </c>
      <c r="E1743" s="48"/>
    </row>
    <row r="1744" spans="1:31" hidden="1" outlineLevel="2" x14ac:dyDescent="0.2">
      <c r="A1744" s="179" t="str">
        <f ca="1">Language!A$866</f>
        <v xml:space="preserve">    знак остатка дисконтированных денежных средств</v>
      </c>
      <c r="B1744" s="179"/>
      <c r="D1744" s="16" t="s">
        <v>2594</v>
      </c>
      <c r="E1744" s="100">
        <f ca="1">PRJ_Len+1-(MATCH(-1,F1745:AD1745,0))</f>
        <v>22</v>
      </c>
      <c r="F1744" s="16">
        <f t="shared" ref="F1744:T1744" ca="1" si="4752">SIGN(F1735)</f>
        <v>0</v>
      </c>
      <c r="G1744" s="16">
        <f t="shared" ca="1" si="4752"/>
        <v>0</v>
      </c>
      <c r="H1744" s="16">
        <f t="shared" ca="1" si="4752"/>
        <v>-1</v>
      </c>
      <c r="I1744" s="16">
        <f t="shared" ca="1" si="4752"/>
        <v>-1</v>
      </c>
      <c r="J1744" s="16">
        <f t="shared" ca="1" si="4752"/>
        <v>-1</v>
      </c>
      <c r="K1744" s="16">
        <f t="shared" ca="1" si="4752"/>
        <v>-1</v>
      </c>
      <c r="L1744" s="16">
        <f t="shared" ca="1" si="4752"/>
        <v>-1</v>
      </c>
      <c r="M1744" s="16">
        <f t="shared" ca="1" si="4752"/>
        <v>-1</v>
      </c>
      <c r="N1744" s="16">
        <f t="shared" ca="1" si="4752"/>
        <v>-1</v>
      </c>
      <c r="O1744" s="16">
        <f t="shared" ca="1" si="4752"/>
        <v>-1</v>
      </c>
      <c r="P1744" s="16">
        <f t="shared" ca="1" si="4752"/>
        <v>-1</v>
      </c>
      <c r="Q1744" s="16">
        <f t="shared" ca="1" si="4752"/>
        <v>-1</v>
      </c>
      <c r="R1744" s="16">
        <f t="shared" ca="1" si="4752"/>
        <v>-1</v>
      </c>
      <c r="S1744" s="16">
        <f t="shared" ca="1" si="4752"/>
        <v>-1</v>
      </c>
      <c r="T1744" s="16">
        <f t="shared" ca="1" si="4752"/>
        <v>-1</v>
      </c>
      <c r="U1744" s="16">
        <f t="shared" ref="U1744" ca="1" si="4753">SIGN(U1735)</f>
        <v>-1</v>
      </c>
      <c r="V1744" s="16">
        <f t="shared" ref="V1744" ca="1" si="4754">SIGN(V1735)</f>
        <v>-1</v>
      </c>
      <c r="W1744" s="16">
        <f t="shared" ref="W1744" ca="1" si="4755">SIGN(W1735)</f>
        <v>-1</v>
      </c>
      <c r="X1744" s="16">
        <f t="shared" ref="X1744" ca="1" si="4756">SIGN(X1735)</f>
        <v>-1</v>
      </c>
      <c r="Y1744" s="16">
        <f t="shared" ref="Y1744" ca="1" si="4757">SIGN(Y1735)</f>
        <v>-1</v>
      </c>
      <c r="Z1744" s="16">
        <f t="shared" ref="Z1744" ca="1" si="4758">SIGN(Z1735)</f>
        <v>-1</v>
      </c>
      <c r="AA1744" s="16">
        <f t="shared" ref="AA1744" ca="1" si="4759">SIGN(AA1735)</f>
        <v>-1</v>
      </c>
      <c r="AB1744" s="16">
        <f t="shared" ref="AB1744:AC1744" ca="1" si="4760">SIGN(AB1735)</f>
        <v>1</v>
      </c>
      <c r="AC1744" s="16">
        <f t="shared" ca="1" si="4760"/>
        <v>1</v>
      </c>
    </row>
    <row r="1745" spans="1:31" hidden="1" outlineLevel="2" x14ac:dyDescent="0.2">
      <c r="A1745" s="179" t="str">
        <f ca="1">Language!A$867</f>
        <v xml:space="preserve">    знак остатка дисконтированных денежных средств (с конца)</v>
      </c>
      <c r="B1745" s="179"/>
      <c r="D1745" s="16" t="s">
        <v>2594</v>
      </c>
      <c r="E1745" s="48"/>
      <c r="F1745" s="100">
        <f t="shared" ref="F1745:T1745" ca="1" si="4761">OFFSET(F1744,0,PRJ_Len-F$29-F$29+1)</f>
        <v>1</v>
      </c>
      <c r="G1745" s="100">
        <f t="shared" ca="1" si="4761"/>
        <v>1</v>
      </c>
      <c r="H1745" s="100">
        <f t="shared" ca="1" si="4761"/>
        <v>-1</v>
      </c>
      <c r="I1745" s="100">
        <f t="shared" ca="1" si="4761"/>
        <v>-1</v>
      </c>
      <c r="J1745" s="100">
        <f t="shared" ca="1" si="4761"/>
        <v>-1</v>
      </c>
      <c r="K1745" s="100">
        <f t="shared" ca="1" si="4761"/>
        <v>-1</v>
      </c>
      <c r="L1745" s="100">
        <f t="shared" ca="1" si="4761"/>
        <v>-1</v>
      </c>
      <c r="M1745" s="100">
        <f t="shared" ca="1" si="4761"/>
        <v>-1</v>
      </c>
      <c r="N1745" s="100">
        <f t="shared" ca="1" si="4761"/>
        <v>-1</v>
      </c>
      <c r="O1745" s="100">
        <f t="shared" ca="1" si="4761"/>
        <v>-1</v>
      </c>
      <c r="P1745" s="100">
        <f t="shared" ca="1" si="4761"/>
        <v>-1</v>
      </c>
      <c r="Q1745" s="100">
        <f t="shared" ca="1" si="4761"/>
        <v>-1</v>
      </c>
      <c r="R1745" s="100">
        <f t="shared" ca="1" si="4761"/>
        <v>-1</v>
      </c>
      <c r="S1745" s="100">
        <f t="shared" ca="1" si="4761"/>
        <v>-1</v>
      </c>
      <c r="T1745" s="100">
        <f t="shared" ca="1" si="4761"/>
        <v>-1</v>
      </c>
      <c r="U1745" s="100">
        <f t="shared" ref="U1745" ca="1" si="4762">OFFSET(U1744,0,PRJ_Len-U$29-U$29+1)</f>
        <v>-1</v>
      </c>
      <c r="V1745" s="100">
        <f t="shared" ref="V1745" ca="1" si="4763">OFFSET(V1744,0,PRJ_Len-V$29-V$29+1)</f>
        <v>-1</v>
      </c>
      <c r="W1745" s="100">
        <f t="shared" ref="W1745" ca="1" si="4764">OFFSET(W1744,0,PRJ_Len-W$29-W$29+1)</f>
        <v>-1</v>
      </c>
      <c r="X1745" s="100">
        <f t="shared" ref="X1745" ca="1" si="4765">OFFSET(X1744,0,PRJ_Len-X$29-X$29+1)</f>
        <v>-1</v>
      </c>
      <c r="Y1745" s="100">
        <f t="shared" ref="Y1745" ca="1" si="4766">OFFSET(Y1744,0,PRJ_Len-Y$29-Y$29+1)</f>
        <v>-1</v>
      </c>
      <c r="Z1745" s="100">
        <f t="shared" ref="Z1745" ca="1" si="4767">OFFSET(Z1744,0,PRJ_Len-Z$29-Z$29+1)</f>
        <v>-1</v>
      </c>
      <c r="AA1745" s="100">
        <f t="shared" ref="AA1745" ca="1" si="4768">OFFSET(AA1744,0,PRJ_Len-AA$29-AA$29+1)</f>
        <v>-1</v>
      </c>
      <c r="AB1745" s="100">
        <f t="shared" ref="AB1745:AC1745" ca="1" si="4769">OFFSET(AB1744,0,PRJ_Len-AB$29-AB$29+1)</f>
        <v>0</v>
      </c>
      <c r="AC1745" s="100">
        <f t="shared" ca="1" si="4769"/>
        <v>0</v>
      </c>
    </row>
    <row r="1746" spans="1:31" outlineLevel="1" collapsed="1" x14ac:dyDescent="0.2">
      <c r="A1746" s="129" t="str">
        <f ca="1">Language!A$868</f>
        <v>Внутренняя норма рентабельности (IRR)</v>
      </c>
      <c r="B1746" s="151">
        <f ca="1">IF(ISERROR(E1746),Language!A$834,IF(AND(E1746&gt;0,E1746&lt;100),E1746,Language!A$834))</f>
        <v>0.17529380638914649</v>
      </c>
      <c r="C1746" s="106" t="str">
        <f ca="1">Language!A$837</f>
        <v>(номинальная - с учетом инфляции)</v>
      </c>
      <c r="E1746" s="16">
        <f ca="1">(POWER(1+IRR(F1747:AC1747,0.2*PRJ_Step/360),360/PRJ_Step)-1)</f>
        <v>0.17529380638914649</v>
      </c>
    </row>
    <row r="1747" spans="1:31" s="48" customFormat="1" hidden="1" outlineLevel="2" x14ac:dyDescent="0.2">
      <c r="A1747" s="24" t="str">
        <f ca="1">Language!A$857</f>
        <v>Чистый денежный поток</v>
      </c>
      <c r="B1747" s="222"/>
      <c r="C1747" s="215"/>
      <c r="E1747" s="100"/>
      <c r="F1747" s="65">
        <f t="shared" ref="F1747:T1747" ca="1" si="4770">F1733*F1748</f>
        <v>0</v>
      </c>
      <c r="G1747" s="65">
        <f t="shared" ca="1" si="4770"/>
        <v>0</v>
      </c>
      <c r="H1747" s="65">
        <f t="shared" ca="1" si="4770"/>
        <v>-5695.3855543220343</v>
      </c>
      <c r="I1747" s="65">
        <f t="shared" ca="1" si="4770"/>
        <v>-1519.56</v>
      </c>
      <c r="J1747" s="65">
        <f t="shared" ca="1" si="4770"/>
        <v>-7024.8891971793519</v>
      </c>
      <c r="K1747" s="65">
        <f t="shared" ca="1" si="4770"/>
        <v>-155.11366624986658</v>
      </c>
      <c r="L1747" s="65">
        <f t="shared" ca="1" si="4770"/>
        <v>15.623261900942822</v>
      </c>
      <c r="M1747" s="65">
        <f t="shared" ca="1" si="4770"/>
        <v>662.99303790614749</v>
      </c>
      <c r="N1747" s="65">
        <f t="shared" ca="1" si="4770"/>
        <v>964.01024275288535</v>
      </c>
      <c r="O1747" s="65">
        <f t="shared" ca="1" si="4770"/>
        <v>1285.2732652519153</v>
      </c>
      <c r="P1747" s="65">
        <f t="shared" ca="1" si="4770"/>
        <v>1454.7746893858591</v>
      </c>
      <c r="Q1747" s="65">
        <f t="shared" ca="1" si="4770"/>
        <v>1454.7746893858591</v>
      </c>
      <c r="R1747" s="65">
        <f t="shared" ca="1" si="4770"/>
        <v>1454.7746893858591</v>
      </c>
      <c r="S1747" s="65">
        <f t="shared" ca="1" si="4770"/>
        <v>1454.7746893858591</v>
      </c>
      <c r="T1747" s="65">
        <f t="shared" ca="1" si="4770"/>
        <v>1454.7746893858591</v>
      </c>
      <c r="U1747" s="65">
        <f t="shared" ref="U1747" ca="1" si="4771">U1733*U1748</f>
        <v>1454.7746893858591</v>
      </c>
      <c r="V1747" s="65">
        <f t="shared" ref="V1747" ca="1" si="4772">V1733*V1748</f>
        <v>1454.7746893858591</v>
      </c>
      <c r="W1747" s="65">
        <f t="shared" ref="W1747" ca="1" si="4773">W1733*W1748</f>
        <v>1454.7746893858591</v>
      </c>
      <c r="X1747" s="65">
        <f t="shared" ref="X1747" ca="1" si="4774">X1733*X1748</f>
        <v>1454.7746893858591</v>
      </c>
      <c r="Y1747" s="65">
        <f t="shared" ref="Y1747" ca="1" si="4775">Y1733*Y1748</f>
        <v>1454.7746893858591</v>
      </c>
      <c r="Z1747" s="65">
        <f t="shared" ref="Z1747" ca="1" si="4776">Z1733*Z1748</f>
        <v>1454.7746893858591</v>
      </c>
      <c r="AA1747" s="65">
        <f t="shared" ref="AA1747" ca="1" si="4777">AA1733*AA1748</f>
        <v>1454.7746893858591</v>
      </c>
      <c r="AB1747" s="65">
        <f t="shared" ref="AB1747:AC1747" ca="1" si="4778">AB1733*AB1748</f>
        <v>1454.7746893858591</v>
      </c>
      <c r="AC1747" s="65">
        <f t="shared" ca="1" si="4778"/>
        <v>1454.7746893858591</v>
      </c>
      <c r="AE1747" s="41"/>
    </row>
    <row r="1748" spans="1:31" s="48" customFormat="1" hidden="1" outlineLevel="2" x14ac:dyDescent="0.2">
      <c r="A1748" s="24" t="str">
        <f ca="1">Language!$A$118 &amp; IF(CalcMethod=1,Language!A$109,Language!A$108)</f>
        <v>Множитель прироста цен  (включен)</v>
      </c>
      <c r="B1748" s="222"/>
      <c r="C1748" s="215"/>
      <c r="E1748" s="100"/>
      <c r="F1748" s="315">
        <v>1</v>
      </c>
      <c r="G1748" s="315">
        <f t="shared" ref="G1748:AC1748" si="4779">IF(CalcMethod=1,F1748*(1+IF($B$1715=1,G$81,G$92)),1)</f>
        <v>1</v>
      </c>
      <c r="H1748" s="315">
        <f t="shared" si="4779"/>
        <v>1</v>
      </c>
      <c r="I1748" s="315">
        <f t="shared" si="4779"/>
        <v>1</v>
      </c>
      <c r="J1748" s="315">
        <f t="shared" si="4779"/>
        <v>1</v>
      </c>
      <c r="K1748" s="315">
        <f t="shared" si="4779"/>
        <v>1</v>
      </c>
      <c r="L1748" s="315">
        <f t="shared" si="4779"/>
        <v>1</v>
      </c>
      <c r="M1748" s="315">
        <f t="shared" si="4779"/>
        <v>1</v>
      </c>
      <c r="N1748" s="315">
        <f t="shared" si="4779"/>
        <v>1</v>
      </c>
      <c r="O1748" s="315">
        <f t="shared" si="4779"/>
        <v>1</v>
      </c>
      <c r="P1748" s="315">
        <f t="shared" si="4779"/>
        <v>1</v>
      </c>
      <c r="Q1748" s="315">
        <f t="shared" si="4779"/>
        <v>1</v>
      </c>
      <c r="R1748" s="315">
        <f t="shared" si="4779"/>
        <v>1</v>
      </c>
      <c r="S1748" s="315">
        <f t="shared" si="4779"/>
        <v>1</v>
      </c>
      <c r="T1748" s="315">
        <f t="shared" si="4779"/>
        <v>1</v>
      </c>
      <c r="U1748" s="315">
        <f t="shared" si="4779"/>
        <v>1</v>
      </c>
      <c r="V1748" s="315">
        <f t="shared" si="4779"/>
        <v>1</v>
      </c>
      <c r="W1748" s="315">
        <f t="shared" si="4779"/>
        <v>1</v>
      </c>
      <c r="X1748" s="315">
        <f t="shared" si="4779"/>
        <v>1</v>
      </c>
      <c r="Y1748" s="315">
        <f t="shared" si="4779"/>
        <v>1</v>
      </c>
      <c r="Z1748" s="315">
        <f t="shared" si="4779"/>
        <v>1</v>
      </c>
      <c r="AA1748" s="315">
        <f t="shared" si="4779"/>
        <v>1</v>
      </c>
      <c r="AB1748" s="315">
        <f t="shared" si="4779"/>
        <v>1</v>
      </c>
      <c r="AC1748" s="315">
        <f t="shared" si="4779"/>
        <v>1</v>
      </c>
      <c r="AE1748" s="41"/>
    </row>
    <row r="1749" spans="1:31" outlineLevel="1" collapsed="1" x14ac:dyDescent="0.2">
      <c r="A1749" s="23" t="str">
        <f ca="1">Language!A$869</f>
        <v>Норма доходности дисконтированных затрат (PI)</v>
      </c>
      <c r="B1749" s="310">
        <f ca="1">IF(AE1753&lt;0,AE1751/-AE1753,Language!A$834)</f>
        <v>1.0648730884159889</v>
      </c>
      <c r="C1749" s="5" t="str">
        <f ca="1">Language!A$198</f>
        <v>разы</v>
      </c>
    </row>
    <row r="1750" spans="1:31" hidden="1" outlineLevel="2" x14ac:dyDescent="0.2">
      <c r="A1750" t="str">
        <f ca="1">Language!A$870</f>
        <v xml:space="preserve">    притоки</v>
      </c>
      <c r="C1750" s="5" t="str">
        <f ca="1">C1715</f>
        <v>тыс. EUR</v>
      </c>
      <c r="F1750" s="43">
        <f t="shared" ref="F1750:T1750" ca="1" si="4780">MAX(0,F1733)</f>
        <v>0</v>
      </c>
      <c r="G1750" s="43">
        <f t="shared" ca="1" si="4780"/>
        <v>0</v>
      </c>
      <c r="H1750" s="43">
        <f t="shared" ca="1" si="4780"/>
        <v>0</v>
      </c>
      <c r="I1750" s="43">
        <f t="shared" ca="1" si="4780"/>
        <v>0</v>
      </c>
      <c r="J1750" s="43">
        <f t="shared" ca="1" si="4780"/>
        <v>0</v>
      </c>
      <c r="K1750" s="43">
        <f t="shared" ca="1" si="4780"/>
        <v>0</v>
      </c>
      <c r="L1750" s="43">
        <f t="shared" ca="1" si="4780"/>
        <v>15.623261900942822</v>
      </c>
      <c r="M1750" s="43">
        <f t="shared" ca="1" si="4780"/>
        <v>662.99303790614749</v>
      </c>
      <c r="N1750" s="43">
        <f t="shared" ca="1" si="4780"/>
        <v>964.01024275288535</v>
      </c>
      <c r="O1750" s="43">
        <f t="shared" ca="1" si="4780"/>
        <v>1285.2732652519153</v>
      </c>
      <c r="P1750" s="43">
        <f t="shared" ca="1" si="4780"/>
        <v>1454.7746893858591</v>
      </c>
      <c r="Q1750" s="43">
        <f t="shared" ca="1" si="4780"/>
        <v>1454.7746893858591</v>
      </c>
      <c r="R1750" s="43">
        <f t="shared" ca="1" si="4780"/>
        <v>1454.7746893858591</v>
      </c>
      <c r="S1750" s="43">
        <f t="shared" ca="1" si="4780"/>
        <v>1454.7746893858591</v>
      </c>
      <c r="T1750" s="43">
        <f t="shared" ca="1" si="4780"/>
        <v>1454.7746893858591</v>
      </c>
      <c r="U1750" s="43">
        <f t="shared" ref="U1750" ca="1" si="4781">MAX(0,U1733)</f>
        <v>1454.7746893858591</v>
      </c>
      <c r="V1750" s="43">
        <f t="shared" ref="V1750" ca="1" si="4782">MAX(0,V1733)</f>
        <v>1454.7746893858591</v>
      </c>
      <c r="W1750" s="43">
        <f t="shared" ref="W1750" ca="1" si="4783">MAX(0,W1733)</f>
        <v>1454.7746893858591</v>
      </c>
      <c r="X1750" s="43">
        <f t="shared" ref="X1750" ca="1" si="4784">MAX(0,X1733)</f>
        <v>1454.7746893858591</v>
      </c>
      <c r="Y1750" s="43">
        <f t="shared" ref="Y1750" ca="1" si="4785">MAX(0,Y1733)</f>
        <v>1454.7746893858591</v>
      </c>
      <c r="Z1750" s="43">
        <f t="shared" ref="Z1750" ca="1" si="4786">MAX(0,Z1733)</f>
        <v>1454.7746893858591</v>
      </c>
      <c r="AA1750" s="43">
        <f t="shared" ref="AA1750" ca="1" si="4787">MAX(0,AA1733)</f>
        <v>1454.7746893858591</v>
      </c>
      <c r="AB1750" s="43">
        <f t="shared" ref="AB1750:AC1750" ca="1" si="4788">MAX(0,AB1733)</f>
        <v>1454.7746893858591</v>
      </c>
      <c r="AC1750" s="43">
        <f t="shared" ca="1" si="4788"/>
        <v>1454.7746893858591</v>
      </c>
      <c r="AE1750" s="54">
        <f ca="1">SUM(F1750:AC1750)</f>
        <v>23294.745459213922</v>
      </c>
    </row>
    <row r="1751" spans="1:31" hidden="1" outlineLevel="2" x14ac:dyDescent="0.2">
      <c r="A1751" t="str">
        <f ca="1">Language!A$871</f>
        <v xml:space="preserve">    дисконтированные притоки</v>
      </c>
      <c r="C1751" s="5" t="str">
        <f ca="1">C1715</f>
        <v>тыс. EUR</v>
      </c>
      <c r="F1751" s="43">
        <f t="shared" ref="F1751:T1751" ca="1" si="4789">F1750/F1718</f>
        <v>0</v>
      </c>
      <c r="G1751" s="43">
        <f t="shared" ca="1" si="4789"/>
        <v>0</v>
      </c>
      <c r="H1751" s="43">
        <f t="shared" ca="1" si="4789"/>
        <v>0</v>
      </c>
      <c r="I1751" s="43">
        <f t="shared" ca="1" si="4789"/>
        <v>0</v>
      </c>
      <c r="J1751" s="43">
        <f t="shared" ca="1" si="4789"/>
        <v>0</v>
      </c>
      <c r="K1751" s="43">
        <f t="shared" ca="1" si="4789"/>
        <v>0</v>
      </c>
      <c r="L1751" s="43">
        <f t="shared" ca="1" si="4789"/>
        <v>12.668492906979903</v>
      </c>
      <c r="M1751" s="43">
        <f t="shared" ca="1" si="4789"/>
        <v>519.14389033041846</v>
      </c>
      <c r="N1751" s="43">
        <f t="shared" ca="1" si="4789"/>
        <v>728.93024026683213</v>
      </c>
      <c r="O1751" s="43">
        <f t="shared" ca="1" si="4789"/>
        <v>938.48067285556374</v>
      </c>
      <c r="P1751" s="43">
        <f t="shared" ca="1" si="4789"/>
        <v>1025.7726977380892</v>
      </c>
      <c r="Q1751" s="43">
        <f t="shared" ca="1" si="4789"/>
        <v>990.55062306297441</v>
      </c>
      <c r="R1751" s="43">
        <f t="shared" ca="1" si="4789"/>
        <v>956.5379728024061</v>
      </c>
      <c r="S1751" s="43">
        <f t="shared" ca="1" si="4789"/>
        <v>923.6932188116624</v>
      </c>
      <c r="T1751" s="43">
        <f t="shared" ca="1" si="4789"/>
        <v>891.97625890268614</v>
      </c>
      <c r="U1751" s="43">
        <f t="shared" ref="U1751" ca="1" si="4790">U1750/U1718</f>
        <v>861.34836788084738</v>
      </c>
      <c r="V1751" s="43">
        <f t="shared" ref="V1751" ca="1" si="4791">V1750/V1718</f>
        <v>831.77215026296187</v>
      </c>
      <c r="W1751" s="43">
        <f t="shared" ref="W1751" ca="1" si="4792">W1750/W1718</f>
        <v>803.21149461883681</v>
      </c>
      <c r="X1751" s="43">
        <f t="shared" ref="X1751" ca="1" si="4793">X1750/X1718</f>
        <v>775.63152948059667</v>
      </c>
      <c r="Y1751" s="43">
        <f t="shared" ref="Y1751" ca="1" si="4794">Y1750/Y1718</f>
        <v>748.99858076595422</v>
      </c>
      <c r="Z1751" s="43">
        <f t="shared" ref="Z1751" ca="1" si="4795">Z1750/Z1718</f>
        <v>723.28013066344499</v>
      </c>
      <c r="AA1751" s="43">
        <f t="shared" ref="AA1751" ca="1" si="4796">AA1750/AA1718</f>
        <v>698.44477792942325</v>
      </c>
      <c r="AB1751" s="43">
        <f t="shared" ref="AB1751:AC1751" ca="1" si="4797">AB1750/AB1718</f>
        <v>674.46219954834487</v>
      </c>
      <c r="AC1751" s="43">
        <f t="shared" ca="1" si="4797"/>
        <v>651.30311370952541</v>
      </c>
      <c r="AE1751" s="54">
        <f ca="1">SUM(F1751:AC1751)</f>
        <v>13756.206412537547</v>
      </c>
    </row>
    <row r="1752" spans="1:31" hidden="1" outlineLevel="2" x14ac:dyDescent="0.2">
      <c r="A1752" t="str">
        <f ca="1">Language!A$872</f>
        <v xml:space="preserve">    оттоки</v>
      </c>
      <c r="C1752" s="5" t="str">
        <f ca="1">C1715</f>
        <v>тыс. EUR</v>
      </c>
      <c r="F1752" s="43">
        <f t="shared" ref="F1752:T1752" ca="1" si="4798">MIN(0,F1733)</f>
        <v>0</v>
      </c>
      <c r="G1752" s="43">
        <f t="shared" ca="1" si="4798"/>
        <v>0</v>
      </c>
      <c r="H1752" s="43">
        <f t="shared" ca="1" si="4798"/>
        <v>-5695.3855543220343</v>
      </c>
      <c r="I1752" s="43">
        <f t="shared" ca="1" si="4798"/>
        <v>-1519.56</v>
      </c>
      <c r="J1752" s="43">
        <f t="shared" ca="1" si="4798"/>
        <v>-7024.8891971793519</v>
      </c>
      <c r="K1752" s="43">
        <f t="shared" ca="1" si="4798"/>
        <v>-155.11366624986658</v>
      </c>
      <c r="L1752" s="43">
        <f t="shared" ca="1" si="4798"/>
        <v>0</v>
      </c>
      <c r="M1752" s="43">
        <f t="shared" ca="1" si="4798"/>
        <v>0</v>
      </c>
      <c r="N1752" s="43">
        <f t="shared" ca="1" si="4798"/>
        <v>0</v>
      </c>
      <c r="O1752" s="43">
        <f t="shared" ca="1" si="4798"/>
        <v>0</v>
      </c>
      <c r="P1752" s="43">
        <f t="shared" ca="1" si="4798"/>
        <v>0</v>
      </c>
      <c r="Q1752" s="43">
        <f t="shared" ca="1" si="4798"/>
        <v>0</v>
      </c>
      <c r="R1752" s="43">
        <f t="shared" ca="1" si="4798"/>
        <v>0</v>
      </c>
      <c r="S1752" s="43">
        <f t="shared" ca="1" si="4798"/>
        <v>0</v>
      </c>
      <c r="T1752" s="43">
        <f t="shared" ca="1" si="4798"/>
        <v>0</v>
      </c>
      <c r="U1752" s="43">
        <f t="shared" ref="U1752" ca="1" si="4799">MIN(0,U1733)</f>
        <v>0</v>
      </c>
      <c r="V1752" s="43">
        <f t="shared" ref="V1752" ca="1" si="4800">MIN(0,V1733)</f>
        <v>0</v>
      </c>
      <c r="W1752" s="43">
        <f t="shared" ref="W1752" ca="1" si="4801">MIN(0,W1733)</f>
        <v>0</v>
      </c>
      <c r="X1752" s="43">
        <f t="shared" ref="X1752" ca="1" si="4802">MIN(0,X1733)</f>
        <v>0</v>
      </c>
      <c r="Y1752" s="43">
        <f t="shared" ref="Y1752" ca="1" si="4803">MIN(0,Y1733)</f>
        <v>0</v>
      </c>
      <c r="Z1752" s="43">
        <f t="shared" ref="Z1752" ca="1" si="4804">MIN(0,Z1733)</f>
        <v>0</v>
      </c>
      <c r="AA1752" s="43">
        <f t="shared" ref="AA1752" ca="1" si="4805">MIN(0,AA1733)</f>
        <v>0</v>
      </c>
      <c r="AB1752" s="43">
        <f t="shared" ref="AB1752:AC1752" ca="1" si="4806">MIN(0,AB1733)</f>
        <v>0</v>
      </c>
      <c r="AC1752" s="43">
        <f t="shared" ca="1" si="4806"/>
        <v>0</v>
      </c>
      <c r="AE1752" s="54">
        <f ca="1">SUM(F1752:AC1752)</f>
        <v>-14394.948417751251</v>
      </c>
    </row>
    <row r="1753" spans="1:31" hidden="1" outlineLevel="2" x14ac:dyDescent="0.2">
      <c r="A1753" t="str">
        <f ca="1">Language!A$873</f>
        <v xml:space="preserve">    дисконтированные оттоки</v>
      </c>
      <c r="C1753" s="5" t="str">
        <f ca="1">C1715</f>
        <v>тыс. EUR</v>
      </c>
      <c r="F1753" s="43">
        <f t="shared" ref="F1753:T1753" ca="1" si="4807">F1752/F1718</f>
        <v>0</v>
      </c>
      <c r="G1753" s="43">
        <f t="shared" ca="1" si="4807"/>
        <v>0</v>
      </c>
      <c r="H1753" s="43">
        <f t="shared" ca="1" si="4807"/>
        <v>-5310.9744141877218</v>
      </c>
      <c r="I1753" s="43">
        <f t="shared" ca="1" si="4807"/>
        <v>-1368.3414178136306</v>
      </c>
      <c r="J1753" s="43">
        <f t="shared" ca="1" si="4807"/>
        <v>-6108.5993018950894</v>
      </c>
      <c r="K1753" s="43">
        <f t="shared" ca="1" si="4807"/>
        <v>-130.25000914427827</v>
      </c>
      <c r="L1753" s="43">
        <f t="shared" ca="1" si="4807"/>
        <v>0</v>
      </c>
      <c r="M1753" s="43">
        <f t="shared" ca="1" si="4807"/>
        <v>0</v>
      </c>
      <c r="N1753" s="43">
        <f t="shared" ca="1" si="4807"/>
        <v>0</v>
      </c>
      <c r="O1753" s="43">
        <f t="shared" ca="1" si="4807"/>
        <v>0</v>
      </c>
      <c r="P1753" s="43">
        <f t="shared" ca="1" si="4807"/>
        <v>0</v>
      </c>
      <c r="Q1753" s="43">
        <f t="shared" ca="1" si="4807"/>
        <v>0</v>
      </c>
      <c r="R1753" s="43">
        <f t="shared" ca="1" si="4807"/>
        <v>0</v>
      </c>
      <c r="S1753" s="43">
        <f t="shared" ca="1" si="4807"/>
        <v>0</v>
      </c>
      <c r="T1753" s="43">
        <f t="shared" ca="1" si="4807"/>
        <v>0</v>
      </c>
      <c r="U1753" s="43">
        <f t="shared" ref="U1753" ca="1" si="4808">U1752/U1718</f>
        <v>0</v>
      </c>
      <c r="V1753" s="43">
        <f t="shared" ref="V1753" ca="1" si="4809">V1752/V1718</f>
        <v>0</v>
      </c>
      <c r="W1753" s="43">
        <f t="shared" ref="W1753" ca="1" si="4810">W1752/W1718</f>
        <v>0</v>
      </c>
      <c r="X1753" s="43">
        <f t="shared" ref="X1753" ca="1" si="4811">X1752/X1718</f>
        <v>0</v>
      </c>
      <c r="Y1753" s="43">
        <f t="shared" ref="Y1753" ca="1" si="4812">Y1752/Y1718</f>
        <v>0</v>
      </c>
      <c r="Z1753" s="43">
        <f t="shared" ref="Z1753" ca="1" si="4813">Z1752/Z1718</f>
        <v>0</v>
      </c>
      <c r="AA1753" s="43">
        <f t="shared" ref="AA1753" ca="1" si="4814">AA1752/AA1718</f>
        <v>0</v>
      </c>
      <c r="AB1753" s="43">
        <f t="shared" ref="AB1753:AC1753" ca="1" si="4815">AB1752/AB1718</f>
        <v>0</v>
      </c>
      <c r="AC1753" s="43">
        <f t="shared" ca="1" si="4815"/>
        <v>0</v>
      </c>
      <c r="AE1753" s="54">
        <f ca="1">SUM(F1753:AC1753)</f>
        <v>-12918.16514304072</v>
      </c>
    </row>
    <row r="1754" spans="1:31" outlineLevel="1" x14ac:dyDescent="0.2">
      <c r="F1754" s="43"/>
      <c r="G1754" s="43"/>
      <c r="H1754" s="43"/>
      <c r="I1754" s="43"/>
      <c r="J1754" s="43"/>
      <c r="K1754" s="43"/>
      <c r="L1754" s="43"/>
      <c r="M1754" s="43"/>
      <c r="N1754" s="43"/>
      <c r="O1754" s="43"/>
      <c r="P1754" s="43"/>
      <c r="Q1754" s="43"/>
      <c r="R1754" s="43"/>
      <c r="S1754" s="43"/>
      <c r="T1754" s="43"/>
      <c r="U1754" s="43"/>
      <c r="V1754" s="43"/>
      <c r="W1754" s="43"/>
      <c r="X1754" s="43"/>
      <c r="Y1754" s="43"/>
      <c r="Z1754" s="43"/>
      <c r="AA1754" s="43"/>
      <c r="AB1754" s="43"/>
      <c r="AC1754" s="43"/>
    </row>
    <row r="1755" spans="1:31" outlineLevel="1" x14ac:dyDescent="0.2">
      <c r="A1755" s="23" t="str">
        <f ca="1">Language!A$874</f>
        <v>Модифицированная IRR (MIRR)</v>
      </c>
      <c r="B1755" s="311">
        <f ca="1">IF(ISERROR(E1755),Language!A$834,E1755)</f>
        <v>0.16264008638525418</v>
      </c>
      <c r="E1755" s="152">
        <f ca="1">(POWER(1+MIRR(F1733:AD1733,POWER(1+B1757,PRJ_Step/360)-1,POWER(1+B1756,PRJ_Step/360)-1),360/PRJ_Step)-1)</f>
        <v>0.16264008638525418</v>
      </c>
      <c r="F1755" s="43"/>
      <c r="G1755" s="43"/>
      <c r="H1755" s="43"/>
      <c r="I1755" s="43"/>
      <c r="J1755" s="43"/>
      <c r="K1755" s="43"/>
      <c r="L1755" s="43"/>
      <c r="M1755" s="43"/>
      <c r="N1755" s="43"/>
      <c r="O1755" s="43"/>
      <c r="P1755" s="43"/>
      <c r="Q1755" s="43"/>
      <c r="R1755" s="43"/>
      <c r="S1755" s="43"/>
      <c r="T1755" s="43"/>
      <c r="U1755" s="43"/>
      <c r="V1755" s="43"/>
      <c r="W1755" s="43"/>
      <c r="X1755" s="43"/>
      <c r="Y1755" s="43"/>
      <c r="Z1755" s="43"/>
      <c r="AA1755" s="43"/>
      <c r="AB1755" s="43"/>
      <c r="AC1755" s="43"/>
    </row>
    <row r="1756" spans="1:31" outlineLevel="1" x14ac:dyDescent="0.2">
      <c r="A1756" t="str">
        <f ca="1">Language!A$875</f>
        <v>Ставка реинвестирования доходов</v>
      </c>
      <c r="B1756" s="272">
        <f>B1716</f>
        <v>0.15</v>
      </c>
    </row>
    <row r="1757" spans="1:31" outlineLevel="1" x14ac:dyDescent="0.2">
      <c r="A1757" t="str">
        <f ca="1">Language!A$876</f>
        <v>Ставка дисконтирования инвестиционных затрат</v>
      </c>
      <c r="B1757" s="272">
        <f>B1716</f>
        <v>0.15</v>
      </c>
    </row>
    <row r="1758" spans="1:31" outlineLevel="1" x14ac:dyDescent="0.2">
      <c r="A1758" s="63"/>
      <c r="B1758" s="63"/>
      <c r="C1758" s="63"/>
      <c r="D1758" s="63"/>
      <c r="E1758" s="63"/>
      <c r="F1758" s="63"/>
      <c r="G1758" s="63"/>
      <c r="H1758" s="63"/>
      <c r="I1758" s="63"/>
      <c r="J1758" s="63"/>
      <c r="K1758" s="63"/>
      <c r="L1758" s="63"/>
      <c r="M1758" s="63"/>
      <c r="N1758" s="63"/>
      <c r="O1758" s="63"/>
      <c r="P1758" s="63"/>
      <c r="Q1758" s="63"/>
      <c r="R1758" s="63"/>
      <c r="S1758" s="63"/>
      <c r="T1758" s="63"/>
      <c r="U1758" s="63"/>
      <c r="V1758" s="63"/>
      <c r="W1758" s="63"/>
      <c r="X1758" s="63"/>
      <c r="Y1758" s="63"/>
      <c r="Z1758" s="63"/>
      <c r="AA1758" s="63"/>
      <c r="AB1758" s="63"/>
      <c r="AC1758" s="63"/>
      <c r="AD1758" s="63"/>
      <c r="AE1758" s="64"/>
    </row>
    <row r="1759" spans="1:31" outlineLevel="1" x14ac:dyDescent="0.2">
      <c r="A1759" s="22" t="str">
        <f ca="1">Language!A$877 &amp; ", " &amp; Проект!CUR_Report</f>
        <v>График: Окупаемость проекта (для полных инвестиционных затрат), тыс. EUR</v>
      </c>
      <c r="B1759" s="19"/>
      <c r="C1759" s="19"/>
      <c r="D1759" s="19"/>
      <c r="E1759" s="19"/>
      <c r="F1759" s="19"/>
      <c r="G1759" s="19"/>
      <c r="H1759" s="19"/>
      <c r="I1759" s="19"/>
      <c r="J1759" s="19"/>
      <c r="K1759" s="19"/>
      <c r="L1759" s="19"/>
      <c r="M1759" s="19"/>
      <c r="N1759" s="19"/>
      <c r="O1759" s="19"/>
      <c r="P1759" s="19"/>
      <c r="Q1759" s="19"/>
      <c r="R1759" s="19"/>
      <c r="S1759" s="19"/>
      <c r="T1759" s="19"/>
      <c r="U1759" s="19"/>
      <c r="V1759" s="19"/>
      <c r="W1759" s="19"/>
      <c r="X1759" s="19"/>
      <c r="Y1759" s="19"/>
      <c r="Z1759" s="19"/>
      <c r="AA1759" s="19"/>
      <c r="AB1759" s="19"/>
      <c r="AC1759" s="19"/>
      <c r="AD1759" s="19"/>
      <c r="AE1759" s="22"/>
    </row>
    <row r="1760" spans="1:31" outlineLevel="2" x14ac:dyDescent="0.2">
      <c r="A1760" s="19"/>
      <c r="B1760" s="19"/>
      <c r="C1760" s="19"/>
      <c r="D1760" s="19"/>
      <c r="E1760" s="19"/>
      <c r="F1760" s="19"/>
      <c r="G1760" s="19"/>
      <c r="H1760" s="19"/>
      <c r="I1760" s="19"/>
      <c r="J1760" s="19"/>
      <c r="K1760" s="19"/>
      <c r="L1760" s="19"/>
      <c r="M1760" s="19"/>
      <c r="N1760" s="19"/>
      <c r="O1760" s="19"/>
      <c r="P1760" s="19"/>
      <c r="Q1760" s="19"/>
      <c r="R1760" s="19"/>
      <c r="S1760" s="19"/>
      <c r="T1760" s="19"/>
      <c r="U1760" s="19"/>
      <c r="V1760" s="19"/>
      <c r="W1760" s="19"/>
      <c r="X1760" s="19"/>
      <c r="Y1760" s="19"/>
      <c r="Z1760" s="19"/>
      <c r="AA1760" s="19"/>
      <c r="AB1760" s="19"/>
      <c r="AC1760" s="19"/>
      <c r="AD1760" s="19"/>
      <c r="AE1760" s="22"/>
    </row>
    <row r="1761" spans="1:31" outlineLevel="2" x14ac:dyDescent="0.2">
      <c r="A1761" s="19"/>
      <c r="B1761" s="19"/>
      <c r="C1761" s="19"/>
      <c r="D1761" s="19"/>
      <c r="E1761" s="19"/>
      <c r="F1761" s="19"/>
      <c r="G1761" s="19"/>
      <c r="H1761" s="19"/>
      <c r="I1761" s="19"/>
      <c r="J1761" s="19"/>
      <c r="K1761" s="19"/>
      <c r="L1761" s="19"/>
      <c r="M1761" s="19"/>
      <c r="N1761" s="19"/>
      <c r="O1761" s="19"/>
      <c r="P1761" s="19"/>
      <c r="Q1761" s="19"/>
      <c r="R1761" s="19"/>
      <c r="S1761" s="19"/>
      <c r="T1761" s="19"/>
      <c r="U1761" s="19"/>
      <c r="V1761" s="19"/>
      <c r="W1761" s="19"/>
      <c r="X1761" s="19"/>
      <c r="Y1761" s="19"/>
      <c r="Z1761" s="19"/>
      <c r="AA1761" s="19"/>
      <c r="AB1761" s="19"/>
      <c r="AC1761" s="19"/>
      <c r="AD1761" s="19"/>
      <c r="AE1761" s="22"/>
    </row>
    <row r="1762" spans="1:31" outlineLevel="2" x14ac:dyDescent="0.2">
      <c r="A1762" s="19"/>
      <c r="B1762" s="19"/>
      <c r="C1762" s="19"/>
      <c r="D1762" s="19"/>
      <c r="E1762" s="19"/>
      <c r="F1762" s="19"/>
      <c r="G1762" s="19"/>
      <c r="H1762" s="19"/>
      <c r="I1762" s="19"/>
      <c r="J1762" s="19"/>
      <c r="K1762" s="19"/>
      <c r="L1762" s="19"/>
      <c r="M1762" s="19"/>
      <c r="N1762" s="19"/>
      <c r="O1762" s="19"/>
      <c r="P1762" s="19"/>
      <c r="Q1762" s="19"/>
      <c r="R1762" s="19"/>
      <c r="S1762" s="19"/>
      <c r="T1762" s="19"/>
      <c r="U1762" s="19"/>
      <c r="V1762" s="19"/>
      <c r="W1762" s="19"/>
      <c r="X1762" s="19"/>
      <c r="Y1762" s="19"/>
      <c r="Z1762" s="19"/>
      <c r="AA1762" s="19"/>
      <c r="AB1762" s="19"/>
      <c r="AC1762" s="19"/>
      <c r="AD1762" s="19"/>
      <c r="AE1762" s="22"/>
    </row>
    <row r="1763" spans="1:31" outlineLevel="2" x14ac:dyDescent="0.2">
      <c r="A1763" s="19"/>
      <c r="B1763" s="19"/>
      <c r="C1763" s="19"/>
      <c r="D1763" s="19"/>
      <c r="E1763" s="19"/>
      <c r="F1763" s="19"/>
      <c r="G1763" s="19"/>
      <c r="H1763" s="19"/>
      <c r="I1763" s="19"/>
      <c r="J1763" s="19"/>
      <c r="K1763" s="19"/>
      <c r="L1763" s="19"/>
      <c r="M1763" s="19"/>
      <c r="N1763" s="19"/>
      <c r="O1763" s="19"/>
      <c r="P1763" s="19"/>
      <c r="Q1763" s="19"/>
      <c r="R1763" s="19"/>
      <c r="S1763" s="19"/>
      <c r="T1763" s="19"/>
      <c r="U1763" s="19"/>
      <c r="V1763" s="19"/>
      <c r="W1763" s="19"/>
      <c r="X1763" s="19"/>
      <c r="Y1763" s="19"/>
      <c r="Z1763" s="19"/>
      <c r="AA1763" s="19"/>
      <c r="AB1763" s="19"/>
      <c r="AC1763" s="19"/>
      <c r="AD1763" s="19"/>
      <c r="AE1763" s="22"/>
    </row>
    <row r="1764" spans="1:31" outlineLevel="2" x14ac:dyDescent="0.2">
      <c r="A1764" s="19"/>
      <c r="B1764" s="19"/>
      <c r="C1764" s="19"/>
      <c r="D1764" s="19"/>
      <c r="E1764" s="19"/>
      <c r="F1764" s="19"/>
      <c r="G1764" s="19"/>
      <c r="H1764" s="19"/>
      <c r="I1764" s="19"/>
      <c r="J1764" s="19"/>
      <c r="K1764" s="19"/>
      <c r="L1764" s="19"/>
      <c r="M1764" s="19"/>
      <c r="N1764" s="19"/>
      <c r="O1764" s="19"/>
      <c r="P1764" s="19"/>
      <c r="Q1764" s="19"/>
      <c r="R1764" s="19"/>
      <c r="S1764" s="19"/>
      <c r="T1764" s="19"/>
      <c r="U1764" s="19"/>
      <c r="V1764" s="19"/>
      <c r="W1764" s="19"/>
      <c r="X1764" s="19"/>
      <c r="Y1764" s="19"/>
      <c r="Z1764" s="19"/>
      <c r="AA1764" s="19"/>
      <c r="AB1764" s="19"/>
      <c r="AC1764" s="19"/>
      <c r="AD1764" s="19"/>
      <c r="AE1764" s="22"/>
    </row>
    <row r="1765" spans="1:31" outlineLevel="2" x14ac:dyDescent="0.2">
      <c r="A1765" s="19"/>
      <c r="B1765" s="19"/>
      <c r="C1765" s="19"/>
      <c r="D1765" s="19"/>
      <c r="E1765" s="19"/>
      <c r="F1765" s="19"/>
      <c r="G1765" s="19"/>
      <c r="H1765" s="19"/>
      <c r="I1765" s="19"/>
      <c r="J1765" s="19"/>
      <c r="K1765" s="19"/>
      <c r="L1765" s="19"/>
      <c r="M1765" s="19"/>
      <c r="N1765" s="19"/>
      <c r="O1765" s="19"/>
      <c r="P1765" s="19"/>
      <c r="Q1765" s="19"/>
      <c r="R1765" s="19"/>
      <c r="S1765" s="19"/>
      <c r="T1765" s="19"/>
      <c r="U1765" s="19"/>
      <c r="V1765" s="19"/>
      <c r="W1765" s="19"/>
      <c r="X1765" s="19"/>
      <c r="Y1765" s="19"/>
      <c r="Z1765" s="19"/>
      <c r="AA1765" s="19"/>
      <c r="AB1765" s="19"/>
      <c r="AC1765" s="19"/>
      <c r="AD1765" s="19"/>
      <c r="AE1765" s="22"/>
    </row>
    <row r="1766" spans="1:31" outlineLevel="2" x14ac:dyDescent="0.2">
      <c r="A1766" s="19"/>
      <c r="B1766" s="19"/>
      <c r="C1766" s="19"/>
      <c r="D1766" s="19"/>
      <c r="E1766" s="19"/>
      <c r="F1766" s="19"/>
      <c r="G1766" s="19"/>
      <c r="H1766" s="19"/>
      <c r="I1766" s="19"/>
      <c r="J1766" s="19"/>
      <c r="K1766" s="19"/>
      <c r="L1766" s="19"/>
      <c r="M1766" s="19"/>
      <c r="N1766" s="19"/>
      <c r="O1766" s="19"/>
      <c r="P1766" s="19"/>
      <c r="Q1766" s="19"/>
      <c r="R1766" s="19"/>
      <c r="S1766" s="19"/>
      <c r="T1766" s="19"/>
      <c r="U1766" s="19"/>
      <c r="V1766" s="19"/>
      <c r="W1766" s="19"/>
      <c r="X1766" s="19"/>
      <c r="Y1766" s="19"/>
      <c r="Z1766" s="19"/>
      <c r="AA1766" s="19"/>
      <c r="AB1766" s="19"/>
      <c r="AC1766" s="19"/>
      <c r="AD1766" s="19"/>
      <c r="AE1766" s="22"/>
    </row>
    <row r="1767" spans="1:31" outlineLevel="2" x14ac:dyDescent="0.2">
      <c r="A1767" s="19"/>
      <c r="B1767" s="19"/>
      <c r="C1767" s="19"/>
      <c r="D1767" s="19"/>
      <c r="E1767" s="19"/>
      <c r="F1767" s="19"/>
      <c r="G1767" s="19"/>
      <c r="H1767" s="19"/>
      <c r="I1767" s="19"/>
      <c r="J1767" s="19"/>
      <c r="K1767" s="19"/>
      <c r="L1767" s="19"/>
      <c r="M1767" s="19"/>
      <c r="N1767" s="19"/>
      <c r="O1767" s="19"/>
      <c r="P1767" s="19"/>
      <c r="Q1767" s="19"/>
      <c r="R1767" s="19"/>
      <c r="S1767" s="19"/>
      <c r="T1767" s="19"/>
      <c r="U1767" s="19"/>
      <c r="V1767" s="19"/>
      <c r="W1767" s="19"/>
      <c r="X1767" s="19"/>
      <c r="Y1767" s="19"/>
      <c r="Z1767" s="19"/>
      <c r="AA1767" s="19"/>
      <c r="AB1767" s="19"/>
      <c r="AC1767" s="19"/>
      <c r="AD1767" s="19"/>
      <c r="AE1767" s="22"/>
    </row>
    <row r="1768" spans="1:31" outlineLevel="2" x14ac:dyDescent="0.2">
      <c r="A1768" s="19"/>
      <c r="B1768" s="19"/>
      <c r="C1768" s="19"/>
      <c r="D1768" s="19"/>
      <c r="E1768" s="19"/>
      <c r="F1768" s="19"/>
      <c r="G1768" s="19"/>
      <c r="H1768" s="19"/>
      <c r="I1768" s="19"/>
      <c r="J1768" s="19"/>
      <c r="K1768" s="19"/>
      <c r="L1768" s="19"/>
      <c r="M1768" s="19"/>
      <c r="N1768" s="19"/>
      <c r="O1768" s="19"/>
      <c r="P1768" s="19"/>
      <c r="Q1768" s="19"/>
      <c r="R1768" s="19"/>
      <c r="S1768" s="19"/>
      <c r="T1768" s="19"/>
      <c r="U1768" s="19"/>
      <c r="V1768" s="19"/>
      <c r="W1768" s="19"/>
      <c r="X1768" s="19"/>
      <c r="Y1768" s="19"/>
      <c r="Z1768" s="19"/>
      <c r="AA1768" s="19"/>
      <c r="AB1768" s="19"/>
      <c r="AC1768" s="19"/>
      <c r="AD1768" s="19"/>
      <c r="AE1768" s="22"/>
    </row>
    <row r="1769" spans="1:31" outlineLevel="2" x14ac:dyDescent="0.2">
      <c r="A1769" s="19"/>
      <c r="B1769" s="19"/>
      <c r="C1769" s="19"/>
      <c r="D1769" s="19"/>
      <c r="E1769" s="19"/>
      <c r="F1769" s="19"/>
      <c r="G1769" s="19"/>
      <c r="H1769" s="19"/>
      <c r="I1769" s="19"/>
      <c r="J1769" s="19"/>
      <c r="K1769" s="19"/>
      <c r="L1769" s="19"/>
      <c r="M1769" s="19"/>
      <c r="N1769" s="19"/>
      <c r="O1769" s="19"/>
      <c r="P1769" s="19"/>
      <c r="Q1769" s="19"/>
      <c r="R1769" s="19"/>
      <c r="S1769" s="19"/>
      <c r="T1769" s="19"/>
      <c r="U1769" s="19"/>
      <c r="V1769" s="19"/>
      <c r="W1769" s="19"/>
      <c r="X1769" s="19"/>
      <c r="Y1769" s="19"/>
      <c r="Z1769" s="19"/>
      <c r="AA1769" s="19"/>
      <c r="AB1769" s="19"/>
      <c r="AC1769" s="19"/>
      <c r="AD1769" s="19"/>
      <c r="AE1769" s="22"/>
    </row>
    <row r="1770" spans="1:31" outlineLevel="2" x14ac:dyDescent="0.2">
      <c r="A1770" s="19"/>
      <c r="B1770" s="19"/>
      <c r="C1770" s="19"/>
      <c r="D1770" s="19"/>
      <c r="E1770" s="19"/>
      <c r="F1770" s="19"/>
      <c r="G1770" s="19"/>
      <c r="H1770" s="19"/>
      <c r="I1770" s="19"/>
      <c r="J1770" s="19"/>
      <c r="K1770" s="19"/>
      <c r="L1770" s="19"/>
      <c r="M1770" s="19"/>
      <c r="N1770" s="19"/>
      <c r="O1770" s="19"/>
      <c r="P1770" s="19"/>
      <c r="Q1770" s="19"/>
      <c r="R1770" s="19"/>
      <c r="S1770" s="19"/>
      <c r="T1770" s="19"/>
      <c r="U1770" s="19"/>
      <c r="V1770" s="19"/>
      <c r="W1770" s="19"/>
      <c r="X1770" s="19"/>
      <c r="Y1770" s="19"/>
      <c r="Z1770" s="19"/>
      <c r="AA1770" s="19"/>
      <c r="AB1770" s="19"/>
      <c r="AC1770" s="19"/>
      <c r="AD1770" s="19"/>
      <c r="AE1770" s="22"/>
    </row>
    <row r="1771" spans="1:31" outlineLevel="2" x14ac:dyDescent="0.2">
      <c r="A1771" s="19"/>
      <c r="B1771" s="19"/>
      <c r="C1771" s="19"/>
      <c r="D1771" s="19"/>
      <c r="E1771" s="19"/>
      <c r="F1771" s="19"/>
      <c r="G1771" s="19"/>
      <c r="H1771" s="19"/>
      <c r="I1771" s="19"/>
      <c r="J1771" s="19"/>
      <c r="K1771" s="19"/>
      <c r="L1771" s="19"/>
      <c r="M1771" s="19"/>
      <c r="N1771" s="19"/>
      <c r="O1771" s="19"/>
      <c r="P1771" s="19"/>
      <c r="Q1771" s="19"/>
      <c r="R1771" s="19"/>
      <c r="S1771" s="19"/>
      <c r="T1771" s="19"/>
      <c r="U1771" s="19"/>
      <c r="V1771" s="19"/>
      <c r="W1771" s="19"/>
      <c r="X1771" s="19"/>
      <c r="Y1771" s="19"/>
      <c r="Z1771" s="19"/>
      <c r="AA1771" s="19"/>
      <c r="AB1771" s="19"/>
      <c r="AC1771" s="19"/>
      <c r="AD1771" s="19"/>
      <c r="AE1771" s="22"/>
    </row>
    <row r="1772" spans="1:31" outlineLevel="2" x14ac:dyDescent="0.2">
      <c r="A1772" s="19"/>
      <c r="B1772" s="19"/>
      <c r="C1772" s="19"/>
      <c r="D1772" s="19"/>
      <c r="E1772" s="19"/>
      <c r="F1772" s="19"/>
      <c r="G1772" s="19"/>
      <c r="H1772" s="19"/>
      <c r="I1772" s="19"/>
      <c r="J1772" s="19"/>
      <c r="K1772" s="19"/>
      <c r="L1772" s="19"/>
      <c r="M1772" s="19"/>
      <c r="N1772" s="19"/>
      <c r="O1772" s="19"/>
      <c r="P1772" s="19"/>
      <c r="Q1772" s="19"/>
      <c r="R1772" s="19"/>
      <c r="S1772" s="19"/>
      <c r="T1772" s="19"/>
      <c r="U1772" s="19"/>
      <c r="V1772" s="19"/>
      <c r="W1772" s="19"/>
      <c r="X1772" s="19"/>
      <c r="Y1772" s="19"/>
      <c r="Z1772" s="19"/>
      <c r="AA1772" s="19"/>
      <c r="AB1772" s="19"/>
      <c r="AC1772" s="19"/>
      <c r="AD1772" s="19"/>
      <c r="AE1772" s="22"/>
    </row>
    <row r="1773" spans="1:31" outlineLevel="2" x14ac:dyDescent="0.2">
      <c r="A1773" s="19"/>
      <c r="B1773" s="19"/>
      <c r="C1773" s="19"/>
      <c r="D1773" s="19"/>
      <c r="E1773" s="19"/>
      <c r="F1773" s="19"/>
      <c r="G1773" s="19"/>
      <c r="H1773" s="19"/>
      <c r="I1773" s="19"/>
      <c r="J1773" s="19"/>
      <c r="K1773" s="19"/>
      <c r="L1773" s="19"/>
      <c r="M1773" s="19"/>
      <c r="N1773" s="19"/>
      <c r="O1773" s="19"/>
      <c r="P1773" s="19"/>
      <c r="Q1773" s="19"/>
      <c r="R1773" s="19"/>
      <c r="S1773" s="19"/>
      <c r="T1773" s="19"/>
      <c r="U1773" s="19"/>
      <c r="V1773" s="19"/>
      <c r="W1773" s="19"/>
      <c r="X1773" s="19"/>
      <c r="Y1773" s="19"/>
      <c r="Z1773" s="19"/>
      <c r="AA1773" s="19"/>
      <c r="AB1773" s="19"/>
      <c r="AC1773" s="19"/>
      <c r="AD1773" s="19"/>
      <c r="AE1773" s="22"/>
    </row>
    <row r="1774" spans="1:31" outlineLevel="2" x14ac:dyDescent="0.2">
      <c r="A1774" s="19"/>
      <c r="B1774" s="19"/>
      <c r="C1774" s="19"/>
      <c r="D1774" s="19"/>
      <c r="E1774" s="19"/>
      <c r="F1774" s="19"/>
      <c r="G1774" s="19"/>
      <c r="H1774" s="19"/>
      <c r="I1774" s="19"/>
      <c r="J1774" s="19"/>
      <c r="K1774" s="19"/>
      <c r="L1774" s="19"/>
      <c r="M1774" s="19"/>
      <c r="N1774" s="19"/>
      <c r="O1774" s="19"/>
      <c r="P1774" s="19"/>
      <c r="Q1774" s="19"/>
      <c r="R1774" s="19"/>
      <c r="S1774" s="19"/>
      <c r="T1774" s="19"/>
      <c r="U1774" s="19"/>
      <c r="V1774" s="19"/>
      <c r="W1774" s="19"/>
      <c r="X1774" s="19"/>
      <c r="Y1774" s="19"/>
      <c r="Z1774" s="19"/>
      <c r="AA1774" s="19"/>
      <c r="AB1774" s="19"/>
      <c r="AC1774" s="19"/>
      <c r="AD1774" s="19"/>
      <c r="AE1774" s="22"/>
    </row>
    <row r="1775" spans="1:31" outlineLevel="2" x14ac:dyDescent="0.2">
      <c r="A1775" s="19"/>
      <c r="B1775" s="19"/>
      <c r="C1775" s="19"/>
      <c r="D1775" s="19"/>
      <c r="E1775" s="19"/>
      <c r="F1775" s="19"/>
      <c r="G1775" s="19"/>
      <c r="H1775" s="19"/>
      <c r="I1775" s="19"/>
      <c r="J1775" s="19"/>
      <c r="K1775" s="19"/>
      <c r="L1775" s="19"/>
      <c r="M1775" s="19"/>
      <c r="N1775" s="19"/>
      <c r="O1775" s="19"/>
      <c r="P1775" s="19"/>
      <c r="Q1775" s="19"/>
      <c r="R1775" s="19"/>
      <c r="S1775" s="19"/>
      <c r="T1775" s="19"/>
      <c r="U1775" s="19"/>
      <c r="V1775" s="19"/>
      <c r="W1775" s="19"/>
      <c r="X1775" s="19"/>
      <c r="Y1775" s="19"/>
      <c r="Z1775" s="19"/>
      <c r="AA1775" s="19"/>
      <c r="AB1775" s="19"/>
      <c r="AC1775" s="19"/>
      <c r="AD1775" s="19"/>
      <c r="AE1775" s="22"/>
    </row>
    <row r="1776" spans="1:31" outlineLevel="2" x14ac:dyDescent="0.2">
      <c r="A1776" s="19"/>
      <c r="B1776" s="19"/>
      <c r="C1776" s="19"/>
      <c r="D1776" s="19"/>
      <c r="E1776" s="19"/>
      <c r="F1776" s="19"/>
      <c r="G1776" s="19"/>
      <c r="H1776" s="19"/>
      <c r="I1776" s="19"/>
      <c r="J1776" s="19"/>
      <c r="K1776" s="19"/>
      <c r="L1776" s="19"/>
      <c r="M1776" s="19"/>
      <c r="N1776" s="19"/>
      <c r="O1776" s="19"/>
      <c r="P1776" s="19"/>
      <c r="Q1776" s="19"/>
      <c r="R1776" s="19"/>
      <c r="S1776" s="19"/>
      <c r="T1776" s="19"/>
      <c r="U1776" s="19"/>
      <c r="V1776" s="19"/>
      <c r="W1776" s="19"/>
      <c r="X1776" s="19"/>
      <c r="Y1776" s="19"/>
      <c r="Z1776" s="19"/>
      <c r="AA1776" s="19"/>
      <c r="AB1776" s="19"/>
      <c r="AC1776" s="19"/>
      <c r="AD1776" s="19"/>
      <c r="AE1776" s="22"/>
    </row>
    <row r="1777" spans="1:31" outlineLevel="2" x14ac:dyDescent="0.2">
      <c r="A1777" s="19"/>
      <c r="B1777" s="19"/>
      <c r="C1777" s="19"/>
      <c r="D1777" s="19"/>
      <c r="E1777" s="19"/>
      <c r="F1777" s="19"/>
      <c r="G1777" s="19"/>
      <c r="H1777" s="19"/>
      <c r="I1777" s="19"/>
      <c r="J1777" s="19"/>
      <c r="K1777" s="19"/>
      <c r="L1777" s="19"/>
      <c r="M1777" s="19"/>
      <c r="N1777" s="19"/>
      <c r="O1777" s="19"/>
      <c r="P1777" s="19"/>
      <c r="Q1777" s="19"/>
      <c r="R1777" s="19"/>
      <c r="S1777" s="19"/>
      <c r="T1777" s="19"/>
      <c r="U1777" s="19"/>
      <c r="V1777" s="19"/>
      <c r="W1777" s="19"/>
      <c r="X1777" s="19"/>
      <c r="Y1777" s="19"/>
      <c r="Z1777" s="19"/>
      <c r="AA1777" s="19"/>
      <c r="AB1777" s="19"/>
      <c r="AC1777" s="19"/>
      <c r="AD1777" s="19"/>
      <c r="AE1777" s="22"/>
    </row>
    <row r="1778" spans="1:31" outlineLevel="2" x14ac:dyDescent="0.2">
      <c r="A1778" s="19"/>
      <c r="B1778" s="19"/>
      <c r="C1778" s="19"/>
      <c r="D1778" s="19"/>
      <c r="E1778" s="19"/>
      <c r="F1778" s="19"/>
      <c r="G1778" s="19"/>
      <c r="H1778" s="19"/>
      <c r="I1778" s="19"/>
      <c r="J1778" s="19"/>
      <c r="K1778" s="19"/>
      <c r="L1778" s="19"/>
      <c r="M1778" s="19"/>
      <c r="N1778" s="19"/>
      <c r="O1778" s="19"/>
      <c r="P1778" s="19"/>
      <c r="Q1778" s="19"/>
      <c r="R1778" s="19"/>
      <c r="S1778" s="19"/>
      <c r="T1778" s="19"/>
      <c r="U1778" s="19"/>
      <c r="V1778" s="19"/>
      <c r="W1778" s="19"/>
      <c r="X1778" s="19"/>
      <c r="Y1778" s="19"/>
      <c r="Z1778" s="19"/>
      <c r="AA1778" s="19"/>
      <c r="AB1778" s="19"/>
      <c r="AC1778" s="19"/>
      <c r="AD1778" s="19"/>
      <c r="AE1778" s="22"/>
    </row>
    <row r="1779" spans="1:31" outlineLevel="2" x14ac:dyDescent="0.2">
      <c r="A1779" s="19"/>
      <c r="B1779" s="19"/>
      <c r="C1779" s="19"/>
      <c r="D1779" s="19"/>
      <c r="E1779" s="19"/>
      <c r="F1779" s="19"/>
      <c r="G1779" s="19"/>
      <c r="H1779" s="19"/>
      <c r="I1779" s="19"/>
      <c r="J1779" s="19"/>
      <c r="K1779" s="19"/>
      <c r="L1779" s="19"/>
      <c r="M1779" s="19"/>
      <c r="N1779" s="19"/>
      <c r="O1779" s="19"/>
      <c r="P1779" s="19"/>
      <c r="Q1779" s="19"/>
      <c r="R1779" s="19"/>
      <c r="S1779" s="19"/>
      <c r="T1779" s="19"/>
      <c r="U1779" s="19"/>
      <c r="V1779" s="19"/>
      <c r="W1779" s="19"/>
      <c r="X1779" s="19"/>
      <c r="Y1779" s="19"/>
      <c r="Z1779" s="19"/>
      <c r="AA1779" s="19"/>
      <c r="AB1779" s="19"/>
      <c r="AC1779" s="19"/>
      <c r="AD1779" s="19"/>
      <c r="AE1779" s="22"/>
    </row>
    <row r="1780" spans="1:31" outlineLevel="2" x14ac:dyDescent="0.2">
      <c r="A1780" s="19"/>
      <c r="B1780" s="19"/>
      <c r="C1780" s="19"/>
      <c r="D1780" s="19"/>
      <c r="E1780" s="19"/>
      <c r="F1780" s="19"/>
      <c r="G1780" s="19"/>
      <c r="H1780" s="19"/>
      <c r="I1780" s="19"/>
      <c r="J1780" s="19"/>
      <c r="K1780" s="19"/>
      <c r="L1780" s="19"/>
      <c r="M1780" s="19"/>
      <c r="N1780" s="19"/>
      <c r="O1780" s="19"/>
      <c r="P1780" s="19"/>
      <c r="Q1780" s="19"/>
      <c r="R1780" s="19"/>
      <c r="S1780" s="19"/>
      <c r="T1780" s="19"/>
      <c r="U1780" s="19"/>
      <c r="V1780" s="19"/>
      <c r="W1780" s="19"/>
      <c r="X1780" s="19"/>
      <c r="Y1780" s="19"/>
      <c r="Z1780" s="19"/>
      <c r="AA1780" s="19"/>
      <c r="AB1780" s="19"/>
      <c r="AC1780" s="19"/>
      <c r="AD1780" s="19"/>
      <c r="AE1780" s="22"/>
    </row>
    <row r="1781" spans="1:31" outlineLevel="2" x14ac:dyDescent="0.2">
      <c r="A1781" s="19"/>
      <c r="B1781" s="19"/>
      <c r="C1781" s="19"/>
      <c r="D1781" s="19"/>
      <c r="E1781" s="19"/>
      <c r="F1781" s="19"/>
      <c r="G1781" s="19"/>
      <c r="H1781" s="19"/>
      <c r="I1781" s="19"/>
      <c r="J1781" s="19"/>
      <c r="K1781" s="19"/>
      <c r="L1781" s="19"/>
      <c r="M1781" s="19"/>
      <c r="N1781" s="19"/>
      <c r="O1781" s="19"/>
      <c r="P1781" s="19"/>
      <c r="Q1781" s="19"/>
      <c r="R1781" s="19"/>
      <c r="S1781" s="19"/>
      <c r="T1781" s="19"/>
      <c r="U1781" s="19"/>
      <c r="V1781" s="19"/>
      <c r="W1781" s="19"/>
      <c r="X1781" s="19"/>
      <c r="Y1781" s="19"/>
      <c r="Z1781" s="19"/>
      <c r="AA1781" s="19"/>
      <c r="AB1781" s="19"/>
      <c r="AC1781" s="19"/>
      <c r="AD1781" s="19"/>
      <c r="AE1781" s="22"/>
    </row>
    <row r="1782" spans="1:31" outlineLevel="2" x14ac:dyDescent="0.2">
      <c r="A1782" s="19"/>
      <c r="B1782" s="19"/>
      <c r="C1782" s="19"/>
      <c r="D1782" s="19"/>
      <c r="E1782" s="19"/>
      <c r="F1782" s="19"/>
      <c r="G1782" s="19"/>
      <c r="H1782" s="19"/>
      <c r="I1782" s="19"/>
      <c r="J1782" s="19"/>
      <c r="K1782" s="19"/>
      <c r="L1782" s="19"/>
      <c r="M1782" s="19"/>
      <c r="N1782" s="19"/>
      <c r="O1782" s="19"/>
      <c r="P1782" s="19"/>
      <c r="Q1782" s="19"/>
      <c r="R1782" s="19"/>
      <c r="S1782" s="19"/>
      <c r="T1782" s="19"/>
      <c r="U1782" s="19"/>
      <c r="V1782" s="19"/>
      <c r="W1782" s="19"/>
      <c r="X1782" s="19"/>
      <c r="Y1782" s="19"/>
      <c r="Z1782" s="19"/>
      <c r="AA1782" s="19"/>
      <c r="AB1782" s="19"/>
      <c r="AC1782" s="19"/>
      <c r="AD1782" s="19"/>
      <c r="AE1782" s="22"/>
    </row>
    <row r="1783" spans="1:31" outlineLevel="1" x14ac:dyDescent="0.2"/>
    <row r="1784" spans="1:31" outlineLevel="1" x14ac:dyDescent="0.2"/>
    <row r="1785" spans="1:31" s="4" customFormat="1" ht="15.95" customHeight="1" collapsed="1" thickBot="1" x14ac:dyDescent="0.25">
      <c r="A1785" s="165" t="str">
        <f ca="1">Language!A878</f>
        <v xml:space="preserve">         ЭФФЕКТИВНОСТЬ ДЛЯ СОБСТВЕННОГО КАПИТАЛА</v>
      </c>
      <c r="B1785" s="165"/>
      <c r="C1785" s="165"/>
      <c r="D1785" s="165"/>
      <c r="E1785" s="165"/>
      <c r="F1785" s="177" t="str">
        <f t="shared" ref="F1785:AC1785" ca="1" si="4816">PeriodTitle</f>
        <v>1 кв. 2016</v>
      </c>
      <c r="G1785" s="177" t="str">
        <f t="shared" ca="1" si="4816"/>
        <v>2 кв. 2016</v>
      </c>
      <c r="H1785" s="177" t="str">
        <f t="shared" ca="1" si="4816"/>
        <v>3 кв. 2016</v>
      </c>
      <c r="I1785" s="177" t="str">
        <f t="shared" ca="1" si="4816"/>
        <v>4 кв. 2016</v>
      </c>
      <c r="J1785" s="177" t="str">
        <f t="shared" ca="1" si="4816"/>
        <v>1 кв. 2017</v>
      </c>
      <c r="K1785" s="177" t="str">
        <f t="shared" ca="1" si="4816"/>
        <v>2 кв. 2017</v>
      </c>
      <c r="L1785" s="177" t="str">
        <f t="shared" ca="1" si="4816"/>
        <v>3 кв. 2017</v>
      </c>
      <c r="M1785" s="177" t="str">
        <f t="shared" ca="1" si="4816"/>
        <v>4 кв. 2017</v>
      </c>
      <c r="N1785" s="177" t="str">
        <f t="shared" ca="1" si="4816"/>
        <v>1 кв. 2018</v>
      </c>
      <c r="O1785" s="177" t="str">
        <f t="shared" ca="1" si="4816"/>
        <v>2 кв. 2018</v>
      </c>
      <c r="P1785" s="177" t="str">
        <f t="shared" ca="1" si="4816"/>
        <v>3 кв. 2018</v>
      </c>
      <c r="Q1785" s="177" t="str">
        <f t="shared" ca="1" si="4816"/>
        <v>4 кв. 2018</v>
      </c>
      <c r="R1785" s="177" t="str">
        <f t="shared" ca="1" si="4816"/>
        <v>1 кв. 2019</v>
      </c>
      <c r="S1785" s="177" t="str">
        <f t="shared" ca="1" si="4816"/>
        <v>2 кв. 2019</v>
      </c>
      <c r="T1785" s="177" t="str">
        <f t="shared" ca="1" si="4816"/>
        <v>3 кв. 2019</v>
      </c>
      <c r="U1785" s="177" t="str">
        <f t="shared" ca="1" si="4816"/>
        <v>4 кв. 2019</v>
      </c>
      <c r="V1785" s="177" t="str">
        <f t="shared" ca="1" si="4816"/>
        <v>1 кв. 2020</v>
      </c>
      <c r="W1785" s="177" t="str">
        <f t="shared" ca="1" si="4816"/>
        <v>2 кв. 2020</v>
      </c>
      <c r="X1785" s="177" t="str">
        <f t="shared" ca="1" si="4816"/>
        <v>3 кв. 2020</v>
      </c>
      <c r="Y1785" s="177" t="str">
        <f t="shared" ca="1" si="4816"/>
        <v>4 кв. 2020</v>
      </c>
      <c r="Z1785" s="177" t="str">
        <f t="shared" ca="1" si="4816"/>
        <v>1 кв. 2021</v>
      </c>
      <c r="AA1785" s="177" t="str">
        <f t="shared" ca="1" si="4816"/>
        <v>2 кв. 2021</v>
      </c>
      <c r="AB1785" s="177" t="str">
        <f t="shared" ca="1" si="4816"/>
        <v>3 кв. 2021</v>
      </c>
      <c r="AC1785" s="177" t="str">
        <f t="shared" ca="1" si="4816"/>
        <v>4 кв. 2021</v>
      </c>
      <c r="AD1785" s="165"/>
      <c r="AE1785" s="166" t="str">
        <f ca="1">Language!A$372</f>
        <v>ИТОГО</v>
      </c>
    </row>
    <row r="1786" spans="1:31" ht="12" hidden="1" outlineLevel="1" thickTop="1" x14ac:dyDescent="0.2"/>
    <row r="1787" spans="1:31" hidden="1" outlineLevel="1" x14ac:dyDescent="0.2">
      <c r="A1787" t="str">
        <f ca="1">Language!A$838</f>
        <v>Учитывать ранее осуществленные инвестиции</v>
      </c>
      <c r="B1787" s="254">
        <v>1</v>
      </c>
      <c r="C1787" s="36" t="str">
        <f ca="1">CHOOSE(B1787,Language!A833,Language!A834)</f>
        <v>Да</v>
      </c>
    </row>
    <row r="1788" spans="1:31" hidden="1" outlineLevel="1" x14ac:dyDescent="0.2">
      <c r="A1788" t="str">
        <f ca="1">Language!A$839</f>
        <v>Учитывать остаточную стоимость проекта</v>
      </c>
      <c r="B1788" s="254">
        <v>2</v>
      </c>
      <c r="C1788" s="36" t="str">
        <f ca="1">CHOOSE(B1788,Language!A833,Language!A834)</f>
        <v>Нет</v>
      </c>
    </row>
    <row r="1789" spans="1:31" hidden="1" outlineLevel="1" x14ac:dyDescent="0.2">
      <c r="A1789" t="str">
        <f ca="1">Language!A$840</f>
        <v>Валюта расчетов:</v>
      </c>
      <c r="B1789" s="254">
        <v>1</v>
      </c>
      <c r="C1789" s="17" t="str">
        <f ca="1">CHOOSE(B1789,CUR_Main,CUR_Foreign)</f>
        <v>тыс. EUR</v>
      </c>
    </row>
    <row r="1790" spans="1:31" hidden="1" outlineLevel="1" collapsed="1" x14ac:dyDescent="0.2">
      <c r="A1790" t="str">
        <f ca="1">Language!A$841</f>
        <v>Годовая ставка дисконтирования:</v>
      </c>
      <c r="B1790" s="272">
        <v>0.1</v>
      </c>
      <c r="C1790" s="5" t="s">
        <v>2430</v>
      </c>
      <c r="D1790" s="16" t="s">
        <v>2429</v>
      </c>
      <c r="F1790" s="134">
        <f>$B$1790</f>
        <v>0.1</v>
      </c>
      <c r="G1790" s="134">
        <f t="shared" ref="G1790:AC1790" si="4817">F1790</f>
        <v>0.1</v>
      </c>
      <c r="H1790" s="134">
        <f t="shared" si="4817"/>
        <v>0.1</v>
      </c>
      <c r="I1790" s="134">
        <f t="shared" si="4817"/>
        <v>0.1</v>
      </c>
      <c r="J1790" s="134">
        <f t="shared" si="4817"/>
        <v>0.1</v>
      </c>
      <c r="K1790" s="134">
        <f t="shared" si="4817"/>
        <v>0.1</v>
      </c>
      <c r="L1790" s="134">
        <f t="shared" si="4817"/>
        <v>0.1</v>
      </c>
      <c r="M1790" s="134">
        <f t="shared" si="4817"/>
        <v>0.1</v>
      </c>
      <c r="N1790" s="134">
        <f t="shared" si="4817"/>
        <v>0.1</v>
      </c>
      <c r="O1790" s="134">
        <f t="shared" si="4817"/>
        <v>0.1</v>
      </c>
      <c r="P1790" s="134">
        <f t="shared" si="4817"/>
        <v>0.1</v>
      </c>
      <c r="Q1790" s="134">
        <f t="shared" si="4817"/>
        <v>0.1</v>
      </c>
      <c r="R1790" s="134">
        <f t="shared" si="4817"/>
        <v>0.1</v>
      </c>
      <c r="S1790" s="134">
        <f t="shared" si="4817"/>
        <v>0.1</v>
      </c>
      <c r="T1790" s="134">
        <f t="shared" si="4817"/>
        <v>0.1</v>
      </c>
      <c r="U1790" s="134">
        <f t="shared" si="4817"/>
        <v>0.1</v>
      </c>
      <c r="V1790" s="134">
        <f t="shared" si="4817"/>
        <v>0.1</v>
      </c>
      <c r="W1790" s="134">
        <f t="shared" si="4817"/>
        <v>0.1</v>
      </c>
      <c r="X1790" s="134">
        <f t="shared" si="4817"/>
        <v>0.1</v>
      </c>
      <c r="Y1790" s="134">
        <f t="shared" si="4817"/>
        <v>0.1</v>
      </c>
      <c r="Z1790" s="134">
        <f t="shared" si="4817"/>
        <v>0.1</v>
      </c>
      <c r="AA1790" s="134">
        <f t="shared" si="4817"/>
        <v>0.1</v>
      </c>
      <c r="AB1790" s="134">
        <f t="shared" si="4817"/>
        <v>0.1</v>
      </c>
      <c r="AC1790" s="134">
        <f t="shared" si="4817"/>
        <v>0.1</v>
      </c>
    </row>
    <row r="1791" spans="1:31" hidden="1" outlineLevel="2" x14ac:dyDescent="0.2">
      <c r="A1791" t="str">
        <f ca="1">Language!A$842</f>
        <v xml:space="preserve">    ставка дисконтирования на расчетный период</v>
      </c>
      <c r="D1791" s="16" t="s">
        <v>2429</v>
      </c>
      <c r="F1791" s="134">
        <f t="shared" ref="F1791:X1791" si="4818">IF(CalcMethod=1,(POWER(1+F1790,PRJ_Step/360)-1-IF($B$1789=1,F$81,F$92))/(1+IF($B$1789=1,F$81,F$92)),POWER(1+F1790,PRJ_Step/360)-1)</f>
        <v>2.4113689084445111E-2</v>
      </c>
      <c r="G1791" s="134">
        <f t="shared" si="4818"/>
        <v>2.4113689084445111E-2</v>
      </c>
      <c r="H1791" s="134">
        <f t="shared" si="4818"/>
        <v>2.4113689084445111E-2</v>
      </c>
      <c r="I1791" s="134">
        <f t="shared" si="4818"/>
        <v>2.4113689084445111E-2</v>
      </c>
      <c r="J1791" s="134">
        <f t="shared" si="4818"/>
        <v>2.4113689084445111E-2</v>
      </c>
      <c r="K1791" s="134">
        <f t="shared" si="4818"/>
        <v>2.4113689084445111E-2</v>
      </c>
      <c r="L1791" s="134">
        <f t="shared" si="4818"/>
        <v>2.4113689084445111E-2</v>
      </c>
      <c r="M1791" s="134">
        <f t="shared" si="4818"/>
        <v>2.4113689084445111E-2</v>
      </c>
      <c r="N1791" s="134">
        <f t="shared" si="4818"/>
        <v>2.4113689084445111E-2</v>
      </c>
      <c r="O1791" s="134">
        <f t="shared" si="4818"/>
        <v>2.4113689084445111E-2</v>
      </c>
      <c r="P1791" s="134">
        <f t="shared" si="4818"/>
        <v>2.4113689084445111E-2</v>
      </c>
      <c r="Q1791" s="134">
        <f t="shared" si="4818"/>
        <v>2.4113689084445111E-2</v>
      </c>
      <c r="R1791" s="134">
        <f t="shared" si="4818"/>
        <v>2.4113689084445111E-2</v>
      </c>
      <c r="S1791" s="134">
        <f t="shared" si="4818"/>
        <v>2.4113689084445111E-2</v>
      </c>
      <c r="T1791" s="134">
        <f t="shared" si="4818"/>
        <v>2.4113689084445111E-2</v>
      </c>
      <c r="U1791" s="134">
        <f t="shared" si="4818"/>
        <v>2.4113689084445111E-2</v>
      </c>
      <c r="V1791" s="134">
        <f t="shared" si="4818"/>
        <v>2.4113689084445111E-2</v>
      </c>
      <c r="W1791" s="134">
        <f t="shared" si="4818"/>
        <v>2.4113689084445111E-2</v>
      </c>
      <c r="X1791" s="134">
        <f t="shared" si="4818"/>
        <v>2.4113689084445111E-2</v>
      </c>
      <c r="Y1791" s="134">
        <f t="shared" ref="Y1791" si="4819">IF(CalcMethod=1,(POWER(1+Y1790,PRJ_Step/360)-1-IF($B$1789=1,Y$81,Y$92))/(1+IF($B$1789=1,Y$81,Y$92)),POWER(1+Y1790,PRJ_Step/360)-1)</f>
        <v>2.4113689084445111E-2</v>
      </c>
      <c r="Z1791" s="134">
        <f t="shared" ref="Z1791" si="4820">IF(CalcMethod=1,(POWER(1+Z1790,PRJ_Step/360)-1-IF($B$1789=1,Z$81,Z$92))/(1+IF($B$1789=1,Z$81,Z$92)),POWER(1+Z1790,PRJ_Step/360)-1)</f>
        <v>2.4113689084445111E-2</v>
      </c>
      <c r="AA1791" s="134">
        <f t="shared" ref="AA1791" si="4821">IF(CalcMethod=1,(POWER(1+AA1790,PRJ_Step/360)-1-IF($B$1789=1,AA$81,AA$92))/(1+IF($B$1789=1,AA$81,AA$92)),POWER(1+AA1790,PRJ_Step/360)-1)</f>
        <v>2.4113689084445111E-2</v>
      </c>
      <c r="AB1791" s="134">
        <f t="shared" ref="AB1791:AC1791" si="4822">IF(CalcMethod=1,(POWER(1+AB1790,PRJ_Step/360)-1-IF($B$1789=1,AB$81,AB$92))/(1+IF($B$1789=1,AB$81,AB$92)),POWER(1+AB1790,PRJ_Step/360)-1)</f>
        <v>2.4113689084445111E-2</v>
      </c>
      <c r="AC1791" s="134">
        <f t="shared" si="4822"/>
        <v>2.4113689084445111E-2</v>
      </c>
    </row>
    <row r="1792" spans="1:31" hidden="1" outlineLevel="2" x14ac:dyDescent="0.2">
      <c r="A1792" t="str">
        <f ca="1">Language!A$843</f>
        <v xml:space="preserve">    коэффициент дисконта для потока на начало периода</v>
      </c>
      <c r="D1792" s="16" t="s">
        <v>2429</v>
      </c>
      <c r="F1792" s="135">
        <v>1</v>
      </c>
      <c r="G1792" s="135">
        <f t="shared" ref="G1792:AC1792" si="4823">F1792*(1+F1791)</f>
        <v>1.0241136890844451</v>
      </c>
      <c r="H1792" s="135">
        <f t="shared" si="4823"/>
        <v>1.0488088481701514</v>
      </c>
      <c r="I1792" s="135">
        <f t="shared" si="4823"/>
        <v>1.0740994986439414</v>
      </c>
      <c r="J1792" s="135">
        <f t="shared" si="4823"/>
        <v>1.0999999999999999</v>
      </c>
      <c r="K1792" s="135">
        <f t="shared" si="4823"/>
        <v>1.1265250579928894</v>
      </c>
      <c r="L1792" s="135">
        <f t="shared" si="4823"/>
        <v>1.1536897329871665</v>
      </c>
      <c r="M1792" s="135">
        <f t="shared" si="4823"/>
        <v>1.1815094485083355</v>
      </c>
      <c r="N1792" s="135">
        <f t="shared" si="4823"/>
        <v>1.2099999999999997</v>
      </c>
      <c r="O1792" s="135">
        <f t="shared" si="4823"/>
        <v>1.2391775637921782</v>
      </c>
      <c r="P1792" s="135">
        <f t="shared" si="4823"/>
        <v>1.2690587062858829</v>
      </c>
      <c r="Q1792" s="135">
        <f t="shared" si="4823"/>
        <v>1.2996603933591688</v>
      </c>
      <c r="R1792" s="135">
        <f t="shared" si="4823"/>
        <v>1.3309999999999995</v>
      </c>
      <c r="S1792" s="135">
        <f t="shared" si="4823"/>
        <v>1.363095320171396</v>
      </c>
      <c r="T1792" s="135">
        <f t="shared" si="4823"/>
        <v>1.3959645769144713</v>
      </c>
      <c r="U1792" s="135">
        <f t="shared" si="4823"/>
        <v>1.4296264326950858</v>
      </c>
      <c r="V1792" s="135">
        <f t="shared" si="4823"/>
        <v>1.4640999999999995</v>
      </c>
      <c r="W1792" s="135">
        <f t="shared" si="4823"/>
        <v>1.4994048521885357</v>
      </c>
      <c r="X1792" s="135">
        <f t="shared" si="4823"/>
        <v>1.5355610346059185</v>
      </c>
      <c r="Y1792" s="135">
        <f t="shared" si="4823"/>
        <v>1.5725890759645944</v>
      </c>
      <c r="Z1792" s="135">
        <f t="shared" si="4823"/>
        <v>1.6105099999999994</v>
      </c>
      <c r="AA1792" s="135">
        <f t="shared" si="4823"/>
        <v>1.6493453374073892</v>
      </c>
      <c r="AB1792" s="135">
        <f t="shared" si="4823"/>
        <v>1.6891171380665102</v>
      </c>
      <c r="AC1792" s="135">
        <f t="shared" si="4823"/>
        <v>1.7298479835610538</v>
      </c>
    </row>
    <row r="1793" spans="1:31" hidden="1" outlineLevel="1" x14ac:dyDescent="0.2"/>
    <row r="1794" spans="1:31" hidden="1" outlineLevel="1" collapsed="1" x14ac:dyDescent="0.2">
      <c r="A1794" s="23" t="str">
        <f ca="1">Language!A$845</f>
        <v>Учитываемые денежные потоки проекта:</v>
      </c>
    </row>
    <row r="1795" spans="1:31" hidden="1" outlineLevel="2" x14ac:dyDescent="0.2">
      <c r="A1795" t="str">
        <f ca="1">Language!A$846</f>
        <v>Денежные потоки от операционной деятельности</v>
      </c>
      <c r="B1795" s="36" t="str">
        <f ca="1">Language!A$833</f>
        <v>Да</v>
      </c>
      <c r="C1795" s="5" t="str">
        <f ca="1">C1789</f>
        <v>тыс. EUR</v>
      </c>
      <c r="F1795" s="84">
        <f t="shared" ref="F1795:X1795" ca="1" si="4824">F1331*IF(CUR_I_Report&lt;&gt;$B$1789,IF(CUR_I_Report=2,F$88,1/F$88),1)</f>
        <v>0</v>
      </c>
      <c r="G1795" s="84">
        <f t="shared" ca="1" si="4824"/>
        <v>0</v>
      </c>
      <c r="H1795" s="84">
        <f t="shared" ca="1" si="4824"/>
        <v>0</v>
      </c>
      <c r="I1795" s="84">
        <f t="shared" ca="1" si="4824"/>
        <v>0</v>
      </c>
      <c r="J1795" s="84">
        <f t="shared" ca="1" si="4824"/>
        <v>0</v>
      </c>
      <c r="K1795" s="84">
        <f t="shared" ca="1" si="4824"/>
        <v>2728.6487015162002</v>
      </c>
      <c r="L1795" s="84">
        <f t="shared" ca="1" si="4824"/>
        <v>15.623261900942879</v>
      </c>
      <c r="M1795" s="84">
        <f t="shared" ca="1" si="4824"/>
        <v>662.99303790614749</v>
      </c>
      <c r="N1795" s="84">
        <f t="shared" ca="1" si="4824"/>
        <v>916.10593866502631</v>
      </c>
      <c r="O1795" s="84">
        <f t="shared" ca="1" si="4824"/>
        <v>1243.6178106695488</v>
      </c>
      <c r="P1795" s="84">
        <f t="shared" ca="1" si="4824"/>
        <v>1454.7746893858591</v>
      </c>
      <c r="Q1795" s="84">
        <f t="shared" ca="1" si="4824"/>
        <v>1454.7746893858591</v>
      </c>
      <c r="R1795" s="84">
        <f t="shared" ca="1" si="4824"/>
        <v>1454.7746893858591</v>
      </c>
      <c r="S1795" s="84">
        <f t="shared" ca="1" si="4824"/>
        <v>1454.7746893858591</v>
      </c>
      <c r="T1795" s="84">
        <f t="shared" ca="1" si="4824"/>
        <v>1454.7746893858591</v>
      </c>
      <c r="U1795" s="84">
        <f t="shared" ca="1" si="4824"/>
        <v>1454.7746893858591</v>
      </c>
      <c r="V1795" s="84">
        <f t="shared" ca="1" si="4824"/>
        <v>1454.7746893858591</v>
      </c>
      <c r="W1795" s="84">
        <f t="shared" ca="1" si="4824"/>
        <v>1454.7746893858591</v>
      </c>
      <c r="X1795" s="84">
        <f t="shared" ca="1" si="4824"/>
        <v>1454.7746893858591</v>
      </c>
      <c r="Y1795" s="84">
        <f t="shared" ref="Y1795" ca="1" si="4825">Y1331*IF(CUR_I_Report&lt;&gt;$B$1789,IF(CUR_I_Report=2,Y$88,1/Y$88),1)</f>
        <v>1454.7746893858591</v>
      </c>
      <c r="Z1795" s="84">
        <f t="shared" ref="Z1795" ca="1" si="4826">Z1331*IF(CUR_I_Report&lt;&gt;$B$1789,IF(CUR_I_Report=2,Z$88,1/Z$88),1)</f>
        <v>1454.7746893858591</v>
      </c>
      <c r="AA1795" s="84">
        <f t="shared" ref="AA1795" ca="1" si="4827">AA1331*IF(CUR_I_Report&lt;&gt;$B$1789,IF(CUR_I_Report=2,AA$88,1/AA$88),1)</f>
        <v>1454.7746893858591</v>
      </c>
      <c r="AB1795" s="84">
        <f t="shared" ref="AB1795:AC1795" ca="1" si="4828">AB1331*IF(CUR_I_Report&lt;&gt;$B$1789,IF(CUR_I_Report=2,AB$88,1/AB$88),1)</f>
        <v>1454.7746893858591</v>
      </c>
      <c r="AC1795" s="84">
        <f t="shared" ca="1" si="4828"/>
        <v>1454.7746893858591</v>
      </c>
      <c r="AD1795" s="43"/>
      <c r="AE1795" s="54">
        <f ca="1">SUM(F1795:AC1795)</f>
        <v>25933.834402059896</v>
      </c>
    </row>
    <row r="1796" spans="1:31" hidden="1" outlineLevel="2" x14ac:dyDescent="0.2">
      <c r="A1796" t="str">
        <f ca="1">Language!A$847</f>
        <v xml:space="preserve">    за исключением процентов по кредитам</v>
      </c>
      <c r="B1796" s="36" t="str">
        <f ca="1">Language!A$834</f>
        <v>Нет</v>
      </c>
      <c r="C1796" s="5" t="str">
        <f ca="1">C1789</f>
        <v>тыс. EUR</v>
      </c>
      <c r="D1796" s="5"/>
      <c r="F1796" s="43"/>
      <c r="G1796" s="43"/>
      <c r="H1796" s="43"/>
      <c r="I1796" s="43"/>
      <c r="J1796" s="43"/>
      <c r="K1796" s="43"/>
      <c r="L1796" s="43"/>
      <c r="M1796" s="43"/>
      <c r="N1796" s="43"/>
      <c r="O1796" s="43"/>
      <c r="P1796" s="43"/>
      <c r="Q1796" s="43"/>
      <c r="R1796" s="43"/>
      <c r="S1796" s="43"/>
      <c r="T1796" s="43"/>
      <c r="U1796" s="43"/>
      <c r="V1796" s="43"/>
      <c r="W1796" s="43"/>
      <c r="X1796" s="43"/>
      <c r="Y1796" s="43"/>
      <c r="Z1796" s="43"/>
      <c r="AA1796" s="43"/>
      <c r="AB1796" s="43"/>
      <c r="AC1796" s="43"/>
      <c r="AD1796" s="43"/>
      <c r="AE1796" s="54"/>
    </row>
    <row r="1797" spans="1:31" hidden="1" outlineLevel="2" x14ac:dyDescent="0.2">
      <c r="A1797" t="str">
        <f ca="1">Language!A$848</f>
        <v>Денежные потоки от инвестиционной деятельности</v>
      </c>
      <c r="B1797" s="36" t="str">
        <f ca="1">Language!A$833</f>
        <v>Да</v>
      </c>
      <c r="C1797" s="5" t="str">
        <f ca="1">C1789</f>
        <v>тыс. EUR</v>
      </c>
      <c r="D1797" s="5"/>
      <c r="F1797" s="43">
        <f t="shared" ref="F1797:X1797" ca="1" si="4829">F1342*IF(CUR_I_Report&lt;&gt;$B$1789,IF(CUR_I_Report=2,F$88,1/F$88),1)</f>
        <v>0</v>
      </c>
      <c r="G1797" s="43">
        <f t="shared" ca="1" si="4829"/>
        <v>0</v>
      </c>
      <c r="H1797" s="43">
        <f t="shared" ca="1" si="4829"/>
        <v>-5695.3855543220343</v>
      </c>
      <c r="I1797" s="43">
        <f t="shared" ca="1" si="4829"/>
        <v>-1519.56</v>
      </c>
      <c r="J1797" s="43">
        <f t="shared" ca="1" si="4829"/>
        <v>-7024.8891971793519</v>
      </c>
      <c r="K1797" s="43">
        <f t="shared" ca="1" si="4829"/>
        <v>-2883.7623677660667</v>
      </c>
      <c r="L1797" s="43">
        <f t="shared" ca="1" si="4829"/>
        <v>-5.6843418860808015E-14</v>
      </c>
      <c r="M1797" s="43">
        <f t="shared" ca="1" si="4829"/>
        <v>0</v>
      </c>
      <c r="N1797" s="43">
        <f t="shared" ca="1" si="4829"/>
        <v>47.90430408785906</v>
      </c>
      <c r="O1797" s="43">
        <f t="shared" ca="1" si="4829"/>
        <v>41.655454582366474</v>
      </c>
      <c r="P1797" s="43">
        <f t="shared" ca="1" si="4829"/>
        <v>0</v>
      </c>
      <c r="Q1797" s="43">
        <f t="shared" ca="1" si="4829"/>
        <v>0</v>
      </c>
      <c r="R1797" s="43">
        <f t="shared" ca="1" si="4829"/>
        <v>0</v>
      </c>
      <c r="S1797" s="43">
        <f t="shared" ca="1" si="4829"/>
        <v>0</v>
      </c>
      <c r="T1797" s="43">
        <f t="shared" ca="1" si="4829"/>
        <v>0</v>
      </c>
      <c r="U1797" s="43">
        <f t="shared" ca="1" si="4829"/>
        <v>0</v>
      </c>
      <c r="V1797" s="43">
        <f t="shared" ca="1" si="4829"/>
        <v>0</v>
      </c>
      <c r="W1797" s="43">
        <f t="shared" ca="1" si="4829"/>
        <v>0</v>
      </c>
      <c r="X1797" s="43">
        <f t="shared" ca="1" si="4829"/>
        <v>0</v>
      </c>
      <c r="Y1797" s="43">
        <f t="shared" ref="Y1797" ca="1" si="4830">Y1342*IF(CUR_I_Report&lt;&gt;$B$1789,IF(CUR_I_Report=2,Y$88,1/Y$88),1)</f>
        <v>0</v>
      </c>
      <c r="Z1797" s="43">
        <f t="shared" ref="Z1797" ca="1" si="4831">Z1342*IF(CUR_I_Report&lt;&gt;$B$1789,IF(CUR_I_Report=2,Z$88,1/Z$88),1)</f>
        <v>0</v>
      </c>
      <c r="AA1797" s="43">
        <f t="shared" ref="AA1797" ca="1" si="4832">AA1342*IF(CUR_I_Report&lt;&gt;$B$1789,IF(CUR_I_Report=2,AA$88,1/AA$88),1)</f>
        <v>0</v>
      </c>
      <c r="AB1797" s="43">
        <f t="shared" ref="AB1797:AC1797" ca="1" si="4833">AB1342*IF(CUR_I_Report&lt;&gt;$B$1789,IF(CUR_I_Report=2,AB$88,1/AB$88),1)</f>
        <v>0</v>
      </c>
      <c r="AC1797" s="43">
        <f t="shared" ca="1" si="4833"/>
        <v>0</v>
      </c>
      <c r="AD1797" s="43"/>
      <c r="AE1797" s="54">
        <f ca="1">SUM(F1797:AC1797)</f>
        <v>-17034.037360597224</v>
      </c>
    </row>
    <row r="1798" spans="1:31" hidden="1" outlineLevel="2" x14ac:dyDescent="0.2">
      <c r="A1798" t="str">
        <f ca="1">Language!A$849</f>
        <v>Поступления собственного капитала</v>
      </c>
      <c r="B1798" s="36" t="str">
        <f ca="1">Language!A$834</f>
        <v>Нет</v>
      </c>
      <c r="C1798" s="5" t="str">
        <f ca="1">C1789</f>
        <v>тыс. EUR</v>
      </c>
      <c r="D1798" s="5"/>
      <c r="F1798" s="43"/>
      <c r="G1798" s="43"/>
      <c r="H1798" s="43"/>
      <c r="I1798" s="43"/>
      <c r="J1798" s="43"/>
      <c r="K1798" s="43"/>
      <c r="L1798" s="43"/>
      <c r="M1798" s="43"/>
      <c r="N1798" s="43"/>
      <c r="O1798" s="43"/>
      <c r="P1798" s="43"/>
      <c r="Q1798" s="43"/>
      <c r="R1798" s="43"/>
      <c r="S1798" s="43"/>
      <c r="T1798" s="43"/>
      <c r="U1798" s="43"/>
      <c r="V1798" s="43"/>
      <c r="W1798" s="43"/>
      <c r="X1798" s="43"/>
      <c r="Y1798" s="43"/>
      <c r="Z1798" s="43"/>
      <c r="AA1798" s="43"/>
      <c r="AB1798" s="43"/>
      <c r="AC1798" s="43"/>
      <c r="AD1798" s="43"/>
      <c r="AE1798" s="54"/>
    </row>
    <row r="1799" spans="1:31" hidden="1" outlineLevel="2" x14ac:dyDescent="0.2">
      <c r="A1799" t="str">
        <f ca="1">Language!A$850</f>
        <v>Поступления целевого финансирования</v>
      </c>
      <c r="B1799" s="36" t="str">
        <f ca="1">Language!A$833</f>
        <v>Да</v>
      </c>
      <c r="C1799" s="5" t="str">
        <f ca="1">C1789</f>
        <v>тыс. EUR</v>
      </c>
      <c r="D1799" s="5"/>
      <c r="F1799" s="53">
        <f t="shared" ref="F1799:X1799" si="4834">(F1345+F1346)*IF(CUR_I_Report&lt;&gt;$B$1789,IF(CUR_I_Report=2,F$88,1/F$88),1)</f>
        <v>0</v>
      </c>
      <c r="G1799" s="53">
        <f t="shared" si="4834"/>
        <v>0</v>
      </c>
      <c r="H1799" s="53">
        <f t="shared" si="4834"/>
        <v>5695.3855543220343</v>
      </c>
      <c r="I1799" s="53">
        <f t="shared" si="4834"/>
        <v>1519.56</v>
      </c>
      <c r="J1799" s="53">
        <f t="shared" ca="1" si="4834"/>
        <v>7024.8891971793519</v>
      </c>
      <c r="K1799" s="53">
        <f t="shared" si="4834"/>
        <v>2982.5256975335087</v>
      </c>
      <c r="L1799" s="53">
        <f t="shared" si="4834"/>
        <v>0</v>
      </c>
      <c r="M1799" s="53">
        <f t="shared" si="4834"/>
        <v>0</v>
      </c>
      <c r="N1799" s="53">
        <f t="shared" si="4834"/>
        <v>0</v>
      </c>
      <c r="O1799" s="53">
        <f t="shared" si="4834"/>
        <v>0</v>
      </c>
      <c r="P1799" s="53">
        <f t="shared" si="4834"/>
        <v>0</v>
      </c>
      <c r="Q1799" s="53">
        <f t="shared" si="4834"/>
        <v>0</v>
      </c>
      <c r="R1799" s="53">
        <f t="shared" si="4834"/>
        <v>0</v>
      </c>
      <c r="S1799" s="53">
        <f t="shared" si="4834"/>
        <v>0</v>
      </c>
      <c r="T1799" s="53">
        <f t="shared" si="4834"/>
        <v>0</v>
      </c>
      <c r="U1799" s="53">
        <f t="shared" si="4834"/>
        <v>0</v>
      </c>
      <c r="V1799" s="53">
        <f t="shared" si="4834"/>
        <v>0</v>
      </c>
      <c r="W1799" s="53">
        <f t="shared" si="4834"/>
        <v>0</v>
      </c>
      <c r="X1799" s="53">
        <f t="shared" si="4834"/>
        <v>0</v>
      </c>
      <c r="Y1799" s="53">
        <f t="shared" ref="Y1799" si="4835">(Y1345+Y1346)*IF(CUR_I_Report&lt;&gt;$B$1789,IF(CUR_I_Report=2,Y$88,1/Y$88),1)</f>
        <v>0</v>
      </c>
      <c r="Z1799" s="53">
        <f t="shared" ref="Z1799" si="4836">(Z1345+Z1346)*IF(CUR_I_Report&lt;&gt;$B$1789,IF(CUR_I_Report=2,Z$88,1/Z$88),1)</f>
        <v>0</v>
      </c>
      <c r="AA1799" s="53">
        <f t="shared" ref="AA1799" si="4837">(AA1345+AA1346)*IF(CUR_I_Report&lt;&gt;$B$1789,IF(CUR_I_Report=2,AA$88,1/AA$88),1)</f>
        <v>0</v>
      </c>
      <c r="AB1799" s="53">
        <f t="shared" ref="AB1799:AC1799" si="4838">(AB1345+AB1346)*IF(CUR_I_Report&lt;&gt;$B$1789,IF(CUR_I_Report=2,AB$88,1/AB$88),1)</f>
        <v>0</v>
      </c>
      <c r="AC1799" s="53">
        <f t="shared" si="4838"/>
        <v>0</v>
      </c>
      <c r="AD1799" s="43"/>
      <c r="AE1799" s="54">
        <f ca="1">SUM(F1799:AC1799)</f>
        <v>17222.360449034895</v>
      </c>
    </row>
    <row r="1800" spans="1:31" hidden="1" outlineLevel="2" x14ac:dyDescent="0.2">
      <c r="A1800" t="str">
        <f ca="1">Language!A$851</f>
        <v>Поступления кредитов</v>
      </c>
      <c r="B1800" s="36" t="str">
        <f ca="1">Language!A$833</f>
        <v>Да</v>
      </c>
      <c r="C1800" s="5" t="str">
        <f ca="1">C1789</f>
        <v>тыс. EUR</v>
      </c>
      <c r="D1800" s="5"/>
      <c r="F1800" s="53">
        <f t="shared" ref="F1800:X1800" si="4839">F1347*IF(CUR_I_Report&lt;&gt;$B$1789,IF(CUR_I_Report=2,F$88,1/F$88),1)</f>
        <v>0</v>
      </c>
      <c r="G1800" s="53">
        <f t="shared" si="4839"/>
        <v>0</v>
      </c>
      <c r="H1800" s="53">
        <f t="shared" si="4839"/>
        <v>0</v>
      </c>
      <c r="I1800" s="53">
        <f t="shared" si="4839"/>
        <v>0</v>
      </c>
      <c r="J1800" s="53">
        <f t="shared" si="4839"/>
        <v>0</v>
      </c>
      <c r="K1800" s="53">
        <f t="shared" si="4839"/>
        <v>0</v>
      </c>
      <c r="L1800" s="53">
        <f t="shared" si="4839"/>
        <v>0</v>
      </c>
      <c r="M1800" s="53">
        <f t="shared" si="4839"/>
        <v>0</v>
      </c>
      <c r="N1800" s="53">
        <f t="shared" si="4839"/>
        <v>0</v>
      </c>
      <c r="O1800" s="53">
        <f t="shared" si="4839"/>
        <v>0</v>
      </c>
      <c r="P1800" s="53">
        <f t="shared" si="4839"/>
        <v>0</v>
      </c>
      <c r="Q1800" s="53">
        <f t="shared" si="4839"/>
        <v>0</v>
      </c>
      <c r="R1800" s="53">
        <f t="shared" si="4839"/>
        <v>0</v>
      </c>
      <c r="S1800" s="53">
        <f t="shared" si="4839"/>
        <v>0</v>
      </c>
      <c r="T1800" s="53">
        <f t="shared" si="4839"/>
        <v>0</v>
      </c>
      <c r="U1800" s="53">
        <f t="shared" si="4839"/>
        <v>0</v>
      </c>
      <c r="V1800" s="53">
        <f t="shared" si="4839"/>
        <v>0</v>
      </c>
      <c r="W1800" s="53">
        <f t="shared" si="4839"/>
        <v>0</v>
      </c>
      <c r="X1800" s="53">
        <f t="shared" si="4839"/>
        <v>0</v>
      </c>
      <c r="Y1800" s="53">
        <f t="shared" ref="Y1800" si="4840">Y1347*IF(CUR_I_Report&lt;&gt;$B$1789,IF(CUR_I_Report=2,Y$88,1/Y$88),1)</f>
        <v>0</v>
      </c>
      <c r="Z1800" s="53">
        <f t="shared" ref="Z1800" si="4841">Z1347*IF(CUR_I_Report&lt;&gt;$B$1789,IF(CUR_I_Report=2,Z$88,1/Z$88),1)</f>
        <v>0</v>
      </c>
      <c r="AA1800" s="53">
        <f t="shared" ref="AA1800" si="4842">AA1347*IF(CUR_I_Report&lt;&gt;$B$1789,IF(CUR_I_Report=2,AA$88,1/AA$88),1)</f>
        <v>0</v>
      </c>
      <c r="AB1800" s="53">
        <f t="shared" ref="AB1800:AC1800" si="4843">AB1347*IF(CUR_I_Report&lt;&gt;$B$1789,IF(CUR_I_Report=2,AB$88,1/AB$88),1)</f>
        <v>0</v>
      </c>
      <c r="AC1800" s="53">
        <f t="shared" si="4843"/>
        <v>0</v>
      </c>
      <c r="AD1800" s="43"/>
      <c r="AE1800" s="54">
        <f>SUM(F1800:AC1800)</f>
        <v>0</v>
      </c>
    </row>
    <row r="1801" spans="1:31" hidden="1" outlineLevel="2" x14ac:dyDescent="0.2">
      <c r="A1801" t="str">
        <f ca="1">Language!A$852</f>
        <v>Возврат кредитов</v>
      </c>
      <c r="B1801" s="36" t="str">
        <f ca="1">Language!A$833</f>
        <v>Да</v>
      </c>
      <c r="C1801" s="5" t="str">
        <f ca="1">C1789</f>
        <v>тыс. EUR</v>
      </c>
      <c r="D1801" s="5"/>
      <c r="F1801" s="53">
        <f t="shared" ref="F1801:X1801" si="4844">F1348*IF(CUR_I_Report&lt;&gt;$B$1789,IF(CUR_I_Report=2,F$88,1/F$88),1)</f>
        <v>0</v>
      </c>
      <c r="G1801" s="53">
        <f t="shared" si="4844"/>
        <v>0</v>
      </c>
      <c r="H1801" s="53">
        <f t="shared" si="4844"/>
        <v>0</v>
      </c>
      <c r="I1801" s="53">
        <f t="shared" si="4844"/>
        <v>0</v>
      </c>
      <c r="J1801" s="53">
        <f t="shared" si="4844"/>
        <v>0</v>
      </c>
      <c r="K1801" s="53">
        <f t="shared" si="4844"/>
        <v>0</v>
      </c>
      <c r="L1801" s="53">
        <f t="shared" si="4844"/>
        <v>0</v>
      </c>
      <c r="M1801" s="53">
        <f t="shared" si="4844"/>
        <v>0</v>
      </c>
      <c r="N1801" s="53">
        <f t="shared" si="4844"/>
        <v>0</v>
      </c>
      <c r="O1801" s="53">
        <f t="shared" si="4844"/>
        <v>0</v>
      </c>
      <c r="P1801" s="53">
        <f t="shared" si="4844"/>
        <v>0</v>
      </c>
      <c r="Q1801" s="53">
        <f t="shared" si="4844"/>
        <v>0</v>
      </c>
      <c r="R1801" s="53">
        <f t="shared" si="4844"/>
        <v>0</v>
      </c>
      <c r="S1801" s="53">
        <f t="shared" si="4844"/>
        <v>0</v>
      </c>
      <c r="T1801" s="53">
        <f t="shared" si="4844"/>
        <v>0</v>
      </c>
      <c r="U1801" s="53">
        <f t="shared" si="4844"/>
        <v>0</v>
      </c>
      <c r="V1801" s="53">
        <f t="shared" si="4844"/>
        <v>0</v>
      </c>
      <c r="W1801" s="53">
        <f t="shared" si="4844"/>
        <v>0</v>
      </c>
      <c r="X1801" s="53">
        <f t="shared" si="4844"/>
        <v>0</v>
      </c>
      <c r="Y1801" s="53">
        <f t="shared" ref="Y1801" si="4845">Y1348*IF(CUR_I_Report&lt;&gt;$B$1789,IF(CUR_I_Report=2,Y$88,1/Y$88),1)</f>
        <v>0</v>
      </c>
      <c r="Z1801" s="53">
        <f t="shared" ref="Z1801" si="4846">Z1348*IF(CUR_I_Report&lt;&gt;$B$1789,IF(CUR_I_Report=2,Z$88,1/Z$88),1)</f>
        <v>0</v>
      </c>
      <c r="AA1801" s="53">
        <f t="shared" ref="AA1801" si="4847">AA1348*IF(CUR_I_Report&lt;&gt;$B$1789,IF(CUR_I_Report=2,AA$88,1/AA$88),1)</f>
        <v>0</v>
      </c>
      <c r="AB1801" s="53">
        <f t="shared" ref="AB1801:AC1801" si="4848">AB1348*IF(CUR_I_Report&lt;&gt;$B$1789,IF(CUR_I_Report=2,AB$88,1/AB$88),1)</f>
        <v>0</v>
      </c>
      <c r="AC1801" s="53">
        <f t="shared" si="4848"/>
        <v>0</v>
      </c>
      <c r="AD1801" s="43"/>
      <c r="AE1801" s="54">
        <f>SUM(F1801:AC1801)</f>
        <v>0</v>
      </c>
    </row>
    <row r="1802" spans="1:31" hidden="1" outlineLevel="2" x14ac:dyDescent="0.2">
      <c r="A1802" t="str">
        <f ca="1">Language!A$853</f>
        <v>Лизинговые платежи</v>
      </c>
      <c r="B1802" s="36" t="str">
        <f ca="1">Language!A$833</f>
        <v>Да</v>
      </c>
      <c r="C1802" s="5" t="str">
        <f ca="1">C1789</f>
        <v>тыс. EUR</v>
      </c>
      <c r="D1802" s="5"/>
      <c r="F1802" s="43">
        <f t="shared" ref="F1802:X1802" ca="1" si="4849">F1349*IF(CUR_I_Report&lt;&gt;$B$1789,IF(CUR_I_Report=2,F$88,1/F$88),1)</f>
        <v>0</v>
      </c>
      <c r="G1802" s="43">
        <f t="shared" ca="1" si="4849"/>
        <v>0</v>
      </c>
      <c r="H1802" s="43">
        <f t="shared" ca="1" si="4849"/>
        <v>0</v>
      </c>
      <c r="I1802" s="43">
        <f t="shared" ca="1" si="4849"/>
        <v>0</v>
      </c>
      <c r="J1802" s="43">
        <f t="shared" ca="1" si="4849"/>
        <v>0</v>
      </c>
      <c r="K1802" s="43">
        <f t="shared" ca="1" si="4849"/>
        <v>0</v>
      </c>
      <c r="L1802" s="43">
        <f t="shared" ca="1" si="4849"/>
        <v>0</v>
      </c>
      <c r="M1802" s="43">
        <f t="shared" ca="1" si="4849"/>
        <v>0</v>
      </c>
      <c r="N1802" s="43">
        <f t="shared" ca="1" si="4849"/>
        <v>0</v>
      </c>
      <c r="O1802" s="43">
        <f t="shared" ca="1" si="4849"/>
        <v>0</v>
      </c>
      <c r="P1802" s="43">
        <f t="shared" ca="1" si="4849"/>
        <v>0</v>
      </c>
      <c r="Q1802" s="43">
        <f t="shared" ca="1" si="4849"/>
        <v>0</v>
      </c>
      <c r="R1802" s="43">
        <f t="shared" ca="1" si="4849"/>
        <v>0</v>
      </c>
      <c r="S1802" s="43">
        <f t="shared" ca="1" si="4849"/>
        <v>0</v>
      </c>
      <c r="T1802" s="43">
        <f t="shared" ca="1" si="4849"/>
        <v>0</v>
      </c>
      <c r="U1802" s="43">
        <f t="shared" ca="1" si="4849"/>
        <v>0</v>
      </c>
      <c r="V1802" s="43">
        <f t="shared" ca="1" si="4849"/>
        <v>0</v>
      </c>
      <c r="W1802" s="43">
        <f t="shared" ca="1" si="4849"/>
        <v>0</v>
      </c>
      <c r="X1802" s="43">
        <f t="shared" ca="1" si="4849"/>
        <v>0</v>
      </c>
      <c r="Y1802" s="43">
        <f t="shared" ref="Y1802" ca="1" si="4850">Y1349*IF(CUR_I_Report&lt;&gt;$B$1789,IF(CUR_I_Report=2,Y$88,1/Y$88),1)</f>
        <v>0</v>
      </c>
      <c r="Z1802" s="43">
        <f t="shared" ref="Z1802" ca="1" si="4851">Z1349*IF(CUR_I_Report&lt;&gt;$B$1789,IF(CUR_I_Report=2,Z$88,1/Z$88),1)</f>
        <v>0</v>
      </c>
      <c r="AA1802" s="43">
        <f t="shared" ref="AA1802" ca="1" si="4852">AA1349*IF(CUR_I_Report&lt;&gt;$B$1789,IF(CUR_I_Report=2,AA$88,1/AA$88),1)</f>
        <v>0</v>
      </c>
      <c r="AB1802" s="43">
        <f t="shared" ref="AB1802:AC1802" ca="1" si="4853">AB1349*IF(CUR_I_Report&lt;&gt;$B$1789,IF(CUR_I_Report=2,AB$88,1/AB$88),1)</f>
        <v>0</v>
      </c>
      <c r="AC1802" s="43">
        <f t="shared" ca="1" si="4853"/>
        <v>0</v>
      </c>
      <c r="AD1802" s="43"/>
      <c r="AE1802" s="54">
        <f ca="1">SUM(F1802:AC1802)</f>
        <v>0</v>
      </c>
    </row>
    <row r="1803" spans="1:31" hidden="1" outlineLevel="2" x14ac:dyDescent="0.2">
      <c r="A1803" t="str">
        <f ca="1">Language!A$854</f>
        <v>Выплата дивидендов</v>
      </c>
      <c r="B1803" s="36" t="str">
        <f ca="1">Language!A$834</f>
        <v>Нет</v>
      </c>
      <c r="C1803" s="5" t="str">
        <f ca="1">C1789</f>
        <v>тыс. EUR</v>
      </c>
      <c r="D1803" s="5"/>
      <c r="F1803" s="43"/>
      <c r="G1803" s="43"/>
      <c r="H1803" s="43"/>
      <c r="I1803" s="43"/>
      <c r="J1803" s="43"/>
      <c r="K1803" s="43"/>
      <c r="L1803" s="43"/>
      <c r="M1803" s="43"/>
      <c r="N1803" s="43"/>
      <c r="O1803" s="43"/>
      <c r="P1803" s="43"/>
      <c r="Q1803" s="43"/>
      <c r="R1803" s="43"/>
      <c r="S1803" s="43"/>
      <c r="T1803" s="43"/>
      <c r="U1803" s="43"/>
      <c r="V1803" s="43"/>
      <c r="W1803" s="43"/>
      <c r="X1803" s="43"/>
      <c r="Y1803" s="43"/>
      <c r="Z1803" s="43"/>
      <c r="AA1803" s="43"/>
      <c r="AB1803" s="43"/>
      <c r="AC1803" s="43"/>
      <c r="AD1803" s="43"/>
      <c r="AE1803" s="54"/>
    </row>
    <row r="1804" spans="1:31" hidden="1" outlineLevel="2" x14ac:dyDescent="0.2">
      <c r="A1804" t="str">
        <f ca="1">Language!A$855</f>
        <v>Ранее осуществленные инвестиции</v>
      </c>
      <c r="B1804" s="36" t="str">
        <f ca="1">CHOOSE(B1787,Language!A833,Language!A834)</f>
        <v>Да</v>
      </c>
      <c r="C1804" s="5" t="str">
        <f ca="1">C1789</f>
        <v>тыс. EUR</v>
      </c>
      <c r="D1804" s="5"/>
      <c r="F1804" s="53">
        <f>IF($B1787=1,-$B$548/IF($B$1789=2,F$88,1),0)</f>
        <v>0</v>
      </c>
      <c r="G1804" s="43">
        <v>0</v>
      </c>
      <c r="H1804" s="43">
        <v>0</v>
      </c>
      <c r="I1804" s="43">
        <v>0</v>
      </c>
      <c r="J1804" s="43">
        <v>0</v>
      </c>
      <c r="K1804" s="43">
        <v>0</v>
      </c>
      <c r="L1804" s="43">
        <v>0</v>
      </c>
      <c r="M1804" s="43">
        <v>0</v>
      </c>
      <c r="N1804" s="43">
        <v>0</v>
      </c>
      <c r="O1804" s="43">
        <v>0</v>
      </c>
      <c r="P1804" s="43">
        <v>0</v>
      </c>
      <c r="Q1804" s="43">
        <v>0</v>
      </c>
      <c r="R1804" s="43">
        <v>0</v>
      </c>
      <c r="S1804" s="43">
        <v>0</v>
      </c>
      <c r="T1804" s="43">
        <v>0</v>
      </c>
      <c r="U1804" s="43">
        <v>0</v>
      </c>
      <c r="V1804" s="43">
        <v>0</v>
      </c>
      <c r="W1804" s="43">
        <v>0</v>
      </c>
      <c r="X1804" s="43">
        <v>0</v>
      </c>
      <c r="Y1804" s="43">
        <v>0</v>
      </c>
      <c r="Z1804" s="43">
        <v>0</v>
      </c>
      <c r="AA1804" s="43">
        <v>0</v>
      </c>
      <c r="AB1804" s="43">
        <v>0</v>
      </c>
      <c r="AC1804" s="43">
        <v>0</v>
      </c>
      <c r="AD1804" s="43"/>
      <c r="AE1804" s="54">
        <f>SUM(F1804:AC1804)</f>
        <v>0</v>
      </c>
    </row>
    <row r="1805" spans="1:31" hidden="1" outlineLevel="2" x14ac:dyDescent="0.2">
      <c r="A1805" t="str">
        <f ca="1">Language!A$856</f>
        <v>Остаточная стоимость проекта</v>
      </c>
      <c r="B1805" s="36" t="str">
        <f ca="1">CHOOSE(B1788,Language!A833,Language!A834)</f>
        <v>Нет</v>
      </c>
      <c r="C1805" s="5" t="str">
        <f ca="1">C1789</f>
        <v>тыс. EUR</v>
      </c>
      <c r="D1805" s="5"/>
      <c r="F1805" s="110">
        <f t="shared" ref="F1805:X1805" si="4854">IF($B1788=1,IF(F$29=PRJ_Len,(F$1498-F$1461)*IF(CUR_I_Report&lt;&gt;$B$1789,IF(CUR_I_Report=2,F$88,1/F$88),1),0),0)</f>
        <v>0</v>
      </c>
      <c r="G1805" s="110">
        <f t="shared" si="4854"/>
        <v>0</v>
      </c>
      <c r="H1805" s="110">
        <f t="shared" si="4854"/>
        <v>0</v>
      </c>
      <c r="I1805" s="110">
        <f t="shared" si="4854"/>
        <v>0</v>
      </c>
      <c r="J1805" s="110">
        <f t="shared" si="4854"/>
        <v>0</v>
      </c>
      <c r="K1805" s="110">
        <f t="shared" si="4854"/>
        <v>0</v>
      </c>
      <c r="L1805" s="110">
        <f t="shared" si="4854"/>
        <v>0</v>
      </c>
      <c r="M1805" s="110">
        <f t="shared" si="4854"/>
        <v>0</v>
      </c>
      <c r="N1805" s="110">
        <f t="shared" si="4854"/>
        <v>0</v>
      </c>
      <c r="O1805" s="110">
        <f t="shared" si="4854"/>
        <v>0</v>
      </c>
      <c r="P1805" s="110">
        <f t="shared" si="4854"/>
        <v>0</v>
      </c>
      <c r="Q1805" s="110">
        <f t="shared" si="4854"/>
        <v>0</v>
      </c>
      <c r="R1805" s="110">
        <f t="shared" si="4854"/>
        <v>0</v>
      </c>
      <c r="S1805" s="110">
        <f t="shared" si="4854"/>
        <v>0</v>
      </c>
      <c r="T1805" s="110">
        <f t="shared" si="4854"/>
        <v>0</v>
      </c>
      <c r="U1805" s="110">
        <f t="shared" si="4854"/>
        <v>0</v>
      </c>
      <c r="V1805" s="110">
        <f t="shared" si="4854"/>
        <v>0</v>
      </c>
      <c r="W1805" s="110">
        <f t="shared" si="4854"/>
        <v>0</v>
      </c>
      <c r="X1805" s="110">
        <f t="shared" si="4854"/>
        <v>0</v>
      </c>
      <c r="Y1805" s="110">
        <f t="shared" ref="Y1805" si="4855">IF($B1788=1,IF(Y$29=PRJ_Len,(Y$1498-Y$1461)*IF(CUR_I_Report&lt;&gt;$B$1789,IF(CUR_I_Report=2,Y$88,1/Y$88),1),0),0)</f>
        <v>0</v>
      </c>
      <c r="Z1805" s="110">
        <f t="shared" ref="Z1805" si="4856">IF($B1788=1,IF(Z$29=PRJ_Len,(Z$1498-Z$1461)*IF(CUR_I_Report&lt;&gt;$B$1789,IF(CUR_I_Report=2,Z$88,1/Z$88),1),0),0)</f>
        <v>0</v>
      </c>
      <c r="AA1805" s="110">
        <f t="shared" ref="AA1805" si="4857">IF($B1788=1,IF(AA$29=PRJ_Len,(AA$1498-AA$1461)*IF(CUR_I_Report&lt;&gt;$B$1789,IF(CUR_I_Report=2,AA$88,1/AA$88),1),0),0)</f>
        <v>0</v>
      </c>
      <c r="AB1805" s="110">
        <f t="shared" ref="AB1805:AC1805" si="4858">IF($B1788=1,IF(AB$29=PRJ_Len,(AB$1498-AB$1461)*IF(CUR_I_Report&lt;&gt;$B$1789,IF(CUR_I_Report=2,AB$88,1/AB$88),1),0),0)</f>
        <v>0</v>
      </c>
      <c r="AC1805" s="110">
        <f t="shared" si="4858"/>
        <v>0</v>
      </c>
      <c r="AD1805" s="43"/>
      <c r="AE1805" s="54">
        <f>SUM(F1805:AC1805)</f>
        <v>0</v>
      </c>
    </row>
    <row r="1806" spans="1:31" hidden="1" outlineLevel="2" x14ac:dyDescent="0.2">
      <c r="A1806" s="63"/>
      <c r="B1806" s="63"/>
      <c r="C1806" s="67"/>
      <c r="D1806" s="67"/>
      <c r="E1806" s="63"/>
      <c r="F1806" s="120"/>
      <c r="G1806" s="120"/>
      <c r="H1806" s="120"/>
      <c r="I1806" s="120"/>
      <c r="J1806" s="120"/>
      <c r="K1806" s="120"/>
      <c r="L1806" s="120"/>
      <c r="M1806" s="120"/>
      <c r="N1806" s="120"/>
      <c r="O1806" s="120"/>
      <c r="P1806" s="120"/>
      <c r="Q1806" s="120"/>
      <c r="R1806" s="120"/>
      <c r="S1806" s="120"/>
      <c r="T1806" s="120"/>
      <c r="U1806" s="120"/>
      <c r="V1806" s="120"/>
      <c r="W1806" s="120"/>
      <c r="X1806" s="120"/>
      <c r="Y1806" s="120"/>
      <c r="Z1806" s="120"/>
      <c r="AA1806" s="120"/>
      <c r="AB1806" s="120"/>
      <c r="AC1806" s="120"/>
      <c r="AD1806" s="120"/>
      <c r="AE1806" s="121"/>
    </row>
    <row r="1807" spans="1:31" hidden="1" outlineLevel="1" x14ac:dyDescent="0.2">
      <c r="A1807" s="24" t="str">
        <f ca="1">Language!A$857</f>
        <v>Чистый денежный поток</v>
      </c>
      <c r="B1807" s="19"/>
      <c r="C1807" s="26" t="str">
        <f ca="1">C1789</f>
        <v>тыс. EUR</v>
      </c>
      <c r="D1807" s="26"/>
      <c r="E1807" s="19"/>
      <c r="F1807" s="65">
        <f t="shared" ref="F1807:T1807" ca="1" si="4859">F1797+F1804+F1799+F1800+F1801+F1805+F1795+F1796+F1802</f>
        <v>0</v>
      </c>
      <c r="G1807" s="65">
        <f t="shared" ca="1" si="4859"/>
        <v>0</v>
      </c>
      <c r="H1807" s="65">
        <f t="shared" ca="1" si="4859"/>
        <v>0</v>
      </c>
      <c r="I1807" s="65">
        <f t="shared" ca="1" si="4859"/>
        <v>0</v>
      </c>
      <c r="J1807" s="65">
        <f t="shared" ca="1" si="4859"/>
        <v>0</v>
      </c>
      <c r="K1807" s="65">
        <f t="shared" ca="1" si="4859"/>
        <v>2827.4120312836421</v>
      </c>
      <c r="L1807" s="65">
        <f t="shared" ca="1" si="4859"/>
        <v>15.623261900942822</v>
      </c>
      <c r="M1807" s="65">
        <f t="shared" ca="1" si="4859"/>
        <v>662.99303790614749</v>
      </c>
      <c r="N1807" s="65">
        <f t="shared" ca="1" si="4859"/>
        <v>964.01024275288535</v>
      </c>
      <c r="O1807" s="65">
        <f t="shared" ca="1" si="4859"/>
        <v>1285.2732652519153</v>
      </c>
      <c r="P1807" s="65">
        <f t="shared" ca="1" si="4859"/>
        <v>1454.7746893858591</v>
      </c>
      <c r="Q1807" s="65">
        <f t="shared" ca="1" si="4859"/>
        <v>1454.7746893858591</v>
      </c>
      <c r="R1807" s="65">
        <f t="shared" ca="1" si="4859"/>
        <v>1454.7746893858591</v>
      </c>
      <c r="S1807" s="65">
        <f t="shared" ca="1" si="4859"/>
        <v>1454.7746893858591</v>
      </c>
      <c r="T1807" s="65">
        <f t="shared" ca="1" si="4859"/>
        <v>1454.7746893858591</v>
      </c>
      <c r="U1807" s="65">
        <f t="shared" ref="U1807" ca="1" si="4860">U1797+U1804+U1799+U1800+U1801+U1805+U1795+U1796+U1802</f>
        <v>1454.7746893858591</v>
      </c>
      <c r="V1807" s="65">
        <f t="shared" ref="V1807" ca="1" si="4861">V1797+V1804+V1799+V1800+V1801+V1805+V1795+V1796+V1802</f>
        <v>1454.7746893858591</v>
      </c>
      <c r="W1807" s="65">
        <f t="shared" ref="W1807" ca="1" si="4862">W1797+W1804+W1799+W1800+W1801+W1805+W1795+W1796+W1802</f>
        <v>1454.7746893858591</v>
      </c>
      <c r="X1807" s="65">
        <f t="shared" ref="X1807" ca="1" si="4863">X1797+X1804+X1799+X1800+X1801+X1805+X1795+X1796+X1802</f>
        <v>1454.7746893858591</v>
      </c>
      <c r="Y1807" s="65">
        <f t="shared" ref="Y1807" ca="1" si="4864">Y1797+Y1804+Y1799+Y1800+Y1801+Y1805+Y1795+Y1796+Y1802</f>
        <v>1454.7746893858591</v>
      </c>
      <c r="Z1807" s="65">
        <f t="shared" ref="Z1807" ca="1" si="4865">Z1797+Z1804+Z1799+Z1800+Z1801+Z1805+Z1795+Z1796+Z1802</f>
        <v>1454.7746893858591</v>
      </c>
      <c r="AA1807" s="65">
        <f t="shared" ref="AA1807" ca="1" si="4866">AA1797+AA1804+AA1799+AA1800+AA1801+AA1805+AA1795+AA1796+AA1802</f>
        <v>1454.7746893858591</v>
      </c>
      <c r="AB1807" s="65">
        <f t="shared" ref="AB1807:AC1807" ca="1" si="4867">AB1797+AB1804+AB1799+AB1800+AB1801+AB1805+AB1795+AB1796+AB1802</f>
        <v>1454.7746893858591</v>
      </c>
      <c r="AC1807" s="65">
        <f t="shared" ca="1" si="4867"/>
        <v>1454.7746893858591</v>
      </c>
      <c r="AD1807" s="65"/>
      <c r="AE1807" s="54">
        <f ca="1">SUM(F1807:AC1807)</f>
        <v>26122.157490497564</v>
      </c>
    </row>
    <row r="1808" spans="1:31" hidden="1" outlineLevel="1" x14ac:dyDescent="0.2">
      <c r="A1808" t="str">
        <f ca="1">Language!A$858</f>
        <v>Дисконтированный чистый денежный поток</v>
      </c>
      <c r="B1808" s="19"/>
      <c r="C1808" s="26" t="str">
        <f ca="1">C1789</f>
        <v>тыс. EUR</v>
      </c>
      <c r="D1808" s="26"/>
      <c r="E1808" s="19"/>
      <c r="F1808" s="53">
        <f t="shared" ref="F1808:T1808" ca="1" si="4868">F1807/F1792</f>
        <v>0</v>
      </c>
      <c r="G1808" s="53">
        <f t="shared" ca="1" si="4868"/>
        <v>0</v>
      </c>
      <c r="H1808" s="53">
        <f t="shared" ca="1" si="4868"/>
        <v>0</v>
      </c>
      <c r="I1808" s="53">
        <f t="shared" ca="1" si="4868"/>
        <v>0</v>
      </c>
      <c r="J1808" s="53">
        <f t="shared" ca="1" si="4868"/>
        <v>0</v>
      </c>
      <c r="K1808" s="53">
        <f t="shared" ca="1" si="4868"/>
        <v>2509.8527646790158</v>
      </c>
      <c r="L1808" s="53">
        <f t="shared" ca="1" si="4868"/>
        <v>13.541996131395418</v>
      </c>
      <c r="M1808" s="53">
        <f t="shared" ca="1" si="4868"/>
        <v>561.14069908046963</v>
      </c>
      <c r="N1808" s="53">
        <f t="shared" ca="1" si="4868"/>
        <v>796.70267996106247</v>
      </c>
      <c r="O1808" s="53">
        <f t="shared" ca="1" si="4868"/>
        <v>1037.198624964346</v>
      </c>
      <c r="P1808" s="53">
        <f t="shared" ca="1" si="4868"/>
        <v>1146.341522405615</v>
      </c>
      <c r="Q1808" s="53">
        <f t="shared" ca="1" si="4868"/>
        <v>1119.3498677187306</v>
      </c>
      <c r="R1808" s="53">
        <f t="shared" ca="1" si="4868"/>
        <v>1092.9937561125919</v>
      </c>
      <c r="S1808" s="53">
        <f t="shared" ca="1" si="4868"/>
        <v>1067.258223146812</v>
      </c>
      <c r="T1808" s="53">
        <f t="shared" ca="1" si="4868"/>
        <v>1042.1286567323771</v>
      </c>
      <c r="U1808" s="53">
        <f t="shared" ref="U1808" ca="1" si="4869">U1807/U1792</f>
        <v>1017.5907888352097</v>
      </c>
      <c r="V1808" s="53">
        <f t="shared" ref="V1808" ca="1" si="4870">V1807/V1792</f>
        <v>993.63068737508343</v>
      </c>
      <c r="W1808" s="53">
        <f t="shared" ref="W1808" ca="1" si="4871">W1807/W1792</f>
        <v>970.2347483152837</v>
      </c>
      <c r="X1808" s="53">
        <f t="shared" ref="X1808" ca="1" si="4872">X1807/X1792</f>
        <v>947.38968793852462</v>
      </c>
      <c r="Y1808" s="53">
        <f t="shared" ref="Y1808" ca="1" si="4873">Y1807/Y1792</f>
        <v>925.08253530473598</v>
      </c>
      <c r="Z1808" s="53">
        <f t="shared" ref="Z1808" ca="1" si="4874">Z1807/Z1792</f>
        <v>903.30062488643944</v>
      </c>
      <c r="AA1808" s="53">
        <f t="shared" ref="AA1808" ca="1" si="4875">AA1807/AA1792</f>
        <v>882.03158937753074</v>
      </c>
      <c r="AB1808" s="53">
        <f t="shared" ref="AB1808:AC1808" ca="1" si="4876">AB1807/AB1792</f>
        <v>861.26335267138609</v>
      </c>
      <c r="AC1808" s="53">
        <f t="shared" ca="1" si="4876"/>
        <v>840.9841230043055</v>
      </c>
      <c r="AD1808" s="65"/>
      <c r="AE1808" s="54">
        <f ca="1">SUM(F1808:AC1808)</f>
        <v>18728.016928640918</v>
      </c>
    </row>
    <row r="1809" spans="1:31" hidden="1" outlineLevel="1" x14ac:dyDescent="0.2">
      <c r="A1809" t="str">
        <f ca="1">Language!A$859</f>
        <v>Дисконтированный поток нарастающим итогом</v>
      </c>
      <c r="C1809" s="5" t="str">
        <f ca="1">C1789</f>
        <v>тыс. EUR</v>
      </c>
      <c r="D1809" s="16" t="s">
        <v>2594</v>
      </c>
      <c r="F1809" s="43">
        <f t="shared" ref="F1809:AC1809" ca="1" si="4877">E1809+F1808</f>
        <v>0</v>
      </c>
      <c r="G1809" s="43">
        <f t="shared" ca="1" si="4877"/>
        <v>0</v>
      </c>
      <c r="H1809" s="43">
        <f t="shared" ca="1" si="4877"/>
        <v>0</v>
      </c>
      <c r="I1809" s="43">
        <f t="shared" ca="1" si="4877"/>
        <v>0</v>
      </c>
      <c r="J1809" s="43">
        <f t="shared" ca="1" si="4877"/>
        <v>0</v>
      </c>
      <c r="K1809" s="43">
        <f t="shared" ca="1" si="4877"/>
        <v>2509.8527646790158</v>
      </c>
      <c r="L1809" s="43">
        <f t="shared" ca="1" si="4877"/>
        <v>2523.3947608104113</v>
      </c>
      <c r="M1809" s="43">
        <f t="shared" ca="1" si="4877"/>
        <v>3084.5354598908807</v>
      </c>
      <c r="N1809" s="43">
        <f t="shared" ca="1" si="4877"/>
        <v>3881.2381398519433</v>
      </c>
      <c r="O1809" s="43">
        <f t="shared" ca="1" si="4877"/>
        <v>4918.4367648162897</v>
      </c>
      <c r="P1809" s="43">
        <f t="shared" ca="1" si="4877"/>
        <v>6064.778287221905</v>
      </c>
      <c r="Q1809" s="43">
        <f t="shared" ca="1" si="4877"/>
        <v>7184.1281549406358</v>
      </c>
      <c r="R1809" s="43">
        <f t="shared" ca="1" si="4877"/>
        <v>8277.1219110532274</v>
      </c>
      <c r="S1809" s="43">
        <f t="shared" ca="1" si="4877"/>
        <v>9344.3801342000388</v>
      </c>
      <c r="T1809" s="43">
        <f t="shared" ca="1" si="4877"/>
        <v>10386.508790932416</v>
      </c>
      <c r="U1809" s="43">
        <f t="shared" ca="1" si="4877"/>
        <v>11404.099579767626</v>
      </c>
      <c r="V1809" s="43">
        <f t="shared" ca="1" si="4877"/>
        <v>12397.73026714271</v>
      </c>
      <c r="W1809" s="43">
        <f t="shared" ca="1" si="4877"/>
        <v>13367.965015457994</v>
      </c>
      <c r="X1809" s="43">
        <f t="shared" ca="1" si="4877"/>
        <v>14315.354703396519</v>
      </c>
      <c r="Y1809" s="43">
        <f t="shared" ca="1" si="4877"/>
        <v>15240.437238701255</v>
      </c>
      <c r="Z1809" s="43">
        <f t="shared" ca="1" si="4877"/>
        <v>16143.737863587696</v>
      </c>
      <c r="AA1809" s="43">
        <f t="shared" ca="1" si="4877"/>
        <v>17025.769452965225</v>
      </c>
      <c r="AB1809" s="43">
        <f t="shared" ca="1" si="4877"/>
        <v>17887.032805636612</v>
      </c>
      <c r="AC1809" s="43">
        <f t="shared" ca="1" si="4877"/>
        <v>18728.016928640918</v>
      </c>
      <c r="AD1809" s="43"/>
      <c r="AE1809" s="54"/>
    </row>
    <row r="1810" spans="1:31" hidden="1" outlineLevel="1" x14ac:dyDescent="0.2">
      <c r="F1810" s="43"/>
      <c r="G1810" s="43"/>
      <c r="H1810" s="43"/>
      <c r="I1810" s="43"/>
      <c r="J1810" s="43"/>
      <c r="K1810" s="43"/>
      <c r="L1810" s="43"/>
      <c r="M1810" s="43"/>
      <c r="N1810" s="43"/>
      <c r="O1810" s="43"/>
      <c r="P1810" s="43"/>
      <c r="Q1810" s="43"/>
      <c r="R1810" s="43"/>
      <c r="S1810" s="43"/>
      <c r="T1810" s="43"/>
      <c r="U1810" s="43"/>
      <c r="V1810" s="43"/>
      <c r="W1810" s="43"/>
      <c r="X1810" s="43"/>
      <c r="Y1810" s="43"/>
      <c r="Z1810" s="43"/>
      <c r="AA1810" s="43"/>
      <c r="AB1810" s="43"/>
      <c r="AC1810" s="43"/>
      <c r="AD1810" s="43"/>
      <c r="AE1810" s="54"/>
    </row>
    <row r="1811" spans="1:31" hidden="1" outlineLevel="1" collapsed="1" x14ac:dyDescent="0.2">
      <c r="A1811" s="23" t="str">
        <f ca="1">Language!A$860</f>
        <v>Простой срок окупаемости</v>
      </c>
      <c r="B1811" s="163" t="str">
        <f ca="1">IF(ISERROR(E1813),Language!A$834,IF(E1813&gt;=PRJ_Len,Language!A$834,IF(OR(E1813=0),E1813*PRJ_Step/360,(E1813-OFFSET(F1812,0,E1813-1)/(-OFFSET(F1812,0,E1813-1)+OFFSET(F1812,0,E1813)))*PRJ_Step/360)))</f>
        <v>Нет</v>
      </c>
      <c r="C1811" s="17" t="str">
        <f ca="1">IF(B1811=0,Language!A$33,IF(OR(B1811&lt;1,AND(B1811&gt;1,B1811&lt;5)),Language!A$835,IF(B1811=1,Language!A$37,Language!A$33)))</f>
        <v>лет</v>
      </c>
    </row>
    <row r="1812" spans="1:31" hidden="1" outlineLevel="2" x14ac:dyDescent="0.2">
      <c r="A1812" t="str">
        <f ca="1">Language!A$861</f>
        <v xml:space="preserve">    недисконтированный поток нарастающим итогом</v>
      </c>
      <c r="D1812" s="16" t="s">
        <v>2594</v>
      </c>
      <c r="F1812" s="53">
        <f t="shared" ref="F1812:AC1812" ca="1" si="4878">E1812+F1807</f>
        <v>0</v>
      </c>
      <c r="G1812" s="53">
        <f t="shared" ca="1" si="4878"/>
        <v>0</v>
      </c>
      <c r="H1812" s="53">
        <f t="shared" ca="1" si="4878"/>
        <v>0</v>
      </c>
      <c r="I1812" s="53">
        <f t="shared" ca="1" si="4878"/>
        <v>0</v>
      </c>
      <c r="J1812" s="53">
        <f t="shared" ca="1" si="4878"/>
        <v>0</v>
      </c>
      <c r="K1812" s="53">
        <f t="shared" ca="1" si="4878"/>
        <v>2827.4120312836421</v>
      </c>
      <c r="L1812" s="53">
        <f t="shared" ca="1" si="4878"/>
        <v>2843.035293184585</v>
      </c>
      <c r="M1812" s="53">
        <f t="shared" ca="1" si="4878"/>
        <v>3506.0283310907325</v>
      </c>
      <c r="N1812" s="53">
        <f t="shared" ca="1" si="4878"/>
        <v>4470.038573843618</v>
      </c>
      <c r="O1812" s="53">
        <f t="shared" ca="1" si="4878"/>
        <v>5755.3118390955333</v>
      </c>
      <c r="P1812" s="53">
        <f t="shared" ca="1" si="4878"/>
        <v>7210.0865284813926</v>
      </c>
      <c r="Q1812" s="53">
        <f t="shared" ca="1" si="4878"/>
        <v>8664.861217867252</v>
      </c>
      <c r="R1812" s="53">
        <f t="shared" ca="1" si="4878"/>
        <v>10119.63590725311</v>
      </c>
      <c r="S1812" s="53">
        <f t="shared" ca="1" si="4878"/>
        <v>11574.410596638969</v>
      </c>
      <c r="T1812" s="53">
        <f t="shared" ca="1" si="4878"/>
        <v>13029.185286024827</v>
      </c>
      <c r="U1812" s="53">
        <f t="shared" ca="1" si="4878"/>
        <v>14483.959975410686</v>
      </c>
      <c r="V1812" s="53">
        <f t="shared" ca="1" si="4878"/>
        <v>15938.734664796544</v>
      </c>
      <c r="W1812" s="53">
        <f t="shared" ca="1" si="4878"/>
        <v>17393.509354182403</v>
      </c>
      <c r="X1812" s="53">
        <f t="shared" ca="1" si="4878"/>
        <v>18848.284043568263</v>
      </c>
      <c r="Y1812" s="53">
        <f t="shared" ca="1" si="4878"/>
        <v>20303.058732954123</v>
      </c>
      <c r="Z1812" s="53">
        <f t="shared" ca="1" si="4878"/>
        <v>21757.833422339983</v>
      </c>
      <c r="AA1812" s="53">
        <f t="shared" ca="1" si="4878"/>
        <v>23212.608111725844</v>
      </c>
      <c r="AB1812" s="53">
        <f t="shared" ca="1" si="4878"/>
        <v>24667.382801111704</v>
      </c>
      <c r="AC1812" s="53">
        <f t="shared" ca="1" si="4878"/>
        <v>26122.157490497564</v>
      </c>
    </row>
    <row r="1813" spans="1:31" hidden="1" outlineLevel="2" x14ac:dyDescent="0.2">
      <c r="A1813" t="str">
        <f ca="1">Language!A$862</f>
        <v xml:space="preserve">    знак остатка денежных средств</v>
      </c>
      <c r="D1813" s="16" t="s">
        <v>2594</v>
      </c>
      <c r="E1813" s="100" t="e">
        <f ca="1">PRJ_Len+1-(MATCH(-1,F1814:AD1814,0))</f>
        <v>#N/A</v>
      </c>
      <c r="F1813" s="16">
        <f t="shared" ref="F1813:T1813" ca="1" si="4879">SIGN(F1812)</f>
        <v>0</v>
      </c>
      <c r="G1813" s="16">
        <f t="shared" ca="1" si="4879"/>
        <v>0</v>
      </c>
      <c r="H1813" s="16">
        <f t="shared" ca="1" si="4879"/>
        <v>0</v>
      </c>
      <c r="I1813" s="16">
        <f t="shared" ca="1" si="4879"/>
        <v>0</v>
      </c>
      <c r="J1813" s="16">
        <f t="shared" ca="1" si="4879"/>
        <v>0</v>
      </c>
      <c r="K1813" s="16">
        <f t="shared" ca="1" si="4879"/>
        <v>1</v>
      </c>
      <c r="L1813" s="16">
        <f t="shared" ca="1" si="4879"/>
        <v>1</v>
      </c>
      <c r="M1813" s="16">
        <f t="shared" ca="1" si="4879"/>
        <v>1</v>
      </c>
      <c r="N1813" s="16">
        <f t="shared" ca="1" si="4879"/>
        <v>1</v>
      </c>
      <c r="O1813" s="16">
        <f t="shared" ca="1" si="4879"/>
        <v>1</v>
      </c>
      <c r="P1813" s="16">
        <f t="shared" ca="1" si="4879"/>
        <v>1</v>
      </c>
      <c r="Q1813" s="16">
        <f t="shared" ca="1" si="4879"/>
        <v>1</v>
      </c>
      <c r="R1813" s="16">
        <f t="shared" ca="1" si="4879"/>
        <v>1</v>
      </c>
      <c r="S1813" s="16">
        <f t="shared" ca="1" si="4879"/>
        <v>1</v>
      </c>
      <c r="T1813" s="16">
        <f t="shared" ca="1" si="4879"/>
        <v>1</v>
      </c>
      <c r="U1813" s="16">
        <f t="shared" ref="U1813" ca="1" si="4880">SIGN(U1812)</f>
        <v>1</v>
      </c>
      <c r="V1813" s="16">
        <f t="shared" ref="V1813" ca="1" si="4881">SIGN(V1812)</f>
        <v>1</v>
      </c>
      <c r="W1813" s="16">
        <f t="shared" ref="W1813" ca="1" si="4882">SIGN(W1812)</f>
        <v>1</v>
      </c>
      <c r="X1813" s="16">
        <f t="shared" ref="X1813" ca="1" si="4883">SIGN(X1812)</f>
        <v>1</v>
      </c>
      <c r="Y1813" s="16">
        <f t="shared" ref="Y1813" ca="1" si="4884">SIGN(Y1812)</f>
        <v>1</v>
      </c>
      <c r="Z1813" s="16">
        <f t="shared" ref="Z1813" ca="1" si="4885">SIGN(Z1812)</f>
        <v>1</v>
      </c>
      <c r="AA1813" s="16">
        <f t="shared" ref="AA1813" ca="1" si="4886">SIGN(AA1812)</f>
        <v>1</v>
      </c>
      <c r="AB1813" s="16">
        <f t="shared" ref="AB1813:AC1813" ca="1" si="4887">SIGN(AB1812)</f>
        <v>1</v>
      </c>
      <c r="AC1813" s="16">
        <f t="shared" ca="1" si="4887"/>
        <v>1</v>
      </c>
    </row>
    <row r="1814" spans="1:31" hidden="1" outlineLevel="2" x14ac:dyDescent="0.2">
      <c r="A1814" t="str">
        <f ca="1">Language!A$863</f>
        <v xml:space="preserve">    знак остатка денежных средств (с конца)</v>
      </c>
      <c r="D1814" s="16" t="s">
        <v>2594</v>
      </c>
      <c r="F1814" s="100">
        <f t="shared" ref="F1814:T1814" ca="1" si="4888">OFFSET(F1813,0,PRJ_Len-F$29-F$29+1)</f>
        <v>1</v>
      </c>
      <c r="G1814" s="100">
        <f t="shared" ca="1" si="4888"/>
        <v>1</v>
      </c>
      <c r="H1814" s="100">
        <f t="shared" ca="1" si="4888"/>
        <v>1</v>
      </c>
      <c r="I1814" s="100">
        <f t="shared" ca="1" si="4888"/>
        <v>1</v>
      </c>
      <c r="J1814" s="100">
        <f t="shared" ca="1" si="4888"/>
        <v>1</v>
      </c>
      <c r="K1814" s="100">
        <f t="shared" ca="1" si="4888"/>
        <v>1</v>
      </c>
      <c r="L1814" s="100">
        <f t="shared" ca="1" si="4888"/>
        <v>1</v>
      </c>
      <c r="M1814" s="100">
        <f t="shared" ca="1" si="4888"/>
        <v>1</v>
      </c>
      <c r="N1814" s="100">
        <f t="shared" ca="1" si="4888"/>
        <v>1</v>
      </c>
      <c r="O1814" s="100">
        <f t="shared" ca="1" si="4888"/>
        <v>1</v>
      </c>
      <c r="P1814" s="100">
        <f t="shared" ca="1" si="4888"/>
        <v>1</v>
      </c>
      <c r="Q1814" s="100">
        <f t="shared" ca="1" si="4888"/>
        <v>1</v>
      </c>
      <c r="R1814" s="100">
        <f t="shared" ca="1" si="4888"/>
        <v>1</v>
      </c>
      <c r="S1814" s="100">
        <f t="shared" ca="1" si="4888"/>
        <v>1</v>
      </c>
      <c r="T1814" s="100">
        <f t="shared" ca="1" si="4888"/>
        <v>1</v>
      </c>
      <c r="U1814" s="100">
        <f t="shared" ref="U1814" ca="1" si="4889">OFFSET(U1813,0,PRJ_Len-U$29-U$29+1)</f>
        <v>1</v>
      </c>
      <c r="V1814" s="100">
        <f t="shared" ref="V1814" ca="1" si="4890">OFFSET(V1813,0,PRJ_Len-V$29-V$29+1)</f>
        <v>1</v>
      </c>
      <c r="W1814" s="100">
        <f t="shared" ref="W1814" ca="1" si="4891">OFFSET(W1813,0,PRJ_Len-W$29-W$29+1)</f>
        <v>1</v>
      </c>
      <c r="X1814" s="100">
        <f t="shared" ref="X1814" ca="1" si="4892">OFFSET(X1813,0,PRJ_Len-X$29-X$29+1)</f>
        <v>1</v>
      </c>
      <c r="Y1814" s="100">
        <f t="shared" ref="Y1814" ca="1" si="4893">OFFSET(Y1813,0,PRJ_Len-Y$29-Y$29+1)</f>
        <v>0</v>
      </c>
      <c r="Z1814" s="100">
        <f t="shared" ref="Z1814" ca="1" si="4894">OFFSET(Z1813,0,PRJ_Len-Z$29-Z$29+1)</f>
        <v>0</v>
      </c>
      <c r="AA1814" s="100">
        <f t="shared" ref="AA1814" ca="1" si="4895">OFFSET(AA1813,0,PRJ_Len-AA$29-AA$29+1)</f>
        <v>0</v>
      </c>
      <c r="AB1814" s="100">
        <f t="shared" ref="AB1814:AC1814" ca="1" si="4896">OFFSET(AB1813,0,PRJ_Len-AB$29-AB$29+1)</f>
        <v>0</v>
      </c>
      <c r="AC1814" s="100">
        <f t="shared" ca="1" si="4896"/>
        <v>0</v>
      </c>
    </row>
    <row r="1815" spans="1:31" hidden="1" outlineLevel="1" x14ac:dyDescent="0.2"/>
    <row r="1816" spans="1:31" hidden="1" outlineLevel="1" x14ac:dyDescent="0.2">
      <c r="A1816" s="35" t="str">
        <f ca="1">Language!A$864</f>
        <v>Чистая приведенная стоимость (NPV)</v>
      </c>
      <c r="B1816" s="150">
        <f ca="1">AE1808</f>
        <v>18728.016928640918</v>
      </c>
      <c r="C1816" s="5" t="str">
        <f ca="1">C1789</f>
        <v>тыс. EUR</v>
      </c>
    </row>
    <row r="1817" spans="1:31" hidden="1" outlineLevel="1" collapsed="1" x14ac:dyDescent="0.2">
      <c r="A1817" s="35" t="str">
        <f ca="1">Language!A$865</f>
        <v>Дисконтированный срок окупаемости (PBP)</v>
      </c>
      <c r="B1817" s="149" t="str">
        <f ca="1">IF(ISERROR(E1818),Language!A$834,IF(E1818&gt;=PRJ_Len,Language!A$834,IF(OR(E1818=0),E1818*PRJ_Step/360,(E1818-OFFSET(F1809,0,E1818-1)/(-OFFSET(F1809,0,E1818-1)+OFFSET(F1809,0,E1818)))*PRJ_Step/360)))</f>
        <v>Нет</v>
      </c>
      <c r="C1817" s="17" t="str">
        <f ca="1">IF(B1817=0,Language!A$33,IF(OR(B1817&lt;1,AND(B1817&gt;1,B1817&lt;5)),Language!A$835,IF(B1817=1,Language!A$37,Language!A$33)))</f>
        <v>лет</v>
      </c>
    </row>
    <row r="1818" spans="1:31" hidden="1" outlineLevel="2" x14ac:dyDescent="0.2">
      <c r="A1818" s="179" t="str">
        <f ca="1">Language!A$866</f>
        <v xml:space="preserve">    знак остатка дисконтированных денежных средств</v>
      </c>
      <c r="B1818" s="179"/>
      <c r="D1818" s="16" t="s">
        <v>2594</v>
      </c>
      <c r="E1818" s="100" t="e">
        <f ca="1">PRJ_Len+1-(MATCH(-1,F1819:AD1819,0))</f>
        <v>#N/A</v>
      </c>
      <c r="F1818" s="16">
        <f t="shared" ref="F1818:T1818" ca="1" si="4897">SIGN(F1809)</f>
        <v>0</v>
      </c>
      <c r="G1818" s="16">
        <f t="shared" ca="1" si="4897"/>
        <v>0</v>
      </c>
      <c r="H1818" s="16">
        <f t="shared" ca="1" si="4897"/>
        <v>0</v>
      </c>
      <c r="I1818" s="16">
        <f t="shared" ca="1" si="4897"/>
        <v>0</v>
      </c>
      <c r="J1818" s="16">
        <f t="shared" ca="1" si="4897"/>
        <v>0</v>
      </c>
      <c r="K1818" s="16">
        <f t="shared" ca="1" si="4897"/>
        <v>1</v>
      </c>
      <c r="L1818" s="16">
        <f t="shared" ca="1" si="4897"/>
        <v>1</v>
      </c>
      <c r="M1818" s="16">
        <f t="shared" ca="1" si="4897"/>
        <v>1</v>
      </c>
      <c r="N1818" s="16">
        <f t="shared" ca="1" si="4897"/>
        <v>1</v>
      </c>
      <c r="O1818" s="16">
        <f t="shared" ca="1" si="4897"/>
        <v>1</v>
      </c>
      <c r="P1818" s="16">
        <f t="shared" ca="1" si="4897"/>
        <v>1</v>
      </c>
      <c r="Q1818" s="16">
        <f t="shared" ca="1" si="4897"/>
        <v>1</v>
      </c>
      <c r="R1818" s="16">
        <f t="shared" ca="1" si="4897"/>
        <v>1</v>
      </c>
      <c r="S1818" s="16">
        <f t="shared" ca="1" si="4897"/>
        <v>1</v>
      </c>
      <c r="T1818" s="16">
        <f t="shared" ca="1" si="4897"/>
        <v>1</v>
      </c>
      <c r="U1818" s="16">
        <f t="shared" ref="U1818" ca="1" si="4898">SIGN(U1809)</f>
        <v>1</v>
      </c>
      <c r="V1818" s="16">
        <f t="shared" ref="V1818" ca="1" si="4899">SIGN(V1809)</f>
        <v>1</v>
      </c>
      <c r="W1818" s="16">
        <f t="shared" ref="W1818" ca="1" si="4900">SIGN(W1809)</f>
        <v>1</v>
      </c>
      <c r="X1818" s="16">
        <f t="shared" ref="X1818" ca="1" si="4901">SIGN(X1809)</f>
        <v>1</v>
      </c>
      <c r="Y1818" s="16">
        <f t="shared" ref="Y1818" ca="1" si="4902">SIGN(Y1809)</f>
        <v>1</v>
      </c>
      <c r="Z1818" s="16">
        <f t="shared" ref="Z1818" ca="1" si="4903">SIGN(Z1809)</f>
        <v>1</v>
      </c>
      <c r="AA1818" s="16">
        <f t="shared" ref="AA1818" ca="1" si="4904">SIGN(AA1809)</f>
        <v>1</v>
      </c>
      <c r="AB1818" s="16">
        <f t="shared" ref="AB1818:AC1818" ca="1" si="4905">SIGN(AB1809)</f>
        <v>1</v>
      </c>
      <c r="AC1818" s="16">
        <f t="shared" ca="1" si="4905"/>
        <v>1</v>
      </c>
    </row>
    <row r="1819" spans="1:31" hidden="1" outlineLevel="2" x14ac:dyDescent="0.2">
      <c r="A1819" s="179" t="str">
        <f ca="1">Language!A$867</f>
        <v xml:space="preserve">    знак остатка дисконтированных денежных средств (с конца)</v>
      </c>
      <c r="B1819" s="179"/>
      <c r="D1819" s="16" t="s">
        <v>2594</v>
      </c>
      <c r="F1819" s="100">
        <f t="shared" ref="F1819:T1819" ca="1" si="4906">OFFSET(F1818,0,PRJ_Len-F$29-F$29+1)</f>
        <v>1</v>
      </c>
      <c r="G1819" s="100">
        <f t="shared" ca="1" si="4906"/>
        <v>1</v>
      </c>
      <c r="H1819" s="100">
        <f t="shared" ca="1" si="4906"/>
        <v>1</v>
      </c>
      <c r="I1819" s="100">
        <f t="shared" ca="1" si="4906"/>
        <v>1</v>
      </c>
      <c r="J1819" s="100">
        <f t="shared" ca="1" si="4906"/>
        <v>1</v>
      </c>
      <c r="K1819" s="100">
        <f t="shared" ca="1" si="4906"/>
        <v>1</v>
      </c>
      <c r="L1819" s="100">
        <f t="shared" ca="1" si="4906"/>
        <v>1</v>
      </c>
      <c r="M1819" s="100">
        <f t="shared" ca="1" si="4906"/>
        <v>1</v>
      </c>
      <c r="N1819" s="100">
        <f t="shared" ca="1" si="4906"/>
        <v>1</v>
      </c>
      <c r="O1819" s="100">
        <f t="shared" ca="1" si="4906"/>
        <v>1</v>
      </c>
      <c r="P1819" s="100">
        <f t="shared" ca="1" si="4906"/>
        <v>1</v>
      </c>
      <c r="Q1819" s="100">
        <f t="shared" ca="1" si="4906"/>
        <v>1</v>
      </c>
      <c r="R1819" s="100">
        <f t="shared" ca="1" si="4906"/>
        <v>1</v>
      </c>
      <c r="S1819" s="100">
        <f t="shared" ca="1" si="4906"/>
        <v>1</v>
      </c>
      <c r="T1819" s="100">
        <f t="shared" ca="1" si="4906"/>
        <v>1</v>
      </c>
      <c r="U1819" s="100">
        <f t="shared" ref="U1819" ca="1" si="4907">OFFSET(U1818,0,PRJ_Len-U$29-U$29+1)</f>
        <v>1</v>
      </c>
      <c r="V1819" s="100">
        <f t="shared" ref="V1819" ca="1" si="4908">OFFSET(V1818,0,PRJ_Len-V$29-V$29+1)</f>
        <v>1</v>
      </c>
      <c r="W1819" s="100">
        <f t="shared" ref="W1819" ca="1" si="4909">OFFSET(W1818,0,PRJ_Len-W$29-W$29+1)</f>
        <v>1</v>
      </c>
      <c r="X1819" s="100">
        <f t="shared" ref="X1819" ca="1" si="4910">OFFSET(X1818,0,PRJ_Len-X$29-X$29+1)</f>
        <v>1</v>
      </c>
      <c r="Y1819" s="100">
        <f t="shared" ref="Y1819" ca="1" si="4911">OFFSET(Y1818,0,PRJ_Len-Y$29-Y$29+1)</f>
        <v>0</v>
      </c>
      <c r="Z1819" s="100">
        <f t="shared" ref="Z1819" ca="1" si="4912">OFFSET(Z1818,0,PRJ_Len-Z$29-Z$29+1)</f>
        <v>0</v>
      </c>
      <c r="AA1819" s="100">
        <f t="shared" ref="AA1819" ca="1" si="4913">OFFSET(AA1818,0,PRJ_Len-AA$29-AA$29+1)</f>
        <v>0</v>
      </c>
      <c r="AB1819" s="100">
        <f t="shared" ref="AB1819:AC1819" ca="1" si="4914">OFFSET(AB1818,0,PRJ_Len-AB$29-AB$29+1)</f>
        <v>0</v>
      </c>
      <c r="AC1819" s="100">
        <f t="shared" ca="1" si="4914"/>
        <v>0</v>
      </c>
    </row>
    <row r="1820" spans="1:31" hidden="1" outlineLevel="1" collapsed="1" x14ac:dyDescent="0.2">
      <c r="A1820" s="129" t="str">
        <f ca="1">Language!A$868</f>
        <v>Внутренняя норма рентабельности (IRR)</v>
      </c>
      <c r="B1820" s="151" t="str">
        <f ca="1">IF(ISERROR(E1820),Language!A$834,IF(AND(E1820&gt;0,E1820&lt;100),E1820,Language!A$834))</f>
        <v>Нет</v>
      </c>
      <c r="C1820" s="106" t="str">
        <f ca="1">Language!A$837</f>
        <v>(номинальная - с учетом инфляции)</v>
      </c>
      <c r="E1820" s="16" t="e">
        <f ca="1">(POWER(1+IRR(F1821:AC1821,0.2*PRJ_Step/360),360/PRJ_Step)-1)</f>
        <v>#NUM!</v>
      </c>
    </row>
    <row r="1821" spans="1:31" s="48" customFormat="1" hidden="1" outlineLevel="2" x14ac:dyDescent="0.2">
      <c r="A1821" s="24" t="str">
        <f ca="1">Language!A$857</f>
        <v>Чистый денежный поток</v>
      </c>
      <c r="B1821" s="222"/>
      <c r="C1821" s="215"/>
      <c r="E1821" s="100"/>
      <c r="F1821" s="65">
        <f t="shared" ref="F1821:T1821" ca="1" si="4915">F1807*F1822</f>
        <v>0</v>
      </c>
      <c r="G1821" s="65">
        <f t="shared" ca="1" si="4915"/>
        <v>0</v>
      </c>
      <c r="H1821" s="65">
        <f t="shared" ca="1" si="4915"/>
        <v>0</v>
      </c>
      <c r="I1821" s="65">
        <f t="shared" ca="1" si="4915"/>
        <v>0</v>
      </c>
      <c r="J1821" s="65">
        <f t="shared" ca="1" si="4915"/>
        <v>0</v>
      </c>
      <c r="K1821" s="65">
        <f t="shared" ca="1" si="4915"/>
        <v>2827.4120312836421</v>
      </c>
      <c r="L1821" s="65">
        <f t="shared" ca="1" si="4915"/>
        <v>15.623261900942822</v>
      </c>
      <c r="M1821" s="65">
        <f t="shared" ca="1" si="4915"/>
        <v>662.99303790614749</v>
      </c>
      <c r="N1821" s="65">
        <f t="shared" ca="1" si="4915"/>
        <v>964.01024275288535</v>
      </c>
      <c r="O1821" s="65">
        <f t="shared" ca="1" si="4915"/>
        <v>1285.2732652519153</v>
      </c>
      <c r="P1821" s="65">
        <f t="shared" ca="1" si="4915"/>
        <v>1454.7746893858591</v>
      </c>
      <c r="Q1821" s="65">
        <f t="shared" ca="1" si="4915"/>
        <v>1454.7746893858591</v>
      </c>
      <c r="R1821" s="65">
        <f t="shared" ca="1" si="4915"/>
        <v>1454.7746893858591</v>
      </c>
      <c r="S1821" s="65">
        <f t="shared" ca="1" si="4915"/>
        <v>1454.7746893858591</v>
      </c>
      <c r="T1821" s="65">
        <f t="shared" ca="1" si="4915"/>
        <v>1454.7746893858591</v>
      </c>
      <c r="U1821" s="65">
        <f t="shared" ref="U1821" ca="1" si="4916">U1807*U1822</f>
        <v>1454.7746893858591</v>
      </c>
      <c r="V1821" s="65">
        <f t="shared" ref="V1821" ca="1" si="4917">V1807*V1822</f>
        <v>1454.7746893858591</v>
      </c>
      <c r="W1821" s="65">
        <f t="shared" ref="W1821" ca="1" si="4918">W1807*W1822</f>
        <v>1454.7746893858591</v>
      </c>
      <c r="X1821" s="65">
        <f t="shared" ref="X1821" ca="1" si="4919">X1807*X1822</f>
        <v>1454.7746893858591</v>
      </c>
      <c r="Y1821" s="65">
        <f t="shared" ref="Y1821" ca="1" si="4920">Y1807*Y1822</f>
        <v>1454.7746893858591</v>
      </c>
      <c r="Z1821" s="65">
        <f t="shared" ref="Z1821" ca="1" si="4921">Z1807*Z1822</f>
        <v>1454.7746893858591</v>
      </c>
      <c r="AA1821" s="65">
        <f t="shared" ref="AA1821" ca="1" si="4922">AA1807*AA1822</f>
        <v>1454.7746893858591</v>
      </c>
      <c r="AB1821" s="65">
        <f t="shared" ref="AB1821:AC1821" ca="1" si="4923">AB1807*AB1822</f>
        <v>1454.7746893858591</v>
      </c>
      <c r="AC1821" s="65">
        <f t="shared" ca="1" si="4923"/>
        <v>1454.7746893858591</v>
      </c>
      <c r="AE1821" s="41"/>
    </row>
    <row r="1822" spans="1:31" s="48" customFormat="1" hidden="1" outlineLevel="2" x14ac:dyDescent="0.2">
      <c r="A1822" s="24" t="str">
        <f ca="1">Language!$A$118 &amp; IF(CalcMethod=1,Language!A$109,Language!A$108)</f>
        <v>Множитель прироста цен  (включен)</v>
      </c>
      <c r="B1822" s="222"/>
      <c r="C1822" s="215"/>
      <c r="E1822" s="100"/>
      <c r="F1822" s="315">
        <v>1</v>
      </c>
      <c r="G1822" s="315">
        <f t="shared" ref="G1822:AC1822" si="4924">IF(CalcMethod=1,F1822*(1+IF($B$1789=1,G$81,G$92)),1)</f>
        <v>1</v>
      </c>
      <c r="H1822" s="315">
        <f t="shared" si="4924"/>
        <v>1</v>
      </c>
      <c r="I1822" s="315">
        <f t="shared" si="4924"/>
        <v>1</v>
      </c>
      <c r="J1822" s="315">
        <f t="shared" si="4924"/>
        <v>1</v>
      </c>
      <c r="K1822" s="315">
        <f t="shared" si="4924"/>
        <v>1</v>
      </c>
      <c r="L1822" s="315">
        <f t="shared" si="4924"/>
        <v>1</v>
      </c>
      <c r="M1822" s="315">
        <f t="shared" si="4924"/>
        <v>1</v>
      </c>
      <c r="N1822" s="315">
        <f t="shared" si="4924"/>
        <v>1</v>
      </c>
      <c r="O1822" s="315">
        <f t="shared" si="4924"/>
        <v>1</v>
      </c>
      <c r="P1822" s="315">
        <f t="shared" si="4924"/>
        <v>1</v>
      </c>
      <c r="Q1822" s="315">
        <f t="shared" si="4924"/>
        <v>1</v>
      </c>
      <c r="R1822" s="315">
        <f t="shared" si="4924"/>
        <v>1</v>
      </c>
      <c r="S1822" s="315">
        <f t="shared" si="4924"/>
        <v>1</v>
      </c>
      <c r="T1822" s="315">
        <f t="shared" si="4924"/>
        <v>1</v>
      </c>
      <c r="U1822" s="315">
        <f t="shared" si="4924"/>
        <v>1</v>
      </c>
      <c r="V1822" s="315">
        <f t="shared" si="4924"/>
        <v>1</v>
      </c>
      <c r="W1822" s="315">
        <f t="shared" si="4924"/>
        <v>1</v>
      </c>
      <c r="X1822" s="315">
        <f t="shared" si="4924"/>
        <v>1</v>
      </c>
      <c r="Y1822" s="315">
        <f t="shared" si="4924"/>
        <v>1</v>
      </c>
      <c r="Z1822" s="315">
        <f t="shared" si="4924"/>
        <v>1</v>
      </c>
      <c r="AA1822" s="315">
        <f t="shared" si="4924"/>
        <v>1</v>
      </c>
      <c r="AB1822" s="315">
        <f t="shared" si="4924"/>
        <v>1</v>
      </c>
      <c r="AC1822" s="315">
        <f t="shared" si="4924"/>
        <v>1</v>
      </c>
      <c r="AE1822" s="41"/>
    </row>
    <row r="1823" spans="1:31" hidden="1" outlineLevel="1" collapsed="1" x14ac:dyDescent="0.2">
      <c r="A1823" s="23" t="str">
        <f ca="1">Language!A$869</f>
        <v>Норма доходности дисконтированных затрат (PI)</v>
      </c>
      <c r="B1823" s="310" t="str">
        <f ca="1">IF(AE1827&lt;0,AE1825/-AE1827,Language!A$834)</f>
        <v>Нет</v>
      </c>
      <c r="C1823" s="5" t="str">
        <f ca="1">Language!A$198</f>
        <v>разы</v>
      </c>
    </row>
    <row r="1824" spans="1:31" hidden="1" outlineLevel="2" x14ac:dyDescent="0.2">
      <c r="A1824" t="str">
        <f ca="1">Language!A$870</f>
        <v xml:space="preserve">    притоки</v>
      </c>
      <c r="C1824" s="5" t="str">
        <f ca="1">C1789</f>
        <v>тыс. EUR</v>
      </c>
      <c r="F1824" s="43">
        <f t="shared" ref="F1824:T1824" ca="1" si="4925">MAX(0,F1807)</f>
        <v>0</v>
      </c>
      <c r="G1824" s="43">
        <f t="shared" ca="1" si="4925"/>
        <v>0</v>
      </c>
      <c r="H1824" s="43">
        <f t="shared" ca="1" si="4925"/>
        <v>0</v>
      </c>
      <c r="I1824" s="43">
        <f t="shared" ca="1" si="4925"/>
        <v>0</v>
      </c>
      <c r="J1824" s="43">
        <f t="shared" ca="1" si="4925"/>
        <v>0</v>
      </c>
      <c r="K1824" s="43">
        <f t="shared" ca="1" si="4925"/>
        <v>2827.4120312836421</v>
      </c>
      <c r="L1824" s="43">
        <f t="shared" ca="1" si="4925"/>
        <v>15.623261900942822</v>
      </c>
      <c r="M1824" s="43">
        <f t="shared" ca="1" si="4925"/>
        <v>662.99303790614749</v>
      </c>
      <c r="N1824" s="43">
        <f t="shared" ca="1" si="4925"/>
        <v>964.01024275288535</v>
      </c>
      <c r="O1824" s="43">
        <f t="shared" ca="1" si="4925"/>
        <v>1285.2732652519153</v>
      </c>
      <c r="P1824" s="43">
        <f t="shared" ca="1" si="4925"/>
        <v>1454.7746893858591</v>
      </c>
      <c r="Q1824" s="43">
        <f t="shared" ca="1" si="4925"/>
        <v>1454.7746893858591</v>
      </c>
      <c r="R1824" s="43">
        <f t="shared" ca="1" si="4925"/>
        <v>1454.7746893858591</v>
      </c>
      <c r="S1824" s="43">
        <f t="shared" ca="1" si="4925"/>
        <v>1454.7746893858591</v>
      </c>
      <c r="T1824" s="43">
        <f t="shared" ca="1" si="4925"/>
        <v>1454.7746893858591</v>
      </c>
      <c r="U1824" s="43">
        <f t="shared" ref="U1824" ca="1" si="4926">MAX(0,U1807)</f>
        <v>1454.7746893858591</v>
      </c>
      <c r="V1824" s="43">
        <f t="shared" ref="V1824" ca="1" si="4927">MAX(0,V1807)</f>
        <v>1454.7746893858591</v>
      </c>
      <c r="W1824" s="43">
        <f t="shared" ref="W1824" ca="1" si="4928">MAX(0,W1807)</f>
        <v>1454.7746893858591</v>
      </c>
      <c r="X1824" s="43">
        <f t="shared" ref="X1824" ca="1" si="4929">MAX(0,X1807)</f>
        <v>1454.7746893858591</v>
      </c>
      <c r="Y1824" s="43">
        <f t="shared" ref="Y1824" ca="1" si="4930">MAX(0,Y1807)</f>
        <v>1454.7746893858591</v>
      </c>
      <c r="Z1824" s="43">
        <f t="shared" ref="Z1824" ca="1" si="4931">MAX(0,Z1807)</f>
        <v>1454.7746893858591</v>
      </c>
      <c r="AA1824" s="43">
        <f t="shared" ref="AA1824" ca="1" si="4932">MAX(0,AA1807)</f>
        <v>1454.7746893858591</v>
      </c>
      <c r="AB1824" s="43">
        <f t="shared" ref="AB1824:AC1824" ca="1" si="4933">MAX(0,AB1807)</f>
        <v>1454.7746893858591</v>
      </c>
      <c r="AC1824" s="43">
        <f t="shared" ca="1" si="4933"/>
        <v>1454.7746893858591</v>
      </c>
      <c r="AE1824" s="54">
        <f ca="1">SUM(F1824:AC1824)</f>
        <v>26122.157490497564</v>
      </c>
    </row>
    <row r="1825" spans="1:31" hidden="1" outlineLevel="2" x14ac:dyDescent="0.2">
      <c r="A1825" t="str">
        <f ca="1">Language!A$871</f>
        <v xml:space="preserve">    дисконтированные притоки</v>
      </c>
      <c r="C1825" s="5" t="str">
        <f ca="1">C1789</f>
        <v>тыс. EUR</v>
      </c>
      <c r="F1825" s="43">
        <f t="shared" ref="F1825:T1825" ca="1" si="4934">F1824/F1792</f>
        <v>0</v>
      </c>
      <c r="G1825" s="43">
        <f t="shared" ca="1" si="4934"/>
        <v>0</v>
      </c>
      <c r="H1825" s="43">
        <f t="shared" ca="1" si="4934"/>
        <v>0</v>
      </c>
      <c r="I1825" s="43">
        <f t="shared" ca="1" si="4934"/>
        <v>0</v>
      </c>
      <c r="J1825" s="43">
        <f t="shared" ca="1" si="4934"/>
        <v>0</v>
      </c>
      <c r="K1825" s="43">
        <f t="shared" ca="1" si="4934"/>
        <v>2509.8527646790158</v>
      </c>
      <c r="L1825" s="43">
        <f t="shared" ca="1" si="4934"/>
        <v>13.541996131395418</v>
      </c>
      <c r="M1825" s="43">
        <f t="shared" ca="1" si="4934"/>
        <v>561.14069908046963</v>
      </c>
      <c r="N1825" s="43">
        <f t="shared" ca="1" si="4934"/>
        <v>796.70267996106247</v>
      </c>
      <c r="O1825" s="43">
        <f t="shared" ca="1" si="4934"/>
        <v>1037.198624964346</v>
      </c>
      <c r="P1825" s="43">
        <f t="shared" ca="1" si="4934"/>
        <v>1146.341522405615</v>
      </c>
      <c r="Q1825" s="43">
        <f t="shared" ca="1" si="4934"/>
        <v>1119.3498677187306</v>
      </c>
      <c r="R1825" s="43">
        <f t="shared" ca="1" si="4934"/>
        <v>1092.9937561125919</v>
      </c>
      <c r="S1825" s="43">
        <f t="shared" ca="1" si="4934"/>
        <v>1067.258223146812</v>
      </c>
      <c r="T1825" s="43">
        <f t="shared" ca="1" si="4934"/>
        <v>1042.1286567323771</v>
      </c>
      <c r="U1825" s="43">
        <f t="shared" ref="U1825" ca="1" si="4935">U1824/U1792</f>
        <v>1017.5907888352097</v>
      </c>
      <c r="V1825" s="43">
        <f t="shared" ref="V1825" ca="1" si="4936">V1824/V1792</f>
        <v>993.63068737508343</v>
      </c>
      <c r="W1825" s="43">
        <f t="shared" ref="W1825" ca="1" si="4937">W1824/W1792</f>
        <v>970.2347483152837</v>
      </c>
      <c r="X1825" s="43">
        <f t="shared" ref="X1825" ca="1" si="4938">X1824/X1792</f>
        <v>947.38968793852462</v>
      </c>
      <c r="Y1825" s="43">
        <f t="shared" ref="Y1825" ca="1" si="4939">Y1824/Y1792</f>
        <v>925.08253530473598</v>
      </c>
      <c r="Z1825" s="43">
        <f t="shared" ref="Z1825" ca="1" si="4940">Z1824/Z1792</f>
        <v>903.30062488643944</v>
      </c>
      <c r="AA1825" s="43">
        <f t="shared" ref="AA1825" ca="1" si="4941">AA1824/AA1792</f>
        <v>882.03158937753074</v>
      </c>
      <c r="AB1825" s="43">
        <f t="shared" ref="AB1825:AC1825" ca="1" si="4942">AB1824/AB1792</f>
        <v>861.26335267138609</v>
      </c>
      <c r="AC1825" s="43">
        <f t="shared" ca="1" si="4942"/>
        <v>840.9841230043055</v>
      </c>
      <c r="AE1825" s="54">
        <f ca="1">SUM(F1825:AC1825)</f>
        <v>18728.016928640918</v>
      </c>
    </row>
    <row r="1826" spans="1:31" hidden="1" outlineLevel="2" x14ac:dyDescent="0.2">
      <c r="A1826" t="str">
        <f ca="1">Language!A$872</f>
        <v xml:space="preserve">    оттоки</v>
      </c>
      <c r="C1826" s="5" t="str">
        <f ca="1">C1789</f>
        <v>тыс. EUR</v>
      </c>
      <c r="F1826" s="43">
        <f t="shared" ref="F1826:T1826" ca="1" si="4943">MIN(0,F1807)</f>
        <v>0</v>
      </c>
      <c r="G1826" s="43">
        <f t="shared" ca="1" si="4943"/>
        <v>0</v>
      </c>
      <c r="H1826" s="43">
        <f t="shared" ca="1" si="4943"/>
        <v>0</v>
      </c>
      <c r="I1826" s="43">
        <f t="shared" ca="1" si="4943"/>
        <v>0</v>
      </c>
      <c r="J1826" s="43">
        <f t="shared" ca="1" si="4943"/>
        <v>0</v>
      </c>
      <c r="K1826" s="43">
        <f t="shared" ca="1" si="4943"/>
        <v>0</v>
      </c>
      <c r="L1826" s="43">
        <f t="shared" ca="1" si="4943"/>
        <v>0</v>
      </c>
      <c r="M1826" s="43">
        <f t="shared" ca="1" si="4943"/>
        <v>0</v>
      </c>
      <c r="N1826" s="43">
        <f t="shared" ca="1" si="4943"/>
        <v>0</v>
      </c>
      <c r="O1826" s="43">
        <f t="shared" ca="1" si="4943"/>
        <v>0</v>
      </c>
      <c r="P1826" s="43">
        <f t="shared" ca="1" si="4943"/>
        <v>0</v>
      </c>
      <c r="Q1826" s="43">
        <f t="shared" ca="1" si="4943"/>
        <v>0</v>
      </c>
      <c r="R1826" s="43">
        <f t="shared" ca="1" si="4943"/>
        <v>0</v>
      </c>
      <c r="S1826" s="43">
        <f t="shared" ca="1" si="4943"/>
        <v>0</v>
      </c>
      <c r="T1826" s="43">
        <f t="shared" ca="1" si="4943"/>
        <v>0</v>
      </c>
      <c r="U1826" s="43">
        <f t="shared" ref="U1826" ca="1" si="4944">MIN(0,U1807)</f>
        <v>0</v>
      </c>
      <c r="V1826" s="43">
        <f t="shared" ref="V1826" ca="1" si="4945">MIN(0,V1807)</f>
        <v>0</v>
      </c>
      <c r="W1826" s="43">
        <f t="shared" ref="W1826" ca="1" si="4946">MIN(0,W1807)</f>
        <v>0</v>
      </c>
      <c r="X1826" s="43">
        <f t="shared" ref="X1826" ca="1" si="4947">MIN(0,X1807)</f>
        <v>0</v>
      </c>
      <c r="Y1826" s="43">
        <f t="shared" ref="Y1826" ca="1" si="4948">MIN(0,Y1807)</f>
        <v>0</v>
      </c>
      <c r="Z1826" s="43">
        <f t="shared" ref="Z1826" ca="1" si="4949">MIN(0,Z1807)</f>
        <v>0</v>
      </c>
      <c r="AA1826" s="43">
        <f t="shared" ref="AA1826" ca="1" si="4950">MIN(0,AA1807)</f>
        <v>0</v>
      </c>
      <c r="AB1826" s="43">
        <f t="shared" ref="AB1826:AC1826" ca="1" si="4951">MIN(0,AB1807)</f>
        <v>0</v>
      </c>
      <c r="AC1826" s="43">
        <f t="shared" ca="1" si="4951"/>
        <v>0</v>
      </c>
      <c r="AE1826" s="54">
        <f ca="1">SUM(F1826:AC1826)</f>
        <v>0</v>
      </c>
    </row>
    <row r="1827" spans="1:31" hidden="1" outlineLevel="2" x14ac:dyDescent="0.2">
      <c r="A1827" t="str">
        <f ca="1">Language!A$873</f>
        <v xml:space="preserve">    дисконтированные оттоки</v>
      </c>
      <c r="C1827" s="5" t="str">
        <f ca="1">C1789</f>
        <v>тыс. EUR</v>
      </c>
      <c r="F1827" s="43">
        <f t="shared" ref="F1827:T1827" ca="1" si="4952">F1826/F1792</f>
        <v>0</v>
      </c>
      <c r="G1827" s="43">
        <f t="shared" ca="1" si="4952"/>
        <v>0</v>
      </c>
      <c r="H1827" s="43">
        <f t="shared" ca="1" si="4952"/>
        <v>0</v>
      </c>
      <c r="I1827" s="43">
        <f t="shared" ca="1" si="4952"/>
        <v>0</v>
      </c>
      <c r="J1827" s="43">
        <f t="shared" ca="1" si="4952"/>
        <v>0</v>
      </c>
      <c r="K1827" s="43">
        <f t="shared" ca="1" si="4952"/>
        <v>0</v>
      </c>
      <c r="L1827" s="43">
        <f t="shared" ca="1" si="4952"/>
        <v>0</v>
      </c>
      <c r="M1827" s="43">
        <f t="shared" ca="1" si="4952"/>
        <v>0</v>
      </c>
      <c r="N1827" s="43">
        <f t="shared" ca="1" si="4952"/>
        <v>0</v>
      </c>
      <c r="O1827" s="43">
        <f t="shared" ca="1" si="4952"/>
        <v>0</v>
      </c>
      <c r="P1827" s="43">
        <f t="shared" ca="1" si="4952"/>
        <v>0</v>
      </c>
      <c r="Q1827" s="43">
        <f t="shared" ca="1" si="4952"/>
        <v>0</v>
      </c>
      <c r="R1827" s="43">
        <f t="shared" ca="1" si="4952"/>
        <v>0</v>
      </c>
      <c r="S1827" s="43">
        <f t="shared" ca="1" si="4952"/>
        <v>0</v>
      </c>
      <c r="T1827" s="43">
        <f t="shared" ca="1" si="4952"/>
        <v>0</v>
      </c>
      <c r="U1827" s="43">
        <f t="shared" ref="U1827" ca="1" si="4953">U1826/U1792</f>
        <v>0</v>
      </c>
      <c r="V1827" s="43">
        <f t="shared" ref="V1827" ca="1" si="4954">V1826/V1792</f>
        <v>0</v>
      </c>
      <c r="W1827" s="43">
        <f t="shared" ref="W1827" ca="1" si="4955">W1826/W1792</f>
        <v>0</v>
      </c>
      <c r="X1827" s="43">
        <f t="shared" ref="X1827" ca="1" si="4956">X1826/X1792</f>
        <v>0</v>
      </c>
      <c r="Y1827" s="43">
        <f t="shared" ref="Y1827" ca="1" si="4957">Y1826/Y1792</f>
        <v>0</v>
      </c>
      <c r="Z1827" s="43">
        <f t="shared" ref="Z1827" ca="1" si="4958">Z1826/Z1792</f>
        <v>0</v>
      </c>
      <c r="AA1827" s="43">
        <f t="shared" ref="AA1827" ca="1" si="4959">AA1826/AA1792</f>
        <v>0</v>
      </c>
      <c r="AB1827" s="43">
        <f t="shared" ref="AB1827:AC1827" ca="1" si="4960">AB1826/AB1792</f>
        <v>0</v>
      </c>
      <c r="AC1827" s="43">
        <f t="shared" ca="1" si="4960"/>
        <v>0</v>
      </c>
      <c r="AE1827" s="54">
        <f ca="1">SUM(F1827:AC1827)</f>
        <v>0</v>
      </c>
    </row>
    <row r="1828" spans="1:31" hidden="1" outlineLevel="1" x14ac:dyDescent="0.2">
      <c r="F1828" s="43"/>
      <c r="G1828" s="43"/>
      <c r="H1828" s="43"/>
      <c r="I1828" s="43"/>
      <c r="J1828" s="43"/>
      <c r="K1828" s="43"/>
      <c r="L1828" s="43"/>
      <c r="M1828" s="43"/>
      <c r="N1828" s="43"/>
      <c r="O1828" s="43"/>
      <c r="P1828" s="43"/>
      <c r="Q1828" s="43"/>
      <c r="R1828" s="43"/>
      <c r="S1828" s="43"/>
      <c r="T1828" s="43"/>
      <c r="U1828" s="43"/>
      <c r="V1828" s="43"/>
      <c r="W1828" s="43"/>
      <c r="X1828" s="43"/>
      <c r="Y1828" s="43"/>
      <c r="Z1828" s="43"/>
      <c r="AA1828" s="43"/>
      <c r="AB1828" s="43"/>
      <c r="AC1828" s="43"/>
    </row>
    <row r="1829" spans="1:31" hidden="1" outlineLevel="1" x14ac:dyDescent="0.2">
      <c r="A1829" s="23" t="str">
        <f ca="1">Language!A$874</f>
        <v>Модифицированная IRR (MIRR)</v>
      </c>
      <c r="B1829" s="311" t="str">
        <f ca="1">IF(ISERROR(E1829),Language!A$834,E1829)</f>
        <v>Нет</v>
      </c>
      <c r="E1829" s="152" t="e">
        <f ca="1">(POWER(1+MIRR(F1807:AD1807,POWER(1+B1831,PRJ_Step/360)-1,POWER(1+B1830,PRJ_Step/360)-1),360/PRJ_Step)-1)</f>
        <v>#DIV/0!</v>
      </c>
      <c r="F1829" s="43"/>
      <c r="G1829" s="43"/>
      <c r="H1829" s="43"/>
      <c r="I1829" s="43"/>
      <c r="J1829" s="43"/>
      <c r="K1829" s="43"/>
      <c r="L1829" s="43"/>
      <c r="M1829" s="43"/>
      <c r="N1829" s="43"/>
      <c r="O1829" s="43"/>
      <c r="P1829" s="43"/>
      <c r="Q1829" s="43"/>
      <c r="R1829" s="43"/>
      <c r="S1829" s="43"/>
      <c r="T1829" s="43"/>
      <c r="U1829" s="43"/>
      <c r="V1829" s="43"/>
      <c r="W1829" s="43"/>
      <c r="X1829" s="43"/>
      <c r="Y1829" s="43"/>
      <c r="Z1829" s="43"/>
      <c r="AA1829" s="43"/>
      <c r="AB1829" s="43"/>
      <c r="AC1829" s="43"/>
    </row>
    <row r="1830" spans="1:31" hidden="1" outlineLevel="1" x14ac:dyDescent="0.2">
      <c r="A1830" t="str">
        <f ca="1">Language!A$875</f>
        <v>Ставка реинвестирования доходов</v>
      </c>
      <c r="B1830" s="272">
        <f>B1790</f>
        <v>0.1</v>
      </c>
    </row>
    <row r="1831" spans="1:31" hidden="1" outlineLevel="1" x14ac:dyDescent="0.2">
      <c r="A1831" t="str">
        <f ca="1">Language!A$876</f>
        <v>Ставка дисконтирования инвестиционных затрат</v>
      </c>
      <c r="B1831" s="272">
        <f>B1790</f>
        <v>0.1</v>
      </c>
    </row>
    <row r="1832" spans="1:31" hidden="1" outlineLevel="1" x14ac:dyDescent="0.2">
      <c r="A1832" s="63"/>
      <c r="B1832" s="63"/>
      <c r="C1832" s="63"/>
      <c r="D1832" s="63"/>
      <c r="E1832" s="63"/>
      <c r="F1832" s="63"/>
      <c r="G1832" s="63"/>
      <c r="H1832" s="63"/>
      <c r="I1832" s="63"/>
      <c r="J1832" s="63"/>
      <c r="K1832" s="63"/>
      <c r="L1832" s="63"/>
      <c r="M1832" s="63"/>
      <c r="N1832" s="63"/>
      <c r="O1832" s="63"/>
      <c r="P1832" s="63"/>
      <c r="Q1832" s="63"/>
      <c r="R1832" s="63"/>
      <c r="S1832" s="63"/>
      <c r="T1832" s="63"/>
      <c r="U1832" s="63"/>
      <c r="V1832" s="63"/>
      <c r="W1832" s="63"/>
      <c r="X1832" s="63"/>
      <c r="Y1832" s="63"/>
      <c r="Z1832" s="63"/>
      <c r="AA1832" s="63"/>
      <c r="AB1832" s="63"/>
      <c r="AC1832" s="63"/>
      <c r="AD1832" s="63"/>
      <c r="AE1832" s="64"/>
    </row>
    <row r="1833" spans="1:31" hidden="1" outlineLevel="1" collapsed="1" x14ac:dyDescent="0.2">
      <c r="A1833" s="22" t="str">
        <f ca="1">Language!A$879 &amp; ", " &amp; Проект!CUR_Report</f>
        <v>График: Окупаемость проекта (для собственного капитала), тыс. EUR</v>
      </c>
      <c r="B1833" s="19"/>
      <c r="C1833" s="19"/>
      <c r="D1833" s="19"/>
      <c r="E1833" s="19"/>
      <c r="F1833" s="19"/>
      <c r="G1833" s="19"/>
      <c r="H1833" s="19"/>
      <c r="I1833" s="19"/>
      <c r="J1833" s="19"/>
      <c r="K1833" s="19"/>
      <c r="L1833" s="19"/>
      <c r="M1833" s="19"/>
      <c r="N1833" s="19"/>
      <c r="O1833" s="19"/>
      <c r="P1833" s="19"/>
      <c r="Q1833" s="19"/>
      <c r="R1833" s="19"/>
      <c r="S1833" s="19"/>
      <c r="T1833" s="19"/>
      <c r="U1833" s="19"/>
      <c r="V1833" s="19"/>
      <c r="W1833" s="19"/>
      <c r="X1833" s="19"/>
      <c r="Y1833" s="19"/>
      <c r="Z1833" s="19"/>
      <c r="AA1833" s="19"/>
      <c r="AB1833" s="19"/>
      <c r="AC1833" s="19"/>
      <c r="AD1833" s="19"/>
      <c r="AE1833" s="22"/>
    </row>
    <row r="1834" spans="1:31" hidden="1" outlineLevel="2" x14ac:dyDescent="0.2">
      <c r="A1834" s="19"/>
      <c r="B1834" s="19"/>
      <c r="C1834" s="19"/>
      <c r="D1834" s="19"/>
      <c r="E1834" s="19"/>
      <c r="F1834" s="19"/>
      <c r="G1834" s="19"/>
      <c r="H1834" s="19"/>
      <c r="I1834" s="19"/>
      <c r="J1834" s="19"/>
      <c r="K1834" s="19"/>
      <c r="L1834" s="19"/>
      <c r="M1834" s="19"/>
      <c r="N1834" s="19"/>
      <c r="O1834" s="19"/>
      <c r="P1834" s="19"/>
      <c r="Q1834" s="19"/>
      <c r="R1834" s="19"/>
      <c r="S1834" s="19"/>
      <c r="T1834" s="19"/>
      <c r="U1834" s="19"/>
      <c r="V1834" s="19"/>
      <c r="W1834" s="19"/>
      <c r="X1834" s="19"/>
      <c r="Y1834" s="19"/>
      <c r="Z1834" s="19"/>
      <c r="AA1834" s="19"/>
      <c r="AB1834" s="19"/>
      <c r="AC1834" s="19"/>
      <c r="AD1834" s="19"/>
      <c r="AE1834" s="22"/>
    </row>
    <row r="1835" spans="1:31" hidden="1" outlineLevel="2" x14ac:dyDescent="0.2">
      <c r="A1835" s="19"/>
      <c r="B1835" s="19"/>
      <c r="C1835" s="19"/>
      <c r="D1835" s="19"/>
      <c r="E1835" s="19"/>
      <c r="F1835" s="19"/>
      <c r="G1835" s="19"/>
      <c r="H1835" s="19"/>
      <c r="I1835" s="19"/>
      <c r="J1835" s="19"/>
      <c r="K1835" s="19"/>
      <c r="L1835" s="19"/>
      <c r="M1835" s="19"/>
      <c r="N1835" s="19"/>
      <c r="O1835" s="19"/>
      <c r="P1835" s="19"/>
      <c r="Q1835" s="19"/>
      <c r="R1835" s="19"/>
      <c r="S1835" s="19"/>
      <c r="T1835" s="19"/>
      <c r="U1835" s="19"/>
      <c r="V1835" s="19"/>
      <c r="W1835" s="19"/>
      <c r="X1835" s="19"/>
      <c r="Y1835" s="19"/>
      <c r="Z1835" s="19"/>
      <c r="AA1835" s="19"/>
      <c r="AB1835" s="19"/>
      <c r="AC1835" s="19"/>
      <c r="AD1835" s="19"/>
      <c r="AE1835" s="22"/>
    </row>
    <row r="1836" spans="1:31" hidden="1" outlineLevel="2" x14ac:dyDescent="0.2">
      <c r="A1836" s="19"/>
      <c r="B1836" s="19"/>
      <c r="C1836" s="19"/>
      <c r="D1836" s="19"/>
      <c r="E1836" s="19"/>
      <c r="F1836" s="19"/>
      <c r="G1836" s="19"/>
      <c r="H1836" s="19"/>
      <c r="I1836" s="19"/>
      <c r="J1836" s="19"/>
      <c r="K1836" s="19"/>
      <c r="L1836" s="19"/>
      <c r="M1836" s="19"/>
      <c r="N1836" s="19"/>
      <c r="O1836" s="19"/>
      <c r="P1836" s="19"/>
      <c r="Q1836" s="19"/>
      <c r="R1836" s="19"/>
      <c r="S1836" s="19"/>
      <c r="T1836" s="19"/>
      <c r="U1836" s="19"/>
      <c r="V1836" s="19"/>
      <c r="W1836" s="19"/>
      <c r="X1836" s="19"/>
      <c r="Y1836" s="19"/>
      <c r="Z1836" s="19"/>
      <c r="AA1836" s="19"/>
      <c r="AB1836" s="19"/>
      <c r="AC1836" s="19"/>
      <c r="AD1836" s="19"/>
      <c r="AE1836" s="22"/>
    </row>
    <row r="1837" spans="1:31" hidden="1" outlineLevel="2" x14ac:dyDescent="0.2">
      <c r="A1837" s="19"/>
      <c r="B1837" s="19"/>
      <c r="C1837" s="19"/>
      <c r="D1837" s="19"/>
      <c r="E1837" s="19"/>
      <c r="F1837" s="19"/>
      <c r="G1837" s="19"/>
      <c r="H1837" s="19"/>
      <c r="I1837" s="19"/>
      <c r="J1837" s="19"/>
      <c r="K1837" s="19"/>
      <c r="L1837" s="19"/>
      <c r="M1837" s="19"/>
      <c r="N1837" s="19"/>
      <c r="O1837" s="19"/>
      <c r="P1837" s="19"/>
      <c r="Q1837" s="19"/>
      <c r="R1837" s="19"/>
      <c r="S1837" s="19"/>
      <c r="T1837" s="19"/>
      <c r="U1837" s="19"/>
      <c r="V1837" s="19"/>
      <c r="W1837" s="19"/>
      <c r="X1837" s="19"/>
      <c r="Y1837" s="19"/>
      <c r="Z1837" s="19"/>
      <c r="AA1837" s="19"/>
      <c r="AB1837" s="19"/>
      <c r="AC1837" s="19"/>
      <c r="AD1837" s="19"/>
      <c r="AE1837" s="22"/>
    </row>
    <row r="1838" spans="1:31" hidden="1" outlineLevel="2" x14ac:dyDescent="0.2">
      <c r="A1838" s="19"/>
      <c r="B1838" s="19"/>
      <c r="C1838" s="19"/>
      <c r="D1838" s="19"/>
      <c r="E1838" s="19"/>
      <c r="F1838" s="19"/>
      <c r="G1838" s="19"/>
      <c r="H1838" s="19"/>
      <c r="I1838" s="19"/>
      <c r="J1838" s="19"/>
      <c r="K1838" s="19"/>
      <c r="L1838" s="19"/>
      <c r="M1838" s="19"/>
      <c r="N1838" s="19"/>
      <c r="O1838" s="19"/>
      <c r="P1838" s="19"/>
      <c r="Q1838" s="19"/>
      <c r="R1838" s="19"/>
      <c r="S1838" s="19"/>
      <c r="T1838" s="19"/>
      <c r="U1838" s="19"/>
      <c r="V1838" s="19"/>
      <c r="W1838" s="19"/>
      <c r="X1838" s="19"/>
      <c r="Y1838" s="19"/>
      <c r="Z1838" s="19"/>
      <c r="AA1838" s="19"/>
      <c r="AB1838" s="19"/>
      <c r="AC1838" s="19"/>
      <c r="AD1838" s="19"/>
      <c r="AE1838" s="22"/>
    </row>
    <row r="1839" spans="1:31" hidden="1" outlineLevel="2" x14ac:dyDescent="0.2">
      <c r="A1839" s="19"/>
      <c r="B1839" s="19"/>
      <c r="C1839" s="19"/>
      <c r="D1839" s="19"/>
      <c r="E1839" s="19"/>
      <c r="F1839" s="19"/>
      <c r="G1839" s="19"/>
      <c r="H1839" s="19"/>
      <c r="I1839" s="19"/>
      <c r="J1839" s="19"/>
      <c r="K1839" s="19"/>
      <c r="L1839" s="19"/>
      <c r="M1839" s="19"/>
      <c r="N1839" s="19"/>
      <c r="O1839" s="19"/>
      <c r="P1839" s="19"/>
      <c r="Q1839" s="19"/>
      <c r="R1839" s="19"/>
      <c r="S1839" s="19"/>
      <c r="T1839" s="19"/>
      <c r="U1839" s="19"/>
      <c r="V1839" s="19"/>
      <c r="W1839" s="19"/>
      <c r="X1839" s="19"/>
      <c r="Y1839" s="19"/>
      <c r="Z1839" s="19"/>
      <c r="AA1839" s="19"/>
      <c r="AB1839" s="19"/>
      <c r="AC1839" s="19"/>
      <c r="AD1839" s="19"/>
      <c r="AE1839" s="22"/>
    </row>
    <row r="1840" spans="1:31" hidden="1" outlineLevel="2" x14ac:dyDescent="0.2">
      <c r="A1840" s="19"/>
      <c r="B1840" s="19"/>
      <c r="C1840" s="19"/>
      <c r="D1840" s="19"/>
      <c r="E1840" s="19"/>
      <c r="F1840" s="19"/>
      <c r="G1840" s="19"/>
      <c r="H1840" s="19"/>
      <c r="I1840" s="19"/>
      <c r="J1840" s="19"/>
      <c r="K1840" s="19"/>
      <c r="L1840" s="19"/>
      <c r="M1840" s="19"/>
      <c r="N1840" s="19"/>
      <c r="O1840" s="19"/>
      <c r="P1840" s="19"/>
      <c r="Q1840" s="19"/>
      <c r="R1840" s="19"/>
      <c r="S1840" s="19"/>
      <c r="T1840" s="19"/>
      <c r="U1840" s="19"/>
      <c r="V1840" s="19"/>
      <c r="W1840" s="19"/>
      <c r="X1840" s="19"/>
      <c r="Y1840" s="19"/>
      <c r="Z1840" s="19"/>
      <c r="AA1840" s="19"/>
      <c r="AB1840" s="19"/>
      <c r="AC1840" s="19"/>
      <c r="AD1840" s="19"/>
      <c r="AE1840" s="22"/>
    </row>
    <row r="1841" spans="1:31" hidden="1" outlineLevel="2" x14ac:dyDescent="0.2">
      <c r="A1841" s="19"/>
      <c r="B1841" s="19"/>
      <c r="C1841" s="19"/>
      <c r="D1841" s="19"/>
      <c r="E1841" s="19"/>
      <c r="F1841" s="19"/>
      <c r="G1841" s="19"/>
      <c r="H1841" s="19"/>
      <c r="I1841" s="19"/>
      <c r="J1841" s="19"/>
      <c r="K1841" s="19"/>
      <c r="L1841" s="19"/>
      <c r="M1841" s="19"/>
      <c r="N1841" s="19"/>
      <c r="O1841" s="19"/>
      <c r="P1841" s="19"/>
      <c r="Q1841" s="19"/>
      <c r="R1841" s="19"/>
      <c r="S1841" s="19"/>
      <c r="T1841" s="19"/>
      <c r="U1841" s="19"/>
      <c r="V1841" s="19"/>
      <c r="W1841" s="19"/>
      <c r="X1841" s="19"/>
      <c r="Y1841" s="19"/>
      <c r="Z1841" s="19"/>
      <c r="AA1841" s="19"/>
      <c r="AB1841" s="19"/>
      <c r="AC1841" s="19"/>
      <c r="AD1841" s="19"/>
      <c r="AE1841" s="22"/>
    </row>
    <row r="1842" spans="1:31" hidden="1" outlineLevel="2" x14ac:dyDescent="0.2">
      <c r="A1842" s="19"/>
      <c r="B1842" s="19"/>
      <c r="C1842" s="19"/>
      <c r="D1842" s="19"/>
      <c r="E1842" s="19"/>
      <c r="F1842" s="19"/>
      <c r="G1842" s="19"/>
      <c r="H1842" s="19"/>
      <c r="I1842" s="19"/>
      <c r="J1842" s="19"/>
      <c r="K1842" s="19"/>
      <c r="L1842" s="19"/>
      <c r="M1842" s="19"/>
      <c r="N1842" s="19"/>
      <c r="O1842" s="19"/>
      <c r="P1842" s="19"/>
      <c r="Q1842" s="19"/>
      <c r="R1842" s="19"/>
      <c r="S1842" s="19"/>
      <c r="T1842" s="19"/>
      <c r="U1842" s="19"/>
      <c r="V1842" s="19"/>
      <c r="W1842" s="19"/>
      <c r="X1842" s="19"/>
      <c r="Y1842" s="19"/>
      <c r="Z1842" s="19"/>
      <c r="AA1842" s="19"/>
      <c r="AB1842" s="19"/>
      <c r="AC1842" s="19"/>
      <c r="AD1842" s="19"/>
      <c r="AE1842" s="22"/>
    </row>
    <row r="1843" spans="1:31" hidden="1" outlineLevel="2" x14ac:dyDescent="0.2">
      <c r="A1843" s="19"/>
      <c r="B1843" s="19"/>
      <c r="C1843" s="19"/>
      <c r="D1843" s="19"/>
      <c r="E1843" s="19"/>
      <c r="F1843" s="19"/>
      <c r="G1843" s="19"/>
      <c r="H1843" s="19"/>
      <c r="I1843" s="19"/>
      <c r="J1843" s="19"/>
      <c r="K1843" s="19"/>
      <c r="L1843" s="19"/>
      <c r="M1843" s="19"/>
      <c r="N1843" s="19"/>
      <c r="O1843" s="19"/>
      <c r="P1843" s="19"/>
      <c r="Q1843" s="19"/>
      <c r="R1843" s="19"/>
      <c r="S1843" s="19"/>
      <c r="T1843" s="19"/>
      <c r="U1843" s="19"/>
      <c r="V1843" s="19"/>
      <c r="W1843" s="19"/>
      <c r="X1843" s="19"/>
      <c r="Y1843" s="19"/>
      <c r="Z1843" s="19"/>
      <c r="AA1843" s="19"/>
      <c r="AB1843" s="19"/>
      <c r="AC1843" s="19"/>
      <c r="AD1843" s="19"/>
      <c r="AE1843" s="22"/>
    </row>
    <row r="1844" spans="1:31" hidden="1" outlineLevel="2" x14ac:dyDescent="0.2">
      <c r="A1844" s="19"/>
      <c r="B1844" s="19"/>
      <c r="C1844" s="19"/>
      <c r="D1844" s="19"/>
      <c r="E1844" s="19"/>
      <c r="F1844" s="19"/>
      <c r="G1844" s="19"/>
      <c r="H1844" s="19"/>
      <c r="I1844" s="19"/>
      <c r="J1844" s="19"/>
      <c r="K1844" s="19"/>
      <c r="L1844" s="19"/>
      <c r="M1844" s="19"/>
      <c r="N1844" s="19"/>
      <c r="O1844" s="19"/>
      <c r="P1844" s="19"/>
      <c r="Q1844" s="19"/>
      <c r="R1844" s="19"/>
      <c r="S1844" s="19"/>
      <c r="T1844" s="19"/>
      <c r="U1844" s="19"/>
      <c r="V1844" s="19"/>
      <c r="W1844" s="19"/>
      <c r="X1844" s="19"/>
      <c r="Y1844" s="19"/>
      <c r="Z1844" s="19"/>
      <c r="AA1844" s="19"/>
      <c r="AB1844" s="19"/>
      <c r="AC1844" s="19"/>
      <c r="AD1844" s="19"/>
      <c r="AE1844" s="22"/>
    </row>
    <row r="1845" spans="1:31" hidden="1" outlineLevel="2" x14ac:dyDescent="0.2">
      <c r="A1845" s="19"/>
      <c r="B1845" s="19"/>
      <c r="C1845" s="19"/>
      <c r="D1845" s="19"/>
      <c r="E1845" s="19"/>
      <c r="F1845" s="19"/>
      <c r="G1845" s="19"/>
      <c r="H1845" s="19"/>
      <c r="I1845" s="19"/>
      <c r="J1845" s="19"/>
      <c r="K1845" s="19"/>
      <c r="L1845" s="19"/>
      <c r="M1845" s="19"/>
      <c r="N1845" s="19"/>
      <c r="O1845" s="19"/>
      <c r="P1845" s="19"/>
      <c r="Q1845" s="19"/>
      <c r="R1845" s="19"/>
      <c r="S1845" s="19"/>
      <c r="T1845" s="19"/>
      <c r="U1845" s="19"/>
      <c r="V1845" s="19"/>
      <c r="W1845" s="19"/>
      <c r="X1845" s="19"/>
      <c r="Y1845" s="19"/>
      <c r="Z1845" s="19"/>
      <c r="AA1845" s="19"/>
      <c r="AB1845" s="19"/>
      <c r="AC1845" s="19"/>
      <c r="AD1845" s="19"/>
      <c r="AE1845" s="22"/>
    </row>
    <row r="1846" spans="1:31" hidden="1" outlineLevel="2" x14ac:dyDescent="0.2">
      <c r="A1846" s="19"/>
      <c r="B1846" s="19"/>
      <c r="C1846" s="19"/>
      <c r="D1846" s="19"/>
      <c r="E1846" s="19"/>
      <c r="F1846" s="19"/>
      <c r="G1846" s="19"/>
      <c r="H1846" s="19"/>
      <c r="I1846" s="19"/>
      <c r="J1846" s="19"/>
      <c r="K1846" s="19"/>
      <c r="L1846" s="19"/>
      <c r="M1846" s="19"/>
      <c r="N1846" s="19"/>
      <c r="O1846" s="19"/>
      <c r="P1846" s="19"/>
      <c r="Q1846" s="19"/>
      <c r="R1846" s="19"/>
      <c r="S1846" s="19"/>
      <c r="T1846" s="19"/>
      <c r="U1846" s="19"/>
      <c r="V1846" s="19"/>
      <c r="W1846" s="19"/>
      <c r="X1846" s="19"/>
      <c r="Y1846" s="19"/>
      <c r="Z1846" s="19"/>
      <c r="AA1846" s="19"/>
      <c r="AB1846" s="19"/>
      <c r="AC1846" s="19"/>
      <c r="AD1846" s="19"/>
      <c r="AE1846" s="22"/>
    </row>
    <row r="1847" spans="1:31" hidden="1" outlineLevel="2" x14ac:dyDescent="0.2">
      <c r="A1847" s="19"/>
      <c r="B1847" s="19"/>
      <c r="C1847" s="19"/>
      <c r="D1847" s="19"/>
      <c r="E1847" s="19"/>
      <c r="F1847" s="19"/>
      <c r="G1847" s="19"/>
      <c r="H1847" s="19"/>
      <c r="I1847" s="19"/>
      <c r="J1847" s="19"/>
      <c r="K1847" s="19"/>
      <c r="L1847" s="19"/>
      <c r="M1847" s="19"/>
      <c r="N1847" s="19"/>
      <c r="O1847" s="19"/>
      <c r="P1847" s="19"/>
      <c r="Q1847" s="19"/>
      <c r="R1847" s="19"/>
      <c r="S1847" s="19"/>
      <c r="T1847" s="19"/>
      <c r="U1847" s="19"/>
      <c r="V1847" s="19"/>
      <c r="W1847" s="19"/>
      <c r="X1847" s="19"/>
      <c r="Y1847" s="19"/>
      <c r="Z1847" s="19"/>
      <c r="AA1847" s="19"/>
      <c r="AB1847" s="19"/>
      <c r="AC1847" s="19"/>
      <c r="AD1847" s="19"/>
      <c r="AE1847" s="22"/>
    </row>
    <row r="1848" spans="1:31" hidden="1" outlineLevel="2" x14ac:dyDescent="0.2">
      <c r="A1848" s="19"/>
      <c r="B1848" s="19"/>
      <c r="C1848" s="19"/>
      <c r="D1848" s="19"/>
      <c r="E1848" s="19"/>
      <c r="F1848" s="19"/>
      <c r="G1848" s="19"/>
      <c r="H1848" s="19"/>
      <c r="I1848" s="19"/>
      <c r="J1848" s="19"/>
      <c r="K1848" s="19"/>
      <c r="L1848" s="19"/>
      <c r="M1848" s="19"/>
      <c r="N1848" s="19"/>
      <c r="O1848" s="19"/>
      <c r="P1848" s="19"/>
      <c r="Q1848" s="19"/>
      <c r="R1848" s="19"/>
      <c r="S1848" s="19"/>
      <c r="T1848" s="19"/>
      <c r="U1848" s="19"/>
      <c r="V1848" s="19"/>
      <c r="W1848" s="19"/>
      <c r="X1848" s="19"/>
      <c r="Y1848" s="19"/>
      <c r="Z1848" s="19"/>
      <c r="AA1848" s="19"/>
      <c r="AB1848" s="19"/>
      <c r="AC1848" s="19"/>
      <c r="AD1848" s="19"/>
      <c r="AE1848" s="22"/>
    </row>
    <row r="1849" spans="1:31" hidden="1" outlineLevel="2" x14ac:dyDescent="0.2">
      <c r="A1849" s="19"/>
      <c r="B1849" s="19"/>
      <c r="C1849" s="19"/>
      <c r="D1849" s="19"/>
      <c r="E1849" s="19"/>
      <c r="F1849" s="19"/>
      <c r="G1849" s="19"/>
      <c r="H1849" s="19"/>
      <c r="I1849" s="19"/>
      <c r="J1849" s="19"/>
      <c r="K1849" s="19"/>
      <c r="L1849" s="19"/>
      <c r="M1849" s="19"/>
      <c r="N1849" s="19"/>
      <c r="O1849" s="19"/>
      <c r="P1849" s="19"/>
      <c r="Q1849" s="19"/>
      <c r="R1849" s="19"/>
      <c r="S1849" s="19"/>
      <c r="T1849" s="19"/>
      <c r="U1849" s="19"/>
      <c r="V1849" s="19"/>
      <c r="W1849" s="19"/>
      <c r="X1849" s="19"/>
      <c r="Y1849" s="19"/>
      <c r="Z1849" s="19"/>
      <c r="AA1849" s="19"/>
      <c r="AB1849" s="19"/>
      <c r="AC1849" s="19"/>
      <c r="AD1849" s="19"/>
      <c r="AE1849" s="22"/>
    </row>
    <row r="1850" spans="1:31" hidden="1" outlineLevel="2" x14ac:dyDescent="0.2">
      <c r="A1850" s="19"/>
      <c r="B1850" s="19"/>
      <c r="C1850" s="19"/>
      <c r="D1850" s="19"/>
      <c r="E1850" s="19"/>
      <c r="F1850" s="19"/>
      <c r="G1850" s="19"/>
      <c r="H1850" s="19"/>
      <c r="I1850" s="19"/>
      <c r="J1850" s="19"/>
      <c r="K1850" s="19"/>
      <c r="L1850" s="19"/>
      <c r="M1850" s="19"/>
      <c r="N1850" s="19"/>
      <c r="O1850" s="19"/>
      <c r="P1850" s="19"/>
      <c r="Q1850" s="19"/>
      <c r="R1850" s="19"/>
      <c r="S1850" s="19"/>
      <c r="T1850" s="19"/>
      <c r="U1850" s="19"/>
      <c r="V1850" s="19"/>
      <c r="W1850" s="19"/>
      <c r="X1850" s="19"/>
      <c r="Y1850" s="19"/>
      <c r="Z1850" s="19"/>
      <c r="AA1850" s="19"/>
      <c r="AB1850" s="19"/>
      <c r="AC1850" s="19"/>
      <c r="AD1850" s="19"/>
      <c r="AE1850" s="22"/>
    </row>
    <row r="1851" spans="1:31" hidden="1" outlineLevel="2" x14ac:dyDescent="0.2">
      <c r="A1851" s="19"/>
      <c r="B1851" s="19"/>
      <c r="C1851" s="19"/>
      <c r="D1851" s="19"/>
      <c r="E1851" s="19"/>
      <c r="F1851" s="19"/>
      <c r="G1851" s="19"/>
      <c r="H1851" s="19"/>
      <c r="I1851" s="19"/>
      <c r="J1851" s="19"/>
      <c r="K1851" s="19"/>
      <c r="L1851" s="19"/>
      <c r="M1851" s="19"/>
      <c r="N1851" s="19"/>
      <c r="O1851" s="19"/>
      <c r="P1851" s="19"/>
      <c r="Q1851" s="19"/>
      <c r="R1851" s="19"/>
      <c r="S1851" s="19"/>
      <c r="T1851" s="19"/>
      <c r="U1851" s="19"/>
      <c r="V1851" s="19"/>
      <c r="W1851" s="19"/>
      <c r="X1851" s="19"/>
      <c r="Y1851" s="19"/>
      <c r="Z1851" s="19"/>
      <c r="AA1851" s="19"/>
      <c r="AB1851" s="19"/>
      <c r="AC1851" s="19"/>
      <c r="AD1851" s="19"/>
      <c r="AE1851" s="22"/>
    </row>
    <row r="1852" spans="1:31" hidden="1" outlineLevel="2" x14ac:dyDescent="0.2">
      <c r="A1852" s="19"/>
      <c r="B1852" s="19"/>
      <c r="C1852" s="19"/>
      <c r="D1852" s="19"/>
      <c r="E1852" s="19"/>
      <c r="F1852" s="19"/>
      <c r="G1852" s="19"/>
      <c r="H1852" s="19"/>
      <c r="I1852" s="19"/>
      <c r="J1852" s="19"/>
      <c r="K1852" s="19"/>
      <c r="L1852" s="19"/>
      <c r="M1852" s="19"/>
      <c r="N1852" s="19"/>
      <c r="O1852" s="19"/>
      <c r="P1852" s="19"/>
      <c r="Q1852" s="19"/>
      <c r="R1852" s="19"/>
      <c r="S1852" s="19"/>
      <c r="T1852" s="19"/>
      <c r="U1852" s="19"/>
      <c r="V1852" s="19"/>
      <c r="W1852" s="19"/>
      <c r="X1852" s="19"/>
      <c r="Y1852" s="19"/>
      <c r="Z1852" s="19"/>
      <c r="AA1852" s="19"/>
      <c r="AB1852" s="19"/>
      <c r="AC1852" s="19"/>
      <c r="AD1852" s="19"/>
      <c r="AE1852" s="22"/>
    </row>
    <row r="1853" spans="1:31" hidden="1" outlineLevel="2" x14ac:dyDescent="0.2">
      <c r="A1853" s="19"/>
      <c r="B1853" s="19"/>
      <c r="C1853" s="19"/>
      <c r="D1853" s="19"/>
      <c r="E1853" s="19"/>
      <c r="F1853" s="19"/>
      <c r="G1853" s="19"/>
      <c r="H1853" s="19"/>
      <c r="I1853" s="19"/>
      <c r="J1853" s="19"/>
      <c r="K1853" s="19"/>
      <c r="L1853" s="19"/>
      <c r="M1853" s="19"/>
      <c r="N1853" s="19"/>
      <c r="O1853" s="19"/>
      <c r="P1853" s="19"/>
      <c r="Q1853" s="19"/>
      <c r="R1853" s="19"/>
      <c r="S1853" s="19"/>
      <c r="T1853" s="19"/>
      <c r="U1853" s="19"/>
      <c r="V1853" s="19"/>
      <c r="W1853" s="19"/>
      <c r="X1853" s="19"/>
      <c r="Y1853" s="19"/>
      <c r="Z1853" s="19"/>
      <c r="AA1853" s="19"/>
      <c r="AB1853" s="19"/>
      <c r="AC1853" s="19"/>
      <c r="AD1853" s="19"/>
      <c r="AE1853" s="22"/>
    </row>
    <row r="1854" spans="1:31" hidden="1" outlineLevel="2" x14ac:dyDescent="0.2">
      <c r="A1854" s="19"/>
      <c r="B1854" s="19"/>
      <c r="C1854" s="19"/>
      <c r="D1854" s="19"/>
      <c r="E1854" s="19"/>
      <c r="F1854" s="19"/>
      <c r="G1854" s="19"/>
      <c r="H1854" s="19"/>
      <c r="I1854" s="19"/>
      <c r="J1854" s="19"/>
      <c r="K1854" s="19"/>
      <c r="L1854" s="19"/>
      <c r="M1854" s="19"/>
      <c r="N1854" s="19"/>
      <c r="O1854" s="19"/>
      <c r="P1854" s="19"/>
      <c r="Q1854" s="19"/>
      <c r="R1854" s="19"/>
      <c r="S1854" s="19"/>
      <c r="T1854" s="19"/>
      <c r="U1854" s="19"/>
      <c r="V1854" s="19"/>
      <c r="W1854" s="19"/>
      <c r="X1854" s="19"/>
      <c r="Y1854" s="19"/>
      <c r="Z1854" s="19"/>
      <c r="AA1854" s="19"/>
      <c r="AB1854" s="19"/>
      <c r="AC1854" s="19"/>
      <c r="AD1854" s="19"/>
      <c r="AE1854" s="22"/>
    </row>
    <row r="1855" spans="1:31" hidden="1" outlineLevel="2" x14ac:dyDescent="0.2">
      <c r="A1855" s="19"/>
      <c r="B1855" s="19"/>
      <c r="C1855" s="19"/>
      <c r="D1855" s="19"/>
      <c r="E1855" s="19"/>
      <c r="F1855" s="19"/>
      <c r="G1855" s="19"/>
      <c r="H1855" s="19"/>
      <c r="I1855" s="19"/>
      <c r="J1855" s="19"/>
      <c r="K1855" s="19"/>
      <c r="L1855" s="19"/>
      <c r="M1855" s="19"/>
      <c r="N1855" s="19"/>
      <c r="O1855" s="19"/>
      <c r="P1855" s="19"/>
      <c r="Q1855" s="19"/>
      <c r="R1855" s="19"/>
      <c r="S1855" s="19"/>
      <c r="T1855" s="19"/>
      <c r="U1855" s="19"/>
      <c r="V1855" s="19"/>
      <c r="W1855" s="19"/>
      <c r="X1855" s="19"/>
      <c r="Y1855" s="19"/>
      <c r="Z1855" s="19"/>
      <c r="AA1855" s="19"/>
      <c r="AB1855" s="19"/>
      <c r="AC1855" s="19"/>
      <c r="AD1855" s="19"/>
      <c r="AE1855" s="22"/>
    </row>
    <row r="1856" spans="1:31" hidden="1" outlineLevel="2" x14ac:dyDescent="0.2">
      <c r="A1856" s="19"/>
      <c r="B1856" s="19"/>
      <c r="C1856" s="19"/>
      <c r="D1856" s="19"/>
      <c r="E1856" s="19"/>
      <c r="F1856" s="19"/>
      <c r="G1856" s="19"/>
      <c r="H1856" s="19"/>
      <c r="I1856" s="19"/>
      <c r="J1856" s="19"/>
      <c r="K1856" s="19"/>
      <c r="L1856" s="19"/>
      <c r="M1856" s="19"/>
      <c r="N1856" s="19"/>
      <c r="O1856" s="19"/>
      <c r="P1856" s="19"/>
      <c r="Q1856" s="19"/>
      <c r="R1856" s="19"/>
      <c r="S1856" s="19"/>
      <c r="T1856" s="19"/>
      <c r="U1856" s="19"/>
      <c r="V1856" s="19"/>
      <c r="W1856" s="19"/>
      <c r="X1856" s="19"/>
      <c r="Y1856" s="19"/>
      <c r="Z1856" s="19"/>
      <c r="AA1856" s="19"/>
      <c r="AB1856" s="19"/>
      <c r="AC1856" s="19"/>
      <c r="AD1856" s="19"/>
      <c r="AE1856" s="22"/>
    </row>
    <row r="1857" spans="1:31" hidden="1" outlineLevel="1" x14ac:dyDescent="0.2">
      <c r="A1857" s="19"/>
      <c r="B1857" s="19"/>
      <c r="C1857" s="19"/>
      <c r="D1857" s="19"/>
      <c r="E1857" s="19"/>
      <c r="F1857" s="19"/>
      <c r="G1857" s="19"/>
      <c r="H1857" s="19"/>
      <c r="I1857" s="19"/>
      <c r="J1857" s="19"/>
      <c r="K1857" s="19"/>
      <c r="L1857" s="19"/>
      <c r="M1857" s="19"/>
      <c r="N1857" s="19"/>
      <c r="O1857" s="19"/>
      <c r="P1857" s="19"/>
      <c r="Q1857" s="19"/>
      <c r="R1857" s="19"/>
      <c r="S1857" s="19"/>
      <c r="T1857" s="19"/>
      <c r="U1857" s="19"/>
      <c r="V1857" s="19"/>
      <c r="W1857" s="19"/>
      <c r="X1857" s="19"/>
      <c r="Y1857" s="19"/>
      <c r="Z1857" s="19"/>
      <c r="AA1857" s="19"/>
      <c r="AB1857" s="19"/>
      <c r="AC1857" s="19"/>
      <c r="AD1857" s="19"/>
      <c r="AE1857" s="22"/>
    </row>
    <row r="1858" spans="1:31" hidden="1" outlineLevel="1" x14ac:dyDescent="0.2">
      <c r="A1858" s="19"/>
      <c r="B1858" s="19"/>
      <c r="C1858" s="19"/>
      <c r="D1858" s="19"/>
      <c r="E1858" s="19"/>
      <c r="F1858" s="19"/>
      <c r="G1858" s="19"/>
      <c r="H1858" s="19"/>
      <c r="I1858" s="19"/>
      <c r="J1858" s="19"/>
      <c r="K1858" s="19"/>
      <c r="L1858" s="19"/>
      <c r="M1858" s="19"/>
      <c r="N1858" s="19"/>
      <c r="O1858" s="19"/>
      <c r="P1858" s="19"/>
      <c r="Q1858" s="19"/>
      <c r="R1858" s="19"/>
      <c r="S1858" s="19"/>
      <c r="T1858" s="19"/>
      <c r="U1858" s="19"/>
      <c r="V1858" s="19"/>
      <c r="W1858" s="19"/>
      <c r="X1858" s="19"/>
      <c r="Y1858" s="19"/>
      <c r="Z1858" s="19"/>
      <c r="AA1858" s="19"/>
      <c r="AB1858" s="19"/>
      <c r="AC1858" s="19"/>
      <c r="AD1858" s="19"/>
      <c r="AE1858" s="22"/>
    </row>
    <row r="1859" spans="1:31" s="4" customFormat="1" ht="15.95" customHeight="1" collapsed="1" thickTop="1" thickBot="1" x14ac:dyDescent="0.25">
      <c r="A1859" s="165" t="str">
        <f ca="1">Language!A880</f>
        <v xml:space="preserve">         ЭФФЕКТИВНОСТЬ ДЛЯ БАНКА</v>
      </c>
      <c r="B1859" s="165"/>
      <c r="C1859" s="165"/>
      <c r="D1859" s="165"/>
      <c r="E1859" s="165"/>
      <c r="F1859" s="177" t="str">
        <f t="shared" ref="F1859:AC1859" ca="1" si="4961">PeriodTitle</f>
        <v>1 кв. 2016</v>
      </c>
      <c r="G1859" s="177" t="str">
        <f t="shared" ca="1" si="4961"/>
        <v>2 кв. 2016</v>
      </c>
      <c r="H1859" s="177" t="str">
        <f t="shared" ca="1" si="4961"/>
        <v>3 кв. 2016</v>
      </c>
      <c r="I1859" s="177" t="str">
        <f t="shared" ca="1" si="4961"/>
        <v>4 кв. 2016</v>
      </c>
      <c r="J1859" s="177" t="str">
        <f t="shared" ca="1" si="4961"/>
        <v>1 кв. 2017</v>
      </c>
      <c r="K1859" s="177" t="str">
        <f t="shared" ca="1" si="4961"/>
        <v>2 кв. 2017</v>
      </c>
      <c r="L1859" s="177" t="str">
        <f t="shared" ca="1" si="4961"/>
        <v>3 кв. 2017</v>
      </c>
      <c r="M1859" s="177" t="str">
        <f t="shared" ca="1" si="4961"/>
        <v>4 кв. 2017</v>
      </c>
      <c r="N1859" s="177" t="str">
        <f t="shared" ca="1" si="4961"/>
        <v>1 кв. 2018</v>
      </c>
      <c r="O1859" s="177" t="str">
        <f t="shared" ca="1" si="4961"/>
        <v>2 кв. 2018</v>
      </c>
      <c r="P1859" s="177" t="str">
        <f t="shared" ca="1" si="4961"/>
        <v>3 кв. 2018</v>
      </c>
      <c r="Q1859" s="177" t="str">
        <f t="shared" ca="1" si="4961"/>
        <v>4 кв. 2018</v>
      </c>
      <c r="R1859" s="177" t="str">
        <f t="shared" ca="1" si="4961"/>
        <v>1 кв. 2019</v>
      </c>
      <c r="S1859" s="177" t="str">
        <f t="shared" ca="1" si="4961"/>
        <v>2 кв. 2019</v>
      </c>
      <c r="T1859" s="177" t="str">
        <f t="shared" ca="1" si="4961"/>
        <v>3 кв. 2019</v>
      </c>
      <c r="U1859" s="177" t="str">
        <f t="shared" ca="1" si="4961"/>
        <v>4 кв. 2019</v>
      </c>
      <c r="V1859" s="177" t="str">
        <f t="shared" ca="1" si="4961"/>
        <v>1 кв. 2020</v>
      </c>
      <c r="W1859" s="177" t="str">
        <f t="shared" ca="1" si="4961"/>
        <v>2 кв. 2020</v>
      </c>
      <c r="X1859" s="177" t="str">
        <f t="shared" ca="1" si="4961"/>
        <v>3 кв. 2020</v>
      </c>
      <c r="Y1859" s="177" t="str">
        <f t="shared" ca="1" si="4961"/>
        <v>4 кв. 2020</v>
      </c>
      <c r="Z1859" s="177" t="str">
        <f t="shared" ca="1" si="4961"/>
        <v>1 кв. 2021</v>
      </c>
      <c r="AA1859" s="177" t="str">
        <f t="shared" ca="1" si="4961"/>
        <v>2 кв. 2021</v>
      </c>
      <c r="AB1859" s="177" t="str">
        <f t="shared" ca="1" si="4961"/>
        <v>3 кв. 2021</v>
      </c>
      <c r="AC1859" s="177" t="str">
        <f t="shared" ca="1" si="4961"/>
        <v>4 кв. 2021</v>
      </c>
      <c r="AD1859" s="165"/>
      <c r="AE1859" s="166" t="str">
        <f ca="1">Language!A$372</f>
        <v>ИТОГО</v>
      </c>
    </row>
    <row r="1860" spans="1:31" ht="12" hidden="1" outlineLevel="1" thickTop="1" x14ac:dyDescent="0.2"/>
    <row r="1861" spans="1:31" hidden="1" outlineLevel="1" x14ac:dyDescent="0.2">
      <c r="A1861" t="str">
        <f ca="1">Language!A$840</f>
        <v>Валюта расчетов:</v>
      </c>
      <c r="B1861" s="254">
        <v>1</v>
      </c>
      <c r="C1861" s="17" t="str">
        <f ca="1">CHOOSE(B1861,CUR_Main,CUR_Foreign)</f>
        <v>тыс. EUR</v>
      </c>
    </row>
    <row r="1862" spans="1:31" hidden="1" outlineLevel="1" collapsed="1" x14ac:dyDescent="0.2">
      <c r="A1862" t="str">
        <f ca="1">Language!A$841</f>
        <v>Годовая ставка дисконтирования:</v>
      </c>
      <c r="B1862" s="272">
        <v>0.1</v>
      </c>
      <c r="C1862" s="5" t="s">
        <v>2430</v>
      </c>
      <c r="D1862" s="16" t="s">
        <v>2429</v>
      </c>
      <c r="F1862" s="134">
        <f>$B$1862</f>
        <v>0.1</v>
      </c>
      <c r="G1862" s="134">
        <f t="shared" ref="G1862:AC1862" si="4962">F1862</f>
        <v>0.1</v>
      </c>
      <c r="H1862" s="134">
        <f t="shared" si="4962"/>
        <v>0.1</v>
      </c>
      <c r="I1862" s="134">
        <f t="shared" si="4962"/>
        <v>0.1</v>
      </c>
      <c r="J1862" s="134">
        <f t="shared" si="4962"/>
        <v>0.1</v>
      </c>
      <c r="K1862" s="134">
        <f t="shared" si="4962"/>
        <v>0.1</v>
      </c>
      <c r="L1862" s="134">
        <f t="shared" si="4962"/>
        <v>0.1</v>
      </c>
      <c r="M1862" s="134">
        <f t="shared" si="4962"/>
        <v>0.1</v>
      </c>
      <c r="N1862" s="134">
        <f t="shared" si="4962"/>
        <v>0.1</v>
      </c>
      <c r="O1862" s="134">
        <f t="shared" si="4962"/>
        <v>0.1</v>
      </c>
      <c r="P1862" s="134">
        <f t="shared" si="4962"/>
        <v>0.1</v>
      </c>
      <c r="Q1862" s="134">
        <f t="shared" si="4962"/>
        <v>0.1</v>
      </c>
      <c r="R1862" s="134">
        <f t="shared" si="4962"/>
        <v>0.1</v>
      </c>
      <c r="S1862" s="134">
        <f t="shared" si="4962"/>
        <v>0.1</v>
      </c>
      <c r="T1862" s="134">
        <f t="shared" si="4962"/>
        <v>0.1</v>
      </c>
      <c r="U1862" s="134">
        <f t="shared" si="4962"/>
        <v>0.1</v>
      </c>
      <c r="V1862" s="134">
        <f t="shared" si="4962"/>
        <v>0.1</v>
      </c>
      <c r="W1862" s="134">
        <f t="shared" si="4962"/>
        <v>0.1</v>
      </c>
      <c r="X1862" s="134">
        <f t="shared" si="4962"/>
        <v>0.1</v>
      </c>
      <c r="Y1862" s="134">
        <f t="shared" si="4962"/>
        <v>0.1</v>
      </c>
      <c r="Z1862" s="134">
        <f t="shared" si="4962"/>
        <v>0.1</v>
      </c>
      <c r="AA1862" s="134">
        <f t="shared" si="4962"/>
        <v>0.1</v>
      </c>
      <c r="AB1862" s="134">
        <f t="shared" si="4962"/>
        <v>0.1</v>
      </c>
      <c r="AC1862" s="134">
        <f t="shared" si="4962"/>
        <v>0.1</v>
      </c>
    </row>
    <row r="1863" spans="1:31" hidden="1" outlineLevel="2" x14ac:dyDescent="0.2">
      <c r="A1863" t="str">
        <f ca="1">Language!A$842</f>
        <v xml:space="preserve">    ставка дисконтирования на расчетный период</v>
      </c>
      <c r="D1863" s="16" t="s">
        <v>2429</v>
      </c>
      <c r="F1863" s="134">
        <f t="shared" ref="F1863:X1863" si="4963">IF(CalcMethod=1,(POWER(1+F1862,PRJ_Step/360)-1-IF($B$1861=1,F$81,F$92))/(1+IF($B$1861=1,F$81,F$92)),POWER(1+F1862,PRJ_Step/360)-1)</f>
        <v>2.4113689084445111E-2</v>
      </c>
      <c r="G1863" s="134">
        <f t="shared" si="4963"/>
        <v>2.4113689084445111E-2</v>
      </c>
      <c r="H1863" s="134">
        <f t="shared" si="4963"/>
        <v>2.4113689084445111E-2</v>
      </c>
      <c r="I1863" s="134">
        <f t="shared" si="4963"/>
        <v>2.4113689084445111E-2</v>
      </c>
      <c r="J1863" s="134">
        <f t="shared" si="4963"/>
        <v>2.4113689084445111E-2</v>
      </c>
      <c r="K1863" s="134">
        <f t="shared" si="4963"/>
        <v>2.4113689084445111E-2</v>
      </c>
      <c r="L1863" s="134">
        <f t="shared" si="4963"/>
        <v>2.4113689084445111E-2</v>
      </c>
      <c r="M1863" s="134">
        <f t="shared" si="4963"/>
        <v>2.4113689084445111E-2</v>
      </c>
      <c r="N1863" s="134">
        <f t="shared" si="4963"/>
        <v>2.4113689084445111E-2</v>
      </c>
      <c r="O1863" s="134">
        <f t="shared" si="4963"/>
        <v>2.4113689084445111E-2</v>
      </c>
      <c r="P1863" s="134">
        <f t="shared" si="4963"/>
        <v>2.4113689084445111E-2</v>
      </c>
      <c r="Q1863" s="134">
        <f t="shared" si="4963"/>
        <v>2.4113689084445111E-2</v>
      </c>
      <c r="R1863" s="134">
        <f t="shared" si="4963"/>
        <v>2.4113689084445111E-2</v>
      </c>
      <c r="S1863" s="134">
        <f t="shared" si="4963"/>
        <v>2.4113689084445111E-2</v>
      </c>
      <c r="T1863" s="134">
        <f t="shared" si="4963"/>
        <v>2.4113689084445111E-2</v>
      </c>
      <c r="U1863" s="134">
        <f t="shared" si="4963"/>
        <v>2.4113689084445111E-2</v>
      </c>
      <c r="V1863" s="134">
        <f t="shared" si="4963"/>
        <v>2.4113689084445111E-2</v>
      </c>
      <c r="W1863" s="134">
        <f t="shared" si="4963"/>
        <v>2.4113689084445111E-2</v>
      </c>
      <c r="X1863" s="134">
        <f t="shared" si="4963"/>
        <v>2.4113689084445111E-2</v>
      </c>
      <c r="Y1863" s="134">
        <f t="shared" ref="Y1863" si="4964">IF(CalcMethod=1,(POWER(1+Y1862,PRJ_Step/360)-1-IF($B$1861=1,Y$81,Y$92))/(1+IF($B$1861=1,Y$81,Y$92)),POWER(1+Y1862,PRJ_Step/360)-1)</f>
        <v>2.4113689084445111E-2</v>
      </c>
      <c r="Z1863" s="134">
        <f t="shared" ref="Z1863" si="4965">IF(CalcMethod=1,(POWER(1+Z1862,PRJ_Step/360)-1-IF($B$1861=1,Z$81,Z$92))/(1+IF($B$1861=1,Z$81,Z$92)),POWER(1+Z1862,PRJ_Step/360)-1)</f>
        <v>2.4113689084445111E-2</v>
      </c>
      <c r="AA1863" s="134">
        <f t="shared" ref="AA1863" si="4966">IF(CalcMethod=1,(POWER(1+AA1862,PRJ_Step/360)-1-IF($B$1861=1,AA$81,AA$92))/(1+IF($B$1861=1,AA$81,AA$92)),POWER(1+AA1862,PRJ_Step/360)-1)</f>
        <v>2.4113689084445111E-2</v>
      </c>
      <c r="AB1863" s="134">
        <f t="shared" ref="AB1863:AC1863" si="4967">IF(CalcMethod=1,(POWER(1+AB1862,PRJ_Step/360)-1-IF($B$1861=1,AB$81,AB$92))/(1+IF($B$1861=1,AB$81,AB$92)),POWER(1+AB1862,PRJ_Step/360)-1)</f>
        <v>2.4113689084445111E-2</v>
      </c>
      <c r="AC1863" s="134">
        <f t="shared" si="4967"/>
        <v>2.4113689084445111E-2</v>
      </c>
    </row>
    <row r="1864" spans="1:31" hidden="1" outlineLevel="2" x14ac:dyDescent="0.2">
      <c r="A1864" t="str">
        <f ca="1">Language!A$843</f>
        <v xml:space="preserve">    коэффициент дисконта для потока на начало периода</v>
      </c>
      <c r="D1864" s="16" t="s">
        <v>2429</v>
      </c>
      <c r="F1864" s="135">
        <v>1</v>
      </c>
      <c r="G1864" s="135">
        <f t="shared" ref="G1864:AC1864" si="4968">F1864*(1+F1863)</f>
        <v>1.0241136890844451</v>
      </c>
      <c r="H1864" s="135">
        <f t="shared" si="4968"/>
        <v>1.0488088481701514</v>
      </c>
      <c r="I1864" s="135">
        <f t="shared" si="4968"/>
        <v>1.0740994986439414</v>
      </c>
      <c r="J1864" s="135">
        <f t="shared" si="4968"/>
        <v>1.0999999999999999</v>
      </c>
      <c r="K1864" s="135">
        <f t="shared" si="4968"/>
        <v>1.1265250579928894</v>
      </c>
      <c r="L1864" s="135">
        <f t="shared" si="4968"/>
        <v>1.1536897329871665</v>
      </c>
      <c r="M1864" s="135">
        <f t="shared" si="4968"/>
        <v>1.1815094485083355</v>
      </c>
      <c r="N1864" s="135">
        <f t="shared" si="4968"/>
        <v>1.2099999999999997</v>
      </c>
      <c r="O1864" s="135">
        <f t="shared" si="4968"/>
        <v>1.2391775637921782</v>
      </c>
      <c r="P1864" s="135">
        <f t="shared" si="4968"/>
        <v>1.2690587062858829</v>
      </c>
      <c r="Q1864" s="135">
        <f t="shared" si="4968"/>
        <v>1.2996603933591688</v>
      </c>
      <c r="R1864" s="135">
        <f t="shared" si="4968"/>
        <v>1.3309999999999995</v>
      </c>
      <c r="S1864" s="135">
        <f t="shared" si="4968"/>
        <v>1.363095320171396</v>
      </c>
      <c r="T1864" s="135">
        <f t="shared" si="4968"/>
        <v>1.3959645769144713</v>
      </c>
      <c r="U1864" s="135">
        <f t="shared" si="4968"/>
        <v>1.4296264326950858</v>
      </c>
      <c r="V1864" s="135">
        <f t="shared" si="4968"/>
        <v>1.4640999999999995</v>
      </c>
      <c r="W1864" s="135">
        <f t="shared" si="4968"/>
        <v>1.4994048521885357</v>
      </c>
      <c r="X1864" s="135">
        <f t="shared" si="4968"/>
        <v>1.5355610346059185</v>
      </c>
      <c r="Y1864" s="135">
        <f t="shared" si="4968"/>
        <v>1.5725890759645944</v>
      </c>
      <c r="Z1864" s="135">
        <f t="shared" si="4968"/>
        <v>1.6105099999999994</v>
      </c>
      <c r="AA1864" s="135">
        <f t="shared" si="4968"/>
        <v>1.6493453374073892</v>
      </c>
      <c r="AB1864" s="135">
        <f t="shared" si="4968"/>
        <v>1.6891171380665102</v>
      </c>
      <c r="AC1864" s="135">
        <f t="shared" si="4968"/>
        <v>1.7298479835610538</v>
      </c>
    </row>
    <row r="1865" spans="1:31" hidden="1" outlineLevel="1" x14ac:dyDescent="0.2"/>
    <row r="1866" spans="1:31" hidden="1" outlineLevel="1" collapsed="1" x14ac:dyDescent="0.2">
      <c r="A1866" s="23" t="str">
        <f ca="1">Language!A$845</f>
        <v>Учитываемые денежные потоки проекта:</v>
      </c>
    </row>
    <row r="1867" spans="1:31" hidden="1" outlineLevel="2" x14ac:dyDescent="0.2">
      <c r="A1867" t="str">
        <f ca="1">Language!A$846</f>
        <v>Денежные потоки от операционной деятельности</v>
      </c>
      <c r="B1867" s="36" t="str">
        <f ca="1">Language!A$833</f>
        <v>Да</v>
      </c>
      <c r="C1867" s="5" t="str">
        <f ca="1">C1861</f>
        <v>тыс. EUR</v>
      </c>
      <c r="F1867" s="43">
        <f t="shared" ref="F1867:X1867" ca="1" si="4969">(F1331-(F1126-F1125)*F171)*IF(CUR_I_Report&lt;&gt;$B$1861,IF(CUR_I_Report=2,F$88,1/F$88),1)</f>
        <v>0</v>
      </c>
      <c r="G1867" s="43">
        <f t="shared" ca="1" si="4969"/>
        <v>0</v>
      </c>
      <c r="H1867" s="43">
        <f t="shared" ca="1" si="4969"/>
        <v>0</v>
      </c>
      <c r="I1867" s="43">
        <f t="shared" ca="1" si="4969"/>
        <v>0</v>
      </c>
      <c r="J1867" s="43">
        <f t="shared" ca="1" si="4969"/>
        <v>0</v>
      </c>
      <c r="K1867" s="43">
        <f t="shared" ca="1" si="4969"/>
        <v>2728.6487015162002</v>
      </c>
      <c r="L1867" s="43">
        <f t="shared" ca="1" si="4969"/>
        <v>15.623261900942879</v>
      </c>
      <c r="M1867" s="43">
        <f t="shared" ca="1" si="4969"/>
        <v>662.99303790614749</v>
      </c>
      <c r="N1867" s="43">
        <f t="shared" ca="1" si="4969"/>
        <v>916.10593866502631</v>
      </c>
      <c r="O1867" s="43">
        <f t="shared" ca="1" si="4969"/>
        <v>1243.6178106695488</v>
      </c>
      <c r="P1867" s="43">
        <f t="shared" ca="1" si="4969"/>
        <v>1454.7746893858591</v>
      </c>
      <c r="Q1867" s="43">
        <f t="shared" ca="1" si="4969"/>
        <v>1454.7746893858591</v>
      </c>
      <c r="R1867" s="43">
        <f t="shared" ca="1" si="4969"/>
        <v>1454.7746893858591</v>
      </c>
      <c r="S1867" s="43">
        <f t="shared" ca="1" si="4969"/>
        <v>1454.7746893858591</v>
      </c>
      <c r="T1867" s="43">
        <f t="shared" ca="1" si="4969"/>
        <v>1454.7746893858591</v>
      </c>
      <c r="U1867" s="43">
        <f t="shared" ca="1" si="4969"/>
        <v>1454.7746893858591</v>
      </c>
      <c r="V1867" s="43">
        <f t="shared" ca="1" si="4969"/>
        <v>1454.7746893858591</v>
      </c>
      <c r="W1867" s="43">
        <f t="shared" ca="1" si="4969"/>
        <v>1454.7746893858591</v>
      </c>
      <c r="X1867" s="43">
        <f t="shared" ca="1" si="4969"/>
        <v>1454.7746893858591</v>
      </c>
      <c r="Y1867" s="43">
        <f t="shared" ref="Y1867" ca="1" si="4970">(Y1331-(Y1126-Y1125)*Y171)*IF(CUR_I_Report&lt;&gt;$B$1861,IF(CUR_I_Report=2,Y$88,1/Y$88),1)</f>
        <v>1454.7746893858591</v>
      </c>
      <c r="Z1867" s="43">
        <f t="shared" ref="Z1867" ca="1" si="4971">(Z1331-(Z1126-Z1125)*Z171)*IF(CUR_I_Report&lt;&gt;$B$1861,IF(CUR_I_Report=2,Z$88,1/Z$88),1)</f>
        <v>1454.7746893858591</v>
      </c>
      <c r="AA1867" s="43">
        <f t="shared" ref="AA1867" ca="1" si="4972">(AA1331-(AA1126-AA1125)*AA171)*IF(CUR_I_Report&lt;&gt;$B$1861,IF(CUR_I_Report=2,AA$88,1/AA$88),1)</f>
        <v>1454.7746893858591</v>
      </c>
      <c r="AB1867" s="43">
        <f t="shared" ref="AB1867:AC1867" ca="1" si="4973">(AB1331-(AB1126-AB1125)*AB171)*IF(CUR_I_Report&lt;&gt;$B$1861,IF(CUR_I_Report=2,AB$88,1/AB$88),1)</f>
        <v>1454.7746893858591</v>
      </c>
      <c r="AC1867" s="43">
        <f t="shared" ca="1" si="4973"/>
        <v>1454.7746893858591</v>
      </c>
      <c r="AD1867" s="43"/>
      <c r="AE1867" s="54">
        <f ca="1">SUM(F1867:AC1867)</f>
        <v>25933.834402059896</v>
      </c>
    </row>
    <row r="1868" spans="1:31" hidden="1" outlineLevel="2" x14ac:dyDescent="0.2">
      <c r="A1868" t="str">
        <f ca="1">Language!A$847</f>
        <v xml:space="preserve">    за исключением процентов по кредитам</v>
      </c>
      <c r="B1868" s="36" t="str">
        <f ca="1">Language!A$833</f>
        <v>Да</v>
      </c>
      <c r="C1868" s="5" t="str">
        <f ca="1">C1861</f>
        <v>тыс. EUR</v>
      </c>
      <c r="D1868" s="5"/>
      <c r="F1868" s="43">
        <f t="shared" ref="F1868:X1868" si="4974">-F1327*IF(CUR_I_Report&lt;&gt;$B$1861,IF(CUR_I_Report=2,F$88,1/F$88),1)</f>
        <v>0</v>
      </c>
      <c r="G1868" s="43">
        <f t="shared" si="4974"/>
        <v>0</v>
      </c>
      <c r="H1868" s="43">
        <f t="shared" si="4974"/>
        <v>0</v>
      </c>
      <c r="I1868" s="43">
        <f t="shared" si="4974"/>
        <v>0</v>
      </c>
      <c r="J1868" s="43">
        <f t="shared" si="4974"/>
        <v>0</v>
      </c>
      <c r="K1868" s="43">
        <f t="shared" si="4974"/>
        <v>0</v>
      </c>
      <c r="L1868" s="43">
        <f t="shared" si="4974"/>
        <v>0</v>
      </c>
      <c r="M1868" s="43">
        <f t="shared" si="4974"/>
        <v>0</v>
      </c>
      <c r="N1868" s="43">
        <f t="shared" si="4974"/>
        <v>0</v>
      </c>
      <c r="O1868" s="43">
        <f t="shared" si="4974"/>
        <v>0</v>
      </c>
      <c r="P1868" s="43">
        <f t="shared" si="4974"/>
        <v>0</v>
      </c>
      <c r="Q1868" s="43">
        <f t="shared" si="4974"/>
        <v>0</v>
      </c>
      <c r="R1868" s="43">
        <f t="shared" si="4974"/>
        <v>0</v>
      </c>
      <c r="S1868" s="43">
        <f t="shared" si="4974"/>
        <v>0</v>
      </c>
      <c r="T1868" s="43">
        <f t="shared" si="4974"/>
        <v>0</v>
      </c>
      <c r="U1868" s="43">
        <f t="shared" si="4974"/>
        <v>0</v>
      </c>
      <c r="V1868" s="43">
        <f t="shared" si="4974"/>
        <v>0</v>
      </c>
      <c r="W1868" s="43">
        <f t="shared" si="4974"/>
        <v>0</v>
      </c>
      <c r="X1868" s="43">
        <f t="shared" si="4974"/>
        <v>0</v>
      </c>
      <c r="Y1868" s="43">
        <f t="shared" ref="Y1868" si="4975">-Y1327*IF(CUR_I_Report&lt;&gt;$B$1861,IF(CUR_I_Report=2,Y$88,1/Y$88),1)</f>
        <v>0</v>
      </c>
      <c r="Z1868" s="43">
        <f t="shared" ref="Z1868" si="4976">-Z1327*IF(CUR_I_Report&lt;&gt;$B$1861,IF(CUR_I_Report=2,Z$88,1/Z$88),1)</f>
        <v>0</v>
      </c>
      <c r="AA1868" s="43">
        <f t="shared" ref="AA1868" si="4977">-AA1327*IF(CUR_I_Report&lt;&gt;$B$1861,IF(CUR_I_Report=2,AA$88,1/AA$88),1)</f>
        <v>0</v>
      </c>
      <c r="AB1868" s="43">
        <f t="shared" ref="AB1868:AC1868" si="4978">-AB1327*IF(CUR_I_Report&lt;&gt;$B$1861,IF(CUR_I_Report=2,AB$88,1/AB$88),1)</f>
        <v>0</v>
      </c>
      <c r="AC1868" s="43">
        <f t="shared" si="4978"/>
        <v>0</v>
      </c>
      <c r="AD1868" s="43"/>
      <c r="AE1868" s="54">
        <f>SUM(F1868:AC1868)</f>
        <v>0</v>
      </c>
    </row>
    <row r="1869" spans="1:31" hidden="1" outlineLevel="2" x14ac:dyDescent="0.2">
      <c r="A1869" t="str">
        <f ca="1">Language!A$848</f>
        <v>Денежные потоки от инвестиционной деятельности</v>
      </c>
      <c r="B1869" s="36" t="str">
        <f ca="1">Language!A$833</f>
        <v>Да</v>
      </c>
      <c r="C1869" s="5" t="str">
        <f ca="1">C1861</f>
        <v>тыс. EUR</v>
      </c>
      <c r="D1869" s="5"/>
      <c r="F1869" s="43">
        <f t="shared" ref="F1869:X1869" ca="1" si="4979">F1342*IF(CUR_I_Report&lt;&gt;$B$1861,IF(CUR_I_Report=2,F$88,1/F$88),1)</f>
        <v>0</v>
      </c>
      <c r="G1869" s="43">
        <f t="shared" ca="1" si="4979"/>
        <v>0</v>
      </c>
      <c r="H1869" s="43">
        <f t="shared" ca="1" si="4979"/>
        <v>-5695.3855543220343</v>
      </c>
      <c r="I1869" s="43">
        <f t="shared" ca="1" si="4979"/>
        <v>-1519.56</v>
      </c>
      <c r="J1869" s="43">
        <f t="shared" ca="1" si="4979"/>
        <v>-7024.8891971793519</v>
      </c>
      <c r="K1869" s="43">
        <f t="shared" ca="1" si="4979"/>
        <v>-2883.7623677660667</v>
      </c>
      <c r="L1869" s="43">
        <f t="shared" ca="1" si="4979"/>
        <v>-5.6843418860808015E-14</v>
      </c>
      <c r="M1869" s="43">
        <f t="shared" ca="1" si="4979"/>
        <v>0</v>
      </c>
      <c r="N1869" s="43">
        <f t="shared" ca="1" si="4979"/>
        <v>47.90430408785906</v>
      </c>
      <c r="O1869" s="43">
        <f t="shared" ca="1" si="4979"/>
        <v>41.655454582366474</v>
      </c>
      <c r="P1869" s="43">
        <f t="shared" ca="1" si="4979"/>
        <v>0</v>
      </c>
      <c r="Q1869" s="43">
        <f t="shared" ca="1" si="4979"/>
        <v>0</v>
      </c>
      <c r="R1869" s="43">
        <f t="shared" ca="1" si="4979"/>
        <v>0</v>
      </c>
      <c r="S1869" s="43">
        <f t="shared" ca="1" si="4979"/>
        <v>0</v>
      </c>
      <c r="T1869" s="43">
        <f t="shared" ca="1" si="4979"/>
        <v>0</v>
      </c>
      <c r="U1869" s="43">
        <f t="shared" ca="1" si="4979"/>
        <v>0</v>
      </c>
      <c r="V1869" s="43">
        <f t="shared" ca="1" si="4979"/>
        <v>0</v>
      </c>
      <c r="W1869" s="43">
        <f t="shared" ca="1" si="4979"/>
        <v>0</v>
      </c>
      <c r="X1869" s="43">
        <f t="shared" ca="1" si="4979"/>
        <v>0</v>
      </c>
      <c r="Y1869" s="43">
        <f t="shared" ref="Y1869" ca="1" si="4980">Y1342*IF(CUR_I_Report&lt;&gt;$B$1861,IF(CUR_I_Report=2,Y$88,1/Y$88),1)</f>
        <v>0</v>
      </c>
      <c r="Z1869" s="43">
        <f t="shared" ref="Z1869" ca="1" si="4981">Z1342*IF(CUR_I_Report&lt;&gt;$B$1861,IF(CUR_I_Report=2,Z$88,1/Z$88),1)</f>
        <v>0</v>
      </c>
      <c r="AA1869" s="43">
        <f t="shared" ref="AA1869" ca="1" si="4982">AA1342*IF(CUR_I_Report&lt;&gt;$B$1861,IF(CUR_I_Report=2,AA$88,1/AA$88),1)</f>
        <v>0</v>
      </c>
      <c r="AB1869" s="43">
        <f t="shared" ref="AB1869:AC1869" ca="1" si="4983">AB1342*IF(CUR_I_Report&lt;&gt;$B$1861,IF(CUR_I_Report=2,AB$88,1/AB$88),1)</f>
        <v>0</v>
      </c>
      <c r="AC1869" s="43">
        <f t="shared" ca="1" si="4983"/>
        <v>0</v>
      </c>
      <c r="AD1869" s="43"/>
      <c r="AE1869" s="54">
        <f ca="1">SUM(F1869:AC1869)</f>
        <v>-17034.037360597224</v>
      </c>
    </row>
    <row r="1870" spans="1:31" hidden="1" outlineLevel="2" x14ac:dyDescent="0.2">
      <c r="A1870" t="str">
        <f ca="1">Language!A$849</f>
        <v>Поступления собственного капитала</v>
      </c>
      <c r="B1870" s="36" t="str">
        <f ca="1">Language!A$833</f>
        <v>Да</v>
      </c>
      <c r="C1870" s="5" t="str">
        <f ca="1">C1861</f>
        <v>тыс. EUR</v>
      </c>
      <c r="D1870" s="5"/>
      <c r="F1870" s="53">
        <f t="shared" ref="F1870:X1870" si="4984">F1344*IF(CUR_I_Report&lt;&gt;$B$1861,IF(CUR_I_Report=2,F$88,1/F$88),1)</f>
        <v>0</v>
      </c>
      <c r="G1870" s="53">
        <f t="shared" si="4984"/>
        <v>0</v>
      </c>
      <c r="H1870" s="53">
        <f t="shared" si="4984"/>
        <v>0</v>
      </c>
      <c r="I1870" s="53">
        <f t="shared" si="4984"/>
        <v>0</v>
      </c>
      <c r="J1870" s="53">
        <f t="shared" si="4984"/>
        <v>0</v>
      </c>
      <c r="K1870" s="53">
        <f t="shared" si="4984"/>
        <v>0</v>
      </c>
      <c r="L1870" s="53">
        <f t="shared" si="4984"/>
        <v>0</v>
      </c>
      <c r="M1870" s="53">
        <f t="shared" si="4984"/>
        <v>0</v>
      </c>
      <c r="N1870" s="53">
        <f t="shared" si="4984"/>
        <v>0</v>
      </c>
      <c r="O1870" s="53">
        <f t="shared" si="4984"/>
        <v>0</v>
      </c>
      <c r="P1870" s="53">
        <f t="shared" si="4984"/>
        <v>0</v>
      </c>
      <c r="Q1870" s="53">
        <f t="shared" si="4984"/>
        <v>0</v>
      </c>
      <c r="R1870" s="53">
        <f t="shared" si="4984"/>
        <v>0</v>
      </c>
      <c r="S1870" s="53">
        <f t="shared" si="4984"/>
        <v>0</v>
      </c>
      <c r="T1870" s="53">
        <f t="shared" si="4984"/>
        <v>0</v>
      </c>
      <c r="U1870" s="53">
        <f t="shared" si="4984"/>
        <v>0</v>
      </c>
      <c r="V1870" s="53">
        <f t="shared" si="4984"/>
        <v>0</v>
      </c>
      <c r="W1870" s="53">
        <f t="shared" si="4984"/>
        <v>0</v>
      </c>
      <c r="X1870" s="53">
        <f t="shared" si="4984"/>
        <v>0</v>
      </c>
      <c r="Y1870" s="53">
        <f t="shared" ref="Y1870" si="4985">Y1344*IF(CUR_I_Report&lt;&gt;$B$1861,IF(CUR_I_Report=2,Y$88,1/Y$88),1)</f>
        <v>0</v>
      </c>
      <c r="Z1870" s="53">
        <f t="shared" ref="Z1870" si="4986">Z1344*IF(CUR_I_Report&lt;&gt;$B$1861,IF(CUR_I_Report=2,Z$88,1/Z$88),1)</f>
        <v>0</v>
      </c>
      <c r="AA1870" s="53">
        <f t="shared" ref="AA1870" si="4987">AA1344*IF(CUR_I_Report&lt;&gt;$B$1861,IF(CUR_I_Report=2,AA$88,1/AA$88),1)</f>
        <v>0</v>
      </c>
      <c r="AB1870" s="53">
        <f t="shared" ref="AB1870:AC1870" si="4988">AB1344*IF(CUR_I_Report&lt;&gt;$B$1861,IF(CUR_I_Report=2,AB$88,1/AB$88),1)</f>
        <v>0</v>
      </c>
      <c r="AC1870" s="53">
        <f t="shared" si="4988"/>
        <v>0</v>
      </c>
      <c r="AD1870" s="43"/>
      <c r="AE1870" s="54">
        <f>SUM(F1870:AC1870)</f>
        <v>0</v>
      </c>
    </row>
    <row r="1871" spans="1:31" hidden="1" outlineLevel="2" x14ac:dyDescent="0.2">
      <c r="A1871" t="str">
        <f ca="1">Language!A$850</f>
        <v>Поступления целевого финансирования</v>
      </c>
      <c r="B1871" s="36" t="str">
        <f ca="1">Language!A$833</f>
        <v>Да</v>
      </c>
      <c r="C1871" s="5" t="str">
        <f ca="1">C1861</f>
        <v>тыс. EUR</v>
      </c>
      <c r="D1871" s="5"/>
      <c r="F1871" s="43">
        <f t="shared" ref="F1871:X1871" si="4989">(F1345+F1346)*IF(CUR_I_Report&lt;&gt;$B$1861,IF(CUR_I_Report=2,F$88,1/F$88),1)</f>
        <v>0</v>
      </c>
      <c r="G1871" s="43">
        <f t="shared" si="4989"/>
        <v>0</v>
      </c>
      <c r="H1871" s="43">
        <f t="shared" si="4989"/>
        <v>5695.3855543220343</v>
      </c>
      <c r="I1871" s="43">
        <f t="shared" si="4989"/>
        <v>1519.56</v>
      </c>
      <c r="J1871" s="43">
        <f t="shared" ca="1" si="4989"/>
        <v>7024.8891971793519</v>
      </c>
      <c r="K1871" s="43">
        <f t="shared" si="4989"/>
        <v>2982.5256975335087</v>
      </c>
      <c r="L1871" s="43">
        <f t="shared" si="4989"/>
        <v>0</v>
      </c>
      <c r="M1871" s="43">
        <f t="shared" si="4989"/>
        <v>0</v>
      </c>
      <c r="N1871" s="43">
        <f t="shared" si="4989"/>
        <v>0</v>
      </c>
      <c r="O1871" s="43">
        <f t="shared" si="4989"/>
        <v>0</v>
      </c>
      <c r="P1871" s="43">
        <f t="shared" si="4989"/>
        <v>0</v>
      </c>
      <c r="Q1871" s="43">
        <f t="shared" si="4989"/>
        <v>0</v>
      </c>
      <c r="R1871" s="43">
        <f t="shared" si="4989"/>
        <v>0</v>
      </c>
      <c r="S1871" s="43">
        <f t="shared" si="4989"/>
        <v>0</v>
      </c>
      <c r="T1871" s="43">
        <f t="shared" si="4989"/>
        <v>0</v>
      </c>
      <c r="U1871" s="43">
        <f t="shared" si="4989"/>
        <v>0</v>
      </c>
      <c r="V1871" s="43">
        <f t="shared" si="4989"/>
        <v>0</v>
      </c>
      <c r="W1871" s="43">
        <f t="shared" si="4989"/>
        <v>0</v>
      </c>
      <c r="X1871" s="43">
        <f t="shared" si="4989"/>
        <v>0</v>
      </c>
      <c r="Y1871" s="43">
        <f t="shared" ref="Y1871" si="4990">(Y1345+Y1346)*IF(CUR_I_Report&lt;&gt;$B$1861,IF(CUR_I_Report=2,Y$88,1/Y$88),1)</f>
        <v>0</v>
      </c>
      <c r="Z1871" s="43">
        <f t="shared" ref="Z1871" si="4991">(Z1345+Z1346)*IF(CUR_I_Report&lt;&gt;$B$1861,IF(CUR_I_Report=2,Z$88,1/Z$88),1)</f>
        <v>0</v>
      </c>
      <c r="AA1871" s="43">
        <f t="shared" ref="AA1871" si="4992">(AA1345+AA1346)*IF(CUR_I_Report&lt;&gt;$B$1861,IF(CUR_I_Report=2,AA$88,1/AA$88),1)</f>
        <v>0</v>
      </c>
      <c r="AB1871" s="43">
        <f t="shared" ref="AB1871:AC1871" si="4993">(AB1345+AB1346)*IF(CUR_I_Report&lt;&gt;$B$1861,IF(CUR_I_Report=2,AB$88,1/AB$88),1)</f>
        <v>0</v>
      </c>
      <c r="AC1871" s="43">
        <f t="shared" si="4993"/>
        <v>0</v>
      </c>
      <c r="AD1871" s="43"/>
      <c r="AE1871" s="54">
        <f ca="1">SUM(F1871:AC1871)</f>
        <v>17222.360449034895</v>
      </c>
    </row>
    <row r="1872" spans="1:31" hidden="1" outlineLevel="2" x14ac:dyDescent="0.2">
      <c r="A1872" t="str">
        <f ca="1">Language!A$851</f>
        <v>Поступления кредитов</v>
      </c>
      <c r="B1872" s="36" t="str">
        <f ca="1">Language!A$834</f>
        <v>Нет</v>
      </c>
      <c r="C1872" s="5" t="str">
        <f ca="1">C1861</f>
        <v>тыс. EUR</v>
      </c>
      <c r="D1872" s="5"/>
      <c r="F1872" s="43"/>
      <c r="G1872" s="43"/>
      <c r="H1872" s="43"/>
      <c r="I1872" s="43"/>
      <c r="J1872" s="43"/>
      <c r="K1872" s="43"/>
      <c r="L1872" s="43"/>
      <c r="M1872" s="43"/>
      <c r="N1872" s="43"/>
      <c r="O1872" s="43"/>
      <c r="P1872" s="43"/>
      <c r="Q1872" s="43"/>
      <c r="R1872" s="43"/>
      <c r="S1872" s="43"/>
      <c r="T1872" s="43"/>
      <c r="U1872" s="43"/>
      <c r="V1872" s="43"/>
      <c r="W1872" s="43"/>
      <c r="X1872" s="43"/>
      <c r="Y1872" s="43"/>
      <c r="Z1872" s="43"/>
      <c r="AA1872" s="43"/>
      <c r="AB1872" s="43"/>
      <c r="AC1872" s="43"/>
      <c r="AD1872" s="43"/>
      <c r="AE1872" s="54"/>
    </row>
    <row r="1873" spans="1:31" hidden="1" outlineLevel="2" x14ac:dyDescent="0.2">
      <c r="A1873" t="str">
        <f ca="1">Language!A$852</f>
        <v>Возврат кредитов</v>
      </c>
      <c r="B1873" s="36" t="str">
        <f ca="1">Language!A$834</f>
        <v>Нет</v>
      </c>
      <c r="C1873" s="5" t="str">
        <f ca="1">C1861</f>
        <v>тыс. EUR</v>
      </c>
      <c r="D1873" s="5"/>
      <c r="F1873" s="43"/>
      <c r="G1873" s="43"/>
      <c r="H1873" s="43"/>
      <c r="I1873" s="43"/>
      <c r="J1873" s="43"/>
      <c r="K1873" s="43"/>
      <c r="L1873" s="43"/>
      <c r="M1873" s="43"/>
      <c r="N1873" s="43"/>
      <c r="O1873" s="43"/>
      <c r="P1873" s="43"/>
      <c r="Q1873" s="43"/>
      <c r="R1873" s="43"/>
      <c r="S1873" s="43"/>
      <c r="T1873" s="43"/>
      <c r="U1873" s="43"/>
      <c r="V1873" s="43"/>
      <c r="W1873" s="43"/>
      <c r="X1873" s="43"/>
      <c r="Y1873" s="43"/>
      <c r="Z1873" s="43"/>
      <c r="AA1873" s="43"/>
      <c r="AB1873" s="43"/>
      <c r="AC1873" s="43"/>
      <c r="AD1873" s="43"/>
      <c r="AE1873" s="54"/>
    </row>
    <row r="1874" spans="1:31" hidden="1" outlineLevel="2" x14ac:dyDescent="0.2">
      <c r="A1874" t="str">
        <f ca="1">Language!A$853</f>
        <v>Лизинговые платежи</v>
      </c>
      <c r="B1874" s="36" t="str">
        <f ca="1">Language!A$833</f>
        <v>Да</v>
      </c>
      <c r="C1874" s="5" t="str">
        <f ca="1">C1861</f>
        <v>тыс. EUR</v>
      </c>
      <c r="D1874" s="5"/>
      <c r="F1874" s="43">
        <f t="shared" ref="F1874:X1874" ca="1" si="4994">F1349*IF(CUR_I_Report&lt;&gt;$B$1861,IF(CUR_I_Report=2,F$88,1/F$88),1)</f>
        <v>0</v>
      </c>
      <c r="G1874" s="43">
        <f t="shared" ca="1" si="4994"/>
        <v>0</v>
      </c>
      <c r="H1874" s="43">
        <f t="shared" ca="1" si="4994"/>
        <v>0</v>
      </c>
      <c r="I1874" s="43">
        <f t="shared" ca="1" si="4994"/>
        <v>0</v>
      </c>
      <c r="J1874" s="43">
        <f t="shared" ca="1" si="4994"/>
        <v>0</v>
      </c>
      <c r="K1874" s="43">
        <f t="shared" ca="1" si="4994"/>
        <v>0</v>
      </c>
      <c r="L1874" s="43">
        <f t="shared" ca="1" si="4994"/>
        <v>0</v>
      </c>
      <c r="M1874" s="43">
        <f t="shared" ca="1" si="4994"/>
        <v>0</v>
      </c>
      <c r="N1874" s="43">
        <f t="shared" ca="1" si="4994"/>
        <v>0</v>
      </c>
      <c r="O1874" s="43">
        <f t="shared" ca="1" si="4994"/>
        <v>0</v>
      </c>
      <c r="P1874" s="43">
        <f t="shared" ca="1" si="4994"/>
        <v>0</v>
      </c>
      <c r="Q1874" s="43">
        <f t="shared" ca="1" si="4994"/>
        <v>0</v>
      </c>
      <c r="R1874" s="43">
        <f t="shared" ca="1" si="4994"/>
        <v>0</v>
      </c>
      <c r="S1874" s="43">
        <f t="shared" ca="1" si="4994"/>
        <v>0</v>
      </c>
      <c r="T1874" s="43">
        <f t="shared" ca="1" si="4994"/>
        <v>0</v>
      </c>
      <c r="U1874" s="43">
        <f t="shared" ca="1" si="4994"/>
        <v>0</v>
      </c>
      <c r="V1874" s="43">
        <f t="shared" ca="1" si="4994"/>
        <v>0</v>
      </c>
      <c r="W1874" s="43">
        <f t="shared" ca="1" si="4994"/>
        <v>0</v>
      </c>
      <c r="X1874" s="43">
        <f t="shared" ca="1" si="4994"/>
        <v>0</v>
      </c>
      <c r="Y1874" s="43">
        <f t="shared" ref="Y1874" ca="1" si="4995">Y1349*IF(CUR_I_Report&lt;&gt;$B$1861,IF(CUR_I_Report=2,Y$88,1/Y$88),1)</f>
        <v>0</v>
      </c>
      <c r="Z1874" s="43">
        <f t="shared" ref="Z1874" ca="1" si="4996">Z1349*IF(CUR_I_Report&lt;&gt;$B$1861,IF(CUR_I_Report=2,Z$88,1/Z$88),1)</f>
        <v>0</v>
      </c>
      <c r="AA1874" s="43">
        <f t="shared" ref="AA1874" ca="1" si="4997">AA1349*IF(CUR_I_Report&lt;&gt;$B$1861,IF(CUR_I_Report=2,AA$88,1/AA$88),1)</f>
        <v>0</v>
      </c>
      <c r="AB1874" s="43">
        <f t="shared" ref="AB1874:AC1874" ca="1" si="4998">AB1349*IF(CUR_I_Report&lt;&gt;$B$1861,IF(CUR_I_Report=2,AB$88,1/AB$88),1)</f>
        <v>0</v>
      </c>
      <c r="AC1874" s="43">
        <f t="shared" ca="1" si="4998"/>
        <v>0</v>
      </c>
      <c r="AD1874" s="43"/>
      <c r="AE1874" s="54">
        <f ca="1">SUM(F1874:AC1874)</f>
        <v>0</v>
      </c>
    </row>
    <row r="1875" spans="1:31" hidden="1" outlineLevel="2" x14ac:dyDescent="0.2">
      <c r="A1875" t="str">
        <f ca="1">Language!A$854</f>
        <v>Выплата дивидендов</v>
      </c>
      <c r="B1875" s="36" t="str">
        <f ca="1">Language!A$833</f>
        <v>Да</v>
      </c>
      <c r="C1875" s="5" t="str">
        <f ca="1">C1861</f>
        <v>тыс. EUR</v>
      </c>
      <c r="D1875" s="5"/>
      <c r="F1875" s="53">
        <f t="shared" ref="F1875:X1875" ca="1" si="4999">F1350*IF(CUR_I_Report&lt;&gt;$B$1861,IF(CUR_I_Report=2,F$88,1/F$88),1)</f>
        <v>0</v>
      </c>
      <c r="G1875" s="53">
        <f t="shared" ca="1" si="4999"/>
        <v>0</v>
      </c>
      <c r="H1875" s="53">
        <f t="shared" ca="1" si="4999"/>
        <v>0</v>
      </c>
      <c r="I1875" s="53">
        <f t="shared" ca="1" si="4999"/>
        <v>0</v>
      </c>
      <c r="J1875" s="53">
        <f t="shared" ca="1" si="4999"/>
        <v>0</v>
      </c>
      <c r="K1875" s="53">
        <f t="shared" ca="1" si="4999"/>
        <v>0</v>
      </c>
      <c r="L1875" s="53">
        <f t="shared" ca="1" si="4999"/>
        <v>0</v>
      </c>
      <c r="M1875" s="53">
        <f t="shared" ca="1" si="4999"/>
        <v>0</v>
      </c>
      <c r="N1875" s="53">
        <f t="shared" ca="1" si="4999"/>
        <v>0</v>
      </c>
      <c r="O1875" s="53">
        <f t="shared" ca="1" si="4999"/>
        <v>0</v>
      </c>
      <c r="P1875" s="53">
        <f t="shared" ca="1" si="4999"/>
        <v>0</v>
      </c>
      <c r="Q1875" s="53">
        <f t="shared" ca="1" si="4999"/>
        <v>0</v>
      </c>
      <c r="R1875" s="53">
        <f t="shared" ca="1" si="4999"/>
        <v>0</v>
      </c>
      <c r="S1875" s="53">
        <f t="shared" ca="1" si="4999"/>
        <v>0</v>
      </c>
      <c r="T1875" s="53">
        <f t="shared" ca="1" si="4999"/>
        <v>0</v>
      </c>
      <c r="U1875" s="53">
        <f t="shared" ca="1" si="4999"/>
        <v>0</v>
      </c>
      <c r="V1875" s="53">
        <f t="shared" ca="1" si="4999"/>
        <v>0</v>
      </c>
      <c r="W1875" s="53">
        <f t="shared" ca="1" si="4999"/>
        <v>0</v>
      </c>
      <c r="X1875" s="53">
        <f t="shared" ca="1" si="4999"/>
        <v>0</v>
      </c>
      <c r="Y1875" s="53">
        <f t="shared" ref="Y1875" ca="1" si="5000">Y1350*IF(CUR_I_Report&lt;&gt;$B$1861,IF(CUR_I_Report=2,Y$88,1/Y$88),1)</f>
        <v>0</v>
      </c>
      <c r="Z1875" s="53">
        <f t="shared" ref="Z1875" ca="1" si="5001">Z1350*IF(CUR_I_Report&lt;&gt;$B$1861,IF(CUR_I_Report=2,Z$88,1/Z$88),1)</f>
        <v>0</v>
      </c>
      <c r="AA1875" s="53">
        <f t="shared" ref="AA1875" ca="1" si="5002">AA1350*IF(CUR_I_Report&lt;&gt;$B$1861,IF(CUR_I_Report=2,AA$88,1/AA$88),1)</f>
        <v>0</v>
      </c>
      <c r="AB1875" s="53">
        <f t="shared" ref="AB1875:AC1875" ca="1" si="5003">AB1350*IF(CUR_I_Report&lt;&gt;$B$1861,IF(CUR_I_Report=2,AB$88,1/AB$88),1)</f>
        <v>0</v>
      </c>
      <c r="AC1875" s="53">
        <f t="shared" ca="1" si="5003"/>
        <v>0</v>
      </c>
      <c r="AD1875" s="43"/>
      <c r="AE1875" s="54">
        <f ca="1">SUM(F1875:AC1875)</f>
        <v>0</v>
      </c>
    </row>
    <row r="1876" spans="1:31" hidden="1" outlineLevel="2" x14ac:dyDescent="0.2">
      <c r="A1876" t="str">
        <f ca="1">Language!A$855</f>
        <v>Ранее осуществленные инвестиции</v>
      </c>
      <c r="B1876" s="36" t="str">
        <f ca="1">Language!A$834</f>
        <v>Нет</v>
      </c>
      <c r="C1876" s="5" t="str">
        <f ca="1">C1861</f>
        <v>тыс. EUR</v>
      </c>
      <c r="D1876" s="5"/>
      <c r="F1876" s="43"/>
      <c r="G1876" s="43"/>
      <c r="H1876" s="43"/>
      <c r="I1876" s="43"/>
      <c r="J1876" s="43"/>
      <c r="K1876" s="43"/>
      <c r="L1876" s="43"/>
      <c r="M1876" s="43"/>
      <c r="N1876" s="43"/>
      <c r="O1876" s="43"/>
      <c r="P1876" s="43"/>
      <c r="Q1876" s="43"/>
      <c r="R1876" s="43"/>
      <c r="S1876" s="43"/>
      <c r="T1876" s="43"/>
      <c r="U1876" s="43"/>
      <c r="V1876" s="43"/>
      <c r="W1876" s="43"/>
      <c r="X1876" s="43"/>
      <c r="Y1876" s="43"/>
      <c r="Z1876" s="43"/>
      <c r="AA1876" s="43"/>
      <c r="AB1876" s="43"/>
      <c r="AC1876" s="43"/>
      <c r="AD1876" s="43"/>
      <c r="AE1876" s="54"/>
    </row>
    <row r="1877" spans="1:31" hidden="1" outlineLevel="2" x14ac:dyDescent="0.2">
      <c r="A1877" t="str">
        <f ca="1">Language!A$856</f>
        <v>Остаточная стоимость проекта</v>
      </c>
      <c r="B1877" s="36" t="str">
        <f ca="1">Language!A$834</f>
        <v>Нет</v>
      </c>
      <c r="C1877" s="5" t="str">
        <f ca="1">C1861</f>
        <v>тыс. EUR</v>
      </c>
      <c r="D1877" s="5"/>
      <c r="F1877" s="43"/>
      <c r="G1877" s="43"/>
      <c r="H1877" s="43"/>
      <c r="I1877" s="43"/>
      <c r="J1877" s="43"/>
      <c r="K1877" s="43"/>
      <c r="L1877" s="43"/>
      <c r="M1877" s="43"/>
      <c r="N1877" s="43"/>
      <c r="O1877" s="43"/>
      <c r="P1877" s="43"/>
      <c r="Q1877" s="43"/>
      <c r="R1877" s="43"/>
      <c r="S1877" s="43"/>
      <c r="T1877" s="43"/>
      <c r="U1877" s="43"/>
      <c r="V1877" s="43"/>
      <c r="W1877" s="43"/>
      <c r="X1877" s="43"/>
      <c r="Y1877" s="43"/>
      <c r="Z1877" s="43"/>
      <c r="AA1877" s="43"/>
      <c r="AB1877" s="43"/>
      <c r="AC1877" s="43"/>
      <c r="AD1877" s="43"/>
      <c r="AE1877" s="54"/>
    </row>
    <row r="1878" spans="1:31" hidden="1" outlineLevel="2" x14ac:dyDescent="0.2">
      <c r="A1878" s="63"/>
      <c r="B1878" s="63"/>
      <c r="C1878" s="67"/>
      <c r="D1878" s="67"/>
      <c r="E1878" s="63"/>
      <c r="F1878" s="120"/>
      <c r="G1878" s="120"/>
      <c r="H1878" s="120"/>
      <c r="I1878" s="120"/>
      <c r="J1878" s="120"/>
      <c r="K1878" s="120"/>
      <c r="L1878" s="120"/>
      <c r="M1878" s="120"/>
      <c r="N1878" s="120"/>
      <c r="O1878" s="120"/>
      <c r="P1878" s="120"/>
      <c r="Q1878" s="120"/>
      <c r="R1878" s="120"/>
      <c r="S1878" s="120"/>
      <c r="T1878" s="120"/>
      <c r="U1878" s="120"/>
      <c r="V1878" s="120"/>
      <c r="W1878" s="120"/>
      <c r="X1878" s="120"/>
      <c r="Y1878" s="120"/>
      <c r="Z1878" s="120"/>
      <c r="AA1878" s="120"/>
      <c r="AB1878" s="120"/>
      <c r="AC1878" s="120"/>
      <c r="AD1878" s="120"/>
      <c r="AE1878" s="121"/>
    </row>
    <row r="1879" spans="1:31" hidden="1" outlineLevel="1" x14ac:dyDescent="0.2">
      <c r="A1879" s="24" t="str">
        <f ca="1">Language!A$857</f>
        <v>Чистый денежный поток</v>
      </c>
      <c r="B1879" s="19"/>
      <c r="C1879" s="26" t="str">
        <f ca="1">C1861</f>
        <v>тыс. EUR</v>
      </c>
      <c r="D1879" s="26"/>
      <c r="E1879" s="19"/>
      <c r="F1879" s="65">
        <f t="shared" ref="F1879:T1879" ca="1" si="5004">F1869+F1876+F1871+F1870+F1877+F1867+F1868+F1874+F1875</f>
        <v>0</v>
      </c>
      <c r="G1879" s="65">
        <f t="shared" ca="1" si="5004"/>
        <v>0</v>
      </c>
      <c r="H1879" s="65">
        <f t="shared" ca="1" si="5004"/>
        <v>0</v>
      </c>
      <c r="I1879" s="65">
        <f t="shared" ca="1" si="5004"/>
        <v>0</v>
      </c>
      <c r="J1879" s="65">
        <f t="shared" ca="1" si="5004"/>
        <v>0</v>
      </c>
      <c r="K1879" s="65">
        <f t="shared" ca="1" si="5004"/>
        <v>2827.4120312836421</v>
      </c>
      <c r="L1879" s="65">
        <f t="shared" ca="1" si="5004"/>
        <v>15.623261900942822</v>
      </c>
      <c r="M1879" s="65">
        <f t="shared" ca="1" si="5004"/>
        <v>662.99303790614749</v>
      </c>
      <c r="N1879" s="65">
        <f t="shared" ca="1" si="5004"/>
        <v>964.01024275288535</v>
      </c>
      <c r="O1879" s="65">
        <f t="shared" ca="1" si="5004"/>
        <v>1285.2732652519153</v>
      </c>
      <c r="P1879" s="65">
        <f t="shared" ca="1" si="5004"/>
        <v>1454.7746893858591</v>
      </c>
      <c r="Q1879" s="65">
        <f t="shared" ca="1" si="5004"/>
        <v>1454.7746893858591</v>
      </c>
      <c r="R1879" s="65">
        <f t="shared" ca="1" si="5004"/>
        <v>1454.7746893858591</v>
      </c>
      <c r="S1879" s="65">
        <f t="shared" ca="1" si="5004"/>
        <v>1454.7746893858591</v>
      </c>
      <c r="T1879" s="65">
        <f t="shared" ca="1" si="5004"/>
        <v>1454.7746893858591</v>
      </c>
      <c r="U1879" s="65">
        <f t="shared" ref="U1879" ca="1" si="5005">U1869+U1876+U1871+U1870+U1877+U1867+U1868+U1874+U1875</f>
        <v>1454.7746893858591</v>
      </c>
      <c r="V1879" s="65">
        <f t="shared" ref="V1879" ca="1" si="5006">V1869+V1876+V1871+V1870+V1877+V1867+V1868+V1874+V1875</f>
        <v>1454.7746893858591</v>
      </c>
      <c r="W1879" s="65">
        <f t="shared" ref="W1879" ca="1" si="5007">W1869+W1876+W1871+W1870+W1877+W1867+W1868+W1874+W1875</f>
        <v>1454.7746893858591</v>
      </c>
      <c r="X1879" s="65">
        <f t="shared" ref="X1879" ca="1" si="5008">X1869+X1876+X1871+X1870+X1877+X1867+X1868+X1874+X1875</f>
        <v>1454.7746893858591</v>
      </c>
      <c r="Y1879" s="65">
        <f t="shared" ref="Y1879" ca="1" si="5009">Y1869+Y1876+Y1871+Y1870+Y1877+Y1867+Y1868+Y1874+Y1875</f>
        <v>1454.7746893858591</v>
      </c>
      <c r="Z1879" s="65">
        <f t="shared" ref="Z1879" ca="1" si="5010">Z1869+Z1876+Z1871+Z1870+Z1877+Z1867+Z1868+Z1874+Z1875</f>
        <v>1454.7746893858591</v>
      </c>
      <c r="AA1879" s="65">
        <f t="shared" ref="AA1879" ca="1" si="5011">AA1869+AA1876+AA1871+AA1870+AA1877+AA1867+AA1868+AA1874+AA1875</f>
        <v>1454.7746893858591</v>
      </c>
      <c r="AB1879" s="65">
        <f t="shared" ref="AB1879:AC1879" ca="1" si="5012">AB1869+AB1876+AB1871+AB1870+AB1877+AB1867+AB1868+AB1874+AB1875</f>
        <v>1454.7746893858591</v>
      </c>
      <c r="AC1879" s="65">
        <f t="shared" ca="1" si="5012"/>
        <v>1454.7746893858591</v>
      </c>
      <c r="AD1879" s="65"/>
      <c r="AE1879" s="54">
        <f ca="1">SUM(F1879:AC1879)</f>
        <v>26122.157490497564</v>
      </c>
    </row>
    <row r="1880" spans="1:31" hidden="1" outlineLevel="1" x14ac:dyDescent="0.2">
      <c r="A1880" t="str">
        <f ca="1">Language!A$858</f>
        <v>Дисконтированный чистый денежный поток</v>
      </c>
      <c r="C1880" s="5" t="str">
        <f ca="1">C1861</f>
        <v>тыс. EUR</v>
      </c>
      <c r="D1880" s="5"/>
      <c r="F1880" s="43">
        <f t="shared" ref="F1880:T1880" ca="1" si="5013">F1879/F1864</f>
        <v>0</v>
      </c>
      <c r="G1880" s="43">
        <f t="shared" ca="1" si="5013"/>
        <v>0</v>
      </c>
      <c r="H1880" s="43">
        <f t="shared" ca="1" si="5013"/>
        <v>0</v>
      </c>
      <c r="I1880" s="43">
        <f t="shared" ca="1" si="5013"/>
        <v>0</v>
      </c>
      <c r="J1880" s="43">
        <f t="shared" ca="1" si="5013"/>
        <v>0</v>
      </c>
      <c r="K1880" s="43">
        <f t="shared" ca="1" si="5013"/>
        <v>2509.8527646790158</v>
      </c>
      <c r="L1880" s="43">
        <f t="shared" ca="1" si="5013"/>
        <v>13.541996131395418</v>
      </c>
      <c r="M1880" s="43">
        <f t="shared" ca="1" si="5013"/>
        <v>561.14069908046963</v>
      </c>
      <c r="N1880" s="43">
        <f t="shared" ca="1" si="5013"/>
        <v>796.70267996106247</v>
      </c>
      <c r="O1880" s="43">
        <f t="shared" ca="1" si="5013"/>
        <v>1037.198624964346</v>
      </c>
      <c r="P1880" s="43">
        <f t="shared" ca="1" si="5013"/>
        <v>1146.341522405615</v>
      </c>
      <c r="Q1880" s="43">
        <f t="shared" ca="1" si="5013"/>
        <v>1119.3498677187306</v>
      </c>
      <c r="R1880" s="43">
        <f t="shared" ca="1" si="5013"/>
        <v>1092.9937561125919</v>
      </c>
      <c r="S1880" s="43">
        <f t="shared" ca="1" si="5013"/>
        <v>1067.258223146812</v>
      </c>
      <c r="T1880" s="43">
        <f t="shared" ca="1" si="5013"/>
        <v>1042.1286567323771</v>
      </c>
      <c r="U1880" s="43">
        <f t="shared" ref="U1880" ca="1" si="5014">U1879/U1864</f>
        <v>1017.5907888352097</v>
      </c>
      <c r="V1880" s="43">
        <f t="shared" ref="V1880" ca="1" si="5015">V1879/V1864</f>
        <v>993.63068737508343</v>
      </c>
      <c r="W1880" s="43">
        <f t="shared" ref="W1880" ca="1" si="5016">W1879/W1864</f>
        <v>970.2347483152837</v>
      </c>
      <c r="X1880" s="43">
        <f t="shared" ref="X1880" ca="1" si="5017">X1879/X1864</f>
        <v>947.38968793852462</v>
      </c>
      <c r="Y1880" s="43">
        <f t="shared" ref="Y1880" ca="1" si="5018">Y1879/Y1864</f>
        <v>925.08253530473598</v>
      </c>
      <c r="Z1880" s="43">
        <f t="shared" ref="Z1880" ca="1" si="5019">Z1879/Z1864</f>
        <v>903.30062488643944</v>
      </c>
      <c r="AA1880" s="43">
        <f t="shared" ref="AA1880" ca="1" si="5020">AA1879/AA1864</f>
        <v>882.03158937753074</v>
      </c>
      <c r="AB1880" s="43">
        <f t="shared" ref="AB1880:AC1880" ca="1" si="5021">AB1879/AB1864</f>
        <v>861.26335267138609</v>
      </c>
      <c r="AC1880" s="43">
        <f t="shared" ca="1" si="5021"/>
        <v>840.9841230043055</v>
      </c>
      <c r="AD1880" s="43"/>
      <c r="AE1880" s="54">
        <f ca="1">SUM(F1880:AC1880)</f>
        <v>18728.016928640918</v>
      </c>
    </row>
    <row r="1881" spans="1:31" hidden="1" outlineLevel="1" x14ac:dyDescent="0.2">
      <c r="A1881" t="str">
        <f ca="1">Language!A$859</f>
        <v>Дисконтированный поток нарастающим итогом</v>
      </c>
      <c r="C1881" s="5" t="str">
        <f ca="1">C1861</f>
        <v>тыс. EUR</v>
      </c>
      <c r="D1881" s="16" t="s">
        <v>2594</v>
      </c>
      <c r="F1881" s="43">
        <f t="shared" ref="F1881:AC1881" ca="1" si="5022">E1881+F1880</f>
        <v>0</v>
      </c>
      <c r="G1881" s="43">
        <f t="shared" ca="1" si="5022"/>
        <v>0</v>
      </c>
      <c r="H1881" s="43">
        <f t="shared" ca="1" si="5022"/>
        <v>0</v>
      </c>
      <c r="I1881" s="43">
        <f t="shared" ca="1" si="5022"/>
        <v>0</v>
      </c>
      <c r="J1881" s="43">
        <f t="shared" ca="1" si="5022"/>
        <v>0</v>
      </c>
      <c r="K1881" s="43">
        <f t="shared" ca="1" si="5022"/>
        <v>2509.8527646790158</v>
      </c>
      <c r="L1881" s="43">
        <f t="shared" ca="1" si="5022"/>
        <v>2523.3947608104113</v>
      </c>
      <c r="M1881" s="43">
        <f t="shared" ca="1" si="5022"/>
        <v>3084.5354598908807</v>
      </c>
      <c r="N1881" s="43">
        <f t="shared" ca="1" si="5022"/>
        <v>3881.2381398519433</v>
      </c>
      <c r="O1881" s="43">
        <f t="shared" ca="1" si="5022"/>
        <v>4918.4367648162897</v>
      </c>
      <c r="P1881" s="43">
        <f t="shared" ca="1" si="5022"/>
        <v>6064.778287221905</v>
      </c>
      <c r="Q1881" s="43">
        <f t="shared" ca="1" si="5022"/>
        <v>7184.1281549406358</v>
      </c>
      <c r="R1881" s="43">
        <f t="shared" ca="1" si="5022"/>
        <v>8277.1219110532274</v>
      </c>
      <c r="S1881" s="43">
        <f t="shared" ca="1" si="5022"/>
        <v>9344.3801342000388</v>
      </c>
      <c r="T1881" s="43">
        <f t="shared" ca="1" si="5022"/>
        <v>10386.508790932416</v>
      </c>
      <c r="U1881" s="43">
        <f t="shared" ca="1" si="5022"/>
        <v>11404.099579767626</v>
      </c>
      <c r="V1881" s="43">
        <f t="shared" ca="1" si="5022"/>
        <v>12397.73026714271</v>
      </c>
      <c r="W1881" s="43">
        <f t="shared" ca="1" si="5022"/>
        <v>13367.965015457994</v>
      </c>
      <c r="X1881" s="43">
        <f t="shared" ca="1" si="5022"/>
        <v>14315.354703396519</v>
      </c>
      <c r="Y1881" s="43">
        <f t="shared" ca="1" si="5022"/>
        <v>15240.437238701255</v>
      </c>
      <c r="Z1881" s="43">
        <f t="shared" ca="1" si="5022"/>
        <v>16143.737863587696</v>
      </c>
      <c r="AA1881" s="43">
        <f t="shared" ca="1" si="5022"/>
        <v>17025.769452965225</v>
      </c>
      <c r="AB1881" s="43">
        <f t="shared" ca="1" si="5022"/>
        <v>17887.032805636612</v>
      </c>
      <c r="AC1881" s="43">
        <f t="shared" ca="1" si="5022"/>
        <v>18728.016928640918</v>
      </c>
      <c r="AD1881" s="43"/>
      <c r="AE1881" s="54"/>
    </row>
    <row r="1882" spans="1:31" hidden="1" outlineLevel="1" x14ac:dyDescent="0.2">
      <c r="F1882" s="43"/>
      <c r="G1882" s="43"/>
      <c r="H1882" s="43"/>
      <c r="I1882" s="43"/>
      <c r="J1882" s="43"/>
      <c r="K1882" s="43"/>
      <c r="L1882" s="43"/>
      <c r="M1882" s="43"/>
      <c r="N1882" s="43"/>
      <c r="O1882" s="43"/>
      <c r="P1882" s="43"/>
      <c r="Q1882" s="43"/>
      <c r="R1882" s="43"/>
      <c r="S1882" s="43"/>
      <c r="T1882" s="43"/>
      <c r="U1882" s="43"/>
      <c r="V1882" s="43"/>
      <c r="W1882" s="43"/>
      <c r="X1882" s="43"/>
      <c r="Y1882" s="43"/>
      <c r="Z1882" s="43"/>
      <c r="AA1882" s="43"/>
      <c r="AB1882" s="43"/>
      <c r="AC1882" s="43"/>
      <c r="AD1882" s="43"/>
      <c r="AE1882" s="54"/>
    </row>
    <row r="1883" spans="1:31" hidden="1" outlineLevel="1" collapsed="1" x14ac:dyDescent="0.2">
      <c r="A1883" s="23" t="str">
        <f ca="1">Language!A$860</f>
        <v>Простой срок окупаемости</v>
      </c>
      <c r="B1883" s="163" t="str">
        <f ca="1">IF(ISERROR(E1885),Language!A$834,IF(E1885&gt;=PRJ_Len,Language!A$834,IF(OR(E1885=0),E1885*PRJ_Step/360,(E1885-OFFSET(F1884,0,E1885-1)/(-OFFSET(F1884,0,E1885-1)+OFFSET(F1884,0,E1885)))*PRJ_Step/360)))</f>
        <v>Нет</v>
      </c>
      <c r="C1883" s="17" t="str">
        <f ca="1">IF(B1883=0,Language!A$33,IF(OR(B1883&lt;1,AND(B1883&gt;1,B1883&lt;5)),Language!A$835,IF(B1883=1,Language!A$37,Language!A$33)))</f>
        <v>лет</v>
      </c>
    </row>
    <row r="1884" spans="1:31" hidden="1" outlineLevel="2" x14ac:dyDescent="0.2">
      <c r="A1884" t="str">
        <f ca="1">Language!A$861</f>
        <v xml:space="preserve">    недисконтированный поток нарастающим итогом</v>
      </c>
      <c r="D1884" s="16" t="s">
        <v>2594</v>
      </c>
      <c r="F1884" s="53">
        <f t="shared" ref="F1884:AC1884" ca="1" si="5023">E1884+F1879</f>
        <v>0</v>
      </c>
      <c r="G1884" s="53">
        <f t="shared" ca="1" si="5023"/>
        <v>0</v>
      </c>
      <c r="H1884" s="53">
        <f t="shared" ca="1" si="5023"/>
        <v>0</v>
      </c>
      <c r="I1884" s="53">
        <f t="shared" ca="1" si="5023"/>
        <v>0</v>
      </c>
      <c r="J1884" s="53">
        <f t="shared" ca="1" si="5023"/>
        <v>0</v>
      </c>
      <c r="K1884" s="53">
        <f t="shared" ca="1" si="5023"/>
        <v>2827.4120312836421</v>
      </c>
      <c r="L1884" s="53">
        <f t="shared" ca="1" si="5023"/>
        <v>2843.035293184585</v>
      </c>
      <c r="M1884" s="53">
        <f t="shared" ca="1" si="5023"/>
        <v>3506.0283310907325</v>
      </c>
      <c r="N1884" s="53">
        <f t="shared" ca="1" si="5023"/>
        <v>4470.038573843618</v>
      </c>
      <c r="O1884" s="53">
        <f t="shared" ca="1" si="5023"/>
        <v>5755.3118390955333</v>
      </c>
      <c r="P1884" s="53">
        <f t="shared" ca="1" si="5023"/>
        <v>7210.0865284813926</v>
      </c>
      <c r="Q1884" s="53">
        <f t="shared" ca="1" si="5023"/>
        <v>8664.861217867252</v>
      </c>
      <c r="R1884" s="53">
        <f t="shared" ca="1" si="5023"/>
        <v>10119.63590725311</v>
      </c>
      <c r="S1884" s="53">
        <f t="shared" ca="1" si="5023"/>
        <v>11574.410596638969</v>
      </c>
      <c r="T1884" s="53">
        <f t="shared" ca="1" si="5023"/>
        <v>13029.185286024827</v>
      </c>
      <c r="U1884" s="53">
        <f t="shared" ca="1" si="5023"/>
        <v>14483.959975410686</v>
      </c>
      <c r="V1884" s="53">
        <f t="shared" ca="1" si="5023"/>
        <v>15938.734664796544</v>
      </c>
      <c r="W1884" s="53">
        <f t="shared" ca="1" si="5023"/>
        <v>17393.509354182403</v>
      </c>
      <c r="X1884" s="53">
        <f t="shared" ca="1" si="5023"/>
        <v>18848.284043568263</v>
      </c>
      <c r="Y1884" s="53">
        <f t="shared" ca="1" si="5023"/>
        <v>20303.058732954123</v>
      </c>
      <c r="Z1884" s="53">
        <f t="shared" ca="1" si="5023"/>
        <v>21757.833422339983</v>
      </c>
      <c r="AA1884" s="53">
        <f t="shared" ca="1" si="5023"/>
        <v>23212.608111725844</v>
      </c>
      <c r="AB1884" s="53">
        <f t="shared" ca="1" si="5023"/>
        <v>24667.382801111704</v>
      </c>
      <c r="AC1884" s="53">
        <f t="shared" ca="1" si="5023"/>
        <v>26122.157490497564</v>
      </c>
    </row>
    <row r="1885" spans="1:31" hidden="1" outlineLevel="2" x14ac:dyDescent="0.2">
      <c r="A1885" t="str">
        <f ca="1">Language!A$862</f>
        <v xml:space="preserve">    знак остатка денежных средств</v>
      </c>
      <c r="D1885" s="16" t="s">
        <v>2594</v>
      </c>
      <c r="E1885" s="100" t="e">
        <f ca="1">PRJ_Len+1-(MATCH(-1,F1886:AD1886,0))</f>
        <v>#N/A</v>
      </c>
      <c r="F1885" s="16">
        <f t="shared" ref="F1885:T1885" ca="1" si="5024">SIGN(F1884)</f>
        <v>0</v>
      </c>
      <c r="G1885" s="16">
        <f t="shared" ca="1" si="5024"/>
        <v>0</v>
      </c>
      <c r="H1885" s="16">
        <f t="shared" ca="1" si="5024"/>
        <v>0</v>
      </c>
      <c r="I1885" s="16">
        <f t="shared" ca="1" si="5024"/>
        <v>0</v>
      </c>
      <c r="J1885" s="16">
        <f t="shared" ca="1" si="5024"/>
        <v>0</v>
      </c>
      <c r="K1885" s="16">
        <f t="shared" ca="1" si="5024"/>
        <v>1</v>
      </c>
      <c r="L1885" s="16">
        <f t="shared" ca="1" si="5024"/>
        <v>1</v>
      </c>
      <c r="M1885" s="16">
        <f t="shared" ca="1" si="5024"/>
        <v>1</v>
      </c>
      <c r="N1885" s="16">
        <f t="shared" ca="1" si="5024"/>
        <v>1</v>
      </c>
      <c r="O1885" s="16">
        <f t="shared" ca="1" si="5024"/>
        <v>1</v>
      </c>
      <c r="P1885" s="16">
        <f t="shared" ca="1" si="5024"/>
        <v>1</v>
      </c>
      <c r="Q1885" s="16">
        <f t="shared" ca="1" si="5024"/>
        <v>1</v>
      </c>
      <c r="R1885" s="16">
        <f t="shared" ca="1" si="5024"/>
        <v>1</v>
      </c>
      <c r="S1885" s="16">
        <f t="shared" ca="1" si="5024"/>
        <v>1</v>
      </c>
      <c r="T1885" s="16">
        <f t="shared" ca="1" si="5024"/>
        <v>1</v>
      </c>
      <c r="U1885" s="16">
        <f t="shared" ref="U1885" ca="1" si="5025">SIGN(U1884)</f>
        <v>1</v>
      </c>
      <c r="V1885" s="16">
        <f t="shared" ref="V1885" ca="1" si="5026">SIGN(V1884)</f>
        <v>1</v>
      </c>
      <c r="W1885" s="16">
        <f t="shared" ref="W1885" ca="1" si="5027">SIGN(W1884)</f>
        <v>1</v>
      </c>
      <c r="X1885" s="16">
        <f t="shared" ref="X1885" ca="1" si="5028">SIGN(X1884)</f>
        <v>1</v>
      </c>
      <c r="Y1885" s="16">
        <f t="shared" ref="Y1885" ca="1" si="5029">SIGN(Y1884)</f>
        <v>1</v>
      </c>
      <c r="Z1885" s="16">
        <f t="shared" ref="Z1885" ca="1" si="5030">SIGN(Z1884)</f>
        <v>1</v>
      </c>
      <c r="AA1885" s="16">
        <f t="shared" ref="AA1885" ca="1" si="5031">SIGN(AA1884)</f>
        <v>1</v>
      </c>
      <c r="AB1885" s="16">
        <f t="shared" ref="AB1885:AC1885" ca="1" si="5032">SIGN(AB1884)</f>
        <v>1</v>
      </c>
      <c r="AC1885" s="16">
        <f t="shared" ca="1" si="5032"/>
        <v>1</v>
      </c>
    </row>
    <row r="1886" spans="1:31" hidden="1" outlineLevel="2" x14ac:dyDescent="0.2">
      <c r="A1886" t="str">
        <f ca="1">Language!A$863</f>
        <v xml:space="preserve">    знак остатка денежных средств (с конца)</v>
      </c>
      <c r="D1886" s="16" t="s">
        <v>2594</v>
      </c>
      <c r="F1886" s="100">
        <f t="shared" ref="F1886:T1886" ca="1" si="5033">OFFSET(F1885,0,PRJ_Len-F$29-F$29+1)</f>
        <v>1</v>
      </c>
      <c r="G1886" s="100">
        <f t="shared" ca="1" si="5033"/>
        <v>1</v>
      </c>
      <c r="H1886" s="100">
        <f t="shared" ca="1" si="5033"/>
        <v>1</v>
      </c>
      <c r="I1886" s="100">
        <f t="shared" ca="1" si="5033"/>
        <v>1</v>
      </c>
      <c r="J1886" s="100">
        <f t="shared" ca="1" si="5033"/>
        <v>1</v>
      </c>
      <c r="K1886" s="100">
        <f t="shared" ca="1" si="5033"/>
        <v>1</v>
      </c>
      <c r="L1886" s="100">
        <f t="shared" ca="1" si="5033"/>
        <v>1</v>
      </c>
      <c r="M1886" s="100">
        <f t="shared" ca="1" si="5033"/>
        <v>1</v>
      </c>
      <c r="N1886" s="100">
        <f t="shared" ca="1" si="5033"/>
        <v>1</v>
      </c>
      <c r="O1886" s="100">
        <f t="shared" ca="1" si="5033"/>
        <v>1</v>
      </c>
      <c r="P1886" s="100">
        <f t="shared" ca="1" si="5033"/>
        <v>1</v>
      </c>
      <c r="Q1886" s="100">
        <f t="shared" ca="1" si="5033"/>
        <v>1</v>
      </c>
      <c r="R1886" s="100">
        <f t="shared" ca="1" si="5033"/>
        <v>1</v>
      </c>
      <c r="S1886" s="100">
        <f t="shared" ca="1" si="5033"/>
        <v>1</v>
      </c>
      <c r="T1886" s="100">
        <f t="shared" ca="1" si="5033"/>
        <v>1</v>
      </c>
      <c r="U1886" s="100">
        <f t="shared" ref="U1886" ca="1" si="5034">OFFSET(U1885,0,PRJ_Len-U$29-U$29+1)</f>
        <v>1</v>
      </c>
      <c r="V1886" s="100">
        <f t="shared" ref="V1886" ca="1" si="5035">OFFSET(V1885,0,PRJ_Len-V$29-V$29+1)</f>
        <v>1</v>
      </c>
      <c r="W1886" s="100">
        <f t="shared" ref="W1886" ca="1" si="5036">OFFSET(W1885,0,PRJ_Len-W$29-W$29+1)</f>
        <v>1</v>
      </c>
      <c r="X1886" s="100">
        <f t="shared" ref="X1886" ca="1" si="5037">OFFSET(X1885,0,PRJ_Len-X$29-X$29+1)</f>
        <v>1</v>
      </c>
      <c r="Y1886" s="100">
        <f t="shared" ref="Y1886" ca="1" si="5038">OFFSET(Y1885,0,PRJ_Len-Y$29-Y$29+1)</f>
        <v>0</v>
      </c>
      <c r="Z1886" s="100">
        <f t="shared" ref="Z1886" ca="1" si="5039">OFFSET(Z1885,0,PRJ_Len-Z$29-Z$29+1)</f>
        <v>0</v>
      </c>
      <c r="AA1886" s="100">
        <f t="shared" ref="AA1886" ca="1" si="5040">OFFSET(AA1885,0,PRJ_Len-AA$29-AA$29+1)</f>
        <v>0</v>
      </c>
      <c r="AB1886" s="100">
        <f t="shared" ref="AB1886:AC1886" ca="1" si="5041">OFFSET(AB1885,0,PRJ_Len-AB$29-AB$29+1)</f>
        <v>0</v>
      </c>
      <c r="AC1886" s="100">
        <f t="shared" ca="1" si="5041"/>
        <v>0</v>
      </c>
    </row>
    <row r="1887" spans="1:31" hidden="1" outlineLevel="1" x14ac:dyDescent="0.2"/>
    <row r="1888" spans="1:31" hidden="1" outlineLevel="1" x14ac:dyDescent="0.2">
      <c r="A1888" s="35" t="str">
        <f ca="1">Language!A$864</f>
        <v>Чистая приведенная стоимость (NPV)</v>
      </c>
      <c r="B1888" s="150">
        <f ca="1">AE1880</f>
        <v>18728.016928640918</v>
      </c>
      <c r="C1888" s="5" t="str">
        <f ca="1">C1861</f>
        <v>тыс. EUR</v>
      </c>
    </row>
    <row r="1889" spans="1:31" hidden="1" outlineLevel="1" collapsed="1" x14ac:dyDescent="0.2">
      <c r="A1889" s="35" t="str">
        <f ca="1">Language!A$865</f>
        <v>Дисконтированный срок окупаемости (PBP)</v>
      </c>
      <c r="B1889" s="149" t="str">
        <f ca="1">IF(ISERROR(E1890),Language!A$834,IF(E1890&gt;=PRJ_Len,Language!A$834,IF(OR(E1890=0),E1890*PRJ_Step/360,(E1890-OFFSET(F1881,0,E1890-1)/(-OFFSET(F1881,0,E1890-1)+OFFSET(F1881,0,E1890)))*PRJ_Step/360)))</f>
        <v>Нет</v>
      </c>
      <c r="C1889" s="17" t="str">
        <f ca="1">IF(B1889=0,Language!A$33,IF(OR(B1889&lt;1,AND(B1889&gt;1,B1889&lt;5)),Language!A$835,IF(B1889=1,Language!A$37,Language!A$33)))</f>
        <v>лет</v>
      </c>
    </row>
    <row r="1890" spans="1:31" hidden="1" outlineLevel="2" x14ac:dyDescent="0.2">
      <c r="A1890" t="str">
        <f ca="1">Language!A$866</f>
        <v xml:space="preserve">    знак остатка дисконтированных денежных средств</v>
      </c>
      <c r="D1890" s="16" t="s">
        <v>2594</v>
      </c>
      <c r="E1890" s="100" t="e">
        <f ca="1">PRJ_Len+1-(MATCH(-1,F1891:AD1891,0))</f>
        <v>#N/A</v>
      </c>
      <c r="F1890" s="16">
        <f t="shared" ref="F1890:T1890" ca="1" si="5042">SIGN(F1881)</f>
        <v>0</v>
      </c>
      <c r="G1890" s="16">
        <f t="shared" ca="1" si="5042"/>
        <v>0</v>
      </c>
      <c r="H1890" s="16">
        <f t="shared" ca="1" si="5042"/>
        <v>0</v>
      </c>
      <c r="I1890" s="16">
        <f t="shared" ca="1" si="5042"/>
        <v>0</v>
      </c>
      <c r="J1890" s="16">
        <f t="shared" ca="1" si="5042"/>
        <v>0</v>
      </c>
      <c r="K1890" s="16">
        <f t="shared" ca="1" si="5042"/>
        <v>1</v>
      </c>
      <c r="L1890" s="16">
        <f t="shared" ca="1" si="5042"/>
        <v>1</v>
      </c>
      <c r="M1890" s="16">
        <f t="shared" ca="1" si="5042"/>
        <v>1</v>
      </c>
      <c r="N1890" s="16">
        <f t="shared" ca="1" si="5042"/>
        <v>1</v>
      </c>
      <c r="O1890" s="16">
        <f t="shared" ca="1" si="5042"/>
        <v>1</v>
      </c>
      <c r="P1890" s="16">
        <f t="shared" ca="1" si="5042"/>
        <v>1</v>
      </c>
      <c r="Q1890" s="16">
        <f t="shared" ca="1" si="5042"/>
        <v>1</v>
      </c>
      <c r="R1890" s="16">
        <f t="shared" ca="1" si="5042"/>
        <v>1</v>
      </c>
      <c r="S1890" s="16">
        <f t="shared" ca="1" si="5042"/>
        <v>1</v>
      </c>
      <c r="T1890" s="16">
        <f t="shared" ca="1" si="5042"/>
        <v>1</v>
      </c>
      <c r="U1890" s="16">
        <f t="shared" ref="U1890" ca="1" si="5043">SIGN(U1881)</f>
        <v>1</v>
      </c>
      <c r="V1890" s="16">
        <f t="shared" ref="V1890" ca="1" si="5044">SIGN(V1881)</f>
        <v>1</v>
      </c>
      <c r="W1890" s="16">
        <f t="shared" ref="W1890" ca="1" si="5045">SIGN(W1881)</f>
        <v>1</v>
      </c>
      <c r="X1890" s="16">
        <f t="shared" ref="X1890" ca="1" si="5046">SIGN(X1881)</f>
        <v>1</v>
      </c>
      <c r="Y1890" s="16">
        <f t="shared" ref="Y1890" ca="1" si="5047">SIGN(Y1881)</f>
        <v>1</v>
      </c>
      <c r="Z1890" s="16">
        <f t="shared" ref="Z1890" ca="1" si="5048">SIGN(Z1881)</f>
        <v>1</v>
      </c>
      <c r="AA1890" s="16">
        <f t="shared" ref="AA1890" ca="1" si="5049">SIGN(AA1881)</f>
        <v>1</v>
      </c>
      <c r="AB1890" s="16">
        <f t="shared" ref="AB1890:AC1890" ca="1" si="5050">SIGN(AB1881)</f>
        <v>1</v>
      </c>
      <c r="AC1890" s="16">
        <f t="shared" ca="1" si="5050"/>
        <v>1</v>
      </c>
    </row>
    <row r="1891" spans="1:31" hidden="1" outlineLevel="2" x14ac:dyDescent="0.2">
      <c r="A1891" t="str">
        <f ca="1">Language!A$867</f>
        <v xml:space="preserve">    знак остатка дисконтированных денежных средств (с конца)</v>
      </c>
      <c r="D1891" s="16" t="s">
        <v>2594</v>
      </c>
      <c r="F1891" s="100">
        <f t="shared" ref="F1891:T1891" ca="1" si="5051">OFFSET(F1890,0,PRJ_Len-F$29-F$29+1)</f>
        <v>1</v>
      </c>
      <c r="G1891" s="100">
        <f t="shared" ca="1" si="5051"/>
        <v>1</v>
      </c>
      <c r="H1891" s="100">
        <f t="shared" ca="1" si="5051"/>
        <v>1</v>
      </c>
      <c r="I1891" s="100">
        <f t="shared" ca="1" si="5051"/>
        <v>1</v>
      </c>
      <c r="J1891" s="100">
        <f t="shared" ca="1" si="5051"/>
        <v>1</v>
      </c>
      <c r="K1891" s="100">
        <f t="shared" ca="1" si="5051"/>
        <v>1</v>
      </c>
      <c r="L1891" s="100">
        <f t="shared" ca="1" si="5051"/>
        <v>1</v>
      </c>
      <c r="M1891" s="100">
        <f t="shared" ca="1" si="5051"/>
        <v>1</v>
      </c>
      <c r="N1891" s="100">
        <f t="shared" ca="1" si="5051"/>
        <v>1</v>
      </c>
      <c r="O1891" s="100">
        <f t="shared" ca="1" si="5051"/>
        <v>1</v>
      </c>
      <c r="P1891" s="100">
        <f t="shared" ca="1" si="5051"/>
        <v>1</v>
      </c>
      <c r="Q1891" s="100">
        <f t="shared" ca="1" si="5051"/>
        <v>1</v>
      </c>
      <c r="R1891" s="100">
        <f t="shared" ca="1" si="5051"/>
        <v>1</v>
      </c>
      <c r="S1891" s="100">
        <f t="shared" ca="1" si="5051"/>
        <v>1</v>
      </c>
      <c r="T1891" s="100">
        <f t="shared" ca="1" si="5051"/>
        <v>1</v>
      </c>
      <c r="U1891" s="100">
        <f t="shared" ref="U1891" ca="1" si="5052">OFFSET(U1890,0,PRJ_Len-U$29-U$29+1)</f>
        <v>1</v>
      </c>
      <c r="V1891" s="100">
        <f t="shared" ref="V1891" ca="1" si="5053">OFFSET(V1890,0,PRJ_Len-V$29-V$29+1)</f>
        <v>1</v>
      </c>
      <c r="W1891" s="100">
        <f t="shared" ref="W1891" ca="1" si="5054">OFFSET(W1890,0,PRJ_Len-W$29-W$29+1)</f>
        <v>1</v>
      </c>
      <c r="X1891" s="100">
        <f t="shared" ref="X1891" ca="1" si="5055">OFFSET(X1890,0,PRJ_Len-X$29-X$29+1)</f>
        <v>1</v>
      </c>
      <c r="Y1891" s="100">
        <f t="shared" ref="Y1891" ca="1" si="5056">OFFSET(Y1890,0,PRJ_Len-Y$29-Y$29+1)</f>
        <v>0</v>
      </c>
      <c r="Z1891" s="100">
        <f t="shared" ref="Z1891" ca="1" si="5057">OFFSET(Z1890,0,PRJ_Len-Z$29-Z$29+1)</f>
        <v>0</v>
      </c>
      <c r="AA1891" s="100">
        <f t="shared" ref="AA1891" ca="1" si="5058">OFFSET(AA1890,0,PRJ_Len-AA$29-AA$29+1)</f>
        <v>0</v>
      </c>
      <c r="AB1891" s="100">
        <f t="shared" ref="AB1891:AC1891" ca="1" si="5059">OFFSET(AB1890,0,PRJ_Len-AB$29-AB$29+1)</f>
        <v>0</v>
      </c>
      <c r="AC1891" s="100">
        <f t="shared" ca="1" si="5059"/>
        <v>0</v>
      </c>
    </row>
    <row r="1892" spans="1:31" hidden="1" outlineLevel="1" collapsed="1" x14ac:dyDescent="0.2">
      <c r="A1892" s="129" t="str">
        <f ca="1">Language!A$868</f>
        <v>Внутренняя норма рентабельности (IRR)</v>
      </c>
      <c r="B1892" s="151" t="str">
        <f ca="1">IF(ISERROR(E1892),Language!A$834,IF(AND(E1892&gt;0,E1892&lt;100),E1892,Language!A$834))</f>
        <v>Нет</v>
      </c>
      <c r="C1892" s="106" t="str">
        <f ca="1">Language!A$837</f>
        <v>(номинальная - с учетом инфляции)</v>
      </c>
      <c r="E1892" s="16" t="e">
        <f ca="1">(POWER(1+IRR(F1893:AC1893,0.2*PRJ_Step/360),360/PRJ_Step)-1)</f>
        <v>#NUM!</v>
      </c>
    </row>
    <row r="1893" spans="1:31" s="48" customFormat="1" hidden="1" outlineLevel="2" x14ac:dyDescent="0.2">
      <c r="A1893" s="24" t="str">
        <f ca="1">Language!A$857</f>
        <v>Чистый денежный поток</v>
      </c>
      <c r="B1893" s="222"/>
      <c r="C1893" s="215"/>
      <c r="E1893" s="100"/>
      <c r="F1893" s="65">
        <f t="shared" ref="F1893:T1893" ca="1" si="5060">F1879*F1894</f>
        <v>0</v>
      </c>
      <c r="G1893" s="65">
        <f t="shared" ca="1" si="5060"/>
        <v>0</v>
      </c>
      <c r="H1893" s="65">
        <f t="shared" ca="1" si="5060"/>
        <v>0</v>
      </c>
      <c r="I1893" s="65">
        <f t="shared" ca="1" si="5060"/>
        <v>0</v>
      </c>
      <c r="J1893" s="65">
        <f t="shared" ca="1" si="5060"/>
        <v>0</v>
      </c>
      <c r="K1893" s="65">
        <f t="shared" ca="1" si="5060"/>
        <v>2827.4120312836421</v>
      </c>
      <c r="L1893" s="65">
        <f t="shared" ca="1" si="5060"/>
        <v>15.623261900942822</v>
      </c>
      <c r="M1893" s="65">
        <f t="shared" ca="1" si="5060"/>
        <v>662.99303790614749</v>
      </c>
      <c r="N1893" s="65">
        <f t="shared" ca="1" si="5060"/>
        <v>964.01024275288535</v>
      </c>
      <c r="O1893" s="65">
        <f t="shared" ca="1" si="5060"/>
        <v>1285.2732652519153</v>
      </c>
      <c r="P1893" s="65">
        <f t="shared" ca="1" si="5060"/>
        <v>1454.7746893858591</v>
      </c>
      <c r="Q1893" s="65">
        <f t="shared" ca="1" si="5060"/>
        <v>1454.7746893858591</v>
      </c>
      <c r="R1893" s="65">
        <f t="shared" ca="1" si="5060"/>
        <v>1454.7746893858591</v>
      </c>
      <c r="S1893" s="65">
        <f t="shared" ca="1" si="5060"/>
        <v>1454.7746893858591</v>
      </c>
      <c r="T1893" s="65">
        <f t="shared" ca="1" si="5060"/>
        <v>1454.7746893858591</v>
      </c>
      <c r="U1893" s="65">
        <f t="shared" ref="U1893" ca="1" si="5061">U1879*U1894</f>
        <v>1454.7746893858591</v>
      </c>
      <c r="V1893" s="65">
        <f t="shared" ref="V1893" ca="1" si="5062">V1879*V1894</f>
        <v>1454.7746893858591</v>
      </c>
      <c r="W1893" s="65">
        <f t="shared" ref="W1893" ca="1" si="5063">W1879*W1894</f>
        <v>1454.7746893858591</v>
      </c>
      <c r="X1893" s="65">
        <f t="shared" ref="X1893" ca="1" si="5064">X1879*X1894</f>
        <v>1454.7746893858591</v>
      </c>
      <c r="Y1893" s="65">
        <f t="shared" ref="Y1893" ca="1" si="5065">Y1879*Y1894</f>
        <v>1454.7746893858591</v>
      </c>
      <c r="Z1893" s="65">
        <f t="shared" ref="Z1893" ca="1" si="5066">Z1879*Z1894</f>
        <v>1454.7746893858591</v>
      </c>
      <c r="AA1893" s="65">
        <f t="shared" ref="AA1893" ca="1" si="5067">AA1879*AA1894</f>
        <v>1454.7746893858591</v>
      </c>
      <c r="AB1893" s="65">
        <f t="shared" ref="AB1893:AC1893" ca="1" si="5068">AB1879*AB1894</f>
        <v>1454.7746893858591</v>
      </c>
      <c r="AC1893" s="65">
        <f t="shared" ca="1" si="5068"/>
        <v>1454.7746893858591</v>
      </c>
      <c r="AE1893" s="41"/>
    </row>
    <row r="1894" spans="1:31" s="48" customFormat="1" hidden="1" outlineLevel="2" x14ac:dyDescent="0.2">
      <c r="A1894" s="24" t="str">
        <f ca="1">Language!$A$118 &amp; IF(CalcMethod=1,Language!A$109,Language!A$108)</f>
        <v>Множитель прироста цен  (включен)</v>
      </c>
      <c r="B1894" s="222"/>
      <c r="C1894" s="215"/>
      <c r="E1894" s="100"/>
      <c r="F1894" s="315">
        <v>1</v>
      </c>
      <c r="G1894" s="315">
        <f t="shared" ref="G1894:AC1894" si="5069">IF(CalcMethod=1,F1894*(1+IF($B$1861=1,G$81,G$92)),1)</f>
        <v>1</v>
      </c>
      <c r="H1894" s="315">
        <f t="shared" si="5069"/>
        <v>1</v>
      </c>
      <c r="I1894" s="315">
        <f t="shared" si="5069"/>
        <v>1</v>
      </c>
      <c r="J1894" s="315">
        <f t="shared" si="5069"/>
        <v>1</v>
      </c>
      <c r="K1894" s="315">
        <f t="shared" si="5069"/>
        <v>1</v>
      </c>
      <c r="L1894" s="315">
        <f t="shared" si="5069"/>
        <v>1</v>
      </c>
      <c r="M1894" s="315">
        <f t="shared" si="5069"/>
        <v>1</v>
      </c>
      <c r="N1894" s="315">
        <f t="shared" si="5069"/>
        <v>1</v>
      </c>
      <c r="O1894" s="315">
        <f t="shared" si="5069"/>
        <v>1</v>
      </c>
      <c r="P1894" s="315">
        <f t="shared" si="5069"/>
        <v>1</v>
      </c>
      <c r="Q1894" s="315">
        <f t="shared" si="5069"/>
        <v>1</v>
      </c>
      <c r="R1894" s="315">
        <f t="shared" si="5069"/>
        <v>1</v>
      </c>
      <c r="S1894" s="315">
        <f t="shared" si="5069"/>
        <v>1</v>
      </c>
      <c r="T1894" s="315">
        <f t="shared" si="5069"/>
        <v>1</v>
      </c>
      <c r="U1894" s="315">
        <f t="shared" si="5069"/>
        <v>1</v>
      </c>
      <c r="V1894" s="315">
        <f t="shared" si="5069"/>
        <v>1</v>
      </c>
      <c r="W1894" s="315">
        <f t="shared" si="5069"/>
        <v>1</v>
      </c>
      <c r="X1894" s="315">
        <f t="shared" si="5069"/>
        <v>1</v>
      </c>
      <c r="Y1894" s="315">
        <f t="shared" si="5069"/>
        <v>1</v>
      </c>
      <c r="Z1894" s="315">
        <f t="shared" si="5069"/>
        <v>1</v>
      </c>
      <c r="AA1894" s="315">
        <f t="shared" si="5069"/>
        <v>1</v>
      </c>
      <c r="AB1894" s="315">
        <f t="shared" si="5069"/>
        <v>1</v>
      </c>
      <c r="AC1894" s="315">
        <f t="shared" si="5069"/>
        <v>1</v>
      </c>
      <c r="AE1894" s="41"/>
    </row>
    <row r="1895" spans="1:31" hidden="1" outlineLevel="1" collapsed="1" x14ac:dyDescent="0.2">
      <c r="A1895" s="23" t="str">
        <f ca="1">Language!A$869</f>
        <v>Норма доходности дисконтированных затрат (PI)</v>
      </c>
      <c r="B1895" s="310" t="str">
        <f ca="1">IF(AE1899&lt;0,AE1897/-AE1899,Language!A$834)</f>
        <v>Нет</v>
      </c>
      <c r="C1895" s="5" t="str">
        <f ca="1">Language!A$198</f>
        <v>разы</v>
      </c>
    </row>
    <row r="1896" spans="1:31" hidden="1" outlineLevel="2" x14ac:dyDescent="0.2">
      <c r="A1896" t="str">
        <f ca="1">Language!A$870</f>
        <v xml:space="preserve">    притоки</v>
      </c>
      <c r="C1896" s="5" t="str">
        <f ca="1">C1861</f>
        <v>тыс. EUR</v>
      </c>
      <c r="F1896" s="43">
        <f t="shared" ref="F1896:T1896" ca="1" si="5070">MAX(0,F1879)</f>
        <v>0</v>
      </c>
      <c r="G1896" s="43">
        <f t="shared" ca="1" si="5070"/>
        <v>0</v>
      </c>
      <c r="H1896" s="43">
        <f t="shared" ca="1" si="5070"/>
        <v>0</v>
      </c>
      <c r="I1896" s="43">
        <f t="shared" ca="1" si="5070"/>
        <v>0</v>
      </c>
      <c r="J1896" s="43">
        <f t="shared" ca="1" si="5070"/>
        <v>0</v>
      </c>
      <c r="K1896" s="43">
        <f t="shared" ca="1" si="5070"/>
        <v>2827.4120312836421</v>
      </c>
      <c r="L1896" s="43">
        <f t="shared" ca="1" si="5070"/>
        <v>15.623261900942822</v>
      </c>
      <c r="M1896" s="43">
        <f t="shared" ca="1" si="5070"/>
        <v>662.99303790614749</v>
      </c>
      <c r="N1896" s="43">
        <f t="shared" ca="1" si="5070"/>
        <v>964.01024275288535</v>
      </c>
      <c r="O1896" s="43">
        <f t="shared" ca="1" si="5070"/>
        <v>1285.2732652519153</v>
      </c>
      <c r="P1896" s="43">
        <f t="shared" ca="1" si="5070"/>
        <v>1454.7746893858591</v>
      </c>
      <c r="Q1896" s="43">
        <f t="shared" ca="1" si="5070"/>
        <v>1454.7746893858591</v>
      </c>
      <c r="R1896" s="43">
        <f t="shared" ca="1" si="5070"/>
        <v>1454.7746893858591</v>
      </c>
      <c r="S1896" s="43">
        <f t="shared" ca="1" si="5070"/>
        <v>1454.7746893858591</v>
      </c>
      <c r="T1896" s="43">
        <f t="shared" ca="1" si="5070"/>
        <v>1454.7746893858591</v>
      </c>
      <c r="U1896" s="43">
        <f t="shared" ref="U1896" ca="1" si="5071">MAX(0,U1879)</f>
        <v>1454.7746893858591</v>
      </c>
      <c r="V1896" s="43">
        <f t="shared" ref="V1896" ca="1" si="5072">MAX(0,V1879)</f>
        <v>1454.7746893858591</v>
      </c>
      <c r="W1896" s="43">
        <f t="shared" ref="W1896" ca="1" si="5073">MAX(0,W1879)</f>
        <v>1454.7746893858591</v>
      </c>
      <c r="X1896" s="43">
        <f t="shared" ref="X1896" ca="1" si="5074">MAX(0,X1879)</f>
        <v>1454.7746893858591</v>
      </c>
      <c r="Y1896" s="43">
        <f t="shared" ref="Y1896" ca="1" si="5075">MAX(0,Y1879)</f>
        <v>1454.7746893858591</v>
      </c>
      <c r="Z1896" s="43">
        <f t="shared" ref="Z1896" ca="1" si="5076">MAX(0,Z1879)</f>
        <v>1454.7746893858591</v>
      </c>
      <c r="AA1896" s="43">
        <f t="shared" ref="AA1896" ca="1" si="5077">MAX(0,AA1879)</f>
        <v>1454.7746893858591</v>
      </c>
      <c r="AB1896" s="43">
        <f t="shared" ref="AB1896:AC1896" ca="1" si="5078">MAX(0,AB1879)</f>
        <v>1454.7746893858591</v>
      </c>
      <c r="AC1896" s="43">
        <f t="shared" ca="1" si="5078"/>
        <v>1454.7746893858591</v>
      </c>
      <c r="AE1896" s="54">
        <f ca="1">SUM(F1896:AC1896)</f>
        <v>26122.157490497564</v>
      </c>
    </row>
    <row r="1897" spans="1:31" hidden="1" outlineLevel="2" x14ac:dyDescent="0.2">
      <c r="A1897" t="str">
        <f ca="1">Language!A$871</f>
        <v xml:space="preserve">    дисконтированные притоки</v>
      </c>
      <c r="C1897" s="5" t="str">
        <f ca="1">C1861</f>
        <v>тыс. EUR</v>
      </c>
      <c r="F1897" s="43">
        <f t="shared" ref="F1897:T1897" ca="1" si="5079">F1896/F1864</f>
        <v>0</v>
      </c>
      <c r="G1897" s="43">
        <f t="shared" ca="1" si="5079"/>
        <v>0</v>
      </c>
      <c r="H1897" s="43">
        <f t="shared" ca="1" si="5079"/>
        <v>0</v>
      </c>
      <c r="I1897" s="43">
        <f t="shared" ca="1" si="5079"/>
        <v>0</v>
      </c>
      <c r="J1897" s="43">
        <f t="shared" ca="1" si="5079"/>
        <v>0</v>
      </c>
      <c r="K1897" s="43">
        <f t="shared" ca="1" si="5079"/>
        <v>2509.8527646790158</v>
      </c>
      <c r="L1897" s="43">
        <f t="shared" ca="1" si="5079"/>
        <v>13.541996131395418</v>
      </c>
      <c r="M1897" s="43">
        <f t="shared" ca="1" si="5079"/>
        <v>561.14069908046963</v>
      </c>
      <c r="N1897" s="43">
        <f t="shared" ca="1" si="5079"/>
        <v>796.70267996106247</v>
      </c>
      <c r="O1897" s="43">
        <f t="shared" ca="1" si="5079"/>
        <v>1037.198624964346</v>
      </c>
      <c r="P1897" s="43">
        <f t="shared" ca="1" si="5079"/>
        <v>1146.341522405615</v>
      </c>
      <c r="Q1897" s="43">
        <f t="shared" ca="1" si="5079"/>
        <v>1119.3498677187306</v>
      </c>
      <c r="R1897" s="43">
        <f t="shared" ca="1" si="5079"/>
        <v>1092.9937561125919</v>
      </c>
      <c r="S1897" s="43">
        <f t="shared" ca="1" si="5079"/>
        <v>1067.258223146812</v>
      </c>
      <c r="T1897" s="43">
        <f t="shared" ca="1" si="5079"/>
        <v>1042.1286567323771</v>
      </c>
      <c r="U1897" s="43">
        <f t="shared" ref="U1897" ca="1" si="5080">U1896/U1864</f>
        <v>1017.5907888352097</v>
      </c>
      <c r="V1897" s="43">
        <f t="shared" ref="V1897" ca="1" si="5081">V1896/V1864</f>
        <v>993.63068737508343</v>
      </c>
      <c r="W1897" s="43">
        <f t="shared" ref="W1897" ca="1" si="5082">W1896/W1864</f>
        <v>970.2347483152837</v>
      </c>
      <c r="X1897" s="43">
        <f t="shared" ref="X1897" ca="1" si="5083">X1896/X1864</f>
        <v>947.38968793852462</v>
      </c>
      <c r="Y1897" s="43">
        <f t="shared" ref="Y1897" ca="1" si="5084">Y1896/Y1864</f>
        <v>925.08253530473598</v>
      </c>
      <c r="Z1897" s="43">
        <f t="shared" ref="Z1897" ca="1" si="5085">Z1896/Z1864</f>
        <v>903.30062488643944</v>
      </c>
      <c r="AA1897" s="43">
        <f t="shared" ref="AA1897" ca="1" si="5086">AA1896/AA1864</f>
        <v>882.03158937753074</v>
      </c>
      <c r="AB1897" s="43">
        <f t="shared" ref="AB1897:AC1897" ca="1" si="5087">AB1896/AB1864</f>
        <v>861.26335267138609</v>
      </c>
      <c r="AC1897" s="43">
        <f t="shared" ca="1" si="5087"/>
        <v>840.9841230043055</v>
      </c>
      <c r="AE1897" s="54">
        <f ca="1">SUM(F1897:AC1897)</f>
        <v>18728.016928640918</v>
      </c>
    </row>
    <row r="1898" spans="1:31" hidden="1" outlineLevel="2" x14ac:dyDescent="0.2">
      <c r="A1898" t="str">
        <f ca="1">Language!A$872</f>
        <v xml:space="preserve">    оттоки</v>
      </c>
      <c r="C1898" s="5" t="str">
        <f ca="1">C1861</f>
        <v>тыс. EUR</v>
      </c>
      <c r="F1898" s="43">
        <f t="shared" ref="F1898:T1898" ca="1" si="5088">MIN(0,F1879)</f>
        <v>0</v>
      </c>
      <c r="G1898" s="43">
        <f t="shared" ca="1" si="5088"/>
        <v>0</v>
      </c>
      <c r="H1898" s="43">
        <f t="shared" ca="1" si="5088"/>
        <v>0</v>
      </c>
      <c r="I1898" s="43">
        <f t="shared" ca="1" si="5088"/>
        <v>0</v>
      </c>
      <c r="J1898" s="43">
        <f t="shared" ca="1" si="5088"/>
        <v>0</v>
      </c>
      <c r="K1898" s="43">
        <f t="shared" ca="1" si="5088"/>
        <v>0</v>
      </c>
      <c r="L1898" s="43">
        <f t="shared" ca="1" si="5088"/>
        <v>0</v>
      </c>
      <c r="M1898" s="43">
        <f t="shared" ca="1" si="5088"/>
        <v>0</v>
      </c>
      <c r="N1898" s="43">
        <f t="shared" ca="1" si="5088"/>
        <v>0</v>
      </c>
      <c r="O1898" s="43">
        <f t="shared" ca="1" si="5088"/>
        <v>0</v>
      </c>
      <c r="P1898" s="43">
        <f t="shared" ca="1" si="5088"/>
        <v>0</v>
      </c>
      <c r="Q1898" s="43">
        <f t="shared" ca="1" si="5088"/>
        <v>0</v>
      </c>
      <c r="R1898" s="43">
        <f t="shared" ca="1" si="5088"/>
        <v>0</v>
      </c>
      <c r="S1898" s="43">
        <f t="shared" ca="1" si="5088"/>
        <v>0</v>
      </c>
      <c r="T1898" s="43">
        <f t="shared" ca="1" si="5088"/>
        <v>0</v>
      </c>
      <c r="U1898" s="43">
        <f t="shared" ref="U1898" ca="1" si="5089">MIN(0,U1879)</f>
        <v>0</v>
      </c>
      <c r="V1898" s="43">
        <f t="shared" ref="V1898" ca="1" si="5090">MIN(0,V1879)</f>
        <v>0</v>
      </c>
      <c r="W1898" s="43">
        <f t="shared" ref="W1898" ca="1" si="5091">MIN(0,W1879)</f>
        <v>0</v>
      </c>
      <c r="X1898" s="43">
        <f t="shared" ref="X1898" ca="1" si="5092">MIN(0,X1879)</f>
        <v>0</v>
      </c>
      <c r="Y1898" s="43">
        <f t="shared" ref="Y1898" ca="1" si="5093">MIN(0,Y1879)</f>
        <v>0</v>
      </c>
      <c r="Z1898" s="43">
        <f t="shared" ref="Z1898" ca="1" si="5094">MIN(0,Z1879)</f>
        <v>0</v>
      </c>
      <c r="AA1898" s="43">
        <f t="shared" ref="AA1898" ca="1" si="5095">MIN(0,AA1879)</f>
        <v>0</v>
      </c>
      <c r="AB1898" s="43">
        <f t="shared" ref="AB1898:AC1898" ca="1" si="5096">MIN(0,AB1879)</f>
        <v>0</v>
      </c>
      <c r="AC1898" s="43">
        <f t="shared" ca="1" si="5096"/>
        <v>0</v>
      </c>
      <c r="AE1898" s="54">
        <f ca="1">SUM(F1898:AC1898)</f>
        <v>0</v>
      </c>
    </row>
    <row r="1899" spans="1:31" hidden="1" outlineLevel="2" x14ac:dyDescent="0.2">
      <c r="A1899" t="str">
        <f ca="1">Language!A$873</f>
        <v xml:space="preserve">    дисконтированные оттоки</v>
      </c>
      <c r="C1899" s="5" t="str">
        <f ca="1">C1861</f>
        <v>тыс. EUR</v>
      </c>
      <c r="F1899" s="43">
        <f t="shared" ref="F1899:T1899" ca="1" si="5097">F1898/F1864</f>
        <v>0</v>
      </c>
      <c r="G1899" s="43">
        <f t="shared" ca="1" si="5097"/>
        <v>0</v>
      </c>
      <c r="H1899" s="43">
        <f t="shared" ca="1" si="5097"/>
        <v>0</v>
      </c>
      <c r="I1899" s="43">
        <f t="shared" ca="1" si="5097"/>
        <v>0</v>
      </c>
      <c r="J1899" s="43">
        <f t="shared" ca="1" si="5097"/>
        <v>0</v>
      </c>
      <c r="K1899" s="43">
        <f t="shared" ca="1" si="5097"/>
        <v>0</v>
      </c>
      <c r="L1899" s="43">
        <f t="shared" ca="1" si="5097"/>
        <v>0</v>
      </c>
      <c r="M1899" s="43">
        <f t="shared" ca="1" si="5097"/>
        <v>0</v>
      </c>
      <c r="N1899" s="43">
        <f t="shared" ca="1" si="5097"/>
        <v>0</v>
      </c>
      <c r="O1899" s="43">
        <f t="shared" ca="1" si="5097"/>
        <v>0</v>
      </c>
      <c r="P1899" s="43">
        <f t="shared" ca="1" si="5097"/>
        <v>0</v>
      </c>
      <c r="Q1899" s="43">
        <f t="shared" ca="1" si="5097"/>
        <v>0</v>
      </c>
      <c r="R1899" s="43">
        <f t="shared" ca="1" si="5097"/>
        <v>0</v>
      </c>
      <c r="S1899" s="43">
        <f t="shared" ca="1" si="5097"/>
        <v>0</v>
      </c>
      <c r="T1899" s="43">
        <f t="shared" ca="1" si="5097"/>
        <v>0</v>
      </c>
      <c r="U1899" s="43">
        <f t="shared" ref="U1899" ca="1" si="5098">U1898/U1864</f>
        <v>0</v>
      </c>
      <c r="V1899" s="43">
        <f t="shared" ref="V1899" ca="1" si="5099">V1898/V1864</f>
        <v>0</v>
      </c>
      <c r="W1899" s="43">
        <f t="shared" ref="W1899" ca="1" si="5100">W1898/W1864</f>
        <v>0</v>
      </c>
      <c r="X1899" s="43">
        <f t="shared" ref="X1899" ca="1" si="5101">X1898/X1864</f>
        <v>0</v>
      </c>
      <c r="Y1899" s="43">
        <f t="shared" ref="Y1899" ca="1" si="5102">Y1898/Y1864</f>
        <v>0</v>
      </c>
      <c r="Z1899" s="43">
        <f t="shared" ref="Z1899" ca="1" si="5103">Z1898/Z1864</f>
        <v>0</v>
      </c>
      <c r="AA1899" s="43">
        <f t="shared" ref="AA1899" ca="1" si="5104">AA1898/AA1864</f>
        <v>0</v>
      </c>
      <c r="AB1899" s="43">
        <f t="shared" ref="AB1899:AC1899" ca="1" si="5105">AB1898/AB1864</f>
        <v>0</v>
      </c>
      <c r="AC1899" s="43">
        <f t="shared" ca="1" si="5105"/>
        <v>0</v>
      </c>
      <c r="AE1899" s="54">
        <f ca="1">SUM(F1899:AC1899)</f>
        <v>0</v>
      </c>
    </row>
    <row r="1900" spans="1:31" hidden="1" outlineLevel="1" x14ac:dyDescent="0.2">
      <c r="F1900" s="43"/>
      <c r="G1900" s="43"/>
      <c r="H1900" s="43"/>
      <c r="I1900" s="43"/>
      <c r="J1900" s="43"/>
      <c r="K1900" s="43"/>
      <c r="L1900" s="43"/>
      <c r="M1900" s="43"/>
      <c r="N1900" s="43"/>
      <c r="O1900" s="43"/>
      <c r="P1900" s="43"/>
      <c r="Q1900" s="43"/>
      <c r="R1900" s="43"/>
      <c r="S1900" s="43"/>
      <c r="T1900" s="43"/>
      <c r="U1900" s="43"/>
      <c r="V1900" s="43"/>
      <c r="W1900" s="43"/>
      <c r="X1900" s="43"/>
      <c r="Y1900" s="43"/>
      <c r="Z1900" s="43"/>
      <c r="AA1900" s="43"/>
      <c r="AB1900" s="43"/>
      <c r="AC1900" s="43"/>
    </row>
    <row r="1901" spans="1:31" hidden="1" outlineLevel="1" x14ac:dyDescent="0.2">
      <c r="A1901" s="23" t="str">
        <f ca="1">Language!A$874</f>
        <v>Модифицированная IRR (MIRR)</v>
      </c>
      <c r="B1901" s="311" t="str">
        <f ca="1">IF(ISERROR(E1901),Language!A$834,E1901)</f>
        <v>Нет</v>
      </c>
      <c r="E1901" s="152" t="e">
        <f ca="1">(POWER(1+MIRR(F1879:AD1879,POWER(1+B1903,PRJ_Step/360)-1,POWER(1+B1902,PRJ_Step/360)-1),360/PRJ_Step)-1)</f>
        <v>#DIV/0!</v>
      </c>
      <c r="F1901" s="43"/>
      <c r="G1901" s="43"/>
      <c r="H1901" s="43"/>
      <c r="I1901" s="43"/>
      <c r="J1901" s="43"/>
      <c r="K1901" s="43"/>
      <c r="L1901" s="43"/>
      <c r="M1901" s="43"/>
      <c r="N1901" s="43"/>
      <c r="O1901" s="43"/>
      <c r="P1901" s="43"/>
      <c r="Q1901" s="43"/>
      <c r="R1901" s="43"/>
      <c r="S1901" s="43"/>
      <c r="T1901" s="43"/>
      <c r="U1901" s="43"/>
      <c r="V1901" s="43"/>
      <c r="W1901" s="43"/>
      <c r="X1901" s="43"/>
      <c r="Y1901" s="43"/>
      <c r="Z1901" s="43"/>
      <c r="AA1901" s="43"/>
      <c r="AB1901" s="43"/>
      <c r="AC1901" s="43"/>
    </row>
    <row r="1902" spans="1:31" hidden="1" outlineLevel="1" x14ac:dyDescent="0.2">
      <c r="A1902" t="str">
        <f ca="1">Language!A$875</f>
        <v>Ставка реинвестирования доходов</v>
      </c>
      <c r="B1902" s="272">
        <f>B1862</f>
        <v>0.1</v>
      </c>
    </row>
    <row r="1903" spans="1:31" hidden="1" outlineLevel="1" x14ac:dyDescent="0.2">
      <c r="A1903" t="str">
        <f ca="1">Language!A$876</f>
        <v>Ставка дисконтирования инвестиционных затрат</v>
      </c>
      <c r="B1903" s="272">
        <f>B1862</f>
        <v>0.1</v>
      </c>
    </row>
    <row r="1904" spans="1:31" hidden="1" outlineLevel="1" x14ac:dyDescent="0.2">
      <c r="A1904" s="63"/>
      <c r="B1904" s="63"/>
      <c r="C1904" s="63"/>
      <c r="D1904" s="63"/>
      <c r="E1904" s="63"/>
      <c r="F1904" s="63"/>
      <c r="G1904" s="63"/>
      <c r="H1904" s="63"/>
      <c r="I1904" s="63"/>
      <c r="J1904" s="63"/>
      <c r="K1904" s="63"/>
      <c r="L1904" s="63"/>
      <c r="M1904" s="63"/>
      <c r="N1904" s="63"/>
      <c r="O1904" s="63"/>
      <c r="P1904" s="63"/>
      <c r="Q1904" s="63"/>
      <c r="R1904" s="63"/>
      <c r="S1904" s="63"/>
      <c r="T1904" s="63"/>
      <c r="U1904" s="63"/>
      <c r="V1904" s="63"/>
      <c r="W1904" s="63"/>
      <c r="X1904" s="63"/>
      <c r="Y1904" s="63"/>
      <c r="Z1904" s="63"/>
      <c r="AA1904" s="63"/>
      <c r="AB1904" s="63"/>
      <c r="AC1904" s="63"/>
      <c r="AD1904" s="63"/>
      <c r="AE1904" s="64"/>
    </row>
    <row r="1905" spans="1:31" hidden="1" outlineLevel="1" collapsed="1" x14ac:dyDescent="0.2">
      <c r="A1905" s="22" t="str">
        <f ca="1">Language!A$881 &amp; ", " &amp; Проект!CUR_Report</f>
        <v>График: Окупаемость проекта (для банка), тыс. EUR</v>
      </c>
      <c r="B1905" s="19"/>
      <c r="C1905" s="19"/>
      <c r="D1905" s="19"/>
      <c r="E1905" s="19"/>
      <c r="F1905" s="19"/>
      <c r="G1905" s="19"/>
      <c r="H1905" s="19"/>
      <c r="I1905" s="19"/>
      <c r="J1905" s="19"/>
      <c r="K1905" s="19"/>
      <c r="L1905" s="19"/>
      <c r="M1905" s="19"/>
      <c r="N1905" s="19"/>
      <c r="O1905" s="19"/>
      <c r="P1905" s="19"/>
      <c r="Q1905" s="19"/>
      <c r="R1905" s="19"/>
      <c r="S1905" s="19"/>
      <c r="T1905" s="19"/>
      <c r="U1905" s="19"/>
      <c r="V1905" s="19"/>
      <c r="W1905" s="19"/>
      <c r="X1905" s="19"/>
      <c r="Y1905" s="19"/>
      <c r="Z1905" s="19"/>
      <c r="AA1905" s="19"/>
      <c r="AB1905" s="19"/>
      <c r="AC1905" s="19"/>
      <c r="AD1905" s="19"/>
      <c r="AE1905" s="22"/>
    </row>
    <row r="1906" spans="1:31" hidden="1" outlineLevel="2" x14ac:dyDescent="0.2">
      <c r="A1906" s="19"/>
      <c r="B1906" s="19"/>
      <c r="C1906" s="19"/>
      <c r="D1906" s="19"/>
      <c r="E1906" s="19"/>
      <c r="F1906" s="19"/>
      <c r="G1906" s="19"/>
      <c r="H1906" s="19"/>
      <c r="I1906" s="19"/>
      <c r="J1906" s="19"/>
      <c r="K1906" s="19"/>
      <c r="L1906" s="19"/>
      <c r="M1906" s="19"/>
      <c r="N1906" s="19"/>
      <c r="O1906" s="19"/>
      <c r="P1906" s="19"/>
      <c r="Q1906" s="19"/>
      <c r="R1906" s="19"/>
      <c r="S1906" s="19"/>
      <c r="T1906" s="19"/>
      <c r="U1906" s="19"/>
      <c r="V1906" s="19"/>
      <c r="W1906" s="19"/>
      <c r="X1906" s="19"/>
      <c r="Y1906" s="19"/>
      <c r="Z1906" s="19"/>
      <c r="AA1906" s="19"/>
      <c r="AB1906" s="19"/>
      <c r="AC1906" s="19"/>
      <c r="AD1906" s="19"/>
      <c r="AE1906" s="22"/>
    </row>
    <row r="1907" spans="1:31" hidden="1" outlineLevel="2" x14ac:dyDescent="0.2">
      <c r="A1907" s="19"/>
      <c r="B1907" s="19"/>
      <c r="C1907" s="19"/>
      <c r="D1907" s="19"/>
      <c r="E1907" s="19"/>
      <c r="F1907" s="19"/>
      <c r="G1907" s="19"/>
      <c r="H1907" s="19"/>
      <c r="I1907" s="19"/>
      <c r="J1907" s="19"/>
      <c r="K1907" s="19"/>
      <c r="L1907" s="19"/>
      <c r="M1907" s="19"/>
      <c r="N1907" s="19"/>
      <c r="O1907" s="19"/>
      <c r="P1907" s="19"/>
      <c r="Q1907" s="19"/>
      <c r="R1907" s="19"/>
      <c r="S1907" s="19"/>
      <c r="T1907" s="19"/>
      <c r="U1907" s="19"/>
      <c r="V1907" s="19"/>
      <c r="W1907" s="19"/>
      <c r="X1907" s="19"/>
      <c r="Y1907" s="19"/>
      <c r="Z1907" s="19"/>
      <c r="AA1907" s="19"/>
      <c r="AB1907" s="19"/>
      <c r="AC1907" s="19"/>
      <c r="AD1907" s="19"/>
      <c r="AE1907" s="22"/>
    </row>
    <row r="1908" spans="1:31" hidden="1" outlineLevel="2" x14ac:dyDescent="0.2">
      <c r="A1908" s="19"/>
      <c r="B1908" s="19"/>
      <c r="C1908" s="19"/>
      <c r="D1908" s="19"/>
      <c r="E1908" s="19"/>
      <c r="F1908" s="19"/>
      <c r="G1908" s="19"/>
      <c r="H1908" s="19"/>
      <c r="I1908" s="19"/>
      <c r="J1908" s="19"/>
      <c r="K1908" s="19"/>
      <c r="L1908" s="19"/>
      <c r="M1908" s="19"/>
      <c r="N1908" s="19"/>
      <c r="O1908" s="19"/>
      <c r="P1908" s="19"/>
      <c r="Q1908" s="19"/>
      <c r="R1908" s="19"/>
      <c r="S1908" s="19"/>
      <c r="T1908" s="19"/>
      <c r="U1908" s="19"/>
      <c r="V1908" s="19"/>
      <c r="W1908" s="19"/>
      <c r="X1908" s="19"/>
      <c r="Y1908" s="19"/>
      <c r="Z1908" s="19"/>
      <c r="AA1908" s="19"/>
      <c r="AB1908" s="19"/>
      <c r="AC1908" s="19"/>
      <c r="AD1908" s="19"/>
      <c r="AE1908" s="22"/>
    </row>
    <row r="1909" spans="1:31" hidden="1" outlineLevel="2" x14ac:dyDescent="0.2">
      <c r="A1909" s="19"/>
      <c r="B1909" s="19"/>
      <c r="C1909" s="19"/>
      <c r="D1909" s="19"/>
      <c r="E1909" s="19"/>
      <c r="F1909" s="19"/>
      <c r="G1909" s="19"/>
      <c r="H1909" s="19"/>
      <c r="I1909" s="19"/>
      <c r="J1909" s="19"/>
      <c r="K1909" s="19"/>
      <c r="L1909" s="19"/>
      <c r="M1909" s="19"/>
      <c r="N1909" s="19"/>
      <c r="O1909" s="19"/>
      <c r="P1909" s="19"/>
      <c r="Q1909" s="19"/>
      <c r="R1909" s="19"/>
      <c r="S1909" s="19"/>
      <c r="T1909" s="19"/>
      <c r="U1909" s="19"/>
      <c r="V1909" s="19"/>
      <c r="W1909" s="19"/>
      <c r="X1909" s="19"/>
      <c r="Y1909" s="19"/>
      <c r="Z1909" s="19"/>
      <c r="AA1909" s="19"/>
      <c r="AB1909" s="19"/>
      <c r="AC1909" s="19"/>
      <c r="AD1909" s="19"/>
      <c r="AE1909" s="22"/>
    </row>
    <row r="1910" spans="1:31" hidden="1" outlineLevel="2" x14ac:dyDescent="0.2">
      <c r="A1910" s="19"/>
      <c r="B1910" s="19"/>
      <c r="C1910" s="19"/>
      <c r="D1910" s="19"/>
      <c r="E1910" s="19"/>
      <c r="F1910" s="19"/>
      <c r="G1910" s="19"/>
      <c r="H1910" s="19"/>
      <c r="I1910" s="19"/>
      <c r="J1910" s="19"/>
      <c r="K1910" s="19"/>
      <c r="L1910" s="19"/>
      <c r="M1910" s="19"/>
      <c r="N1910" s="19"/>
      <c r="O1910" s="19"/>
      <c r="P1910" s="19"/>
      <c r="Q1910" s="19"/>
      <c r="R1910" s="19"/>
      <c r="S1910" s="19"/>
      <c r="T1910" s="19"/>
      <c r="U1910" s="19"/>
      <c r="V1910" s="19"/>
      <c r="W1910" s="19"/>
      <c r="X1910" s="19"/>
      <c r="Y1910" s="19"/>
      <c r="Z1910" s="19"/>
      <c r="AA1910" s="19"/>
      <c r="AB1910" s="19"/>
      <c r="AC1910" s="19"/>
      <c r="AD1910" s="19"/>
      <c r="AE1910" s="22"/>
    </row>
    <row r="1911" spans="1:31" hidden="1" outlineLevel="2" x14ac:dyDescent="0.2">
      <c r="A1911" s="19"/>
      <c r="B1911" s="19"/>
      <c r="C1911" s="19"/>
      <c r="D1911" s="19"/>
      <c r="E1911" s="19"/>
      <c r="F1911" s="19"/>
      <c r="G1911" s="19"/>
      <c r="H1911" s="19"/>
      <c r="I1911" s="19"/>
      <c r="J1911" s="19"/>
      <c r="K1911" s="19"/>
      <c r="L1911" s="19"/>
      <c r="M1911" s="19"/>
      <c r="N1911" s="19"/>
      <c r="O1911" s="19"/>
      <c r="P1911" s="19"/>
      <c r="Q1911" s="19"/>
      <c r="R1911" s="19"/>
      <c r="S1911" s="19"/>
      <c r="T1911" s="19"/>
      <c r="U1911" s="19"/>
      <c r="V1911" s="19"/>
      <c r="W1911" s="19"/>
      <c r="X1911" s="19"/>
      <c r="Y1911" s="19"/>
      <c r="Z1911" s="19"/>
      <c r="AA1911" s="19"/>
      <c r="AB1911" s="19"/>
      <c r="AC1911" s="19"/>
      <c r="AD1911" s="19"/>
      <c r="AE1911" s="22"/>
    </row>
    <row r="1912" spans="1:31" hidden="1" outlineLevel="2" x14ac:dyDescent="0.2">
      <c r="A1912" s="19"/>
      <c r="B1912" s="19"/>
      <c r="C1912" s="19"/>
      <c r="D1912" s="19"/>
      <c r="E1912" s="19"/>
      <c r="F1912" s="19"/>
      <c r="G1912" s="19"/>
      <c r="H1912" s="19"/>
      <c r="I1912" s="19"/>
      <c r="J1912" s="19"/>
      <c r="K1912" s="19"/>
      <c r="L1912" s="19"/>
      <c r="M1912" s="19"/>
      <c r="N1912" s="19"/>
      <c r="O1912" s="19"/>
      <c r="P1912" s="19"/>
      <c r="Q1912" s="19"/>
      <c r="R1912" s="19"/>
      <c r="S1912" s="19"/>
      <c r="T1912" s="19"/>
      <c r="U1912" s="19"/>
      <c r="V1912" s="19"/>
      <c r="W1912" s="19"/>
      <c r="X1912" s="19"/>
      <c r="Y1912" s="19"/>
      <c r="Z1912" s="19"/>
      <c r="AA1912" s="19"/>
      <c r="AB1912" s="19"/>
      <c r="AC1912" s="19"/>
      <c r="AD1912" s="19"/>
      <c r="AE1912" s="22"/>
    </row>
    <row r="1913" spans="1:31" hidden="1" outlineLevel="2" x14ac:dyDescent="0.2">
      <c r="A1913" s="19"/>
      <c r="B1913" s="19"/>
      <c r="C1913" s="19"/>
      <c r="D1913" s="19"/>
      <c r="E1913" s="19"/>
      <c r="F1913" s="19"/>
      <c r="G1913" s="19"/>
      <c r="H1913" s="19"/>
      <c r="I1913" s="19"/>
      <c r="J1913" s="19"/>
      <c r="K1913" s="19"/>
      <c r="L1913" s="19"/>
      <c r="M1913" s="19"/>
      <c r="N1913" s="19"/>
      <c r="O1913" s="19"/>
      <c r="P1913" s="19"/>
      <c r="Q1913" s="19"/>
      <c r="R1913" s="19"/>
      <c r="S1913" s="19"/>
      <c r="T1913" s="19"/>
      <c r="U1913" s="19"/>
      <c r="V1913" s="19"/>
      <c r="W1913" s="19"/>
      <c r="X1913" s="19"/>
      <c r="Y1913" s="19"/>
      <c r="Z1913" s="19"/>
      <c r="AA1913" s="19"/>
      <c r="AB1913" s="19"/>
      <c r="AC1913" s="19"/>
      <c r="AD1913" s="19"/>
      <c r="AE1913" s="22"/>
    </row>
    <row r="1914" spans="1:31" hidden="1" outlineLevel="2" x14ac:dyDescent="0.2">
      <c r="A1914" s="19"/>
      <c r="B1914" s="19"/>
      <c r="C1914" s="19"/>
      <c r="D1914" s="19"/>
      <c r="E1914" s="19"/>
      <c r="F1914" s="19"/>
      <c r="G1914" s="19"/>
      <c r="H1914" s="19"/>
      <c r="I1914" s="19"/>
      <c r="J1914" s="19"/>
      <c r="K1914" s="19"/>
      <c r="L1914" s="19"/>
      <c r="M1914" s="19"/>
      <c r="N1914" s="19"/>
      <c r="O1914" s="19"/>
      <c r="P1914" s="19"/>
      <c r="Q1914" s="19"/>
      <c r="R1914" s="19"/>
      <c r="S1914" s="19"/>
      <c r="T1914" s="19"/>
      <c r="U1914" s="19"/>
      <c r="V1914" s="19"/>
      <c r="W1914" s="19"/>
      <c r="X1914" s="19"/>
      <c r="Y1914" s="19"/>
      <c r="Z1914" s="19"/>
      <c r="AA1914" s="19"/>
      <c r="AB1914" s="19"/>
      <c r="AC1914" s="19"/>
      <c r="AD1914" s="19"/>
      <c r="AE1914" s="22"/>
    </row>
    <row r="1915" spans="1:31" hidden="1" outlineLevel="2" x14ac:dyDescent="0.2">
      <c r="A1915" s="19"/>
      <c r="B1915" s="19"/>
      <c r="C1915" s="19"/>
      <c r="D1915" s="19"/>
      <c r="E1915" s="19"/>
      <c r="F1915" s="19"/>
      <c r="G1915" s="19"/>
      <c r="H1915" s="19"/>
      <c r="I1915" s="19"/>
      <c r="J1915" s="19"/>
      <c r="K1915" s="19"/>
      <c r="L1915" s="19"/>
      <c r="M1915" s="19"/>
      <c r="N1915" s="19"/>
      <c r="O1915" s="19"/>
      <c r="P1915" s="19"/>
      <c r="Q1915" s="19"/>
      <c r="R1915" s="19"/>
      <c r="S1915" s="19"/>
      <c r="T1915" s="19"/>
      <c r="U1915" s="19"/>
      <c r="V1915" s="19"/>
      <c r="W1915" s="19"/>
      <c r="X1915" s="19"/>
      <c r="Y1915" s="19"/>
      <c r="Z1915" s="19"/>
      <c r="AA1915" s="19"/>
      <c r="AB1915" s="19"/>
      <c r="AC1915" s="19"/>
      <c r="AD1915" s="19"/>
      <c r="AE1915" s="22"/>
    </row>
    <row r="1916" spans="1:31" hidden="1" outlineLevel="2" x14ac:dyDescent="0.2">
      <c r="A1916" s="19"/>
      <c r="B1916" s="19"/>
      <c r="C1916" s="19"/>
      <c r="D1916" s="19"/>
      <c r="E1916" s="19"/>
      <c r="F1916" s="19"/>
      <c r="G1916" s="19"/>
      <c r="H1916" s="19"/>
      <c r="I1916" s="19"/>
      <c r="J1916" s="19"/>
      <c r="K1916" s="19"/>
      <c r="L1916" s="19"/>
      <c r="M1916" s="19"/>
      <c r="N1916" s="19"/>
      <c r="O1916" s="19"/>
      <c r="P1916" s="19"/>
      <c r="Q1916" s="19"/>
      <c r="R1916" s="19"/>
      <c r="S1916" s="19"/>
      <c r="T1916" s="19"/>
      <c r="U1916" s="19"/>
      <c r="V1916" s="19"/>
      <c r="W1916" s="19"/>
      <c r="X1916" s="19"/>
      <c r="Y1916" s="19"/>
      <c r="Z1916" s="19"/>
      <c r="AA1916" s="19"/>
      <c r="AB1916" s="19"/>
      <c r="AC1916" s="19"/>
      <c r="AD1916" s="19"/>
      <c r="AE1916" s="22"/>
    </row>
    <row r="1917" spans="1:31" hidden="1" outlineLevel="2" x14ac:dyDescent="0.2">
      <c r="A1917" s="19"/>
      <c r="B1917" s="19"/>
      <c r="C1917" s="19"/>
      <c r="D1917" s="19"/>
      <c r="E1917" s="19"/>
      <c r="F1917" s="19"/>
      <c r="G1917" s="19"/>
      <c r="H1917" s="19"/>
      <c r="I1917" s="19"/>
      <c r="J1917" s="19"/>
      <c r="K1917" s="19"/>
      <c r="L1917" s="19"/>
      <c r="M1917" s="19"/>
      <c r="N1917" s="19"/>
      <c r="O1917" s="19"/>
      <c r="P1917" s="19"/>
      <c r="Q1917" s="19"/>
      <c r="R1917" s="19"/>
      <c r="S1917" s="19"/>
      <c r="T1917" s="19"/>
      <c r="U1917" s="19"/>
      <c r="V1917" s="19"/>
      <c r="W1917" s="19"/>
      <c r="X1917" s="19"/>
      <c r="Y1917" s="19"/>
      <c r="Z1917" s="19"/>
      <c r="AA1917" s="19"/>
      <c r="AB1917" s="19"/>
      <c r="AC1917" s="19"/>
      <c r="AD1917" s="19"/>
      <c r="AE1917" s="22"/>
    </row>
    <row r="1918" spans="1:31" hidden="1" outlineLevel="2" x14ac:dyDescent="0.2">
      <c r="A1918" s="19"/>
      <c r="B1918" s="19"/>
      <c r="C1918" s="19"/>
      <c r="D1918" s="19"/>
      <c r="E1918" s="19"/>
      <c r="F1918" s="19"/>
      <c r="G1918" s="19"/>
      <c r="H1918" s="19"/>
      <c r="I1918" s="19"/>
      <c r="J1918" s="19"/>
      <c r="K1918" s="19"/>
      <c r="L1918" s="19"/>
      <c r="M1918" s="19"/>
      <c r="N1918" s="19"/>
      <c r="O1918" s="19"/>
      <c r="P1918" s="19"/>
      <c r="Q1918" s="19"/>
      <c r="R1918" s="19"/>
      <c r="S1918" s="19"/>
      <c r="T1918" s="19"/>
      <c r="U1918" s="19"/>
      <c r="V1918" s="19"/>
      <c r="W1918" s="19"/>
      <c r="X1918" s="19"/>
      <c r="Y1918" s="19"/>
      <c r="Z1918" s="19"/>
      <c r="AA1918" s="19"/>
      <c r="AB1918" s="19"/>
      <c r="AC1918" s="19"/>
      <c r="AD1918" s="19"/>
      <c r="AE1918" s="22"/>
    </row>
    <row r="1919" spans="1:31" hidden="1" outlineLevel="2" x14ac:dyDescent="0.2">
      <c r="A1919" s="19"/>
      <c r="B1919" s="19"/>
      <c r="C1919" s="19"/>
      <c r="D1919" s="19"/>
      <c r="E1919" s="19"/>
      <c r="F1919" s="19"/>
      <c r="G1919" s="19"/>
      <c r="H1919" s="19"/>
      <c r="I1919" s="19"/>
      <c r="J1919" s="19"/>
      <c r="K1919" s="19"/>
      <c r="L1919" s="19"/>
      <c r="M1919" s="19"/>
      <c r="N1919" s="19"/>
      <c r="O1919" s="19"/>
      <c r="P1919" s="19"/>
      <c r="Q1919" s="19"/>
      <c r="R1919" s="19"/>
      <c r="S1919" s="19"/>
      <c r="T1919" s="19"/>
      <c r="U1919" s="19"/>
      <c r="V1919" s="19"/>
      <c r="W1919" s="19"/>
      <c r="X1919" s="19"/>
      <c r="Y1919" s="19"/>
      <c r="Z1919" s="19"/>
      <c r="AA1919" s="19"/>
      <c r="AB1919" s="19"/>
      <c r="AC1919" s="19"/>
      <c r="AD1919" s="19"/>
      <c r="AE1919" s="22"/>
    </row>
    <row r="1920" spans="1:31" hidden="1" outlineLevel="2" x14ac:dyDescent="0.2">
      <c r="A1920" s="19"/>
      <c r="B1920" s="19"/>
      <c r="C1920" s="19"/>
      <c r="D1920" s="19"/>
      <c r="E1920" s="19"/>
      <c r="F1920" s="19"/>
      <c r="G1920" s="19"/>
      <c r="H1920" s="19"/>
      <c r="I1920" s="19"/>
      <c r="J1920" s="19"/>
      <c r="K1920" s="19"/>
      <c r="L1920" s="19"/>
      <c r="M1920" s="19"/>
      <c r="N1920" s="19"/>
      <c r="O1920" s="19"/>
      <c r="P1920" s="19"/>
      <c r="Q1920" s="19"/>
      <c r="R1920" s="19"/>
      <c r="S1920" s="19"/>
      <c r="T1920" s="19"/>
      <c r="U1920" s="19"/>
      <c r="V1920" s="19"/>
      <c r="W1920" s="19"/>
      <c r="X1920" s="19"/>
      <c r="Y1920" s="19"/>
      <c r="Z1920" s="19"/>
      <c r="AA1920" s="19"/>
      <c r="AB1920" s="19"/>
      <c r="AC1920" s="19"/>
      <c r="AD1920" s="19"/>
      <c r="AE1920" s="22"/>
    </row>
    <row r="1921" spans="1:31" hidden="1" outlineLevel="2" x14ac:dyDescent="0.2">
      <c r="A1921" s="19"/>
      <c r="B1921" s="19"/>
      <c r="C1921" s="19"/>
      <c r="D1921" s="19"/>
      <c r="E1921" s="19"/>
      <c r="F1921" s="19"/>
      <c r="G1921" s="19"/>
      <c r="H1921" s="19"/>
      <c r="I1921" s="19"/>
      <c r="J1921" s="19"/>
      <c r="K1921" s="19"/>
      <c r="L1921" s="19"/>
      <c r="M1921" s="19"/>
      <c r="N1921" s="19"/>
      <c r="O1921" s="19"/>
      <c r="P1921" s="19"/>
      <c r="Q1921" s="19"/>
      <c r="R1921" s="19"/>
      <c r="S1921" s="19"/>
      <c r="T1921" s="19"/>
      <c r="U1921" s="19"/>
      <c r="V1921" s="19"/>
      <c r="W1921" s="19"/>
      <c r="X1921" s="19"/>
      <c r="Y1921" s="19"/>
      <c r="Z1921" s="19"/>
      <c r="AA1921" s="19"/>
      <c r="AB1921" s="19"/>
      <c r="AC1921" s="19"/>
      <c r="AD1921" s="19"/>
      <c r="AE1921" s="22"/>
    </row>
    <row r="1922" spans="1:31" hidden="1" outlineLevel="2" x14ac:dyDescent="0.2">
      <c r="A1922" s="19"/>
      <c r="B1922" s="19"/>
      <c r="C1922" s="19"/>
      <c r="D1922" s="19"/>
      <c r="E1922" s="19"/>
      <c r="F1922" s="19"/>
      <c r="G1922" s="19"/>
      <c r="H1922" s="19"/>
      <c r="I1922" s="19"/>
      <c r="J1922" s="19"/>
      <c r="K1922" s="19"/>
      <c r="L1922" s="19"/>
      <c r="M1922" s="19"/>
      <c r="N1922" s="19"/>
      <c r="O1922" s="19"/>
      <c r="P1922" s="19"/>
      <c r="Q1922" s="19"/>
      <c r="R1922" s="19"/>
      <c r="S1922" s="19"/>
      <c r="T1922" s="19"/>
      <c r="U1922" s="19"/>
      <c r="V1922" s="19"/>
      <c r="W1922" s="19"/>
      <c r="X1922" s="19"/>
      <c r="Y1922" s="19"/>
      <c r="Z1922" s="19"/>
      <c r="AA1922" s="19"/>
      <c r="AB1922" s="19"/>
      <c r="AC1922" s="19"/>
      <c r="AD1922" s="19"/>
      <c r="AE1922" s="22"/>
    </row>
    <row r="1923" spans="1:31" hidden="1" outlineLevel="2" x14ac:dyDescent="0.2">
      <c r="A1923" s="19"/>
      <c r="B1923" s="19"/>
      <c r="C1923" s="19"/>
      <c r="D1923" s="19"/>
      <c r="E1923" s="19"/>
      <c r="F1923" s="19"/>
      <c r="G1923" s="19"/>
      <c r="H1923" s="19"/>
      <c r="I1923" s="19"/>
      <c r="J1923" s="19"/>
      <c r="K1923" s="19"/>
      <c r="L1923" s="19"/>
      <c r="M1923" s="19"/>
      <c r="N1923" s="19"/>
      <c r="O1923" s="19"/>
      <c r="P1923" s="19"/>
      <c r="Q1923" s="19"/>
      <c r="R1923" s="19"/>
      <c r="S1923" s="19"/>
      <c r="T1923" s="19"/>
      <c r="U1923" s="19"/>
      <c r="V1923" s="19"/>
      <c r="W1923" s="19"/>
      <c r="X1923" s="19"/>
      <c r="Y1923" s="19"/>
      <c r="Z1923" s="19"/>
      <c r="AA1923" s="19"/>
      <c r="AB1923" s="19"/>
      <c r="AC1923" s="19"/>
      <c r="AD1923" s="19"/>
      <c r="AE1923" s="22"/>
    </row>
    <row r="1924" spans="1:31" hidden="1" outlineLevel="2" x14ac:dyDescent="0.2">
      <c r="A1924" s="19"/>
      <c r="B1924" s="19"/>
      <c r="C1924" s="19"/>
      <c r="D1924" s="19"/>
      <c r="E1924" s="19"/>
      <c r="F1924" s="19"/>
      <c r="G1924" s="19"/>
      <c r="H1924" s="19"/>
      <c r="I1924" s="19"/>
      <c r="J1924" s="19"/>
      <c r="K1924" s="19"/>
      <c r="L1924" s="19"/>
      <c r="M1924" s="19"/>
      <c r="N1924" s="19"/>
      <c r="O1924" s="19"/>
      <c r="P1924" s="19"/>
      <c r="Q1924" s="19"/>
      <c r="R1924" s="19"/>
      <c r="S1924" s="19"/>
      <c r="T1924" s="19"/>
      <c r="U1924" s="19"/>
      <c r="V1924" s="19"/>
      <c r="W1924" s="19"/>
      <c r="X1924" s="19"/>
      <c r="Y1924" s="19"/>
      <c r="Z1924" s="19"/>
      <c r="AA1924" s="19"/>
      <c r="AB1924" s="19"/>
      <c r="AC1924" s="19"/>
      <c r="AD1924" s="19"/>
      <c r="AE1924" s="22"/>
    </row>
    <row r="1925" spans="1:31" hidden="1" outlineLevel="2" x14ac:dyDescent="0.2">
      <c r="A1925" s="19"/>
      <c r="B1925" s="19"/>
      <c r="C1925" s="19"/>
      <c r="D1925" s="19"/>
      <c r="E1925" s="19"/>
      <c r="F1925" s="19"/>
      <c r="G1925" s="19"/>
      <c r="H1925" s="19"/>
      <c r="I1925" s="19"/>
      <c r="J1925" s="19"/>
      <c r="K1925" s="19"/>
      <c r="L1925" s="19"/>
      <c r="M1925" s="19"/>
      <c r="N1925" s="19"/>
      <c r="O1925" s="19"/>
      <c r="P1925" s="19"/>
      <c r="Q1925" s="19"/>
      <c r="R1925" s="19"/>
      <c r="S1925" s="19"/>
      <c r="T1925" s="19"/>
      <c r="U1925" s="19"/>
      <c r="V1925" s="19"/>
      <c r="W1925" s="19"/>
      <c r="X1925" s="19"/>
      <c r="Y1925" s="19"/>
      <c r="Z1925" s="19"/>
      <c r="AA1925" s="19"/>
      <c r="AB1925" s="19"/>
      <c r="AC1925" s="19"/>
      <c r="AD1925" s="19"/>
      <c r="AE1925" s="22"/>
    </row>
    <row r="1926" spans="1:31" hidden="1" outlineLevel="2" x14ac:dyDescent="0.2">
      <c r="A1926" s="19"/>
      <c r="B1926" s="19"/>
      <c r="C1926" s="19"/>
      <c r="D1926" s="19"/>
      <c r="E1926" s="19"/>
      <c r="F1926" s="19"/>
      <c r="G1926" s="19"/>
      <c r="H1926" s="19"/>
      <c r="I1926" s="19"/>
      <c r="J1926" s="19"/>
      <c r="K1926" s="19"/>
      <c r="L1926" s="19"/>
      <c r="M1926" s="19"/>
      <c r="N1926" s="19"/>
      <c r="O1926" s="19"/>
      <c r="P1926" s="19"/>
      <c r="Q1926" s="19"/>
      <c r="R1926" s="19"/>
      <c r="S1926" s="19"/>
      <c r="T1926" s="19"/>
      <c r="U1926" s="19"/>
      <c r="V1926" s="19"/>
      <c r="W1926" s="19"/>
      <c r="X1926" s="19"/>
      <c r="Y1926" s="19"/>
      <c r="Z1926" s="19"/>
      <c r="AA1926" s="19"/>
      <c r="AB1926" s="19"/>
      <c r="AC1926" s="19"/>
      <c r="AD1926" s="19"/>
      <c r="AE1926" s="22"/>
    </row>
    <row r="1927" spans="1:31" hidden="1" outlineLevel="2" x14ac:dyDescent="0.2">
      <c r="A1927" s="19"/>
      <c r="B1927" s="19"/>
      <c r="C1927" s="19"/>
      <c r="D1927" s="19"/>
      <c r="E1927" s="19"/>
      <c r="F1927" s="19"/>
      <c r="G1927" s="19"/>
      <c r="H1927" s="19"/>
      <c r="I1927" s="19"/>
      <c r="J1927" s="19"/>
      <c r="K1927" s="19"/>
      <c r="L1927" s="19"/>
      <c r="M1927" s="19"/>
      <c r="N1927" s="19"/>
      <c r="O1927" s="19"/>
      <c r="P1927" s="19"/>
      <c r="Q1927" s="19"/>
      <c r="R1927" s="19"/>
      <c r="S1927" s="19"/>
      <c r="T1927" s="19"/>
      <c r="U1927" s="19"/>
      <c r="V1927" s="19"/>
      <c r="W1927" s="19"/>
      <c r="X1927" s="19"/>
      <c r="Y1927" s="19"/>
      <c r="Z1927" s="19"/>
      <c r="AA1927" s="19"/>
      <c r="AB1927" s="19"/>
      <c r="AC1927" s="19"/>
      <c r="AD1927" s="19"/>
      <c r="AE1927" s="22"/>
    </row>
    <row r="1928" spans="1:31" hidden="1" outlineLevel="2" x14ac:dyDescent="0.2">
      <c r="A1928" s="19"/>
      <c r="B1928" s="19"/>
      <c r="C1928" s="19"/>
      <c r="D1928" s="19"/>
      <c r="E1928" s="19"/>
      <c r="F1928" s="19"/>
      <c r="G1928" s="19"/>
      <c r="H1928" s="19"/>
      <c r="I1928" s="19"/>
      <c r="J1928" s="19"/>
      <c r="K1928" s="19"/>
      <c r="L1928" s="19"/>
      <c r="M1928" s="19"/>
      <c r="N1928" s="19"/>
      <c r="O1928" s="19"/>
      <c r="P1928" s="19"/>
      <c r="Q1928" s="19"/>
      <c r="R1928" s="19"/>
      <c r="S1928" s="19"/>
      <c r="T1928" s="19"/>
      <c r="U1928" s="19"/>
      <c r="V1928" s="19"/>
      <c r="W1928" s="19"/>
      <c r="X1928" s="19"/>
      <c r="Y1928" s="19"/>
      <c r="Z1928" s="19"/>
      <c r="AA1928" s="19"/>
      <c r="AB1928" s="19"/>
      <c r="AC1928" s="19"/>
      <c r="AD1928" s="19"/>
      <c r="AE1928" s="22"/>
    </row>
    <row r="1929" spans="1:31" hidden="1" outlineLevel="1" x14ac:dyDescent="0.2">
      <c r="A1929" s="19"/>
      <c r="B1929" s="19"/>
      <c r="C1929" s="19"/>
      <c r="D1929" s="19"/>
      <c r="E1929" s="19"/>
      <c r="F1929" s="19"/>
      <c r="G1929" s="19"/>
      <c r="H1929" s="19"/>
      <c r="I1929" s="19"/>
      <c r="J1929" s="19"/>
      <c r="K1929" s="19"/>
      <c r="L1929" s="19"/>
      <c r="M1929" s="19"/>
      <c r="N1929" s="19"/>
      <c r="O1929" s="19"/>
      <c r="P1929" s="19"/>
      <c r="Q1929" s="19"/>
      <c r="R1929" s="19"/>
      <c r="S1929" s="19"/>
      <c r="T1929" s="19"/>
      <c r="U1929" s="19"/>
      <c r="V1929" s="19"/>
      <c r="W1929" s="19"/>
      <c r="X1929" s="19"/>
      <c r="Y1929" s="19"/>
      <c r="Z1929" s="19"/>
      <c r="AA1929" s="19"/>
      <c r="AB1929" s="19"/>
      <c r="AC1929" s="19"/>
      <c r="AD1929" s="19"/>
      <c r="AE1929" s="22"/>
    </row>
    <row r="1930" spans="1:31" hidden="1" outlineLevel="1" x14ac:dyDescent="0.2">
      <c r="A1930" s="19"/>
      <c r="B1930" s="19"/>
      <c r="C1930" s="19"/>
      <c r="D1930" s="19"/>
      <c r="E1930" s="19"/>
      <c r="F1930" s="19"/>
      <c r="G1930" s="19"/>
      <c r="H1930" s="19"/>
      <c r="I1930" s="19"/>
      <c r="J1930" s="19"/>
      <c r="K1930" s="19"/>
      <c r="L1930" s="19"/>
      <c r="M1930" s="19"/>
      <c r="N1930" s="19"/>
      <c r="O1930" s="19"/>
      <c r="P1930" s="19"/>
      <c r="Q1930" s="19"/>
      <c r="R1930" s="19"/>
      <c r="S1930" s="19"/>
      <c r="T1930" s="19"/>
      <c r="U1930" s="19"/>
      <c r="V1930" s="19"/>
      <c r="W1930" s="19"/>
      <c r="X1930" s="19"/>
      <c r="Y1930" s="19"/>
      <c r="Z1930" s="19"/>
      <c r="AA1930" s="19"/>
      <c r="AB1930" s="19"/>
      <c r="AC1930" s="19"/>
      <c r="AD1930" s="19"/>
      <c r="AE1930" s="22"/>
    </row>
    <row r="1931" spans="1:31" s="4" customFormat="1" ht="15.95" customHeight="1" thickTop="1" thickBot="1" x14ac:dyDescent="0.25">
      <c r="A1931" s="165" t="str">
        <f ca="1">Language!A882</f>
        <v xml:space="preserve">         ОЦЕНКА БИЗНЕСА</v>
      </c>
      <c r="B1931" s="165"/>
      <c r="C1931" s="165"/>
      <c r="D1931" s="165"/>
      <c r="E1931" s="165"/>
      <c r="F1931" s="177" t="str">
        <f t="shared" ref="F1931:AC1931" ca="1" si="5106">PeriodTitle</f>
        <v>1 кв. 2016</v>
      </c>
      <c r="G1931" s="177" t="str">
        <f t="shared" ca="1" si="5106"/>
        <v>2 кв. 2016</v>
      </c>
      <c r="H1931" s="177" t="str">
        <f t="shared" ca="1" si="5106"/>
        <v>3 кв. 2016</v>
      </c>
      <c r="I1931" s="177" t="str">
        <f t="shared" ca="1" si="5106"/>
        <v>4 кв. 2016</v>
      </c>
      <c r="J1931" s="177" t="str">
        <f t="shared" ca="1" si="5106"/>
        <v>1 кв. 2017</v>
      </c>
      <c r="K1931" s="177" t="str">
        <f t="shared" ca="1" si="5106"/>
        <v>2 кв. 2017</v>
      </c>
      <c r="L1931" s="177" t="str">
        <f t="shared" ca="1" si="5106"/>
        <v>3 кв. 2017</v>
      </c>
      <c r="M1931" s="177" t="str">
        <f t="shared" ca="1" si="5106"/>
        <v>4 кв. 2017</v>
      </c>
      <c r="N1931" s="177" t="str">
        <f t="shared" ca="1" si="5106"/>
        <v>1 кв. 2018</v>
      </c>
      <c r="O1931" s="177" t="str">
        <f t="shared" ca="1" si="5106"/>
        <v>2 кв. 2018</v>
      </c>
      <c r="P1931" s="177" t="str">
        <f t="shared" ca="1" si="5106"/>
        <v>3 кв. 2018</v>
      </c>
      <c r="Q1931" s="177" t="str">
        <f t="shared" ca="1" si="5106"/>
        <v>4 кв. 2018</v>
      </c>
      <c r="R1931" s="177" t="str">
        <f t="shared" ca="1" si="5106"/>
        <v>1 кв. 2019</v>
      </c>
      <c r="S1931" s="177" t="str">
        <f t="shared" ca="1" si="5106"/>
        <v>2 кв. 2019</v>
      </c>
      <c r="T1931" s="177" t="str">
        <f t="shared" ca="1" si="5106"/>
        <v>3 кв. 2019</v>
      </c>
      <c r="U1931" s="177" t="str">
        <f t="shared" ca="1" si="5106"/>
        <v>4 кв. 2019</v>
      </c>
      <c r="V1931" s="177" t="str">
        <f t="shared" ca="1" si="5106"/>
        <v>1 кв. 2020</v>
      </c>
      <c r="W1931" s="177" t="str">
        <f t="shared" ca="1" si="5106"/>
        <v>2 кв. 2020</v>
      </c>
      <c r="X1931" s="177" t="str">
        <f t="shared" ca="1" si="5106"/>
        <v>3 кв. 2020</v>
      </c>
      <c r="Y1931" s="177" t="str">
        <f t="shared" ca="1" si="5106"/>
        <v>4 кв. 2020</v>
      </c>
      <c r="Z1931" s="177" t="str">
        <f t="shared" ca="1" si="5106"/>
        <v>1 кв. 2021</v>
      </c>
      <c r="AA1931" s="177" t="str">
        <f t="shared" ca="1" si="5106"/>
        <v>2 кв. 2021</v>
      </c>
      <c r="AB1931" s="177" t="str">
        <f t="shared" ca="1" si="5106"/>
        <v>3 кв. 2021</v>
      </c>
      <c r="AC1931" s="177" t="str">
        <f t="shared" ca="1" si="5106"/>
        <v>4 кв. 2021</v>
      </c>
      <c r="AD1931" s="165"/>
      <c r="AE1931" s="166" t="str">
        <f ca="1">Language!A$372</f>
        <v>ИТОГО</v>
      </c>
    </row>
    <row r="1932" spans="1:31" ht="12" outlineLevel="1" thickTop="1" x14ac:dyDescent="0.2"/>
    <row r="1933" spans="1:31" outlineLevel="1" x14ac:dyDescent="0.2">
      <c r="A1933" t="str">
        <f ca="1">Language!A$840</f>
        <v>Валюта расчетов:</v>
      </c>
      <c r="B1933" s="254">
        <v>1</v>
      </c>
      <c r="C1933" s="17" t="str">
        <f ca="1">CHOOSE(B1933,CUR_Main,CUR_Foreign)</f>
        <v>тыс. EUR</v>
      </c>
    </row>
    <row r="1934" spans="1:31" outlineLevel="1" collapsed="1" x14ac:dyDescent="0.2">
      <c r="A1934" t="str">
        <f ca="1">Language!A$841</f>
        <v>Годовая ставка дисконтирования:</v>
      </c>
      <c r="B1934" s="272">
        <f>SENS_Discount</f>
        <v>0.15</v>
      </c>
      <c r="C1934" s="5" t="s">
        <v>2430</v>
      </c>
      <c r="D1934" s="16" t="s">
        <v>2429</v>
      </c>
      <c r="F1934" s="250">
        <f>$B$1934</f>
        <v>0.15</v>
      </c>
      <c r="G1934" s="250">
        <f t="shared" ref="G1934:AC1934" si="5107">F1934</f>
        <v>0.15</v>
      </c>
      <c r="H1934" s="250">
        <f t="shared" si="5107"/>
        <v>0.15</v>
      </c>
      <c r="I1934" s="250">
        <f t="shared" si="5107"/>
        <v>0.15</v>
      </c>
      <c r="J1934" s="250">
        <f t="shared" si="5107"/>
        <v>0.15</v>
      </c>
      <c r="K1934" s="250">
        <f t="shared" si="5107"/>
        <v>0.15</v>
      </c>
      <c r="L1934" s="250">
        <f t="shared" si="5107"/>
        <v>0.15</v>
      </c>
      <c r="M1934" s="250">
        <f t="shared" si="5107"/>
        <v>0.15</v>
      </c>
      <c r="N1934" s="250">
        <f t="shared" si="5107"/>
        <v>0.15</v>
      </c>
      <c r="O1934" s="250">
        <f t="shared" si="5107"/>
        <v>0.15</v>
      </c>
      <c r="P1934" s="250">
        <f t="shared" si="5107"/>
        <v>0.15</v>
      </c>
      <c r="Q1934" s="250">
        <f t="shared" si="5107"/>
        <v>0.15</v>
      </c>
      <c r="R1934" s="250">
        <f t="shared" si="5107"/>
        <v>0.15</v>
      </c>
      <c r="S1934" s="250">
        <f t="shared" si="5107"/>
        <v>0.15</v>
      </c>
      <c r="T1934" s="250">
        <f t="shared" si="5107"/>
        <v>0.15</v>
      </c>
      <c r="U1934" s="250">
        <f t="shared" si="5107"/>
        <v>0.15</v>
      </c>
      <c r="V1934" s="250">
        <f t="shared" si="5107"/>
        <v>0.15</v>
      </c>
      <c r="W1934" s="250">
        <f t="shared" si="5107"/>
        <v>0.15</v>
      </c>
      <c r="X1934" s="250">
        <f t="shared" si="5107"/>
        <v>0.15</v>
      </c>
      <c r="Y1934" s="250">
        <f t="shared" si="5107"/>
        <v>0.15</v>
      </c>
      <c r="Z1934" s="250">
        <f t="shared" si="5107"/>
        <v>0.15</v>
      </c>
      <c r="AA1934" s="250">
        <f t="shared" si="5107"/>
        <v>0.15</v>
      </c>
      <c r="AB1934" s="250">
        <f t="shared" si="5107"/>
        <v>0.15</v>
      </c>
      <c r="AC1934" s="250">
        <f t="shared" si="5107"/>
        <v>0.15</v>
      </c>
    </row>
    <row r="1935" spans="1:31" hidden="1" outlineLevel="2" x14ac:dyDescent="0.2">
      <c r="A1935" t="str">
        <f ca="1">Language!A$842</f>
        <v xml:space="preserve">    ставка дисконтирования на расчетный период</v>
      </c>
      <c r="D1935" s="16" t="s">
        <v>2429</v>
      </c>
      <c r="F1935" s="250">
        <f t="shared" ref="F1935:X1935" si="5108">IF(CalcMethod=1,(POWER(1+F1934,PRJ_Step/360)-1-IF($B$1933=1,F$81,F$92))/(1+IF($B$1933=1,F$81,F$92)),POWER(1+F1934,PRJ_Step/360)-1)</f>
        <v>3.5558076341622114E-2</v>
      </c>
      <c r="G1935" s="250">
        <f t="shared" si="5108"/>
        <v>3.5558076341622114E-2</v>
      </c>
      <c r="H1935" s="250">
        <f t="shared" si="5108"/>
        <v>3.5558076341622114E-2</v>
      </c>
      <c r="I1935" s="250">
        <f t="shared" si="5108"/>
        <v>3.5558076341622114E-2</v>
      </c>
      <c r="J1935" s="250">
        <f t="shared" si="5108"/>
        <v>3.5558076341622114E-2</v>
      </c>
      <c r="K1935" s="250">
        <f t="shared" si="5108"/>
        <v>3.5558076341622114E-2</v>
      </c>
      <c r="L1935" s="250">
        <f t="shared" si="5108"/>
        <v>3.5558076341622114E-2</v>
      </c>
      <c r="M1935" s="250">
        <f t="shared" si="5108"/>
        <v>3.5558076341622114E-2</v>
      </c>
      <c r="N1935" s="250">
        <f t="shared" si="5108"/>
        <v>3.5558076341622114E-2</v>
      </c>
      <c r="O1935" s="250">
        <f t="shared" si="5108"/>
        <v>3.5558076341622114E-2</v>
      </c>
      <c r="P1935" s="250">
        <f t="shared" si="5108"/>
        <v>3.5558076341622114E-2</v>
      </c>
      <c r="Q1935" s="250">
        <f t="shared" si="5108"/>
        <v>3.5558076341622114E-2</v>
      </c>
      <c r="R1935" s="250">
        <f t="shared" si="5108"/>
        <v>3.5558076341622114E-2</v>
      </c>
      <c r="S1935" s="250">
        <f t="shared" si="5108"/>
        <v>3.5558076341622114E-2</v>
      </c>
      <c r="T1935" s="250">
        <f t="shared" si="5108"/>
        <v>3.5558076341622114E-2</v>
      </c>
      <c r="U1935" s="250">
        <f t="shared" si="5108"/>
        <v>3.5558076341622114E-2</v>
      </c>
      <c r="V1935" s="250">
        <f t="shared" si="5108"/>
        <v>3.5558076341622114E-2</v>
      </c>
      <c r="W1935" s="250">
        <f t="shared" si="5108"/>
        <v>3.5558076341622114E-2</v>
      </c>
      <c r="X1935" s="250">
        <f t="shared" si="5108"/>
        <v>3.5558076341622114E-2</v>
      </c>
      <c r="Y1935" s="250">
        <f t="shared" ref="Y1935" si="5109">IF(CalcMethod=1,(POWER(1+Y1934,PRJ_Step/360)-1-IF($B$1933=1,Y$81,Y$92))/(1+IF($B$1933=1,Y$81,Y$92)),POWER(1+Y1934,PRJ_Step/360)-1)</f>
        <v>3.5558076341622114E-2</v>
      </c>
      <c r="Z1935" s="250">
        <f t="shared" ref="Z1935" si="5110">IF(CalcMethod=1,(POWER(1+Z1934,PRJ_Step/360)-1-IF($B$1933=1,Z$81,Z$92))/(1+IF($B$1933=1,Z$81,Z$92)),POWER(1+Z1934,PRJ_Step/360)-1)</f>
        <v>3.5558076341622114E-2</v>
      </c>
      <c r="AA1935" s="250">
        <f t="shared" ref="AA1935" si="5111">IF(CalcMethod=1,(POWER(1+AA1934,PRJ_Step/360)-1-IF($B$1933=1,AA$81,AA$92))/(1+IF($B$1933=1,AA$81,AA$92)),POWER(1+AA1934,PRJ_Step/360)-1)</f>
        <v>3.5558076341622114E-2</v>
      </c>
      <c r="AB1935" s="250">
        <f t="shared" ref="AB1935:AC1935" si="5112">IF(CalcMethod=1,(POWER(1+AB1934,PRJ_Step/360)-1-IF($B$1933=1,AB$81,AB$92))/(1+IF($B$1933=1,AB$81,AB$92)),POWER(1+AB1934,PRJ_Step/360)-1)</f>
        <v>3.5558076341622114E-2</v>
      </c>
      <c r="AC1935" s="250">
        <f t="shared" si="5112"/>
        <v>3.5558076341622114E-2</v>
      </c>
    </row>
    <row r="1936" spans="1:31" hidden="1" outlineLevel="2" x14ac:dyDescent="0.2">
      <c r="A1936" t="str">
        <f ca="1">Language!A$883</f>
        <v xml:space="preserve">    коэффициент дисконта на середину периода</v>
      </c>
      <c r="D1936" s="16" t="s">
        <v>2429</v>
      </c>
      <c r="F1936" s="251">
        <f>(1+F1935)^0.5</f>
        <v>1.0176237400638912</v>
      </c>
      <c r="G1936" s="251">
        <f t="shared" ref="G1936:AC1936" si="5113">F1936*(1+G1935)</f>
        <v>1.0538084827001302</v>
      </c>
      <c r="H1936" s="251">
        <f t="shared" si="5113"/>
        <v>1.0912798851774304</v>
      </c>
      <c r="I1936" s="251">
        <f t="shared" si="5113"/>
        <v>1.1300836986446461</v>
      </c>
      <c r="J1936" s="251">
        <f t="shared" si="5113"/>
        <v>1.170267301073475</v>
      </c>
      <c r="K1936" s="251">
        <f t="shared" si="5113"/>
        <v>1.2118797551051497</v>
      </c>
      <c r="L1936" s="251">
        <f t="shared" si="5113"/>
        <v>1.2549718679540449</v>
      </c>
      <c r="M1936" s="251">
        <f t="shared" si="5113"/>
        <v>1.299596253441343</v>
      </c>
      <c r="N1936" s="251">
        <f t="shared" si="5113"/>
        <v>1.3458073962344963</v>
      </c>
      <c r="O1936" s="251">
        <f t="shared" si="5113"/>
        <v>1.3936617183709221</v>
      </c>
      <c r="P1936" s="251">
        <f t="shared" si="5113"/>
        <v>1.4432176481471517</v>
      </c>
      <c r="Q1936" s="251">
        <f t="shared" si="5113"/>
        <v>1.4945356914575445</v>
      </c>
      <c r="R1936" s="251">
        <f t="shared" si="5113"/>
        <v>1.5476785056696709</v>
      </c>
      <c r="S1936" s="251">
        <f t="shared" si="5113"/>
        <v>1.6027109761265608</v>
      </c>
      <c r="T1936" s="251">
        <f t="shared" si="5113"/>
        <v>1.6597002953692248</v>
      </c>
      <c r="U1936" s="251">
        <f t="shared" si="5113"/>
        <v>1.7187160451761765</v>
      </c>
      <c r="V1936" s="251">
        <f t="shared" si="5113"/>
        <v>1.7798302815201219</v>
      </c>
      <c r="W1936" s="251">
        <f t="shared" si="5113"/>
        <v>1.8431176225455452</v>
      </c>
      <c r="X1936" s="251">
        <f t="shared" si="5113"/>
        <v>1.9086553396746089</v>
      </c>
      <c r="Y1936" s="251">
        <f t="shared" si="5113"/>
        <v>1.9765234519526034</v>
      </c>
      <c r="Z1936" s="251">
        <f t="shared" si="5113"/>
        <v>2.0468048237481407</v>
      </c>
      <c r="AA1936" s="251">
        <f t="shared" si="5113"/>
        <v>2.1195852659273773</v>
      </c>
      <c r="AB1936" s="251">
        <f t="shared" si="5113"/>
        <v>2.1949536406258003</v>
      </c>
      <c r="AC1936" s="251">
        <f t="shared" si="5113"/>
        <v>2.273001969745494</v>
      </c>
    </row>
    <row r="1937" spans="1:31" hidden="1" outlineLevel="2" x14ac:dyDescent="0.2">
      <c r="A1937" t="str">
        <f ca="1">Language!A$844</f>
        <v xml:space="preserve">    коэффициент дисконта для потока на конец периода</v>
      </c>
      <c r="D1937" s="16" t="s">
        <v>2429</v>
      </c>
      <c r="F1937" s="251">
        <f>1+F1935</f>
        <v>1.0355580763416221</v>
      </c>
      <c r="G1937" s="251">
        <f t="shared" ref="G1937:AC1937" si="5114">F1937*(1+G1935)</f>
        <v>1.0723805294763609</v>
      </c>
      <c r="H1937" s="251">
        <f t="shared" si="5114"/>
        <v>1.1105123182107504</v>
      </c>
      <c r="I1937" s="251">
        <f t="shared" si="5114"/>
        <v>1.1499999999999999</v>
      </c>
      <c r="J1937" s="251">
        <f t="shared" si="5114"/>
        <v>1.1908917877928653</v>
      </c>
      <c r="K1937" s="251">
        <f t="shared" si="5114"/>
        <v>1.2332376088978148</v>
      </c>
      <c r="L1937" s="251">
        <f t="shared" si="5114"/>
        <v>1.2770891659423627</v>
      </c>
      <c r="M1937" s="251">
        <f t="shared" si="5114"/>
        <v>1.3224999999999998</v>
      </c>
      <c r="N1937" s="251">
        <f t="shared" si="5114"/>
        <v>1.3695255559617949</v>
      </c>
      <c r="O1937" s="251">
        <f t="shared" si="5114"/>
        <v>1.418223250232487</v>
      </c>
      <c r="P1937" s="251">
        <f t="shared" si="5114"/>
        <v>1.4686525408337172</v>
      </c>
      <c r="Q1937" s="251">
        <f t="shared" si="5114"/>
        <v>1.5208749999999998</v>
      </c>
      <c r="R1937" s="251">
        <f t="shared" si="5114"/>
        <v>1.5749543893560642</v>
      </c>
      <c r="S1937" s="251">
        <f t="shared" si="5114"/>
        <v>1.6309567377673599</v>
      </c>
      <c r="T1937" s="251">
        <f t="shared" si="5114"/>
        <v>1.6889504219587748</v>
      </c>
      <c r="U1937" s="251">
        <f t="shared" si="5114"/>
        <v>1.7490062499999997</v>
      </c>
      <c r="V1937" s="251">
        <f t="shared" si="5114"/>
        <v>1.8111975477594739</v>
      </c>
      <c r="W1937" s="251">
        <f t="shared" si="5114"/>
        <v>1.8756002484324641</v>
      </c>
      <c r="X1937" s="251">
        <f t="shared" si="5114"/>
        <v>1.942292985252591</v>
      </c>
      <c r="Y1937" s="251">
        <f t="shared" si="5114"/>
        <v>2.0113571874999998</v>
      </c>
      <c r="Z1937" s="251">
        <f t="shared" si="5114"/>
        <v>2.0828771799233952</v>
      </c>
      <c r="AA1937" s="251">
        <f t="shared" si="5114"/>
        <v>2.1569402856973339</v>
      </c>
      <c r="AB1937" s="251">
        <f t="shared" si="5114"/>
        <v>2.2336369330404797</v>
      </c>
      <c r="AC1937" s="251">
        <f t="shared" si="5114"/>
        <v>2.313060765625</v>
      </c>
    </row>
    <row r="1938" spans="1:31" outlineLevel="1" collapsed="1" x14ac:dyDescent="0.2">
      <c r="A1938" t="str">
        <f ca="1">Language!A$884</f>
        <v>Долгосрочные темпы роста в постпрогнозный период</v>
      </c>
      <c r="B1938" s="272">
        <f ca="1">IF($B$1933=1,OFFSET(F80,0,PRJ_Len-1),OFFSET(F91,0,PRJ_Len-1))</f>
        <v>0</v>
      </c>
      <c r="C1938" s="5" t="s">
        <v>2430</v>
      </c>
    </row>
    <row r="1939" spans="1:31" hidden="1" outlineLevel="2" x14ac:dyDescent="0.2">
      <c r="A1939" t="str">
        <f ca="1">Language!A$885</f>
        <v xml:space="preserve">    в пересчете на период, равный шагу проекта</v>
      </c>
      <c r="B1939" s="136">
        <f ca="1">MAX(0,IF(CalcMethod=1,(POWER(1+B1938,PRJ_Step/360)-1-IF($B$1933=1,OFFSET(F$81,0,PRJ_Len-1),OFFSET(F$92,0,PRJ_Len-1)))/(1+IF($B$1933=1,OFFSET(F$81,0,PRJ_Len-1),OFFSET(F$92,0,PRJ_Len-1))),POWER(1+B1938,PRJ_Step/360)-1))</f>
        <v>0</v>
      </c>
    </row>
    <row r="1940" spans="1:31" outlineLevel="1" x14ac:dyDescent="0.2"/>
    <row r="1941" spans="1:31" outlineLevel="1" x14ac:dyDescent="0.2">
      <c r="A1941" s="35" t="str">
        <f ca="1">Language!A$886</f>
        <v>Денежный поток для собственного капитала</v>
      </c>
      <c r="C1941" s="5" t="str">
        <f ca="1">CHOOSE(B1933,CUR_Main,CUR_Foreign)</f>
        <v>тыс. EUR</v>
      </c>
      <c r="F1941" s="58">
        <f t="shared" ref="F1941:T1941" ca="1" si="5115">F1942+F1943-F1944+F1945+F1946</f>
        <v>0</v>
      </c>
      <c r="G1941" s="58">
        <f t="shared" ca="1" si="5115"/>
        <v>0</v>
      </c>
      <c r="H1941" s="58">
        <f t="shared" ca="1" si="5115"/>
        <v>-5695.3855543220343</v>
      </c>
      <c r="I1941" s="58">
        <f t="shared" ca="1" si="5115"/>
        <v>-1519.56</v>
      </c>
      <c r="J1941" s="58">
        <f t="shared" ca="1" si="5115"/>
        <v>-7166.8382903043585</v>
      </c>
      <c r="K1941" s="58">
        <f t="shared" ca="1" si="5115"/>
        <v>-3441.2310468487785</v>
      </c>
      <c r="L1941" s="58">
        <f t="shared" ca="1" si="5115"/>
        <v>812.20951226756256</v>
      </c>
      <c r="M1941" s="58">
        <f t="shared" ca="1" si="5115"/>
        <v>825.22857569003531</v>
      </c>
      <c r="N1941" s="58">
        <f t="shared" ca="1" si="5115"/>
        <v>1269.3173883738916</v>
      </c>
      <c r="O1941" s="58">
        <f t="shared" ca="1" si="5115"/>
        <v>1496.4301439682256</v>
      </c>
      <c r="P1941" s="58">
        <f t="shared" ca="1" si="5115"/>
        <v>1454.7746893858591</v>
      </c>
      <c r="Q1941" s="58">
        <f t="shared" ca="1" si="5115"/>
        <v>1454.7746893858591</v>
      </c>
      <c r="R1941" s="58">
        <f t="shared" ca="1" si="5115"/>
        <v>1454.7746893858591</v>
      </c>
      <c r="S1941" s="58">
        <f t="shared" ca="1" si="5115"/>
        <v>1454.7746893858591</v>
      </c>
      <c r="T1941" s="58">
        <f t="shared" ca="1" si="5115"/>
        <v>1454.7746893858591</v>
      </c>
      <c r="U1941" s="58">
        <f t="shared" ref="U1941" ca="1" si="5116">U1942+U1943-U1944+U1945+U1946</f>
        <v>1454.7746893858591</v>
      </c>
      <c r="V1941" s="58">
        <f t="shared" ref="V1941" ca="1" si="5117">V1942+V1943-V1944+V1945+V1946</f>
        <v>1454.7746893858591</v>
      </c>
      <c r="W1941" s="58">
        <f t="shared" ref="W1941" ca="1" si="5118">W1942+W1943-W1944+W1945+W1946</f>
        <v>1454.7746893858591</v>
      </c>
      <c r="X1941" s="58">
        <f t="shared" ref="X1941" ca="1" si="5119">X1942+X1943-X1944+X1945+X1946</f>
        <v>1454.7746893858591</v>
      </c>
      <c r="Y1941" s="58">
        <f t="shared" ref="Y1941" ca="1" si="5120">Y1942+Y1943-Y1944+Y1945+Y1946</f>
        <v>1454.7746893858591</v>
      </c>
      <c r="Z1941" s="58">
        <f t="shared" ref="Z1941" ca="1" si="5121">Z1942+Z1943-Z1944+Z1945+Z1946</f>
        <v>1454.7746893858591</v>
      </c>
      <c r="AA1941" s="58">
        <f t="shared" ref="AA1941" ca="1" si="5122">AA1942+AA1943-AA1944+AA1945+AA1946</f>
        <v>1454.7746893858591</v>
      </c>
      <c r="AB1941" s="58">
        <f t="shared" ref="AB1941:AC1941" ca="1" si="5123">AB1942+AB1943-AB1944+AB1945+AB1946</f>
        <v>1454.7746893858591</v>
      </c>
      <c r="AC1941" s="58">
        <f t="shared" ca="1" si="5123"/>
        <v>1454.7746893858591</v>
      </c>
      <c r="AD1941" s="35"/>
      <c r="AE1941" s="57">
        <f t="shared" ref="AE1941:AE1946" ca="1" si="5124">SUM(F1941:AC1941)</f>
        <v>6947.0163802265724</v>
      </c>
    </row>
    <row r="1942" spans="1:31" outlineLevel="1" x14ac:dyDescent="0.2">
      <c r="A1942" t="str">
        <f ca="1">Language!A$887</f>
        <v>Чистая прибыль</v>
      </c>
      <c r="C1942" s="5" t="str">
        <f ca="1">CHOOSE(B1933,CUR_Main,CUR_Foreign)</f>
        <v>тыс. EUR</v>
      </c>
      <c r="F1942" s="43">
        <f t="shared" ref="F1942:X1942" ca="1" si="5125">(F1222-F1215)*IF(CUR_I_Report&lt;&gt;$B$1933,IF(CUR_I_Report=2,F$88,1/F$88),1)</f>
        <v>0</v>
      </c>
      <c r="G1942" s="43">
        <f t="shared" ca="1" si="5125"/>
        <v>0</v>
      </c>
      <c r="H1942" s="43">
        <f t="shared" ca="1" si="5125"/>
        <v>0</v>
      </c>
      <c r="I1942" s="43">
        <f t="shared" ca="1" si="5125"/>
        <v>0</v>
      </c>
      <c r="J1942" s="43">
        <f t="shared" ca="1" si="5125"/>
        <v>-309.35251270876392</v>
      </c>
      <c r="K1942" s="43">
        <f t="shared" ca="1" si="5125"/>
        <v>-542.72200914744883</v>
      </c>
      <c r="L1942" s="43">
        <f t="shared" ca="1" si="5125"/>
        <v>36.808723789765239</v>
      </c>
      <c r="M1942" s="43">
        <f t="shared" ca="1" si="5125"/>
        <v>515.87606298127139</v>
      </c>
      <c r="N1942" s="43">
        <f t="shared" ca="1" si="5125"/>
        <v>912.06057157726855</v>
      </c>
      <c r="O1942" s="43">
        <f t="shared" ca="1" si="5125"/>
        <v>1145.4221766770952</v>
      </c>
      <c r="P1942" s="43">
        <f t="shared" ca="1" si="5125"/>
        <v>1145.4221766770952</v>
      </c>
      <c r="Q1942" s="43">
        <f t="shared" ca="1" si="5125"/>
        <v>1145.4221766770952</v>
      </c>
      <c r="R1942" s="43">
        <f t="shared" ca="1" si="5125"/>
        <v>1145.4221766770952</v>
      </c>
      <c r="S1942" s="43">
        <f t="shared" ca="1" si="5125"/>
        <v>1145.4221766770952</v>
      </c>
      <c r="T1942" s="43">
        <f t="shared" ca="1" si="5125"/>
        <v>1145.4221766770952</v>
      </c>
      <c r="U1942" s="43">
        <f t="shared" ca="1" si="5125"/>
        <v>1145.4221766770952</v>
      </c>
      <c r="V1942" s="43">
        <f t="shared" ca="1" si="5125"/>
        <v>1145.4221766770952</v>
      </c>
      <c r="W1942" s="43">
        <f t="shared" ca="1" si="5125"/>
        <v>1145.4221766770952</v>
      </c>
      <c r="X1942" s="43">
        <f t="shared" ca="1" si="5125"/>
        <v>1145.4221766770952</v>
      </c>
      <c r="Y1942" s="43">
        <f t="shared" ref="Y1942" ca="1" si="5126">(Y1222-Y1215)*IF(CUR_I_Report&lt;&gt;$B$1933,IF(CUR_I_Report=2,Y$88,1/Y$88),1)</f>
        <v>1145.4221766770952</v>
      </c>
      <c r="Z1942" s="43">
        <f t="shared" ref="Z1942" ca="1" si="5127">(Z1222-Z1215)*IF(CUR_I_Report&lt;&gt;$B$1933,IF(CUR_I_Report=2,Z$88,1/Z$88),1)</f>
        <v>1145.4221766770952</v>
      </c>
      <c r="AA1942" s="43">
        <f t="shared" ref="AA1942" ca="1" si="5128">(AA1222-AA1215)*IF(CUR_I_Report&lt;&gt;$B$1933,IF(CUR_I_Report=2,AA$88,1/AA$88),1)</f>
        <v>1145.4221766770952</v>
      </c>
      <c r="AB1942" s="43">
        <f t="shared" ref="AB1942:AC1942" ca="1" si="5129">(AB1222-AB1215)*IF(CUR_I_Report&lt;&gt;$B$1933,IF(CUR_I_Report=2,AB$88,1/AB$88),1)</f>
        <v>1145.4221766770952</v>
      </c>
      <c r="AC1942" s="43">
        <f t="shared" ca="1" si="5129"/>
        <v>1145.4221766770952</v>
      </c>
      <c r="AE1942" s="54">
        <f t="shared" ca="1" si="5124"/>
        <v>17794.003486648522</v>
      </c>
    </row>
    <row r="1943" spans="1:31" outlineLevel="1" x14ac:dyDescent="0.2">
      <c r="A1943" t="str">
        <f ca="1">Language!A$888</f>
        <v>Амортизация</v>
      </c>
      <c r="C1943" s="5" t="str">
        <f ca="1">CHOOSE(B1933,CUR_Main,CUR_Foreign)</f>
        <v>тыс. EUR</v>
      </c>
      <c r="F1943" s="43">
        <f t="shared" ref="F1943:X1943" ca="1" si="5130">F1207*IF(CUR_I_Report&lt;&gt;$B$1933,IF(CUR_I_Report=2,F$88,1/F$88),1)</f>
        <v>0</v>
      </c>
      <c r="G1943" s="43">
        <f t="shared" ca="1" si="5130"/>
        <v>0</v>
      </c>
      <c r="H1943" s="43">
        <f t="shared" ca="1" si="5130"/>
        <v>0</v>
      </c>
      <c r="I1943" s="43">
        <f t="shared" ca="1" si="5130"/>
        <v>0</v>
      </c>
      <c r="J1943" s="43">
        <f t="shared" ca="1" si="5130"/>
        <v>309.35251270876392</v>
      </c>
      <c r="K1943" s="43">
        <f t="shared" ca="1" si="5130"/>
        <v>309.35251270876392</v>
      </c>
      <c r="L1943" s="43">
        <f t="shared" ca="1" si="5130"/>
        <v>309.35251270876392</v>
      </c>
      <c r="M1943" s="43">
        <f t="shared" ca="1" si="5130"/>
        <v>309.35251270876392</v>
      </c>
      <c r="N1943" s="43">
        <f t="shared" ca="1" si="5130"/>
        <v>309.35251270876392</v>
      </c>
      <c r="O1943" s="43">
        <f t="shared" ca="1" si="5130"/>
        <v>309.35251270876392</v>
      </c>
      <c r="P1943" s="43">
        <f t="shared" ca="1" si="5130"/>
        <v>309.35251270876392</v>
      </c>
      <c r="Q1943" s="43">
        <f t="shared" ca="1" si="5130"/>
        <v>309.35251270876392</v>
      </c>
      <c r="R1943" s="43">
        <f t="shared" ca="1" si="5130"/>
        <v>309.35251270876392</v>
      </c>
      <c r="S1943" s="43">
        <f t="shared" ca="1" si="5130"/>
        <v>309.35251270876392</v>
      </c>
      <c r="T1943" s="43">
        <f t="shared" ca="1" si="5130"/>
        <v>309.35251270876392</v>
      </c>
      <c r="U1943" s="43">
        <f t="shared" ca="1" si="5130"/>
        <v>309.35251270876392</v>
      </c>
      <c r="V1943" s="43">
        <f t="shared" ca="1" si="5130"/>
        <v>309.35251270876392</v>
      </c>
      <c r="W1943" s="43">
        <f t="shared" ca="1" si="5130"/>
        <v>309.35251270876392</v>
      </c>
      <c r="X1943" s="43">
        <f t="shared" ca="1" si="5130"/>
        <v>309.35251270876392</v>
      </c>
      <c r="Y1943" s="43">
        <f t="shared" ref="Y1943" ca="1" si="5131">Y1207*IF(CUR_I_Report&lt;&gt;$B$1933,IF(CUR_I_Report=2,Y$88,1/Y$88),1)</f>
        <v>309.35251270876392</v>
      </c>
      <c r="Z1943" s="43">
        <f t="shared" ref="Z1943" ca="1" si="5132">Z1207*IF(CUR_I_Report&lt;&gt;$B$1933,IF(CUR_I_Report=2,Z$88,1/Z$88),1)</f>
        <v>309.35251270876392</v>
      </c>
      <c r="AA1943" s="43">
        <f t="shared" ref="AA1943" ca="1" si="5133">AA1207*IF(CUR_I_Report&lt;&gt;$B$1933,IF(CUR_I_Report=2,AA$88,1/AA$88),1)</f>
        <v>309.35251270876392</v>
      </c>
      <c r="AB1943" s="43">
        <f t="shared" ref="AB1943:AC1943" ca="1" si="5134">AB1207*IF(CUR_I_Report&lt;&gt;$B$1933,IF(CUR_I_Report=2,AB$88,1/AB$88),1)</f>
        <v>309.35251270876392</v>
      </c>
      <c r="AC1943" s="43">
        <f t="shared" ca="1" si="5134"/>
        <v>309.35251270876392</v>
      </c>
      <c r="AE1943" s="54">
        <f t="shared" ca="1" si="5124"/>
        <v>6187.0502541752812</v>
      </c>
    </row>
    <row r="1944" spans="1:31" outlineLevel="1" x14ac:dyDescent="0.2">
      <c r="A1944" t="str">
        <f ca="1">Language!A$889</f>
        <v>Изменение чистого оборотного капитала</v>
      </c>
      <c r="C1944" s="5" t="str">
        <f ca="1">CHOOSE(B1933,CUR_Main,CUR_Foreign)</f>
        <v>тыс. EUR</v>
      </c>
      <c r="F1944" s="43">
        <f t="shared" ref="F1944:AC1944" ca="1" si="5135">(F1462+F1463+F1464+F1465+F1466+F1469-F1484-F1486-F1487-F1488-F1490)-(E1462+E1463+E1464+E1465+E1466+E1469-E1484-E1486-E1487-E1488-E1490)*IF(CUR_I_Report&lt;&gt;$B$1933,IF(CUR_I_Report=2,F$88,1/F$88),1)</f>
        <v>0</v>
      </c>
      <c r="G1944" s="43">
        <f t="shared" ca="1" si="5135"/>
        <v>0</v>
      </c>
      <c r="H1944" s="43">
        <f t="shared" ca="1" si="5135"/>
        <v>0</v>
      </c>
      <c r="I1944" s="43">
        <f t="shared" ca="1" si="5135"/>
        <v>0</v>
      </c>
      <c r="J1944" s="43">
        <f t="shared" ca="1" si="5135"/>
        <v>141.94909312500653</v>
      </c>
      <c r="K1944" s="43">
        <f t="shared" ca="1" si="5135"/>
        <v>225.33585287658497</v>
      </c>
      <c r="L1944" s="43">
        <f t="shared" ca="1" si="5135"/>
        <v>-466.04827576903335</v>
      </c>
      <c r="M1944" s="43">
        <f t="shared" ca="1" si="5135"/>
        <v>0</v>
      </c>
      <c r="N1944" s="43">
        <f t="shared" ca="1" si="5135"/>
        <v>-47.90430408785906</v>
      </c>
      <c r="O1944" s="43">
        <f t="shared" ca="1" si="5135"/>
        <v>-41.655454582366474</v>
      </c>
      <c r="P1944" s="43">
        <f t="shared" ca="1" si="5135"/>
        <v>0</v>
      </c>
      <c r="Q1944" s="43">
        <f t="shared" ca="1" si="5135"/>
        <v>0</v>
      </c>
      <c r="R1944" s="43">
        <f t="shared" ca="1" si="5135"/>
        <v>0</v>
      </c>
      <c r="S1944" s="43">
        <f t="shared" ca="1" si="5135"/>
        <v>0</v>
      </c>
      <c r="T1944" s="43">
        <f t="shared" ca="1" si="5135"/>
        <v>0</v>
      </c>
      <c r="U1944" s="43">
        <f t="shared" ca="1" si="5135"/>
        <v>0</v>
      </c>
      <c r="V1944" s="43">
        <f t="shared" ca="1" si="5135"/>
        <v>0</v>
      </c>
      <c r="W1944" s="43">
        <f t="shared" ca="1" si="5135"/>
        <v>0</v>
      </c>
      <c r="X1944" s="43">
        <f t="shared" ca="1" si="5135"/>
        <v>0</v>
      </c>
      <c r="Y1944" s="43">
        <f t="shared" ca="1" si="5135"/>
        <v>0</v>
      </c>
      <c r="Z1944" s="43">
        <f t="shared" ca="1" si="5135"/>
        <v>0</v>
      </c>
      <c r="AA1944" s="43">
        <f t="shared" ca="1" si="5135"/>
        <v>0</v>
      </c>
      <c r="AB1944" s="43">
        <f t="shared" ca="1" si="5135"/>
        <v>0</v>
      </c>
      <c r="AC1944" s="43">
        <f t="shared" ca="1" si="5135"/>
        <v>0</v>
      </c>
      <c r="AE1944" s="54">
        <f t="shared" ca="1" si="5124"/>
        <v>-188.32308843766739</v>
      </c>
    </row>
    <row r="1945" spans="1:31" outlineLevel="1" x14ac:dyDescent="0.2">
      <c r="A1945" t="str">
        <f ca="1">Language!A$890</f>
        <v>Инвестиции</v>
      </c>
      <c r="C1945" s="5" t="str">
        <f ca="1">CHOOSE(B1933,CUR_Main,CUR_Foreign)</f>
        <v>тыс. EUR</v>
      </c>
      <c r="F1945" s="43">
        <f t="shared" ref="F1945:X1945" si="5136">(F1333+F1336+F1334+F1335+F1337+F1338+F1340)*IF(CUR_I_Report&lt;&gt;$B$1933,IF(CUR_I_Report=2,F$88,1/F$88),1)</f>
        <v>0</v>
      </c>
      <c r="G1945" s="43">
        <f t="shared" si="5136"/>
        <v>0</v>
      </c>
      <c r="H1945" s="43">
        <f t="shared" si="5136"/>
        <v>-5695.3855543220343</v>
      </c>
      <c r="I1945" s="43">
        <f t="shared" si="5136"/>
        <v>-1519.56</v>
      </c>
      <c r="J1945" s="43">
        <f t="shared" ca="1" si="5136"/>
        <v>-7024.8891971793519</v>
      </c>
      <c r="K1945" s="43">
        <f t="shared" si="5136"/>
        <v>-2982.5256975335087</v>
      </c>
      <c r="L1945" s="43">
        <f t="shared" si="5136"/>
        <v>0</v>
      </c>
      <c r="M1945" s="43">
        <f t="shared" si="5136"/>
        <v>0</v>
      </c>
      <c r="N1945" s="43">
        <f t="shared" si="5136"/>
        <v>0</v>
      </c>
      <c r="O1945" s="43">
        <f t="shared" si="5136"/>
        <v>0</v>
      </c>
      <c r="P1945" s="43">
        <f t="shared" si="5136"/>
        <v>0</v>
      </c>
      <c r="Q1945" s="43">
        <f t="shared" si="5136"/>
        <v>0</v>
      </c>
      <c r="R1945" s="43">
        <f t="shared" si="5136"/>
        <v>0</v>
      </c>
      <c r="S1945" s="43">
        <f t="shared" si="5136"/>
        <v>0</v>
      </c>
      <c r="T1945" s="43">
        <f t="shared" si="5136"/>
        <v>0</v>
      </c>
      <c r="U1945" s="43">
        <f t="shared" si="5136"/>
        <v>0</v>
      </c>
      <c r="V1945" s="43">
        <f t="shared" si="5136"/>
        <v>0</v>
      </c>
      <c r="W1945" s="43">
        <f t="shared" si="5136"/>
        <v>0</v>
      </c>
      <c r="X1945" s="43">
        <f t="shared" si="5136"/>
        <v>0</v>
      </c>
      <c r="Y1945" s="43">
        <f t="shared" ref="Y1945" si="5137">(Y1333+Y1336+Y1334+Y1335+Y1337+Y1338+Y1340)*IF(CUR_I_Report&lt;&gt;$B$1933,IF(CUR_I_Report=2,Y$88,1/Y$88),1)</f>
        <v>0</v>
      </c>
      <c r="Z1945" s="43">
        <f t="shared" ref="Z1945" si="5138">(Z1333+Z1336+Z1334+Z1335+Z1337+Z1338+Z1340)*IF(CUR_I_Report&lt;&gt;$B$1933,IF(CUR_I_Report=2,Z$88,1/Z$88),1)</f>
        <v>0</v>
      </c>
      <c r="AA1945" s="43">
        <f t="shared" ref="AA1945" si="5139">(AA1333+AA1336+AA1334+AA1335+AA1337+AA1338+AA1340)*IF(CUR_I_Report&lt;&gt;$B$1933,IF(CUR_I_Report=2,AA$88,1/AA$88),1)</f>
        <v>0</v>
      </c>
      <c r="AB1945" s="43">
        <f t="shared" ref="AB1945:AC1945" si="5140">(AB1333+AB1336+AB1334+AB1335+AB1337+AB1338+AB1340)*IF(CUR_I_Report&lt;&gt;$B$1933,IF(CUR_I_Report=2,AB$88,1/AB$88),1)</f>
        <v>0</v>
      </c>
      <c r="AC1945" s="43">
        <f t="shared" si="5140"/>
        <v>0</v>
      </c>
      <c r="AE1945" s="54">
        <f t="shared" ca="1" si="5124"/>
        <v>-17222.360449034895</v>
      </c>
    </row>
    <row r="1946" spans="1:31" outlineLevel="1" x14ac:dyDescent="0.2">
      <c r="A1946" t="str">
        <f ca="1">Language!A$891</f>
        <v>Изменение долгосрочной задолженности</v>
      </c>
      <c r="C1946" s="5" t="str">
        <f ca="1">CHOOSE(B1933,CUR_Main,CUR_Foreign)</f>
        <v>тыс. EUR</v>
      </c>
      <c r="F1946" s="43">
        <f t="shared" ref="F1946:X1946" si="5141">(F1347+F1348)*IF(CUR_I_Report&lt;&gt;$B$1933,IF(CUR_I_Report=2,F$88,1/F$88),1)</f>
        <v>0</v>
      </c>
      <c r="G1946" s="43">
        <f t="shared" si="5141"/>
        <v>0</v>
      </c>
      <c r="H1946" s="43">
        <f t="shared" si="5141"/>
        <v>0</v>
      </c>
      <c r="I1946" s="43">
        <f t="shared" si="5141"/>
        <v>0</v>
      </c>
      <c r="J1946" s="43">
        <f t="shared" si="5141"/>
        <v>0</v>
      </c>
      <c r="K1946" s="43">
        <f t="shared" si="5141"/>
        <v>0</v>
      </c>
      <c r="L1946" s="43">
        <f t="shared" si="5141"/>
        <v>0</v>
      </c>
      <c r="M1946" s="43">
        <f t="shared" si="5141"/>
        <v>0</v>
      </c>
      <c r="N1946" s="43">
        <f t="shared" si="5141"/>
        <v>0</v>
      </c>
      <c r="O1946" s="43">
        <f t="shared" si="5141"/>
        <v>0</v>
      </c>
      <c r="P1946" s="43">
        <f t="shared" si="5141"/>
        <v>0</v>
      </c>
      <c r="Q1946" s="43">
        <f t="shared" si="5141"/>
        <v>0</v>
      </c>
      <c r="R1946" s="43">
        <f t="shared" si="5141"/>
        <v>0</v>
      </c>
      <c r="S1946" s="43">
        <f t="shared" si="5141"/>
        <v>0</v>
      </c>
      <c r="T1946" s="43">
        <f t="shared" si="5141"/>
        <v>0</v>
      </c>
      <c r="U1946" s="43">
        <f t="shared" si="5141"/>
        <v>0</v>
      </c>
      <c r="V1946" s="43">
        <f t="shared" si="5141"/>
        <v>0</v>
      </c>
      <c r="W1946" s="43">
        <f t="shared" si="5141"/>
        <v>0</v>
      </c>
      <c r="X1946" s="43">
        <f t="shared" si="5141"/>
        <v>0</v>
      </c>
      <c r="Y1946" s="43">
        <f t="shared" ref="Y1946" si="5142">(Y1347+Y1348)*IF(CUR_I_Report&lt;&gt;$B$1933,IF(CUR_I_Report=2,Y$88,1/Y$88),1)</f>
        <v>0</v>
      </c>
      <c r="Z1946" s="43">
        <f t="shared" ref="Z1946" si="5143">(Z1347+Z1348)*IF(CUR_I_Report&lt;&gt;$B$1933,IF(CUR_I_Report=2,Z$88,1/Z$88),1)</f>
        <v>0</v>
      </c>
      <c r="AA1946" s="43">
        <f t="shared" ref="AA1946" si="5144">(AA1347+AA1348)*IF(CUR_I_Report&lt;&gt;$B$1933,IF(CUR_I_Report=2,AA$88,1/AA$88),1)</f>
        <v>0</v>
      </c>
      <c r="AB1946" s="43">
        <f t="shared" ref="AB1946:AC1946" si="5145">(AB1347+AB1348)*IF(CUR_I_Report&lt;&gt;$B$1933,IF(CUR_I_Report=2,AB$88,1/AB$88),1)</f>
        <v>0</v>
      </c>
      <c r="AC1946" s="43">
        <f t="shared" si="5145"/>
        <v>0</v>
      </c>
      <c r="AE1946" s="54">
        <f t="shared" si="5124"/>
        <v>0</v>
      </c>
    </row>
    <row r="1947" spans="1:31" outlineLevel="1" x14ac:dyDescent="0.2"/>
    <row r="1948" spans="1:31" outlineLevel="1" x14ac:dyDescent="0.2">
      <c r="A1948" t="str">
        <f ca="1">Language!A$892</f>
        <v>Дисконтированный денежный поток</v>
      </c>
      <c r="C1948" s="5" t="str">
        <f ca="1">CHOOSE(B1933,CUR_Main,CUR_Foreign)</f>
        <v>тыс. EUR</v>
      </c>
      <c r="F1948" s="43">
        <f t="shared" ref="F1948:T1948" ca="1" si="5146">F1941/F1936</f>
        <v>0</v>
      </c>
      <c r="G1948" s="43">
        <f t="shared" ca="1" si="5146"/>
        <v>0</v>
      </c>
      <c r="H1948" s="43">
        <f t="shared" ca="1" si="5146"/>
        <v>-5218.9961820802973</v>
      </c>
      <c r="I1948" s="43">
        <f t="shared" ca="1" si="5146"/>
        <v>-1344.6437656099881</v>
      </c>
      <c r="J1948" s="43">
        <f t="shared" ca="1" si="5146"/>
        <v>-6124.1036844576329</v>
      </c>
      <c r="K1948" s="43">
        <f t="shared" ca="1" si="5146"/>
        <v>-2839.5812640258173</v>
      </c>
      <c r="L1948" s="43">
        <f t="shared" ca="1" si="5146"/>
        <v>647.19340170683756</v>
      </c>
      <c r="M1948" s="43">
        <f t="shared" ca="1" si="5146"/>
        <v>634.98842313897285</v>
      </c>
      <c r="N1948" s="43">
        <f t="shared" ca="1" si="5146"/>
        <v>943.16422388922808</v>
      </c>
      <c r="O1948" s="43">
        <f t="shared" ca="1" si="5146"/>
        <v>1073.7398640162344</v>
      </c>
      <c r="P1948" s="43">
        <f t="shared" ca="1" si="5146"/>
        <v>1008.0078297639616</v>
      </c>
      <c r="Q1948" s="43">
        <f t="shared" ca="1" si="5146"/>
        <v>973.39574939631689</v>
      </c>
      <c r="R1948" s="43">
        <f t="shared" ca="1" si="5146"/>
        <v>939.97214799877781</v>
      </c>
      <c r="S1948" s="43">
        <f t="shared" ca="1" si="5146"/>
        <v>907.69621663274893</v>
      </c>
      <c r="T1948" s="43">
        <f t="shared" ca="1" si="5146"/>
        <v>876.52854762083598</v>
      </c>
      <c r="U1948" s="43">
        <f t="shared" ref="U1948" ca="1" si="5147">U1941/U1936</f>
        <v>846.43108643157973</v>
      </c>
      <c r="V1948" s="43">
        <f t="shared" ref="V1948" ca="1" si="5148">V1941/V1936</f>
        <v>817.36708521632829</v>
      </c>
      <c r="W1948" s="43">
        <f t="shared" ref="W1948" ca="1" si="5149">W1941/W1936</f>
        <v>789.30105794152064</v>
      </c>
      <c r="X1948" s="43">
        <f t="shared" ref="X1948" ca="1" si="5150">X1941/X1936</f>
        <v>762.19873706159638</v>
      </c>
      <c r="Y1948" s="43">
        <f t="shared" ref="Y1948" ca="1" si="5151">Y1941/Y1936</f>
        <v>736.02703167963443</v>
      </c>
      <c r="Z1948" s="43">
        <f t="shared" ref="Z1948" ca="1" si="5152">Z1941/Z1936</f>
        <v>710.75398714463313</v>
      </c>
      <c r="AA1948" s="43">
        <f t="shared" ref="AA1948" ca="1" si="5153">AA1941/AA1936</f>
        <v>686.34874603610479</v>
      </c>
      <c r="AB1948" s="43">
        <f t="shared" ref="AB1948:AC1948" ca="1" si="5154">AB1941/AB1936</f>
        <v>662.78151048834468</v>
      </c>
      <c r="AC1948" s="43">
        <f t="shared" ca="1" si="5154"/>
        <v>640.02350580837776</v>
      </c>
      <c r="AD1948" s="43"/>
      <c r="AE1948" s="54">
        <f ca="1">SUM(F1948:AC1948)</f>
        <v>-871.40574420170321</v>
      </c>
    </row>
    <row r="1949" spans="1:31" outlineLevel="1" x14ac:dyDescent="0.2"/>
    <row r="1950" spans="1:31" outlineLevel="1" collapsed="1" x14ac:dyDescent="0.2">
      <c r="A1950" s="35" t="str">
        <f ca="1">Language!A$893</f>
        <v>Продленная стоимость проекта</v>
      </c>
      <c r="B1950" s="55">
        <f ca="1">OFFSET(F1951,0,PRJ_Len-1)*(1+B1939)/(OFFSET(F1935,0,PRJ_Len-1)-B1939)</f>
        <v>32212.714930709957</v>
      </c>
      <c r="C1950" s="5" t="str">
        <f ca="1">CHOOSE(B1933,CUR_Main,CUR_Foreign)</f>
        <v>тыс. EUR</v>
      </c>
      <c r="F1950" s="35"/>
      <c r="G1950" s="35"/>
      <c r="H1950" s="35"/>
      <c r="I1950" s="35"/>
      <c r="J1950" s="35"/>
      <c r="K1950" s="35"/>
      <c r="L1950" s="35"/>
      <c r="M1950" s="35"/>
      <c r="N1950" s="35"/>
      <c r="O1950" s="35"/>
      <c r="P1950" s="35"/>
      <c r="Q1950" s="35"/>
      <c r="R1950" s="35"/>
      <c r="S1950" s="35"/>
      <c r="T1950" s="35"/>
      <c r="U1950" s="35"/>
      <c r="V1950" s="35"/>
      <c r="W1950" s="35"/>
      <c r="X1950" s="35"/>
      <c r="Y1950" s="35"/>
      <c r="Z1950" s="35"/>
      <c r="AA1950" s="35"/>
      <c r="AB1950" s="35"/>
      <c r="AC1950" s="35"/>
      <c r="AD1950" s="35"/>
      <c r="AE1950" s="51"/>
    </row>
    <row r="1951" spans="1:31" hidden="1" outlineLevel="2" x14ac:dyDescent="0.2">
      <c r="A1951" s="23" t="str">
        <f ca="1">Language!A$894</f>
        <v>Посленалоговая операционная прибыль (NOPLAT)</v>
      </c>
      <c r="C1951" s="5" t="str">
        <f ca="1">CHOOSE(B1933,CUR_Main,CUR_Foreign)</f>
        <v>тыс. EUR</v>
      </c>
      <c r="F1951" s="53">
        <f t="shared" ref="F1951:X1951" ca="1" si="5155">F1287*IF(CUR_I_Report&lt;&gt;$B$1933,IF(CUR_I_Report=2,F$88,1/F$88),1)</f>
        <v>0</v>
      </c>
      <c r="G1951" s="53">
        <f t="shared" ca="1" si="5155"/>
        <v>0</v>
      </c>
      <c r="H1951" s="53">
        <f t="shared" ca="1" si="5155"/>
        <v>0</v>
      </c>
      <c r="I1951" s="53">
        <f t="shared" ca="1" si="5155"/>
        <v>0</v>
      </c>
      <c r="J1951" s="53">
        <f t="shared" ca="1" si="5155"/>
        <v>-250.57553529409878</v>
      </c>
      <c r="K1951" s="53">
        <f t="shared" ca="1" si="5155"/>
        <v>-439.60482740943354</v>
      </c>
      <c r="L1951" s="53">
        <f t="shared" ca="1" si="5155"/>
        <v>29.815066269709831</v>
      </c>
      <c r="M1951" s="53">
        <f t="shared" ca="1" si="5155"/>
        <v>417.85961101482985</v>
      </c>
      <c r="N1951" s="53">
        <f t="shared" ca="1" si="5155"/>
        <v>855.17652191108505</v>
      </c>
      <c r="O1951" s="53">
        <f t="shared" ca="1" si="5155"/>
        <v>1145.4221766770952</v>
      </c>
      <c r="P1951" s="53">
        <f t="shared" ca="1" si="5155"/>
        <v>1145.4221766770952</v>
      </c>
      <c r="Q1951" s="53">
        <f t="shared" ca="1" si="5155"/>
        <v>1145.4221766770952</v>
      </c>
      <c r="R1951" s="53">
        <f t="shared" ca="1" si="5155"/>
        <v>1145.4221766770952</v>
      </c>
      <c r="S1951" s="53">
        <f t="shared" ca="1" si="5155"/>
        <v>1145.4221766770952</v>
      </c>
      <c r="T1951" s="53">
        <f t="shared" ca="1" si="5155"/>
        <v>1145.4221766770952</v>
      </c>
      <c r="U1951" s="53">
        <f t="shared" ca="1" si="5155"/>
        <v>1145.4221766770952</v>
      </c>
      <c r="V1951" s="53">
        <f t="shared" ca="1" si="5155"/>
        <v>1145.4221766770952</v>
      </c>
      <c r="W1951" s="53">
        <f t="shared" ca="1" si="5155"/>
        <v>1145.4221766770952</v>
      </c>
      <c r="X1951" s="53">
        <f t="shared" ca="1" si="5155"/>
        <v>1145.4221766770952</v>
      </c>
      <c r="Y1951" s="53">
        <f t="shared" ref="Y1951" ca="1" si="5156">Y1287*IF(CUR_I_Report&lt;&gt;$B$1933,IF(CUR_I_Report=2,Y$88,1/Y$88),1)</f>
        <v>1145.4221766770952</v>
      </c>
      <c r="Z1951" s="53">
        <f t="shared" ref="Z1951" ca="1" si="5157">Z1287*IF(CUR_I_Report&lt;&gt;$B$1933,IF(CUR_I_Report=2,Z$88,1/Z$88),1)</f>
        <v>1145.4221766770952</v>
      </c>
      <c r="AA1951" s="53">
        <f t="shared" ref="AA1951" ca="1" si="5158">AA1287*IF(CUR_I_Report&lt;&gt;$B$1933,IF(CUR_I_Report=2,AA$88,1/AA$88),1)</f>
        <v>1145.4221766770952</v>
      </c>
      <c r="AB1951" s="53">
        <f t="shared" ref="AB1951:AC1951" ca="1" si="5159">AB1287*IF(CUR_I_Report&lt;&gt;$B$1933,IF(CUR_I_Report=2,AB$88,1/AB$88),1)</f>
        <v>1145.4221766770952</v>
      </c>
      <c r="AC1951" s="53">
        <f t="shared" ca="1" si="5159"/>
        <v>1145.4221766770952</v>
      </c>
      <c r="AD1951" s="35"/>
      <c r="AE1951" s="51"/>
    </row>
    <row r="1952" spans="1:31" hidden="1" outlineLevel="2" x14ac:dyDescent="0.2">
      <c r="A1952" s="23" t="str">
        <f ca="1">Language!A$895</f>
        <v>Дисконтированная продленная стоимость</v>
      </c>
      <c r="B1952" s="143">
        <f ca="1">B1950/OFFSET(F1937,0,PRJ_Len-1)</f>
        <v>13926.445603778131</v>
      </c>
      <c r="C1952" s="5" t="str">
        <f ca="1">CHOOSE(B1933,CUR_Main,CUR_Foreign)</f>
        <v>тыс. EUR</v>
      </c>
    </row>
    <row r="1953" spans="1:31" outlineLevel="1" x14ac:dyDescent="0.2"/>
    <row r="1954" spans="1:31" outlineLevel="1" x14ac:dyDescent="0.2">
      <c r="A1954" s="35" t="str">
        <f ca="1">Language!A$896</f>
        <v>Итого стоимость бизнеса</v>
      </c>
      <c r="B1954" s="150">
        <f ca="1">AE1948+B1952</f>
        <v>13055.039859576427</v>
      </c>
      <c r="C1954" t="str">
        <f ca="1">CHOOSE(B1933,CUR_Main,CUR_Foreign)</f>
        <v>тыс. EUR</v>
      </c>
    </row>
    <row r="1955" spans="1:31" outlineLevel="1" x14ac:dyDescent="0.2">
      <c r="A1955" s="63"/>
      <c r="B1955" s="63"/>
      <c r="C1955" s="63"/>
      <c r="D1955" s="63"/>
      <c r="E1955" s="63"/>
      <c r="F1955" s="63"/>
      <c r="G1955" s="63"/>
      <c r="H1955" s="63"/>
      <c r="I1955" s="63"/>
      <c r="J1955" s="63"/>
      <c r="K1955" s="63"/>
      <c r="L1955" s="63"/>
      <c r="M1955" s="63"/>
      <c r="N1955" s="63"/>
      <c r="O1955" s="63"/>
      <c r="P1955" s="63"/>
      <c r="Q1955" s="63"/>
      <c r="R1955" s="63"/>
      <c r="S1955" s="63"/>
      <c r="T1955" s="63"/>
      <c r="U1955" s="63"/>
      <c r="V1955" s="63"/>
      <c r="W1955" s="63"/>
      <c r="X1955" s="63"/>
      <c r="Y1955" s="63"/>
      <c r="Z1955" s="63"/>
      <c r="AA1955" s="63"/>
      <c r="AB1955" s="63"/>
      <c r="AC1955" s="63"/>
      <c r="AD1955" s="63"/>
      <c r="AE1955" s="64"/>
    </row>
    <row r="1956" spans="1:31" outlineLevel="1" x14ac:dyDescent="0.2"/>
    <row r="1957" spans="1:31" s="4" customFormat="1" ht="15.95" customHeight="1" collapsed="1" thickBot="1" x14ac:dyDescent="0.25">
      <c r="A1957" s="165" t="str">
        <f ca="1">Language!A897</f>
        <v xml:space="preserve">         БЮДЖЕТНАЯ ЭФФЕКТИВНОСТЬ</v>
      </c>
      <c r="B1957" s="165"/>
      <c r="C1957" s="165"/>
      <c r="D1957" s="165"/>
      <c r="E1957" s="165"/>
      <c r="F1957" s="177" t="str">
        <f t="shared" ref="F1957:AC1957" ca="1" si="5160">PeriodTitle</f>
        <v>1 кв. 2016</v>
      </c>
      <c r="G1957" s="177" t="str">
        <f t="shared" ca="1" si="5160"/>
        <v>2 кв. 2016</v>
      </c>
      <c r="H1957" s="177" t="str">
        <f t="shared" ca="1" si="5160"/>
        <v>3 кв. 2016</v>
      </c>
      <c r="I1957" s="177" t="str">
        <f t="shared" ca="1" si="5160"/>
        <v>4 кв. 2016</v>
      </c>
      <c r="J1957" s="177" t="str">
        <f t="shared" ca="1" si="5160"/>
        <v>1 кв. 2017</v>
      </c>
      <c r="K1957" s="177" t="str">
        <f t="shared" ca="1" si="5160"/>
        <v>2 кв. 2017</v>
      </c>
      <c r="L1957" s="177" t="str">
        <f t="shared" ca="1" si="5160"/>
        <v>3 кв. 2017</v>
      </c>
      <c r="M1957" s="177" t="str">
        <f t="shared" ca="1" si="5160"/>
        <v>4 кв. 2017</v>
      </c>
      <c r="N1957" s="177" t="str">
        <f t="shared" ca="1" si="5160"/>
        <v>1 кв. 2018</v>
      </c>
      <c r="O1957" s="177" t="str">
        <f t="shared" ca="1" si="5160"/>
        <v>2 кв. 2018</v>
      </c>
      <c r="P1957" s="177" t="str">
        <f t="shared" ca="1" si="5160"/>
        <v>3 кв. 2018</v>
      </c>
      <c r="Q1957" s="177" t="str">
        <f t="shared" ca="1" si="5160"/>
        <v>4 кв. 2018</v>
      </c>
      <c r="R1957" s="177" t="str">
        <f t="shared" ca="1" si="5160"/>
        <v>1 кв. 2019</v>
      </c>
      <c r="S1957" s="177" t="str">
        <f t="shared" ca="1" si="5160"/>
        <v>2 кв. 2019</v>
      </c>
      <c r="T1957" s="177" t="str">
        <f t="shared" ca="1" si="5160"/>
        <v>3 кв. 2019</v>
      </c>
      <c r="U1957" s="177" t="str">
        <f t="shared" ca="1" si="5160"/>
        <v>4 кв. 2019</v>
      </c>
      <c r="V1957" s="177" t="str">
        <f t="shared" ca="1" si="5160"/>
        <v>1 кв. 2020</v>
      </c>
      <c r="W1957" s="177" t="str">
        <f t="shared" ca="1" si="5160"/>
        <v>2 кв. 2020</v>
      </c>
      <c r="X1957" s="177" t="str">
        <f t="shared" ca="1" si="5160"/>
        <v>3 кв. 2020</v>
      </c>
      <c r="Y1957" s="177" t="str">
        <f t="shared" ca="1" si="5160"/>
        <v>4 кв. 2020</v>
      </c>
      <c r="Z1957" s="177" t="str">
        <f t="shared" ca="1" si="5160"/>
        <v>1 кв. 2021</v>
      </c>
      <c r="AA1957" s="177" t="str">
        <f t="shared" ca="1" si="5160"/>
        <v>2 кв. 2021</v>
      </c>
      <c r="AB1957" s="177" t="str">
        <f t="shared" ca="1" si="5160"/>
        <v>3 кв. 2021</v>
      </c>
      <c r="AC1957" s="177" t="str">
        <f t="shared" ca="1" si="5160"/>
        <v>4 кв. 2021</v>
      </c>
      <c r="AD1957" s="165"/>
      <c r="AE1957" s="166" t="str">
        <f ca="1">Language!A$372</f>
        <v>ИТОГО</v>
      </c>
    </row>
    <row r="1958" spans="1:31" ht="12" hidden="1" outlineLevel="1" thickTop="1" x14ac:dyDescent="0.2"/>
    <row r="1959" spans="1:31" hidden="1" outlineLevel="1" x14ac:dyDescent="0.2">
      <c r="A1959" s="35" t="str">
        <f ca="1">Language!A900</f>
        <v>Доли налоговых поступлений в бюджеты разных уровней</v>
      </c>
    </row>
    <row r="1960" spans="1:31" hidden="1" outlineLevel="1" x14ac:dyDescent="0.2">
      <c r="B1960" s="11" t="str">
        <f ca="1">Language!A898</f>
        <v>федеральный</v>
      </c>
      <c r="C1960" s="11" t="str">
        <f ca="1">Language!A899</f>
        <v>территории</v>
      </c>
    </row>
    <row r="1961" spans="1:31" hidden="1" outlineLevel="1" x14ac:dyDescent="0.2">
      <c r="A1961" t="str">
        <f ca="1">Language!A901</f>
        <v>Налог на добавленную стоимость</v>
      </c>
      <c r="B1961" s="153">
        <f>1-C1961</f>
        <v>1</v>
      </c>
      <c r="C1961" s="272">
        <v>0</v>
      </c>
    </row>
    <row r="1962" spans="1:31" hidden="1" outlineLevel="1" x14ac:dyDescent="0.2">
      <c r="A1962" t="str">
        <f ca="1">Language!A902</f>
        <v>Налог на прибыль</v>
      </c>
      <c r="B1962" s="153">
        <f t="shared" ref="B1962:B1972" si="5161">1-C1962</f>
        <v>9.9999999999999978E-2</v>
      </c>
      <c r="C1962" s="272">
        <v>0.9</v>
      </c>
    </row>
    <row r="1963" spans="1:31" hidden="1" outlineLevel="1" x14ac:dyDescent="0.2">
      <c r="A1963" t="str">
        <f ca="1">Language!A903</f>
        <v>Страховые взносы в социальные фонды</v>
      </c>
      <c r="B1963" s="153">
        <f t="shared" si="5161"/>
        <v>1</v>
      </c>
      <c r="C1963" s="272">
        <v>0</v>
      </c>
    </row>
    <row r="1964" spans="1:31" hidden="1" outlineLevel="1" x14ac:dyDescent="0.2">
      <c r="A1964" t="str">
        <f ca="1">Language!A904</f>
        <v>Акцизы и экспортные пошлины</v>
      </c>
      <c r="B1964" s="153">
        <f t="shared" si="5161"/>
        <v>1</v>
      </c>
      <c r="C1964" s="272">
        <v>0</v>
      </c>
    </row>
    <row r="1965" spans="1:31" hidden="1" outlineLevel="1" x14ac:dyDescent="0.2">
      <c r="A1965" t="str">
        <f ca="1">Language!A905</f>
        <v>Импортная пошлина</v>
      </c>
      <c r="B1965" s="153">
        <f t="shared" si="5161"/>
        <v>1</v>
      </c>
      <c r="C1965" s="272">
        <v>0</v>
      </c>
    </row>
    <row r="1966" spans="1:31" hidden="1" outlineLevel="1" x14ac:dyDescent="0.2">
      <c r="A1966" t="str">
        <f ca="1">Language!A906</f>
        <v>Подоходный налог</v>
      </c>
      <c r="B1966" s="153">
        <f t="shared" si="5161"/>
        <v>0</v>
      </c>
      <c r="C1966" s="272">
        <v>1</v>
      </c>
    </row>
    <row r="1967" spans="1:31" hidden="1" outlineLevel="1" x14ac:dyDescent="0.2">
      <c r="A1967" t="str">
        <f ca="1">Language!A907</f>
        <v>Земельный налог</v>
      </c>
      <c r="B1967" s="153">
        <f t="shared" si="5161"/>
        <v>0</v>
      </c>
      <c r="C1967" s="272">
        <v>1</v>
      </c>
    </row>
    <row r="1968" spans="1:31" hidden="1" outlineLevel="1" x14ac:dyDescent="0.2">
      <c r="A1968" t="str">
        <f ca="1">Language!A908</f>
        <v>Налог на имущество</v>
      </c>
      <c r="B1968" s="153">
        <f t="shared" si="5161"/>
        <v>0</v>
      </c>
      <c r="C1968" s="272">
        <v>1</v>
      </c>
    </row>
    <row r="1969" spans="1:31" hidden="1" outlineLevel="1" x14ac:dyDescent="0.2">
      <c r="A1969" t="str">
        <f ca="1">A147</f>
        <v>Другие налоги, относимые на текущие затраты</v>
      </c>
      <c r="B1969" s="153">
        <f t="shared" si="5161"/>
        <v>0</v>
      </c>
      <c r="C1969" s="272">
        <v>1</v>
      </c>
    </row>
    <row r="1970" spans="1:31" hidden="1" outlineLevel="1" x14ac:dyDescent="0.2">
      <c r="A1970" t="str">
        <f ca="1">A162</f>
        <v>Другие налоги, относимые на финансовые результаты</v>
      </c>
      <c r="B1970" s="153">
        <f t="shared" si="5161"/>
        <v>0</v>
      </c>
      <c r="C1970" s="272">
        <v>1</v>
      </c>
    </row>
    <row r="1971" spans="1:31" hidden="1" outlineLevel="1" x14ac:dyDescent="0.2">
      <c r="A1971" t="str">
        <f ca="1">Language!A909</f>
        <v>Единый налог на вмененный доход</v>
      </c>
      <c r="B1971" s="153">
        <f t="shared" si="5161"/>
        <v>0</v>
      </c>
      <c r="C1971" s="272">
        <v>1</v>
      </c>
    </row>
    <row r="1972" spans="1:31" hidden="1" outlineLevel="1" x14ac:dyDescent="0.2">
      <c r="A1972" t="str">
        <f ca="1">Language!A910</f>
        <v>Упрощенная система налогообложения</v>
      </c>
      <c r="B1972" s="153">
        <f t="shared" si="5161"/>
        <v>0</v>
      </c>
      <c r="C1972" s="272">
        <v>1</v>
      </c>
    </row>
    <row r="1973" spans="1:31" hidden="1" outlineLevel="1" x14ac:dyDescent="0.2"/>
    <row r="1974" spans="1:31" hidden="1" outlineLevel="1" x14ac:dyDescent="0.2">
      <c r="A1974" t="str">
        <f ca="1">Language!A911</f>
        <v>Ставка налога на доходы физических лиц</v>
      </c>
      <c r="B1974" s="272">
        <v>0.13</v>
      </c>
      <c r="C1974" s="5" t="str">
        <f ca="1">CUR_Main</f>
        <v>тыс. EUR</v>
      </c>
      <c r="F1974" s="43">
        <f t="shared" ref="F1974:T1974" si="5162">F904*$B1974</f>
        <v>0</v>
      </c>
      <c r="G1974" s="43">
        <f t="shared" si="5162"/>
        <v>0</v>
      </c>
      <c r="H1974" s="43">
        <f t="shared" si="5162"/>
        <v>0</v>
      </c>
      <c r="I1974" s="43">
        <f t="shared" si="5162"/>
        <v>0</v>
      </c>
      <c r="J1974" s="43">
        <f t="shared" si="5162"/>
        <v>0</v>
      </c>
      <c r="K1974" s="43">
        <f t="shared" si="5162"/>
        <v>47.599499999999999</v>
      </c>
      <c r="L1974" s="43">
        <f t="shared" si="5162"/>
        <v>47.599499999999999</v>
      </c>
      <c r="M1974" s="43">
        <f t="shared" si="5162"/>
        <v>47.599499999999999</v>
      </c>
      <c r="N1974" s="43">
        <f t="shared" si="5162"/>
        <v>47.599499999999999</v>
      </c>
      <c r="O1974" s="43">
        <f t="shared" si="5162"/>
        <v>47.599499999999999</v>
      </c>
      <c r="P1974" s="43">
        <f t="shared" si="5162"/>
        <v>47.599499999999999</v>
      </c>
      <c r="Q1974" s="43">
        <f t="shared" si="5162"/>
        <v>47.599499999999999</v>
      </c>
      <c r="R1974" s="43">
        <f t="shared" si="5162"/>
        <v>47.599499999999999</v>
      </c>
      <c r="S1974" s="43">
        <f t="shared" si="5162"/>
        <v>47.599499999999999</v>
      </c>
      <c r="T1974" s="43">
        <f t="shared" si="5162"/>
        <v>47.599499999999999</v>
      </c>
      <c r="U1974" s="43">
        <f t="shared" ref="U1974" si="5163">U904*$B1974</f>
        <v>47.599499999999999</v>
      </c>
      <c r="V1974" s="43">
        <f t="shared" ref="V1974" si="5164">V904*$B1974</f>
        <v>47.599499999999999</v>
      </c>
      <c r="W1974" s="43">
        <f t="shared" ref="W1974" si="5165">W904*$B1974</f>
        <v>47.599499999999999</v>
      </c>
      <c r="X1974" s="43">
        <f t="shared" ref="X1974" si="5166">X904*$B1974</f>
        <v>47.599499999999999</v>
      </c>
      <c r="Y1974" s="43">
        <f t="shared" ref="Y1974" si="5167">Y904*$B1974</f>
        <v>47.599499999999999</v>
      </c>
      <c r="Z1974" s="43">
        <f t="shared" ref="Z1974" si="5168">Z904*$B1974</f>
        <v>47.599499999999999</v>
      </c>
      <c r="AA1974" s="43">
        <f t="shared" ref="AA1974" si="5169">AA904*$B1974</f>
        <v>47.599499999999999</v>
      </c>
      <c r="AB1974" s="43">
        <f t="shared" ref="AB1974:AC1974" si="5170">AB904*$B1974</f>
        <v>47.599499999999999</v>
      </c>
      <c r="AC1974" s="43">
        <f t="shared" si="5170"/>
        <v>47.599499999999999</v>
      </c>
      <c r="AD1974" s="43"/>
      <c r="AE1974" s="54">
        <f>SUM(F1974:AC1974)</f>
        <v>904.3905000000002</v>
      </c>
    </row>
    <row r="1975" spans="1:31" hidden="1" outlineLevel="1" x14ac:dyDescent="0.2">
      <c r="C1975" s="5"/>
      <c r="F1975" s="43"/>
      <c r="G1975" s="43"/>
      <c r="H1975" s="43"/>
      <c r="I1975" s="43"/>
      <c r="J1975" s="43"/>
      <c r="K1975" s="43"/>
      <c r="L1975" s="43"/>
      <c r="M1975" s="43"/>
      <c r="N1975" s="43"/>
      <c r="O1975" s="43"/>
      <c r="P1975" s="43"/>
      <c r="Q1975" s="43"/>
      <c r="R1975" s="43"/>
      <c r="S1975" s="43"/>
      <c r="T1975" s="43"/>
      <c r="U1975" s="43"/>
      <c r="V1975" s="43"/>
      <c r="W1975" s="43"/>
      <c r="X1975" s="43"/>
      <c r="Y1975" s="43"/>
      <c r="Z1975" s="43"/>
      <c r="AA1975" s="43"/>
      <c r="AB1975" s="43"/>
      <c r="AC1975" s="43"/>
      <c r="AD1975" s="43"/>
      <c r="AE1975" s="54"/>
    </row>
    <row r="1976" spans="1:31" hidden="1" outlineLevel="1" x14ac:dyDescent="0.2">
      <c r="A1976" t="str">
        <f ca="1">Language!A912</f>
        <v>Налоговые поступления в федеральный бюджет</v>
      </c>
      <c r="C1976" s="5" t="str">
        <f ca="1">CUR_Main</f>
        <v>тыс. EUR</v>
      </c>
      <c r="F1976" s="43">
        <f t="shared" ref="F1976:X1976" ca="1" si="5171">F107*$B1964+F108*$B1965+F126*$B1961+(F136+F203+F222)*$B1963+F143*$B1967+F147*$B1969+F157*$B1968+F162*$B1970+F173*$B1962+F200*$B1971+F214*$B1972+F1974*$B1966</f>
        <v>0</v>
      </c>
      <c r="G1976" s="43">
        <f t="shared" ca="1" si="5171"/>
        <v>0</v>
      </c>
      <c r="H1976" s="43">
        <f t="shared" ca="1" si="5171"/>
        <v>0</v>
      </c>
      <c r="I1976" s="43">
        <f t="shared" ca="1" si="5171"/>
        <v>0</v>
      </c>
      <c r="J1976" s="43">
        <f t="shared" ca="1" si="5171"/>
        <v>0</v>
      </c>
      <c r="K1976" s="43">
        <f t="shared" ca="1" si="5171"/>
        <v>-3002.1825273682657</v>
      </c>
      <c r="L1976" s="43">
        <f t="shared" ca="1" si="5171"/>
        <v>-40.164329413380244</v>
      </c>
      <c r="M1976" s="43">
        <f t="shared" ca="1" si="5171"/>
        <v>-477.89340743784447</v>
      </c>
      <c r="N1976" s="43">
        <f t="shared" ca="1" si="5171"/>
        <v>-625.75765399537477</v>
      </c>
      <c r="O1976" s="43">
        <f t="shared" ca="1" si="5171"/>
        <v>-918.56816324167164</v>
      </c>
      <c r="P1976" s="43">
        <f t="shared" ca="1" si="5171"/>
        <v>-1129.7250419579821</v>
      </c>
      <c r="Q1976" s="43">
        <f t="shared" ca="1" si="5171"/>
        <v>-1129.7250419579821</v>
      </c>
      <c r="R1976" s="43">
        <f t="shared" ca="1" si="5171"/>
        <v>-1129.7250419579821</v>
      </c>
      <c r="S1976" s="43">
        <f t="shared" ca="1" si="5171"/>
        <v>-1129.7250419579821</v>
      </c>
      <c r="T1976" s="43">
        <f t="shared" ca="1" si="5171"/>
        <v>-1129.7250419579821</v>
      </c>
      <c r="U1976" s="43">
        <f t="shared" ca="1" si="5171"/>
        <v>-1129.7250419579821</v>
      </c>
      <c r="V1976" s="43">
        <f t="shared" ca="1" si="5171"/>
        <v>-1129.7250419579821</v>
      </c>
      <c r="W1976" s="43">
        <f t="shared" ca="1" si="5171"/>
        <v>-1129.7250419579821</v>
      </c>
      <c r="X1976" s="43">
        <f t="shared" ca="1" si="5171"/>
        <v>-1129.7250419579821</v>
      </c>
      <c r="Y1976" s="43">
        <f t="shared" ref="Y1976" ca="1" si="5172">Y107*$B1964+Y108*$B1965+Y126*$B1961+(Y136+Y203+Y222)*$B1963+Y143*$B1967+Y147*$B1969+Y157*$B1968+Y162*$B1970+Y173*$B1962+Y200*$B1971+Y214*$B1972+Y1974*$B1966</f>
        <v>-1129.7250419579821</v>
      </c>
      <c r="Z1976" s="43">
        <f t="shared" ref="Z1976" ca="1" si="5173">Z107*$B1964+Z108*$B1965+Z126*$B1961+(Z136+Z203+Z222)*$B1963+Z143*$B1967+Z147*$B1969+Z157*$B1968+Z162*$B1970+Z173*$B1962+Z200*$B1971+Z214*$B1972+Z1974*$B1966</f>
        <v>-1129.7250419579821</v>
      </c>
      <c r="AA1976" s="43">
        <f t="shared" ref="AA1976" ca="1" si="5174">AA107*$B1964+AA108*$B1965+AA126*$B1961+(AA136+AA203+AA222)*$B1963+AA143*$B1967+AA147*$B1969+AA157*$B1968+AA162*$B1970+AA173*$B1962+AA200*$B1971+AA214*$B1972+AA1974*$B1966</f>
        <v>-1129.7250419579821</v>
      </c>
      <c r="AB1976" s="43">
        <f t="shared" ref="AB1976:AC1976" ca="1" si="5175">AB107*$B1964+AB108*$B1965+AB126*$B1961+(AB136+AB203+AB222)*$B1963+AB143*$B1967+AB147*$B1969+AB157*$B1968+AB162*$B1970+AB173*$B1962+AB200*$B1971+AB214*$B1972+AB1974*$B1966</f>
        <v>-1129.7250419579821</v>
      </c>
      <c r="AC1976" s="43">
        <f t="shared" ca="1" si="5175"/>
        <v>-1129.7250419579821</v>
      </c>
      <c r="AD1976" s="43"/>
      <c r="AE1976" s="54">
        <f ca="1">SUM(F1976:AC1976)</f>
        <v>-20880.716668868285</v>
      </c>
    </row>
    <row r="1977" spans="1:31" hidden="1" outlineLevel="1" x14ac:dyDescent="0.2">
      <c r="A1977" t="str">
        <f ca="1">Language!A913</f>
        <v>Налоговые поступления в территориальный бюджет</v>
      </c>
      <c r="C1977" s="5" t="str">
        <f ca="1">CUR_Main</f>
        <v>тыс. EUR</v>
      </c>
      <c r="F1977" s="43">
        <f t="shared" ref="F1977:X1977" ca="1" si="5176">F107*$C1964+F108*$C1965+F126*$C1961+(F136+F203+F222)*$C1963+F143*$C1967+F147*$C1969+F157*$C1968+F162*$C1970+F173*$C1962+F200*$C1971+F214*$C1972+F1974*$C1966</f>
        <v>0</v>
      </c>
      <c r="G1977" s="43">
        <f t="shared" ca="1" si="5176"/>
        <v>0</v>
      </c>
      <c r="H1977" s="43">
        <f t="shared" ca="1" si="5176"/>
        <v>0</v>
      </c>
      <c r="I1977" s="43">
        <f t="shared" ca="1" si="5176"/>
        <v>0</v>
      </c>
      <c r="J1977" s="43">
        <f t="shared" ca="1" si="5176"/>
        <v>0</v>
      </c>
      <c r="K1977" s="43">
        <f t="shared" ca="1" si="5176"/>
        <v>60.781369767441859</v>
      </c>
      <c r="L1977" s="43">
        <f t="shared" ca="1" si="5176"/>
        <v>60.781369767441859</v>
      </c>
      <c r="M1977" s="43">
        <f t="shared" ca="1" si="5176"/>
        <v>60.781369767441859</v>
      </c>
      <c r="N1977" s="43">
        <f t="shared" ca="1" si="5176"/>
        <v>190.12299080466138</v>
      </c>
      <c r="O1977" s="43">
        <f t="shared" ca="1" si="5176"/>
        <v>302.59271817705081</v>
      </c>
      <c r="P1977" s="43">
        <f t="shared" ca="1" si="5176"/>
        <v>302.59271817705081</v>
      </c>
      <c r="Q1977" s="43">
        <f t="shared" ca="1" si="5176"/>
        <v>302.59271817705081</v>
      </c>
      <c r="R1977" s="43">
        <f t="shared" ca="1" si="5176"/>
        <v>302.59271817705081</v>
      </c>
      <c r="S1977" s="43">
        <f t="shared" ca="1" si="5176"/>
        <v>302.59271817705081</v>
      </c>
      <c r="T1977" s="43">
        <f t="shared" ca="1" si="5176"/>
        <v>302.59271817705081</v>
      </c>
      <c r="U1977" s="43">
        <f t="shared" ca="1" si="5176"/>
        <v>302.59271817705081</v>
      </c>
      <c r="V1977" s="43">
        <f t="shared" ca="1" si="5176"/>
        <v>302.59271817705081</v>
      </c>
      <c r="W1977" s="43">
        <f t="shared" ca="1" si="5176"/>
        <v>302.59271817705081</v>
      </c>
      <c r="X1977" s="43">
        <f t="shared" ca="1" si="5176"/>
        <v>302.59271817705081</v>
      </c>
      <c r="Y1977" s="43">
        <f t="shared" ref="Y1977" ca="1" si="5177">Y107*$C1964+Y108*$C1965+Y126*$C1961+(Y136+Y203+Y222)*$C1963+Y143*$C1967+Y147*$C1969+Y157*$C1968+Y162*$C1970+Y173*$C1962+Y200*$C1971+Y214*$C1972+Y1974*$C1966</f>
        <v>302.59271817705081</v>
      </c>
      <c r="Z1977" s="43">
        <f t="shared" ref="Z1977" ca="1" si="5178">Z107*$C1964+Z108*$C1965+Z126*$C1961+(Z136+Z203+Z222)*$C1963+Z143*$C1967+Z147*$C1969+Z157*$C1968+Z162*$C1970+Z173*$C1962+Z200*$C1971+Z214*$C1972+Z1974*$C1966</f>
        <v>302.59271817705081</v>
      </c>
      <c r="AA1977" s="43">
        <f t="shared" ref="AA1977" ca="1" si="5179">AA107*$C1964+AA108*$C1965+AA126*$C1961+(AA136+AA203+AA222)*$C1963+AA143*$C1967+AA147*$C1969+AA157*$C1968+AA162*$C1970+AA173*$C1962+AA200*$C1971+AA214*$C1972+AA1974*$C1966</f>
        <v>302.59271817705081</v>
      </c>
      <c r="AB1977" s="43">
        <f t="shared" ref="AB1977:AC1977" ca="1" si="5180">AB107*$C1964+AB108*$C1965+AB126*$C1961+(AB136+AB203+AB222)*$C1963+AB143*$C1967+AB147*$C1969+AB157*$C1968+AB162*$C1970+AB173*$C1962+AB200*$C1971+AB214*$C1972+AB1974*$C1966</f>
        <v>302.59271817705081</v>
      </c>
      <c r="AC1977" s="43">
        <f t="shared" ca="1" si="5180"/>
        <v>302.59271817705081</v>
      </c>
      <c r="AD1977" s="43"/>
      <c r="AE1977" s="54">
        <f ca="1">SUM(F1977:AC1977)</f>
        <v>4911.35787276275</v>
      </c>
    </row>
    <row r="1978" spans="1:31" hidden="1" outlineLevel="1" x14ac:dyDescent="0.2">
      <c r="C1978" s="5"/>
      <c r="F1978" s="43"/>
      <c r="G1978" s="43"/>
      <c r="H1978" s="43"/>
      <c r="I1978" s="43"/>
      <c r="J1978" s="43"/>
      <c r="K1978" s="43"/>
      <c r="L1978" s="43"/>
      <c r="M1978" s="43"/>
      <c r="N1978" s="43"/>
      <c r="O1978" s="43"/>
      <c r="P1978" s="43"/>
      <c r="Q1978" s="43"/>
      <c r="R1978" s="43"/>
      <c r="S1978" s="43"/>
      <c r="T1978" s="43"/>
      <c r="U1978" s="43"/>
      <c r="V1978" s="43"/>
      <c r="W1978" s="43"/>
      <c r="X1978" s="43"/>
      <c r="Y1978" s="43"/>
      <c r="Z1978" s="43"/>
      <c r="AA1978" s="43"/>
      <c r="AB1978" s="43"/>
      <c r="AC1978" s="43"/>
      <c r="AD1978" s="43"/>
      <c r="AE1978" s="54"/>
    </row>
    <row r="1979" spans="1:31" hidden="1" outlineLevel="1" x14ac:dyDescent="0.2">
      <c r="A1979" s="35" t="str">
        <f ca="1">Language!A914</f>
        <v>Бюджетное финансирование</v>
      </c>
      <c r="C1979" s="5"/>
      <c r="F1979" s="43"/>
      <c r="G1979" s="43"/>
      <c r="H1979" s="43"/>
      <c r="I1979" s="43"/>
      <c r="J1979" s="43"/>
      <c r="K1979" s="43"/>
      <c r="L1979" s="43"/>
      <c r="M1979" s="43"/>
      <c r="N1979" s="43"/>
      <c r="O1979" s="43"/>
      <c r="P1979" s="43"/>
      <c r="Q1979" s="43"/>
      <c r="R1979" s="43"/>
      <c r="S1979" s="43"/>
      <c r="T1979" s="43"/>
      <c r="U1979" s="43"/>
      <c r="V1979" s="43"/>
      <c r="W1979" s="43"/>
      <c r="X1979" s="43"/>
      <c r="Y1979" s="43"/>
      <c r="Z1979" s="43"/>
      <c r="AA1979" s="43"/>
      <c r="AB1979" s="43"/>
      <c r="AC1979" s="43"/>
      <c r="AD1979" s="43"/>
      <c r="AE1979" s="54"/>
    </row>
    <row r="1980" spans="1:31" hidden="1" outlineLevel="1" x14ac:dyDescent="0.2">
      <c r="C1980" s="5"/>
      <c r="F1980" s="43"/>
      <c r="G1980" s="43"/>
      <c r="H1980" s="43"/>
      <c r="I1980" s="43"/>
      <c r="J1980" s="43"/>
      <c r="K1980" s="43"/>
      <c r="L1980" s="43"/>
      <c r="M1980" s="43"/>
      <c r="N1980" s="43"/>
      <c r="O1980" s="43"/>
      <c r="P1980" s="43"/>
      <c r="Q1980" s="43"/>
      <c r="R1980" s="43"/>
      <c r="S1980" s="43"/>
      <c r="T1980" s="43"/>
      <c r="U1980" s="43"/>
      <c r="V1980" s="43"/>
      <c r="W1980" s="43"/>
      <c r="X1980" s="43"/>
      <c r="Y1980" s="43"/>
      <c r="Z1980" s="43"/>
      <c r="AA1980" s="43"/>
      <c r="AB1980" s="43"/>
      <c r="AC1980" s="43"/>
      <c r="AD1980" s="43"/>
      <c r="AE1980" s="54"/>
    </row>
    <row r="1981" spans="1:31" hidden="1" outlineLevel="1" x14ac:dyDescent="0.2">
      <c r="A1981" s="11" t="str">
        <f ca="1">Language!A915</f>
        <v>Федеральный бюджет</v>
      </c>
      <c r="C1981" s="5"/>
      <c r="F1981" s="43"/>
      <c r="G1981" s="43"/>
      <c r="H1981" s="43"/>
      <c r="I1981" s="43"/>
      <c r="J1981" s="43"/>
      <c r="K1981" s="43"/>
      <c r="L1981" s="43"/>
      <c r="M1981" s="43"/>
      <c r="N1981" s="43"/>
      <c r="O1981" s="43"/>
      <c r="P1981" s="43"/>
      <c r="Q1981" s="43"/>
      <c r="R1981" s="43"/>
      <c r="S1981" s="43"/>
      <c r="T1981" s="43"/>
      <c r="U1981" s="43"/>
      <c r="V1981" s="43"/>
      <c r="W1981" s="43"/>
      <c r="X1981" s="43"/>
      <c r="Y1981" s="43"/>
      <c r="Z1981" s="43"/>
      <c r="AA1981" s="43"/>
      <c r="AB1981" s="43"/>
      <c r="AC1981" s="43"/>
      <c r="AD1981" s="43"/>
      <c r="AE1981" s="54"/>
    </row>
    <row r="1982" spans="1:31" hidden="1" outlineLevel="1" x14ac:dyDescent="0.2">
      <c r="A1982" t="str">
        <f ca="1">Language!A916</f>
        <v xml:space="preserve">    целевое финансирование</v>
      </c>
      <c r="C1982" s="5" t="str">
        <f ca="1">CUR_Main</f>
        <v>тыс. EUR</v>
      </c>
      <c r="F1982" s="271">
        <f t="shared" ref="F1982:T1982" si="5181">F1087</f>
        <v>0</v>
      </c>
      <c r="G1982" s="271">
        <f t="shared" si="5181"/>
        <v>0</v>
      </c>
      <c r="H1982" s="271">
        <f t="shared" si="5181"/>
        <v>5695.3855543220343</v>
      </c>
      <c r="I1982" s="271">
        <f t="shared" si="5181"/>
        <v>1519.56</v>
      </c>
      <c r="J1982" s="271">
        <f t="shared" ca="1" si="5181"/>
        <v>7024.8891971793519</v>
      </c>
      <c r="K1982" s="271">
        <f t="shared" si="5181"/>
        <v>2982.5256975335087</v>
      </c>
      <c r="L1982" s="271">
        <f t="shared" si="5181"/>
        <v>0</v>
      </c>
      <c r="M1982" s="271">
        <f t="shared" si="5181"/>
        <v>0</v>
      </c>
      <c r="N1982" s="271">
        <f t="shared" si="5181"/>
        <v>0</v>
      </c>
      <c r="O1982" s="271">
        <f t="shared" si="5181"/>
        <v>0</v>
      </c>
      <c r="P1982" s="271">
        <f t="shared" si="5181"/>
        <v>0</v>
      </c>
      <c r="Q1982" s="271">
        <f t="shared" si="5181"/>
        <v>0</v>
      </c>
      <c r="R1982" s="271">
        <f t="shared" si="5181"/>
        <v>0</v>
      </c>
      <c r="S1982" s="271">
        <f t="shared" si="5181"/>
        <v>0</v>
      </c>
      <c r="T1982" s="271">
        <f t="shared" si="5181"/>
        <v>0</v>
      </c>
      <c r="U1982" s="271">
        <f t="shared" ref="U1982" si="5182">U1087</f>
        <v>0</v>
      </c>
      <c r="V1982" s="271">
        <f t="shared" ref="V1982" si="5183">V1087</f>
        <v>0</v>
      </c>
      <c r="W1982" s="271">
        <f t="shared" ref="W1982" si="5184">W1087</f>
        <v>0</v>
      </c>
      <c r="X1982" s="271">
        <f t="shared" ref="X1982" si="5185">X1087</f>
        <v>0</v>
      </c>
      <c r="Y1982" s="271">
        <f t="shared" ref="Y1982" si="5186">Y1087</f>
        <v>0</v>
      </c>
      <c r="Z1982" s="271">
        <f t="shared" ref="Z1982" si="5187">Z1087</f>
        <v>0</v>
      </c>
      <c r="AA1982" s="271">
        <f t="shared" ref="AA1982" si="5188">AA1087</f>
        <v>0</v>
      </c>
      <c r="AB1982" s="271">
        <f t="shared" ref="AB1982:AC1982" si="5189">AB1087</f>
        <v>0</v>
      </c>
      <c r="AC1982" s="271">
        <f t="shared" si="5189"/>
        <v>0</v>
      </c>
      <c r="AD1982" s="43"/>
      <c r="AE1982" s="54">
        <f ca="1">SUM(F1982:AC1982)</f>
        <v>17222.360449034895</v>
      </c>
    </row>
    <row r="1983" spans="1:31" hidden="1" outlineLevel="1" x14ac:dyDescent="0.2">
      <c r="A1983" t="str">
        <f ca="1">Language!A917</f>
        <v xml:space="preserve">    кредиты выданные</v>
      </c>
      <c r="C1983" s="5" t="str">
        <f ca="1">CUR_Main</f>
        <v>тыс. EUR</v>
      </c>
      <c r="F1983" s="53">
        <f t="shared" ref="F1983:T1983" si="5190">SUMIF($D1106:$D1135,"*3/1_00*",F1106:F1135)+SUMIF($D1106:$D1135,"*3/2_00*",F1106:F1135)*F$88</f>
        <v>0</v>
      </c>
      <c r="G1983" s="53">
        <f t="shared" si="5190"/>
        <v>0</v>
      </c>
      <c r="H1983" s="53">
        <f t="shared" si="5190"/>
        <v>0</v>
      </c>
      <c r="I1983" s="53">
        <f t="shared" si="5190"/>
        <v>0</v>
      </c>
      <c r="J1983" s="53">
        <f t="shared" si="5190"/>
        <v>0</v>
      </c>
      <c r="K1983" s="53">
        <f t="shared" si="5190"/>
        <v>0</v>
      </c>
      <c r="L1983" s="53">
        <f t="shared" si="5190"/>
        <v>0</v>
      </c>
      <c r="M1983" s="53">
        <f t="shared" si="5190"/>
        <v>0</v>
      </c>
      <c r="N1983" s="53">
        <f t="shared" si="5190"/>
        <v>0</v>
      </c>
      <c r="O1983" s="53">
        <f t="shared" si="5190"/>
        <v>0</v>
      </c>
      <c r="P1983" s="53">
        <f t="shared" si="5190"/>
        <v>0</v>
      </c>
      <c r="Q1983" s="53">
        <f t="shared" si="5190"/>
        <v>0</v>
      </c>
      <c r="R1983" s="53">
        <f t="shared" si="5190"/>
        <v>0</v>
      </c>
      <c r="S1983" s="53">
        <f t="shared" si="5190"/>
        <v>0</v>
      </c>
      <c r="T1983" s="53">
        <f t="shared" si="5190"/>
        <v>0</v>
      </c>
      <c r="U1983" s="53">
        <f t="shared" ref="U1983" si="5191">SUMIF($D1106:$D1135,"*3/1_00*",U1106:U1135)+SUMIF($D1106:$D1135,"*3/2_00*",U1106:U1135)*U$88</f>
        <v>0</v>
      </c>
      <c r="V1983" s="53">
        <f t="shared" ref="V1983" si="5192">SUMIF($D1106:$D1135,"*3/1_00*",V1106:V1135)+SUMIF($D1106:$D1135,"*3/2_00*",V1106:V1135)*V$88</f>
        <v>0</v>
      </c>
      <c r="W1983" s="53">
        <f t="shared" ref="W1983" si="5193">SUMIF($D1106:$D1135,"*3/1_00*",W1106:W1135)+SUMIF($D1106:$D1135,"*3/2_00*",W1106:W1135)*W$88</f>
        <v>0</v>
      </c>
      <c r="X1983" s="53">
        <f t="shared" ref="X1983" si="5194">SUMIF($D1106:$D1135,"*3/1_00*",X1106:X1135)+SUMIF($D1106:$D1135,"*3/2_00*",X1106:X1135)*X$88</f>
        <v>0</v>
      </c>
      <c r="Y1983" s="53">
        <f t="shared" ref="Y1983" si="5195">SUMIF($D1106:$D1135,"*3/1_00*",Y1106:Y1135)+SUMIF($D1106:$D1135,"*3/2_00*",Y1106:Y1135)*Y$88</f>
        <v>0</v>
      </c>
      <c r="Z1983" s="53">
        <f t="shared" ref="Z1983" si="5196">SUMIF($D1106:$D1135,"*3/1_00*",Z1106:Z1135)+SUMIF($D1106:$D1135,"*3/2_00*",Z1106:Z1135)*Z$88</f>
        <v>0</v>
      </c>
      <c r="AA1983" s="53">
        <f t="shared" ref="AA1983" si="5197">SUMIF($D1106:$D1135,"*3/1_00*",AA1106:AA1135)+SUMIF($D1106:$D1135,"*3/2_00*",AA1106:AA1135)*AA$88</f>
        <v>0</v>
      </c>
      <c r="AB1983" s="53">
        <f t="shared" ref="AB1983:AC1983" si="5198">SUMIF($D1106:$D1135,"*3/1_00*",AB1106:AB1135)+SUMIF($D1106:$D1135,"*3/2_00*",AB1106:AB1135)*AB$88</f>
        <v>0</v>
      </c>
      <c r="AC1983" s="53">
        <f t="shared" si="5198"/>
        <v>0</v>
      </c>
      <c r="AD1983" s="43"/>
      <c r="AE1983" s="54">
        <f>SUM(F1983:AC1983)</f>
        <v>0</v>
      </c>
    </row>
    <row r="1984" spans="1:31" hidden="1" outlineLevel="1" x14ac:dyDescent="0.2">
      <c r="A1984" t="str">
        <f ca="1">Language!A918</f>
        <v xml:space="preserve">    возврат кредитов</v>
      </c>
      <c r="C1984" s="5" t="str">
        <f ca="1">CUR_Main</f>
        <v>тыс. EUR</v>
      </c>
      <c r="F1984" s="43">
        <f t="shared" ref="F1984:T1984" si="5199">SUMIF($D1106:$D1135,"*3/1_01*",F1106:F1135)+SUMIF($D1106:$D1135,"*3/2_01*",F1106:F1135)*F$88</f>
        <v>0</v>
      </c>
      <c r="G1984" s="43">
        <f t="shared" si="5199"/>
        <v>0</v>
      </c>
      <c r="H1984" s="43">
        <f t="shared" si="5199"/>
        <v>0</v>
      </c>
      <c r="I1984" s="43">
        <f t="shared" si="5199"/>
        <v>0</v>
      </c>
      <c r="J1984" s="43">
        <f t="shared" si="5199"/>
        <v>0</v>
      </c>
      <c r="K1984" s="43">
        <f t="shared" si="5199"/>
        <v>0</v>
      </c>
      <c r="L1984" s="43">
        <f t="shared" si="5199"/>
        <v>0</v>
      </c>
      <c r="M1984" s="43">
        <f t="shared" si="5199"/>
        <v>0</v>
      </c>
      <c r="N1984" s="43">
        <f t="shared" si="5199"/>
        <v>0</v>
      </c>
      <c r="O1984" s="43">
        <f t="shared" si="5199"/>
        <v>0</v>
      </c>
      <c r="P1984" s="43">
        <f t="shared" si="5199"/>
        <v>0</v>
      </c>
      <c r="Q1984" s="43">
        <f t="shared" si="5199"/>
        <v>0</v>
      </c>
      <c r="R1984" s="43">
        <f t="shared" si="5199"/>
        <v>0</v>
      </c>
      <c r="S1984" s="43">
        <f t="shared" si="5199"/>
        <v>0</v>
      </c>
      <c r="T1984" s="43">
        <f t="shared" si="5199"/>
        <v>0</v>
      </c>
      <c r="U1984" s="43">
        <f t="shared" ref="U1984" si="5200">SUMIF($D1106:$D1135,"*3/1_01*",U1106:U1135)+SUMIF($D1106:$D1135,"*3/2_01*",U1106:U1135)*U$88</f>
        <v>0</v>
      </c>
      <c r="V1984" s="43">
        <f t="shared" ref="V1984" si="5201">SUMIF($D1106:$D1135,"*3/1_01*",V1106:V1135)+SUMIF($D1106:$D1135,"*3/2_01*",V1106:V1135)*V$88</f>
        <v>0</v>
      </c>
      <c r="W1984" s="43">
        <f t="shared" ref="W1984" si="5202">SUMIF($D1106:$D1135,"*3/1_01*",W1106:W1135)+SUMIF($D1106:$D1135,"*3/2_01*",W1106:W1135)*W$88</f>
        <v>0</v>
      </c>
      <c r="X1984" s="43">
        <f t="shared" ref="X1984" si="5203">SUMIF($D1106:$D1135,"*3/1_01*",X1106:X1135)+SUMIF($D1106:$D1135,"*3/2_01*",X1106:X1135)*X$88</f>
        <v>0</v>
      </c>
      <c r="Y1984" s="43">
        <f t="shared" ref="Y1984" si="5204">SUMIF($D1106:$D1135,"*3/1_01*",Y1106:Y1135)+SUMIF($D1106:$D1135,"*3/2_01*",Y1106:Y1135)*Y$88</f>
        <v>0</v>
      </c>
      <c r="Z1984" s="43">
        <f t="shared" ref="Z1984" si="5205">SUMIF($D1106:$D1135,"*3/1_01*",Z1106:Z1135)+SUMIF($D1106:$D1135,"*3/2_01*",Z1106:Z1135)*Z$88</f>
        <v>0</v>
      </c>
      <c r="AA1984" s="43">
        <f t="shared" ref="AA1984" si="5206">SUMIF($D1106:$D1135,"*3/1_01*",AA1106:AA1135)+SUMIF($D1106:$D1135,"*3/2_01*",AA1106:AA1135)*AA$88</f>
        <v>0</v>
      </c>
      <c r="AB1984" s="43">
        <f t="shared" ref="AB1984:AC1984" si="5207">SUMIF($D1106:$D1135,"*3/1_01*",AB1106:AB1135)+SUMIF($D1106:$D1135,"*3/2_01*",AB1106:AB1135)*AB$88</f>
        <v>0</v>
      </c>
      <c r="AC1984" s="43">
        <f t="shared" si="5207"/>
        <v>0</v>
      </c>
      <c r="AD1984" s="43"/>
      <c r="AE1984" s="54">
        <f>SUM(F1984:AC1984)</f>
        <v>0</v>
      </c>
    </row>
    <row r="1985" spans="1:31" hidden="1" outlineLevel="1" x14ac:dyDescent="0.2">
      <c r="A1985" t="str">
        <f ca="1">Language!A919</f>
        <v xml:space="preserve">    проценты по выданным кредитам</v>
      </c>
      <c r="C1985" s="5" t="str">
        <f ca="1">CUR_Main</f>
        <v>тыс. EUR</v>
      </c>
      <c r="F1985" s="43">
        <f t="shared" ref="F1985:T1985" si="5208">SUMIF($D1106:$D1135,"*3/1_03*",F1106:F1135)+SUMIF($D1106:$D1135,"*3/2_03*",F1106:F1135)*F$88</f>
        <v>0</v>
      </c>
      <c r="G1985" s="43">
        <f t="shared" si="5208"/>
        <v>0</v>
      </c>
      <c r="H1985" s="43">
        <f t="shared" si="5208"/>
        <v>0</v>
      </c>
      <c r="I1985" s="43">
        <f t="shared" si="5208"/>
        <v>0</v>
      </c>
      <c r="J1985" s="43">
        <f t="shared" si="5208"/>
        <v>0</v>
      </c>
      <c r="K1985" s="43">
        <f t="shared" si="5208"/>
        <v>0</v>
      </c>
      <c r="L1985" s="43">
        <f t="shared" si="5208"/>
        <v>0</v>
      </c>
      <c r="M1985" s="43">
        <f t="shared" si="5208"/>
        <v>0</v>
      </c>
      <c r="N1985" s="43">
        <f t="shared" si="5208"/>
        <v>0</v>
      </c>
      <c r="O1985" s="43">
        <f t="shared" si="5208"/>
        <v>0</v>
      </c>
      <c r="P1985" s="43">
        <f t="shared" si="5208"/>
        <v>0</v>
      </c>
      <c r="Q1985" s="43">
        <f t="shared" si="5208"/>
        <v>0</v>
      </c>
      <c r="R1985" s="43">
        <f t="shared" si="5208"/>
        <v>0</v>
      </c>
      <c r="S1985" s="43">
        <f t="shared" si="5208"/>
        <v>0</v>
      </c>
      <c r="T1985" s="43">
        <f t="shared" si="5208"/>
        <v>0</v>
      </c>
      <c r="U1985" s="43">
        <f t="shared" ref="U1985" si="5209">SUMIF($D1106:$D1135,"*3/1_03*",U1106:U1135)+SUMIF($D1106:$D1135,"*3/2_03*",U1106:U1135)*U$88</f>
        <v>0</v>
      </c>
      <c r="V1985" s="43">
        <f t="shared" ref="V1985" si="5210">SUMIF($D1106:$D1135,"*3/1_03*",V1106:V1135)+SUMIF($D1106:$D1135,"*3/2_03*",V1106:V1135)*V$88</f>
        <v>0</v>
      </c>
      <c r="W1985" s="43">
        <f t="shared" ref="W1985" si="5211">SUMIF($D1106:$D1135,"*3/1_03*",W1106:W1135)+SUMIF($D1106:$D1135,"*3/2_03*",W1106:W1135)*W$88</f>
        <v>0</v>
      </c>
      <c r="X1985" s="43">
        <f t="shared" ref="X1985" si="5212">SUMIF($D1106:$D1135,"*3/1_03*",X1106:X1135)+SUMIF($D1106:$D1135,"*3/2_03*",X1106:X1135)*X$88</f>
        <v>0</v>
      </c>
      <c r="Y1985" s="43">
        <f t="shared" ref="Y1985" si="5213">SUMIF($D1106:$D1135,"*3/1_03*",Y1106:Y1135)+SUMIF($D1106:$D1135,"*3/2_03*",Y1106:Y1135)*Y$88</f>
        <v>0</v>
      </c>
      <c r="Z1985" s="43">
        <f t="shared" ref="Z1985" si="5214">SUMIF($D1106:$D1135,"*3/1_03*",Z1106:Z1135)+SUMIF($D1106:$D1135,"*3/2_03*",Z1106:Z1135)*Z$88</f>
        <v>0</v>
      </c>
      <c r="AA1985" s="43">
        <f t="shared" ref="AA1985" si="5215">SUMIF($D1106:$D1135,"*3/1_03*",AA1106:AA1135)+SUMIF($D1106:$D1135,"*3/2_03*",AA1106:AA1135)*AA$88</f>
        <v>0</v>
      </c>
      <c r="AB1985" s="43">
        <f t="shared" ref="AB1985:AC1985" si="5216">SUMIF($D1106:$D1135,"*3/1_03*",AB1106:AB1135)+SUMIF($D1106:$D1135,"*3/2_03*",AB1106:AB1135)*AB$88</f>
        <v>0</v>
      </c>
      <c r="AC1985" s="43">
        <f t="shared" si="5216"/>
        <v>0</v>
      </c>
      <c r="AD1985" s="43"/>
      <c r="AE1985" s="54">
        <f>SUM(F1985:AC1985)</f>
        <v>0</v>
      </c>
    </row>
    <row r="1986" spans="1:31" hidden="1" outlineLevel="1" x14ac:dyDescent="0.2">
      <c r="A1986" s="11" t="str">
        <f ca="1">Language!A920</f>
        <v>Территориальный бюджет</v>
      </c>
      <c r="C1986" s="5"/>
      <c r="F1986" s="43"/>
      <c r="G1986" s="43"/>
      <c r="H1986" s="43"/>
      <c r="I1986" s="43"/>
      <c r="J1986" s="43"/>
      <c r="K1986" s="43"/>
      <c r="L1986" s="43"/>
      <c r="M1986" s="43"/>
      <c r="N1986" s="43"/>
      <c r="O1986" s="43"/>
      <c r="P1986" s="43"/>
      <c r="Q1986" s="43"/>
      <c r="R1986" s="43"/>
      <c r="S1986" s="43"/>
      <c r="T1986" s="43"/>
      <c r="U1986" s="43"/>
      <c r="V1986" s="43"/>
      <c r="W1986" s="43"/>
      <c r="X1986" s="43"/>
      <c r="Y1986" s="43"/>
      <c r="Z1986" s="43"/>
      <c r="AA1986" s="43"/>
      <c r="AB1986" s="43"/>
      <c r="AC1986" s="43"/>
      <c r="AD1986" s="43"/>
      <c r="AE1986" s="54"/>
    </row>
    <row r="1987" spans="1:31" hidden="1" outlineLevel="1" x14ac:dyDescent="0.2">
      <c r="A1987" t="str">
        <f ca="1">Language!A916</f>
        <v xml:space="preserve">    целевое финансирование</v>
      </c>
      <c r="C1987" s="5" t="str">
        <f ca="1">CUR_Main</f>
        <v>тыс. EUR</v>
      </c>
      <c r="F1987" s="271">
        <v>0</v>
      </c>
      <c r="G1987" s="271">
        <v>0</v>
      </c>
      <c r="H1987" s="271">
        <v>0</v>
      </c>
      <c r="I1987" s="271">
        <v>0</v>
      </c>
      <c r="J1987" s="271">
        <v>0</v>
      </c>
      <c r="K1987" s="271">
        <v>0</v>
      </c>
      <c r="L1987" s="271">
        <v>0</v>
      </c>
      <c r="M1987" s="271">
        <v>0</v>
      </c>
      <c r="N1987" s="271">
        <v>0</v>
      </c>
      <c r="O1987" s="271">
        <v>0</v>
      </c>
      <c r="P1987" s="271">
        <v>0</v>
      </c>
      <c r="Q1987" s="271">
        <v>0</v>
      </c>
      <c r="R1987" s="271">
        <v>0</v>
      </c>
      <c r="S1987" s="271">
        <v>0</v>
      </c>
      <c r="T1987" s="271">
        <v>0</v>
      </c>
      <c r="U1987" s="271">
        <v>0</v>
      </c>
      <c r="V1987" s="271">
        <v>0</v>
      </c>
      <c r="W1987" s="271">
        <v>0</v>
      </c>
      <c r="X1987" s="271">
        <v>0</v>
      </c>
      <c r="Y1987" s="271">
        <v>0</v>
      </c>
      <c r="Z1987" s="271">
        <v>0</v>
      </c>
      <c r="AA1987" s="271">
        <v>0</v>
      </c>
      <c r="AB1987" s="271">
        <v>0</v>
      </c>
      <c r="AC1987" s="271">
        <v>0</v>
      </c>
      <c r="AD1987" s="43"/>
      <c r="AE1987" s="54">
        <f>SUM(F1987:AC1987)</f>
        <v>0</v>
      </c>
    </row>
    <row r="1988" spans="1:31" hidden="1" outlineLevel="1" x14ac:dyDescent="0.2">
      <c r="A1988" t="str">
        <f ca="1">Language!A917</f>
        <v xml:space="preserve">    кредиты выданные</v>
      </c>
      <c r="C1988" s="5" t="str">
        <f ca="1">CUR_Main</f>
        <v>тыс. EUR</v>
      </c>
      <c r="F1988" s="43">
        <f t="shared" ref="F1988:T1988" si="5217">SUMIF($D1106:$D1135,"*4/1_00*",F1106:F1135)+SUMIF($D1106:$D1135,"*4/2_00*",F1106:F1135)*F$88</f>
        <v>0</v>
      </c>
      <c r="G1988" s="43">
        <f t="shared" si="5217"/>
        <v>0</v>
      </c>
      <c r="H1988" s="43">
        <f t="shared" si="5217"/>
        <v>0</v>
      </c>
      <c r="I1988" s="43">
        <f t="shared" si="5217"/>
        <v>0</v>
      </c>
      <c r="J1988" s="43">
        <f t="shared" si="5217"/>
        <v>0</v>
      </c>
      <c r="K1988" s="43">
        <f t="shared" si="5217"/>
        <v>0</v>
      </c>
      <c r="L1988" s="43">
        <f t="shared" si="5217"/>
        <v>0</v>
      </c>
      <c r="M1988" s="43">
        <f t="shared" si="5217"/>
        <v>0</v>
      </c>
      <c r="N1988" s="43">
        <f t="shared" si="5217"/>
        <v>0</v>
      </c>
      <c r="O1988" s="43">
        <f t="shared" si="5217"/>
        <v>0</v>
      </c>
      <c r="P1988" s="43">
        <f t="shared" si="5217"/>
        <v>0</v>
      </c>
      <c r="Q1988" s="43">
        <f t="shared" si="5217"/>
        <v>0</v>
      </c>
      <c r="R1988" s="43">
        <f t="shared" si="5217"/>
        <v>0</v>
      </c>
      <c r="S1988" s="43">
        <f t="shared" si="5217"/>
        <v>0</v>
      </c>
      <c r="T1988" s="43">
        <f t="shared" si="5217"/>
        <v>0</v>
      </c>
      <c r="U1988" s="43">
        <f t="shared" ref="U1988" si="5218">SUMIF($D1106:$D1135,"*4/1_00*",U1106:U1135)+SUMIF($D1106:$D1135,"*4/2_00*",U1106:U1135)*U$88</f>
        <v>0</v>
      </c>
      <c r="V1988" s="43">
        <f t="shared" ref="V1988" si="5219">SUMIF($D1106:$D1135,"*4/1_00*",V1106:V1135)+SUMIF($D1106:$D1135,"*4/2_00*",V1106:V1135)*V$88</f>
        <v>0</v>
      </c>
      <c r="W1988" s="43">
        <f t="shared" ref="W1988" si="5220">SUMIF($D1106:$D1135,"*4/1_00*",W1106:W1135)+SUMIF($D1106:$D1135,"*4/2_00*",W1106:W1135)*W$88</f>
        <v>0</v>
      </c>
      <c r="X1988" s="43">
        <f t="shared" ref="X1988" si="5221">SUMIF($D1106:$D1135,"*4/1_00*",X1106:X1135)+SUMIF($D1106:$D1135,"*4/2_00*",X1106:X1135)*X$88</f>
        <v>0</v>
      </c>
      <c r="Y1988" s="43">
        <f t="shared" ref="Y1988" si="5222">SUMIF($D1106:$D1135,"*4/1_00*",Y1106:Y1135)+SUMIF($D1106:$D1135,"*4/2_00*",Y1106:Y1135)*Y$88</f>
        <v>0</v>
      </c>
      <c r="Z1988" s="43">
        <f t="shared" ref="Z1988" si="5223">SUMIF($D1106:$D1135,"*4/1_00*",Z1106:Z1135)+SUMIF($D1106:$D1135,"*4/2_00*",Z1106:Z1135)*Z$88</f>
        <v>0</v>
      </c>
      <c r="AA1988" s="43">
        <f t="shared" ref="AA1988" si="5224">SUMIF($D1106:$D1135,"*4/1_00*",AA1106:AA1135)+SUMIF($D1106:$D1135,"*4/2_00*",AA1106:AA1135)*AA$88</f>
        <v>0</v>
      </c>
      <c r="AB1988" s="43">
        <f t="shared" ref="AB1988:AC1988" si="5225">SUMIF($D1106:$D1135,"*4/1_00*",AB1106:AB1135)+SUMIF($D1106:$D1135,"*4/2_00*",AB1106:AB1135)*AB$88</f>
        <v>0</v>
      </c>
      <c r="AC1988" s="43">
        <f t="shared" si="5225"/>
        <v>0</v>
      </c>
      <c r="AD1988" s="43"/>
      <c r="AE1988" s="54">
        <f>SUM(F1988:AC1988)</f>
        <v>0</v>
      </c>
    </row>
    <row r="1989" spans="1:31" hidden="1" outlineLevel="1" x14ac:dyDescent="0.2">
      <c r="A1989" t="str">
        <f ca="1">Language!A918</f>
        <v xml:space="preserve">    возврат кредитов</v>
      </c>
      <c r="C1989" s="5" t="str">
        <f ca="1">CUR_Main</f>
        <v>тыс. EUR</v>
      </c>
      <c r="F1989" s="43">
        <f t="shared" ref="F1989:T1989" si="5226">SUMIF($D1106:$D1135,"*4/1_01*",F1106:F1135)+SUMIF($D1106:$D1135,"*4/2_01*",F1106:F1135)*F$88</f>
        <v>0</v>
      </c>
      <c r="G1989" s="43">
        <f t="shared" si="5226"/>
        <v>0</v>
      </c>
      <c r="H1989" s="43">
        <f t="shared" si="5226"/>
        <v>0</v>
      </c>
      <c r="I1989" s="43">
        <f t="shared" si="5226"/>
        <v>0</v>
      </c>
      <c r="J1989" s="43">
        <f t="shared" si="5226"/>
        <v>0</v>
      </c>
      <c r="K1989" s="43">
        <f t="shared" si="5226"/>
        <v>0</v>
      </c>
      <c r="L1989" s="43">
        <f t="shared" si="5226"/>
        <v>0</v>
      </c>
      <c r="M1989" s="43">
        <f t="shared" si="5226"/>
        <v>0</v>
      </c>
      <c r="N1989" s="43">
        <f t="shared" si="5226"/>
        <v>0</v>
      </c>
      <c r="O1989" s="43">
        <f t="shared" si="5226"/>
        <v>0</v>
      </c>
      <c r="P1989" s="43">
        <f t="shared" si="5226"/>
        <v>0</v>
      </c>
      <c r="Q1989" s="43">
        <f t="shared" si="5226"/>
        <v>0</v>
      </c>
      <c r="R1989" s="43">
        <f t="shared" si="5226"/>
        <v>0</v>
      </c>
      <c r="S1989" s="43">
        <f t="shared" si="5226"/>
        <v>0</v>
      </c>
      <c r="T1989" s="43">
        <f t="shared" si="5226"/>
        <v>0</v>
      </c>
      <c r="U1989" s="43">
        <f t="shared" ref="U1989" si="5227">SUMIF($D1106:$D1135,"*4/1_01*",U1106:U1135)+SUMIF($D1106:$D1135,"*4/2_01*",U1106:U1135)*U$88</f>
        <v>0</v>
      </c>
      <c r="V1989" s="43">
        <f t="shared" ref="V1989" si="5228">SUMIF($D1106:$D1135,"*4/1_01*",V1106:V1135)+SUMIF($D1106:$D1135,"*4/2_01*",V1106:V1135)*V$88</f>
        <v>0</v>
      </c>
      <c r="W1989" s="43">
        <f t="shared" ref="W1989" si="5229">SUMIF($D1106:$D1135,"*4/1_01*",W1106:W1135)+SUMIF($D1106:$D1135,"*4/2_01*",W1106:W1135)*W$88</f>
        <v>0</v>
      </c>
      <c r="X1989" s="43">
        <f t="shared" ref="X1989" si="5230">SUMIF($D1106:$D1135,"*4/1_01*",X1106:X1135)+SUMIF($D1106:$D1135,"*4/2_01*",X1106:X1135)*X$88</f>
        <v>0</v>
      </c>
      <c r="Y1989" s="43">
        <f t="shared" ref="Y1989" si="5231">SUMIF($D1106:$D1135,"*4/1_01*",Y1106:Y1135)+SUMIF($D1106:$D1135,"*4/2_01*",Y1106:Y1135)*Y$88</f>
        <v>0</v>
      </c>
      <c r="Z1989" s="43">
        <f t="shared" ref="Z1989" si="5232">SUMIF($D1106:$D1135,"*4/1_01*",Z1106:Z1135)+SUMIF($D1106:$D1135,"*4/2_01*",Z1106:Z1135)*Z$88</f>
        <v>0</v>
      </c>
      <c r="AA1989" s="43">
        <f t="shared" ref="AA1989" si="5233">SUMIF($D1106:$D1135,"*4/1_01*",AA1106:AA1135)+SUMIF($D1106:$D1135,"*4/2_01*",AA1106:AA1135)*AA$88</f>
        <v>0</v>
      </c>
      <c r="AB1989" s="43">
        <f t="shared" ref="AB1989:AC1989" si="5234">SUMIF($D1106:$D1135,"*4/1_01*",AB1106:AB1135)+SUMIF($D1106:$D1135,"*4/2_01*",AB1106:AB1135)*AB$88</f>
        <v>0</v>
      </c>
      <c r="AC1989" s="43">
        <f t="shared" si="5234"/>
        <v>0</v>
      </c>
      <c r="AD1989" s="43"/>
      <c r="AE1989" s="54">
        <f>SUM(F1989:AC1989)</f>
        <v>0</v>
      </c>
    </row>
    <row r="1990" spans="1:31" hidden="1" outlineLevel="1" x14ac:dyDescent="0.2">
      <c r="A1990" t="str">
        <f ca="1">Language!A919</f>
        <v xml:space="preserve">    проценты по выданным кредитам</v>
      </c>
      <c r="C1990" s="5" t="str">
        <f ca="1">CUR_Main</f>
        <v>тыс. EUR</v>
      </c>
      <c r="F1990" s="43">
        <f t="shared" ref="F1990:T1990" si="5235">SUMIF($D1106:$D1135,"*4/1_03*",F1106:F1135)+SUMIF($D1106:$D1135,"*4/2_03*",F1106:F1135)*F$88</f>
        <v>0</v>
      </c>
      <c r="G1990" s="43">
        <f t="shared" si="5235"/>
        <v>0</v>
      </c>
      <c r="H1990" s="43">
        <f t="shared" si="5235"/>
        <v>0</v>
      </c>
      <c r="I1990" s="43">
        <f t="shared" si="5235"/>
        <v>0</v>
      </c>
      <c r="J1990" s="43">
        <f t="shared" si="5235"/>
        <v>0</v>
      </c>
      <c r="K1990" s="43">
        <f t="shared" si="5235"/>
        <v>0</v>
      </c>
      <c r="L1990" s="43">
        <f t="shared" si="5235"/>
        <v>0</v>
      </c>
      <c r="M1990" s="43">
        <f t="shared" si="5235"/>
        <v>0</v>
      </c>
      <c r="N1990" s="43">
        <f t="shared" si="5235"/>
        <v>0</v>
      </c>
      <c r="O1990" s="43">
        <f t="shared" si="5235"/>
        <v>0</v>
      </c>
      <c r="P1990" s="43">
        <f t="shared" si="5235"/>
        <v>0</v>
      </c>
      <c r="Q1990" s="43">
        <f t="shared" si="5235"/>
        <v>0</v>
      </c>
      <c r="R1990" s="43">
        <f t="shared" si="5235"/>
        <v>0</v>
      </c>
      <c r="S1990" s="43">
        <f t="shared" si="5235"/>
        <v>0</v>
      </c>
      <c r="T1990" s="43">
        <f t="shared" si="5235"/>
        <v>0</v>
      </c>
      <c r="U1990" s="43">
        <f t="shared" ref="U1990" si="5236">SUMIF($D1106:$D1135,"*4/1_03*",U1106:U1135)+SUMIF($D1106:$D1135,"*4/2_03*",U1106:U1135)*U$88</f>
        <v>0</v>
      </c>
      <c r="V1990" s="43">
        <f t="shared" ref="V1990" si="5237">SUMIF($D1106:$D1135,"*4/1_03*",V1106:V1135)+SUMIF($D1106:$D1135,"*4/2_03*",V1106:V1135)*V$88</f>
        <v>0</v>
      </c>
      <c r="W1990" s="43">
        <f t="shared" ref="W1990" si="5238">SUMIF($D1106:$D1135,"*4/1_03*",W1106:W1135)+SUMIF($D1106:$D1135,"*4/2_03*",W1106:W1135)*W$88</f>
        <v>0</v>
      </c>
      <c r="X1990" s="43">
        <f t="shared" ref="X1990" si="5239">SUMIF($D1106:$D1135,"*4/1_03*",X1106:X1135)+SUMIF($D1106:$D1135,"*4/2_03*",X1106:X1135)*X$88</f>
        <v>0</v>
      </c>
      <c r="Y1990" s="43">
        <f t="shared" ref="Y1990" si="5240">SUMIF($D1106:$D1135,"*4/1_03*",Y1106:Y1135)+SUMIF($D1106:$D1135,"*4/2_03*",Y1106:Y1135)*Y$88</f>
        <v>0</v>
      </c>
      <c r="Z1990" s="43">
        <f t="shared" ref="Z1990" si="5241">SUMIF($D1106:$D1135,"*4/1_03*",Z1106:Z1135)+SUMIF($D1106:$D1135,"*4/2_03*",Z1106:Z1135)*Z$88</f>
        <v>0</v>
      </c>
      <c r="AA1990" s="43">
        <f t="shared" ref="AA1990" si="5242">SUMIF($D1106:$D1135,"*4/1_03*",AA1106:AA1135)+SUMIF($D1106:$D1135,"*4/2_03*",AA1106:AA1135)*AA$88</f>
        <v>0</v>
      </c>
      <c r="AB1990" s="43">
        <f t="shared" ref="AB1990:AC1990" si="5243">SUMIF($D1106:$D1135,"*4/1_03*",AB1106:AB1135)+SUMIF($D1106:$D1135,"*4/2_03*",AB1106:AB1135)*AB$88</f>
        <v>0</v>
      </c>
      <c r="AC1990" s="43">
        <f t="shared" si="5243"/>
        <v>0</v>
      </c>
      <c r="AD1990" s="43"/>
      <c r="AE1990" s="54">
        <f>SUM(F1990:AC1990)</f>
        <v>0</v>
      </c>
    </row>
    <row r="1991" spans="1:31" hidden="1" outlineLevel="1" x14ac:dyDescent="0.2">
      <c r="C1991" s="5"/>
      <c r="F1991" s="43"/>
      <c r="G1991" s="43"/>
      <c r="H1991" s="43"/>
      <c r="I1991" s="43"/>
      <c r="J1991" s="43"/>
      <c r="K1991" s="43"/>
      <c r="L1991" s="43"/>
      <c r="M1991" s="43"/>
      <c r="N1991" s="43"/>
      <c r="O1991" s="43"/>
      <c r="P1991" s="43"/>
      <c r="Q1991" s="43"/>
      <c r="R1991" s="43"/>
      <c r="S1991" s="43"/>
      <c r="T1991" s="43"/>
      <c r="U1991" s="43"/>
      <c r="V1991" s="43"/>
      <c r="W1991" s="43"/>
      <c r="X1991" s="43"/>
      <c r="Y1991" s="43"/>
      <c r="Z1991" s="43"/>
      <c r="AA1991" s="43"/>
      <c r="AB1991" s="43"/>
      <c r="AC1991" s="43"/>
      <c r="AD1991" s="43"/>
      <c r="AE1991" s="54"/>
    </row>
    <row r="1992" spans="1:31" hidden="1" outlineLevel="1" x14ac:dyDescent="0.2">
      <c r="A1992" s="35" t="str">
        <f ca="1">Language!A921</f>
        <v>Доходы бюджетов</v>
      </c>
      <c r="C1992" s="5"/>
      <c r="F1992" s="43"/>
      <c r="G1992" s="43"/>
      <c r="H1992" s="43"/>
      <c r="I1992" s="43"/>
      <c r="J1992" s="43"/>
      <c r="K1992" s="43"/>
      <c r="L1992" s="43"/>
      <c r="M1992" s="43"/>
      <c r="N1992" s="43"/>
      <c r="O1992" s="43"/>
      <c r="P1992" s="43"/>
      <c r="Q1992" s="43"/>
      <c r="R1992" s="43"/>
      <c r="S1992" s="43"/>
      <c r="T1992" s="43"/>
      <c r="U1992" s="43"/>
      <c r="V1992" s="43"/>
      <c r="W1992" s="43"/>
      <c r="X1992" s="43"/>
      <c r="Y1992" s="43"/>
      <c r="Z1992" s="43"/>
      <c r="AA1992" s="43"/>
      <c r="AB1992" s="43"/>
      <c r="AC1992" s="43"/>
      <c r="AD1992" s="43"/>
      <c r="AE1992" s="54"/>
    </row>
    <row r="1993" spans="1:31" hidden="1" outlineLevel="1" x14ac:dyDescent="0.2">
      <c r="C1993" s="5"/>
      <c r="F1993" s="43"/>
      <c r="G1993" s="43"/>
      <c r="H1993" s="43"/>
      <c r="I1993" s="43"/>
      <c r="J1993" s="43"/>
      <c r="K1993" s="43"/>
      <c r="L1993" s="43"/>
      <c r="M1993" s="43"/>
      <c r="N1993" s="43"/>
      <c r="O1993" s="43"/>
      <c r="P1993" s="43"/>
      <c r="Q1993" s="43"/>
      <c r="R1993" s="43"/>
      <c r="S1993" s="43"/>
      <c r="T1993" s="43"/>
      <c r="U1993" s="43"/>
      <c r="V1993" s="43"/>
      <c r="W1993" s="43"/>
      <c r="X1993" s="43"/>
      <c r="Y1993" s="43"/>
      <c r="Z1993" s="43"/>
      <c r="AA1993" s="43"/>
      <c r="AB1993" s="43"/>
      <c r="AC1993" s="43"/>
      <c r="AD1993" s="43"/>
      <c r="AE1993" s="54"/>
    </row>
    <row r="1994" spans="1:31" hidden="1" outlineLevel="1" x14ac:dyDescent="0.2">
      <c r="A1994" t="str">
        <f ca="1">Language!A922</f>
        <v>Суммарные денежные потоки федерального бюджета</v>
      </c>
      <c r="C1994" s="5" t="str">
        <f ca="1">CUR_Main</f>
        <v>тыс. EUR</v>
      </c>
      <c r="F1994" s="53">
        <f t="shared" ref="F1994:T1994" ca="1" si="5244">F1976-F1983+F1984+F1985-F1982</f>
        <v>0</v>
      </c>
      <c r="G1994" s="53">
        <f t="shared" ca="1" si="5244"/>
        <v>0</v>
      </c>
      <c r="H1994" s="53">
        <f t="shared" ca="1" si="5244"/>
        <v>-5695.3855543220343</v>
      </c>
      <c r="I1994" s="53">
        <f t="shared" ca="1" si="5244"/>
        <v>-1519.56</v>
      </c>
      <c r="J1994" s="53">
        <f t="shared" ca="1" si="5244"/>
        <v>-7024.8891971793519</v>
      </c>
      <c r="K1994" s="53">
        <f t="shared" ca="1" si="5244"/>
        <v>-5984.7082249017749</v>
      </c>
      <c r="L1994" s="53">
        <f t="shared" ca="1" si="5244"/>
        <v>-40.164329413380244</v>
      </c>
      <c r="M1994" s="53">
        <f t="shared" ca="1" si="5244"/>
        <v>-477.89340743784447</v>
      </c>
      <c r="N1994" s="53">
        <f t="shared" ca="1" si="5244"/>
        <v>-625.75765399537477</v>
      </c>
      <c r="O1994" s="53">
        <f t="shared" ca="1" si="5244"/>
        <v>-918.56816324167164</v>
      </c>
      <c r="P1994" s="53">
        <f t="shared" ca="1" si="5244"/>
        <v>-1129.7250419579821</v>
      </c>
      <c r="Q1994" s="53">
        <f t="shared" ca="1" si="5244"/>
        <v>-1129.7250419579821</v>
      </c>
      <c r="R1994" s="53">
        <f t="shared" ca="1" si="5244"/>
        <v>-1129.7250419579821</v>
      </c>
      <c r="S1994" s="53">
        <f t="shared" ca="1" si="5244"/>
        <v>-1129.7250419579821</v>
      </c>
      <c r="T1994" s="53">
        <f t="shared" ca="1" si="5244"/>
        <v>-1129.7250419579821</v>
      </c>
      <c r="U1994" s="53">
        <f t="shared" ref="U1994" ca="1" si="5245">U1976-U1983+U1984+U1985-U1982</f>
        <v>-1129.7250419579821</v>
      </c>
      <c r="V1994" s="53">
        <f t="shared" ref="V1994" ca="1" si="5246">V1976-V1983+V1984+V1985-V1982</f>
        <v>-1129.7250419579821</v>
      </c>
      <c r="W1994" s="53">
        <f t="shared" ref="W1994" ca="1" si="5247">W1976-W1983+W1984+W1985-W1982</f>
        <v>-1129.7250419579821</v>
      </c>
      <c r="X1994" s="53">
        <f t="shared" ref="X1994" ca="1" si="5248">X1976-X1983+X1984+X1985-X1982</f>
        <v>-1129.7250419579821</v>
      </c>
      <c r="Y1994" s="53">
        <f t="shared" ref="Y1994" ca="1" si="5249">Y1976-Y1983+Y1984+Y1985-Y1982</f>
        <v>-1129.7250419579821</v>
      </c>
      <c r="Z1994" s="53">
        <f t="shared" ref="Z1994" ca="1" si="5250">Z1976-Z1983+Z1984+Z1985-Z1982</f>
        <v>-1129.7250419579821</v>
      </c>
      <c r="AA1994" s="53">
        <f t="shared" ref="AA1994" ca="1" si="5251">AA1976-AA1983+AA1984+AA1985-AA1982</f>
        <v>-1129.7250419579821</v>
      </c>
      <c r="AB1994" s="53">
        <f t="shared" ref="AB1994:AC1994" ca="1" si="5252">AB1976-AB1983+AB1984+AB1985-AB1982</f>
        <v>-1129.7250419579821</v>
      </c>
      <c r="AC1994" s="53">
        <f t="shared" ca="1" si="5252"/>
        <v>-1129.7250419579821</v>
      </c>
      <c r="AD1994" s="43"/>
      <c r="AE1994" s="54">
        <f ca="1">SUM(F1994:AC1994)</f>
        <v>-38103.077117903173</v>
      </c>
    </row>
    <row r="1995" spans="1:31" hidden="1" outlineLevel="1" x14ac:dyDescent="0.2">
      <c r="A1995" t="str">
        <f ca="1">Language!A923</f>
        <v>Суммарные денежные потоки территориального бюджета</v>
      </c>
      <c r="C1995" s="5" t="str">
        <f ca="1">CUR_Main</f>
        <v>тыс. EUR</v>
      </c>
      <c r="F1995" s="53">
        <f t="shared" ref="F1995:T1995" ca="1" si="5253">F1977-F1988+F1989+F1990-F1987</f>
        <v>0</v>
      </c>
      <c r="G1995" s="53">
        <f t="shared" ca="1" si="5253"/>
        <v>0</v>
      </c>
      <c r="H1995" s="53">
        <f t="shared" ca="1" si="5253"/>
        <v>0</v>
      </c>
      <c r="I1995" s="53">
        <f t="shared" ca="1" si="5253"/>
        <v>0</v>
      </c>
      <c r="J1995" s="53">
        <f t="shared" ca="1" si="5253"/>
        <v>0</v>
      </c>
      <c r="K1995" s="53">
        <f t="shared" ca="1" si="5253"/>
        <v>60.781369767441859</v>
      </c>
      <c r="L1995" s="53">
        <f t="shared" ca="1" si="5253"/>
        <v>60.781369767441859</v>
      </c>
      <c r="M1995" s="53">
        <f t="shared" ca="1" si="5253"/>
        <v>60.781369767441859</v>
      </c>
      <c r="N1995" s="53">
        <f t="shared" ca="1" si="5253"/>
        <v>190.12299080466138</v>
      </c>
      <c r="O1995" s="53">
        <f t="shared" ca="1" si="5253"/>
        <v>302.59271817705081</v>
      </c>
      <c r="P1995" s="53">
        <f t="shared" ca="1" si="5253"/>
        <v>302.59271817705081</v>
      </c>
      <c r="Q1995" s="53">
        <f t="shared" ca="1" si="5253"/>
        <v>302.59271817705081</v>
      </c>
      <c r="R1995" s="53">
        <f t="shared" ca="1" si="5253"/>
        <v>302.59271817705081</v>
      </c>
      <c r="S1995" s="53">
        <f t="shared" ca="1" si="5253"/>
        <v>302.59271817705081</v>
      </c>
      <c r="T1995" s="53">
        <f t="shared" ca="1" si="5253"/>
        <v>302.59271817705081</v>
      </c>
      <c r="U1995" s="53">
        <f t="shared" ref="U1995" ca="1" si="5254">U1977-U1988+U1989+U1990-U1987</f>
        <v>302.59271817705081</v>
      </c>
      <c r="V1995" s="53">
        <f t="shared" ref="V1995" ca="1" si="5255">V1977-V1988+V1989+V1990-V1987</f>
        <v>302.59271817705081</v>
      </c>
      <c r="W1995" s="53">
        <f t="shared" ref="W1995" ca="1" si="5256">W1977-W1988+W1989+W1990-W1987</f>
        <v>302.59271817705081</v>
      </c>
      <c r="X1995" s="53">
        <f t="shared" ref="X1995" ca="1" si="5257">X1977-X1988+X1989+X1990-X1987</f>
        <v>302.59271817705081</v>
      </c>
      <c r="Y1995" s="53">
        <f t="shared" ref="Y1995" ca="1" si="5258">Y1977-Y1988+Y1989+Y1990-Y1987</f>
        <v>302.59271817705081</v>
      </c>
      <c r="Z1995" s="53">
        <f t="shared" ref="Z1995" ca="1" si="5259">Z1977-Z1988+Z1989+Z1990-Z1987</f>
        <v>302.59271817705081</v>
      </c>
      <c r="AA1995" s="53">
        <f t="shared" ref="AA1995" ca="1" si="5260">AA1977-AA1988+AA1989+AA1990-AA1987</f>
        <v>302.59271817705081</v>
      </c>
      <c r="AB1995" s="53">
        <f t="shared" ref="AB1995:AC1995" ca="1" si="5261">AB1977-AB1988+AB1989+AB1990-AB1987</f>
        <v>302.59271817705081</v>
      </c>
      <c r="AC1995" s="53">
        <f t="shared" ca="1" si="5261"/>
        <v>302.59271817705081</v>
      </c>
      <c r="AD1995" s="43"/>
      <c r="AE1995" s="54">
        <f ca="1">SUM(F1995:AC1995)</f>
        <v>4911.35787276275</v>
      </c>
    </row>
    <row r="1996" spans="1:31" hidden="1" outlineLevel="1" x14ac:dyDescent="0.2">
      <c r="C1996" s="5"/>
      <c r="F1996" s="43"/>
      <c r="G1996" s="43"/>
      <c r="H1996" s="43"/>
      <c r="I1996" s="43"/>
      <c r="J1996" s="43"/>
      <c r="K1996" s="43"/>
      <c r="L1996" s="43"/>
      <c r="M1996" s="43"/>
      <c r="N1996" s="43"/>
      <c r="O1996" s="43"/>
      <c r="P1996" s="43"/>
      <c r="Q1996" s="43"/>
      <c r="R1996" s="43"/>
      <c r="S1996" s="43"/>
      <c r="T1996" s="43"/>
      <c r="U1996" s="43"/>
      <c r="V1996" s="43"/>
      <c r="W1996" s="43"/>
      <c r="X1996" s="43"/>
      <c r="Y1996" s="43"/>
      <c r="Z1996" s="43"/>
      <c r="AA1996" s="43"/>
      <c r="AB1996" s="43"/>
      <c r="AC1996" s="43"/>
      <c r="AD1996" s="43"/>
      <c r="AE1996" s="54"/>
    </row>
    <row r="1997" spans="1:31" hidden="1" outlineLevel="1" collapsed="1" x14ac:dyDescent="0.2">
      <c r="A1997" t="str">
        <f ca="1">Language!A924</f>
        <v>Годовая ставка дисконтирования:</v>
      </c>
      <c r="B1997" s="272">
        <f>SENS_Discount</f>
        <v>0.15</v>
      </c>
      <c r="C1997" s="5" t="s">
        <v>2430</v>
      </c>
      <c r="D1997" s="16" t="s">
        <v>2429</v>
      </c>
      <c r="F1997" s="134">
        <f>$B$1997</f>
        <v>0.15</v>
      </c>
      <c r="G1997" s="134">
        <f t="shared" ref="G1997:AC1997" si="5262">F1997</f>
        <v>0.15</v>
      </c>
      <c r="H1997" s="134">
        <f t="shared" si="5262"/>
        <v>0.15</v>
      </c>
      <c r="I1997" s="134">
        <f t="shared" si="5262"/>
        <v>0.15</v>
      </c>
      <c r="J1997" s="134">
        <f t="shared" si="5262"/>
        <v>0.15</v>
      </c>
      <c r="K1997" s="134">
        <f t="shared" si="5262"/>
        <v>0.15</v>
      </c>
      <c r="L1997" s="134">
        <f t="shared" si="5262"/>
        <v>0.15</v>
      </c>
      <c r="M1997" s="134">
        <f t="shared" si="5262"/>
        <v>0.15</v>
      </c>
      <c r="N1997" s="134">
        <f t="shared" si="5262"/>
        <v>0.15</v>
      </c>
      <c r="O1997" s="134">
        <f t="shared" si="5262"/>
        <v>0.15</v>
      </c>
      <c r="P1997" s="134">
        <f t="shared" si="5262"/>
        <v>0.15</v>
      </c>
      <c r="Q1997" s="134">
        <f t="shared" si="5262"/>
        <v>0.15</v>
      </c>
      <c r="R1997" s="134">
        <f t="shared" si="5262"/>
        <v>0.15</v>
      </c>
      <c r="S1997" s="134">
        <f t="shared" si="5262"/>
        <v>0.15</v>
      </c>
      <c r="T1997" s="134">
        <f t="shared" si="5262"/>
        <v>0.15</v>
      </c>
      <c r="U1997" s="134">
        <f t="shared" si="5262"/>
        <v>0.15</v>
      </c>
      <c r="V1997" s="134">
        <f t="shared" si="5262"/>
        <v>0.15</v>
      </c>
      <c r="W1997" s="134">
        <f t="shared" si="5262"/>
        <v>0.15</v>
      </c>
      <c r="X1997" s="134">
        <f t="shared" si="5262"/>
        <v>0.15</v>
      </c>
      <c r="Y1997" s="134">
        <f t="shared" si="5262"/>
        <v>0.15</v>
      </c>
      <c r="Z1997" s="134">
        <f t="shared" si="5262"/>
        <v>0.15</v>
      </c>
      <c r="AA1997" s="134">
        <f t="shared" si="5262"/>
        <v>0.15</v>
      </c>
      <c r="AB1997" s="134">
        <f t="shared" si="5262"/>
        <v>0.15</v>
      </c>
      <c r="AC1997" s="134">
        <f t="shared" si="5262"/>
        <v>0.15</v>
      </c>
    </row>
    <row r="1998" spans="1:31" hidden="1" outlineLevel="2" x14ac:dyDescent="0.2">
      <c r="A1998" t="str">
        <f ca="1">Language!A925</f>
        <v xml:space="preserve">    ставка дисконтирования на расчетный период</v>
      </c>
      <c r="C1998" s="5"/>
      <c r="D1998" s="16" t="s">
        <v>2429</v>
      </c>
      <c r="F1998" s="134">
        <f t="shared" ref="F1998:T1998" si="5263">IF(CalcMethod=1,(POWER(1+F1997,PRJ_Step/360)-1-F$81)/(1+F$81),POWER(1+F1997,PRJ_Step/360)-1)</f>
        <v>3.5558076341622114E-2</v>
      </c>
      <c r="G1998" s="134">
        <f t="shared" si="5263"/>
        <v>3.5558076341622114E-2</v>
      </c>
      <c r="H1998" s="134">
        <f t="shared" si="5263"/>
        <v>3.5558076341622114E-2</v>
      </c>
      <c r="I1998" s="134">
        <f t="shared" si="5263"/>
        <v>3.5558076341622114E-2</v>
      </c>
      <c r="J1998" s="134">
        <f t="shared" si="5263"/>
        <v>3.5558076341622114E-2</v>
      </c>
      <c r="K1998" s="134">
        <f t="shared" si="5263"/>
        <v>3.5558076341622114E-2</v>
      </c>
      <c r="L1998" s="134">
        <f t="shared" si="5263"/>
        <v>3.5558076341622114E-2</v>
      </c>
      <c r="M1998" s="134">
        <f t="shared" si="5263"/>
        <v>3.5558076341622114E-2</v>
      </c>
      <c r="N1998" s="134">
        <f t="shared" si="5263"/>
        <v>3.5558076341622114E-2</v>
      </c>
      <c r="O1998" s="134">
        <f t="shared" si="5263"/>
        <v>3.5558076341622114E-2</v>
      </c>
      <c r="P1998" s="134">
        <f t="shared" si="5263"/>
        <v>3.5558076341622114E-2</v>
      </c>
      <c r="Q1998" s="134">
        <f t="shared" si="5263"/>
        <v>3.5558076341622114E-2</v>
      </c>
      <c r="R1998" s="134">
        <f t="shared" si="5263"/>
        <v>3.5558076341622114E-2</v>
      </c>
      <c r="S1998" s="134">
        <f t="shared" si="5263"/>
        <v>3.5558076341622114E-2</v>
      </c>
      <c r="T1998" s="134">
        <f t="shared" si="5263"/>
        <v>3.5558076341622114E-2</v>
      </c>
      <c r="U1998" s="134">
        <f t="shared" ref="U1998" si="5264">IF(CalcMethod=1,(POWER(1+U1997,PRJ_Step/360)-1-U$81)/(1+U$81),POWER(1+U1997,PRJ_Step/360)-1)</f>
        <v>3.5558076341622114E-2</v>
      </c>
      <c r="V1998" s="134">
        <f t="shared" ref="V1998" si="5265">IF(CalcMethod=1,(POWER(1+V1997,PRJ_Step/360)-1-V$81)/(1+V$81),POWER(1+V1997,PRJ_Step/360)-1)</f>
        <v>3.5558076341622114E-2</v>
      </c>
      <c r="W1998" s="134">
        <f t="shared" ref="W1998" si="5266">IF(CalcMethod=1,(POWER(1+W1997,PRJ_Step/360)-1-W$81)/(1+W$81),POWER(1+W1997,PRJ_Step/360)-1)</f>
        <v>3.5558076341622114E-2</v>
      </c>
      <c r="X1998" s="134">
        <f t="shared" ref="X1998" si="5267">IF(CalcMethod=1,(POWER(1+X1997,PRJ_Step/360)-1-X$81)/(1+X$81),POWER(1+X1997,PRJ_Step/360)-1)</f>
        <v>3.5558076341622114E-2</v>
      </c>
      <c r="Y1998" s="134">
        <f t="shared" ref="Y1998" si="5268">IF(CalcMethod=1,(POWER(1+Y1997,PRJ_Step/360)-1-Y$81)/(1+Y$81),POWER(1+Y1997,PRJ_Step/360)-1)</f>
        <v>3.5558076341622114E-2</v>
      </c>
      <c r="Z1998" s="134">
        <f t="shared" ref="Z1998" si="5269">IF(CalcMethod=1,(POWER(1+Z1997,PRJ_Step/360)-1-Z$81)/(1+Z$81),POWER(1+Z1997,PRJ_Step/360)-1)</f>
        <v>3.5558076341622114E-2</v>
      </c>
      <c r="AA1998" s="134">
        <f t="shared" ref="AA1998" si="5270">IF(CalcMethod=1,(POWER(1+AA1997,PRJ_Step/360)-1-AA$81)/(1+AA$81),POWER(1+AA1997,PRJ_Step/360)-1)</f>
        <v>3.5558076341622114E-2</v>
      </c>
      <c r="AB1998" s="134">
        <f t="shared" ref="AB1998:AC1998" si="5271">IF(CalcMethod=1,(POWER(1+AB1997,PRJ_Step/360)-1-AB$81)/(1+AB$81),POWER(1+AB1997,PRJ_Step/360)-1)</f>
        <v>3.5558076341622114E-2</v>
      </c>
      <c r="AC1998" s="134">
        <f t="shared" si="5271"/>
        <v>3.5558076341622114E-2</v>
      </c>
    </row>
    <row r="1999" spans="1:31" hidden="1" outlineLevel="2" x14ac:dyDescent="0.2">
      <c r="A1999" t="str">
        <f ca="1">Language!A$843</f>
        <v xml:space="preserve">    коэффициент дисконта для потока на начало периода</v>
      </c>
      <c r="D1999" s="16" t="s">
        <v>2429</v>
      </c>
      <c r="F1999" s="135">
        <v>1</v>
      </c>
      <c r="G1999" s="135">
        <f t="shared" ref="G1999:AC1999" si="5272">F1999*(1+G1998)</f>
        <v>1.0355580763416221</v>
      </c>
      <c r="H1999" s="135">
        <f t="shared" si="5272"/>
        <v>1.0723805294763609</v>
      </c>
      <c r="I1999" s="135">
        <f t="shared" si="5272"/>
        <v>1.1105123182107504</v>
      </c>
      <c r="J1999" s="135">
        <f t="shared" si="5272"/>
        <v>1.1499999999999999</v>
      </c>
      <c r="K1999" s="135">
        <f t="shared" si="5272"/>
        <v>1.1908917877928653</v>
      </c>
      <c r="L1999" s="135">
        <f t="shared" si="5272"/>
        <v>1.2332376088978148</v>
      </c>
      <c r="M1999" s="135">
        <f t="shared" si="5272"/>
        <v>1.2770891659423627</v>
      </c>
      <c r="N1999" s="135">
        <f t="shared" si="5272"/>
        <v>1.3224999999999998</v>
      </c>
      <c r="O1999" s="135">
        <f t="shared" si="5272"/>
        <v>1.3695255559617949</v>
      </c>
      <c r="P1999" s="135">
        <f t="shared" si="5272"/>
        <v>1.418223250232487</v>
      </c>
      <c r="Q1999" s="135">
        <f t="shared" si="5272"/>
        <v>1.4686525408337172</v>
      </c>
      <c r="R1999" s="135">
        <f t="shared" si="5272"/>
        <v>1.5208749999999998</v>
      </c>
      <c r="S1999" s="135">
        <f t="shared" si="5272"/>
        <v>1.5749543893560642</v>
      </c>
      <c r="T1999" s="135">
        <f t="shared" si="5272"/>
        <v>1.6309567377673599</v>
      </c>
      <c r="U1999" s="135">
        <f t="shared" si="5272"/>
        <v>1.6889504219587748</v>
      </c>
      <c r="V1999" s="135">
        <f t="shared" si="5272"/>
        <v>1.7490062499999997</v>
      </c>
      <c r="W1999" s="135">
        <f t="shared" si="5272"/>
        <v>1.8111975477594739</v>
      </c>
      <c r="X1999" s="135">
        <f t="shared" si="5272"/>
        <v>1.8756002484324641</v>
      </c>
      <c r="Y1999" s="135">
        <f t="shared" si="5272"/>
        <v>1.942292985252591</v>
      </c>
      <c r="Z1999" s="135">
        <f t="shared" si="5272"/>
        <v>2.0113571874999998</v>
      </c>
      <c r="AA1999" s="135">
        <f t="shared" si="5272"/>
        <v>2.0828771799233952</v>
      </c>
      <c r="AB1999" s="135">
        <f t="shared" si="5272"/>
        <v>2.1569402856973339</v>
      </c>
      <c r="AC1999" s="135">
        <f t="shared" si="5272"/>
        <v>2.2336369330404797</v>
      </c>
    </row>
    <row r="2000" spans="1:31" hidden="1" outlineLevel="1" x14ac:dyDescent="0.2">
      <c r="F2000" s="43"/>
      <c r="G2000" s="43"/>
      <c r="H2000" s="43"/>
      <c r="I2000" s="43"/>
      <c r="J2000" s="43"/>
      <c r="K2000" s="43"/>
      <c r="L2000" s="43"/>
      <c r="M2000" s="43"/>
      <c r="N2000" s="43"/>
      <c r="O2000" s="43"/>
      <c r="P2000" s="43"/>
      <c r="Q2000" s="43"/>
      <c r="R2000" s="43"/>
      <c r="S2000" s="43"/>
      <c r="T2000" s="43"/>
      <c r="U2000" s="43"/>
      <c r="V2000" s="43"/>
      <c r="W2000" s="43"/>
      <c r="X2000" s="43"/>
      <c r="Y2000" s="43"/>
      <c r="Z2000" s="43"/>
      <c r="AA2000" s="43"/>
      <c r="AB2000" s="43"/>
      <c r="AC2000" s="43"/>
      <c r="AD2000" s="43"/>
      <c r="AE2000" s="54"/>
    </row>
    <row r="2001" spans="1:31" hidden="1" outlineLevel="1" x14ac:dyDescent="0.2">
      <c r="A2001" t="str">
        <f ca="1">Language!A927</f>
        <v>Дисконтированные потоки федерального бюджета</v>
      </c>
      <c r="F2001" s="43">
        <f t="shared" ref="F2001:T2001" ca="1" si="5273">F1994/F1999</f>
        <v>0</v>
      </c>
      <c r="G2001" s="43">
        <f t="shared" ca="1" si="5273"/>
        <v>0</v>
      </c>
      <c r="H2001" s="43">
        <f t="shared" ca="1" si="5273"/>
        <v>-5310.9744141877218</v>
      </c>
      <c r="I2001" s="43">
        <f t="shared" ca="1" si="5273"/>
        <v>-1368.3414178136306</v>
      </c>
      <c r="J2001" s="43">
        <f t="shared" ca="1" si="5273"/>
        <v>-6108.5993018950894</v>
      </c>
      <c r="K2001" s="43">
        <f t="shared" ca="1" si="5273"/>
        <v>-5025.4005328171006</v>
      </c>
      <c r="L2001" s="43">
        <f t="shared" ca="1" si="5273"/>
        <v>-32.56820025889126</v>
      </c>
      <c r="M2001" s="43">
        <f t="shared" ca="1" si="5273"/>
        <v>-374.20520053132503</v>
      </c>
      <c r="N2001" s="43">
        <f t="shared" ca="1" si="5273"/>
        <v>-473.16268733109632</v>
      </c>
      <c r="O2001" s="43">
        <f t="shared" ca="1" si="5273"/>
        <v>-670.71998711011759</v>
      </c>
      <c r="P2001" s="43">
        <f t="shared" ca="1" si="5273"/>
        <v>-796.57771917981756</v>
      </c>
      <c r="Q2001" s="43">
        <f t="shared" ca="1" si="5273"/>
        <v>-769.22553874905327</v>
      </c>
      <c r="R2001" s="43">
        <f t="shared" ca="1" si="5273"/>
        <v>-742.81255327228223</v>
      </c>
      <c r="S2001" s="43">
        <f t="shared" ca="1" si="5273"/>
        <v>-717.30651350473795</v>
      </c>
      <c r="T2001" s="43">
        <f t="shared" ca="1" si="5273"/>
        <v>-692.67627754766738</v>
      </c>
      <c r="U2001" s="43">
        <f t="shared" ref="U2001" ca="1" si="5274">U1994/U1999</f>
        <v>-668.89177282526373</v>
      </c>
      <c r="V2001" s="43">
        <f t="shared" ref="V2001" ca="1" si="5275">V1994/V1999</f>
        <v>-645.92395936720197</v>
      </c>
      <c r="W2001" s="43">
        <f t="shared" ref="W2001" ca="1" si="5276">W1994/W1999</f>
        <v>-623.7447943519461</v>
      </c>
      <c r="X2001" s="43">
        <f t="shared" ref="X2001" ca="1" si="5277">X1994/X1999</f>
        <v>-602.32719786753682</v>
      </c>
      <c r="Y2001" s="43">
        <f t="shared" ref="Y2001" ca="1" si="5278">Y1994/Y1999</f>
        <v>-581.64501984805543</v>
      </c>
      <c r="Z2001" s="43">
        <f t="shared" ref="Z2001" ca="1" si="5279">Z1994/Z1999</f>
        <v>-561.67300814539294</v>
      </c>
      <c r="AA2001" s="43">
        <f t="shared" ref="AA2001" ca="1" si="5280">AA1994/AA1999</f>
        <v>-542.38677769734431</v>
      </c>
      <c r="AB2001" s="43">
        <f t="shared" ref="AB2001:AC2001" ca="1" si="5281">AB1994/AB1999</f>
        <v>-523.76278075437983</v>
      </c>
      <c r="AC2001" s="43">
        <f t="shared" ca="1" si="5281"/>
        <v>-505.77827812874381</v>
      </c>
      <c r="AD2001" s="43"/>
      <c r="AE2001" s="54">
        <f ca="1">SUM(F2001:AC2001)</f>
        <v>-28338.703933184395</v>
      </c>
    </row>
    <row r="2002" spans="1:31" hidden="1" outlineLevel="1" x14ac:dyDescent="0.2">
      <c r="A2002" t="str">
        <f ca="1">Language!A928</f>
        <v>Дисконтированные потоки территориального бюджета</v>
      </c>
      <c r="F2002" s="43">
        <f t="shared" ref="F2002:T2002" ca="1" si="5282">F1995/F1999</f>
        <v>0</v>
      </c>
      <c r="G2002" s="43">
        <f t="shared" ca="1" si="5282"/>
        <v>0</v>
      </c>
      <c r="H2002" s="43">
        <f t="shared" ca="1" si="5282"/>
        <v>0</v>
      </c>
      <c r="I2002" s="43">
        <f t="shared" ca="1" si="5282"/>
        <v>0</v>
      </c>
      <c r="J2002" s="43">
        <f t="shared" ca="1" si="5282"/>
        <v>0</v>
      </c>
      <c r="K2002" s="43">
        <f t="shared" ca="1" si="5282"/>
        <v>51.038532963679913</v>
      </c>
      <c r="L2002" s="43">
        <f t="shared" ca="1" si="5282"/>
        <v>49.286017008323462</v>
      </c>
      <c r="M2002" s="43">
        <f t="shared" ca="1" si="5282"/>
        <v>47.593677394163279</v>
      </c>
      <c r="N2002" s="43">
        <f t="shared" ca="1" si="5282"/>
        <v>143.76029550446987</v>
      </c>
      <c r="O2002" s="43">
        <f t="shared" ca="1" si="5282"/>
        <v>220.94711329760108</v>
      </c>
      <c r="P2002" s="43">
        <f t="shared" ca="1" si="5282"/>
        <v>213.36042694790632</v>
      </c>
      <c r="Q2002" s="43">
        <f t="shared" ca="1" si="5282"/>
        <v>206.03424551683037</v>
      </c>
      <c r="R2002" s="43">
        <f t="shared" ca="1" si="5282"/>
        <v>198.95962401712887</v>
      </c>
      <c r="S2002" s="43">
        <f t="shared" ca="1" si="5282"/>
        <v>192.12792460660964</v>
      </c>
      <c r="T2002" s="43">
        <f t="shared" ca="1" si="5282"/>
        <v>185.53080604165768</v>
      </c>
      <c r="U2002" s="43">
        <f t="shared" ref="U2002" ca="1" si="5283">U1995/U1999</f>
        <v>179.16021349289596</v>
      </c>
      <c r="V2002" s="43">
        <f t="shared" ref="V2002" ca="1" si="5284">V1995/V1999</f>
        <v>173.00836871054685</v>
      </c>
      <c r="W2002" s="43">
        <f t="shared" ref="W2002" ca="1" si="5285">W1995/W1999</f>
        <v>167.06776052748663</v>
      </c>
      <c r="X2002" s="43">
        <f t="shared" ref="X2002" ca="1" si="5286">X1995/X1999</f>
        <v>161.33113568839798</v>
      </c>
      <c r="Y2002" s="43">
        <f t="shared" ref="Y2002" ca="1" si="5287">Y1995/Y1999</f>
        <v>155.79148999382258</v>
      </c>
      <c r="Z2002" s="43">
        <f t="shared" ref="Z2002" ca="1" si="5288">Z1995/Z1999</f>
        <v>150.4420597483016</v>
      </c>
      <c r="AA2002" s="43">
        <f t="shared" ref="AA2002" ca="1" si="5289">AA1995/AA1999</f>
        <v>145.27631350216228</v>
      </c>
      <c r="AB2002" s="43">
        <f t="shared" ref="AB2002:AC2002" ca="1" si="5290">AB1995/AB1999</f>
        <v>140.2879440768678</v>
      </c>
      <c r="AC2002" s="43">
        <f t="shared" ca="1" si="5290"/>
        <v>135.47086086419355</v>
      </c>
      <c r="AD2002" s="43"/>
      <c r="AE2002" s="54">
        <f ca="1">SUM(F2002:AC2002)</f>
        <v>2916.4748099030462</v>
      </c>
    </row>
    <row r="2003" spans="1:31" hidden="1" outlineLevel="1" x14ac:dyDescent="0.2">
      <c r="F2003" s="43"/>
      <c r="G2003" s="43"/>
      <c r="H2003" s="43"/>
      <c r="I2003" s="43"/>
      <c r="J2003" s="43"/>
      <c r="K2003" s="43"/>
      <c r="L2003" s="43"/>
      <c r="M2003" s="43"/>
      <c r="N2003" s="43"/>
      <c r="O2003" s="43"/>
      <c r="P2003" s="43"/>
      <c r="Q2003" s="43"/>
      <c r="R2003" s="43"/>
      <c r="S2003" s="43"/>
      <c r="T2003" s="43"/>
      <c r="U2003" s="43"/>
      <c r="V2003" s="43"/>
      <c r="W2003" s="43"/>
      <c r="X2003" s="43"/>
      <c r="Y2003" s="43"/>
      <c r="Z2003" s="43"/>
      <c r="AA2003" s="43"/>
      <c r="AB2003" s="43"/>
      <c r="AC2003" s="43"/>
      <c r="AD2003" s="43"/>
      <c r="AE2003" s="54"/>
    </row>
    <row r="2004" spans="1:31" hidden="1" outlineLevel="1" x14ac:dyDescent="0.2">
      <c r="A2004" s="35" t="str">
        <f ca="1">Language!A929</f>
        <v>NPV федерального бюджета</v>
      </c>
      <c r="B2004" s="150">
        <f ca="1">AE2001</f>
        <v>-28338.703933184395</v>
      </c>
      <c r="C2004" s="5" t="str">
        <f ca="1">CUR_Main</f>
        <v>тыс. EUR</v>
      </c>
      <c r="F2004" s="43"/>
      <c r="G2004" s="43"/>
      <c r="H2004" s="43"/>
      <c r="I2004" s="43"/>
      <c r="J2004" s="43"/>
      <c r="K2004" s="43"/>
      <c r="L2004" s="43"/>
      <c r="M2004" s="43"/>
      <c r="N2004" s="43"/>
      <c r="O2004" s="43"/>
      <c r="P2004" s="43"/>
      <c r="Q2004" s="43"/>
      <c r="R2004" s="43"/>
      <c r="S2004" s="43"/>
      <c r="T2004" s="43"/>
      <c r="U2004" s="43"/>
      <c r="V2004" s="43"/>
      <c r="W2004" s="43"/>
      <c r="X2004" s="43"/>
      <c r="Y2004" s="43"/>
      <c r="Z2004" s="43"/>
      <c r="AA2004" s="43"/>
      <c r="AB2004" s="43"/>
      <c r="AC2004" s="43"/>
      <c r="AD2004" s="43"/>
      <c r="AE2004" s="54"/>
    </row>
    <row r="2005" spans="1:31" ht="11.25" hidden="1" customHeight="1" outlineLevel="1" x14ac:dyDescent="0.2">
      <c r="A2005" s="154" t="str">
        <f ca="1">Language!A930</f>
        <v>NPV территориального бюджета</v>
      </c>
      <c r="B2005" s="150">
        <f ca="1">AE2002</f>
        <v>2916.4748099030462</v>
      </c>
      <c r="C2005" s="5" t="str">
        <f ca="1">CUR_Main</f>
        <v>тыс. EUR</v>
      </c>
      <c r="F2005" s="43"/>
      <c r="G2005" s="43"/>
      <c r="H2005" s="43"/>
      <c r="I2005" s="43"/>
      <c r="J2005" s="43"/>
      <c r="K2005" s="43"/>
      <c r="L2005" s="43"/>
      <c r="M2005" s="43"/>
      <c r="N2005" s="43"/>
      <c r="O2005" s="43"/>
      <c r="P2005" s="43"/>
      <c r="Q2005" s="43"/>
      <c r="R2005" s="43"/>
      <c r="S2005" s="43"/>
      <c r="T2005" s="43"/>
      <c r="U2005" s="43"/>
      <c r="V2005" s="43"/>
      <c r="W2005" s="43"/>
      <c r="X2005" s="43"/>
      <c r="Y2005" s="43"/>
      <c r="Z2005" s="43"/>
      <c r="AA2005" s="43"/>
      <c r="AB2005" s="43"/>
      <c r="AC2005" s="43"/>
      <c r="AD2005" s="43"/>
      <c r="AE2005" s="54"/>
    </row>
    <row r="2006" spans="1:31" hidden="1" outlineLevel="1" x14ac:dyDescent="0.2">
      <c r="A2006" s="63"/>
      <c r="B2006" s="63"/>
      <c r="C2006" s="63"/>
      <c r="D2006" s="63"/>
      <c r="E2006" s="63"/>
      <c r="F2006" s="120"/>
      <c r="G2006" s="120"/>
      <c r="H2006" s="120"/>
      <c r="I2006" s="120"/>
      <c r="J2006" s="120"/>
      <c r="K2006" s="120"/>
      <c r="L2006" s="120"/>
      <c r="M2006" s="120"/>
      <c r="N2006" s="120"/>
      <c r="O2006" s="120"/>
      <c r="P2006" s="120"/>
      <c r="Q2006" s="120"/>
      <c r="R2006" s="120"/>
      <c r="S2006" s="120"/>
      <c r="T2006" s="120"/>
      <c r="U2006" s="120"/>
      <c r="V2006" s="120"/>
      <c r="W2006" s="120"/>
      <c r="X2006" s="120"/>
      <c r="Y2006" s="120"/>
      <c r="Z2006" s="120"/>
      <c r="AA2006" s="120"/>
      <c r="AB2006" s="120"/>
      <c r="AC2006" s="120"/>
      <c r="AD2006" s="120"/>
      <c r="AE2006" s="121"/>
    </row>
    <row r="2007" spans="1:31" hidden="1" outlineLevel="1" x14ac:dyDescent="0.2">
      <c r="A2007" s="19"/>
      <c r="B2007" s="19"/>
      <c r="C2007" s="19"/>
      <c r="D2007" s="19"/>
      <c r="E2007" s="19"/>
      <c r="F2007" s="65"/>
      <c r="G2007" s="65"/>
      <c r="H2007" s="65"/>
      <c r="I2007" s="65"/>
      <c r="J2007" s="65"/>
      <c r="K2007" s="65"/>
      <c r="L2007" s="65"/>
      <c r="M2007" s="65"/>
      <c r="N2007" s="65"/>
      <c r="O2007" s="65"/>
      <c r="P2007" s="65"/>
      <c r="Q2007" s="65"/>
      <c r="R2007" s="65"/>
      <c r="S2007" s="65"/>
      <c r="T2007" s="65"/>
      <c r="U2007" s="65"/>
      <c r="V2007" s="65"/>
      <c r="W2007" s="65"/>
      <c r="X2007" s="65"/>
      <c r="Y2007" s="65"/>
      <c r="Z2007" s="65"/>
      <c r="AA2007" s="65"/>
      <c r="AB2007" s="65"/>
      <c r="AC2007" s="65"/>
      <c r="AD2007" s="65"/>
      <c r="AE2007" s="66"/>
    </row>
    <row r="2008" spans="1:31" s="4" customFormat="1" ht="15.95" customHeight="1" thickTop="1" thickBot="1" x14ac:dyDescent="0.25">
      <c r="A2008" s="165" t="str">
        <f ca="1">Language!A$931</f>
        <v xml:space="preserve">         ОСНОВНЫЕ ПОКАЗАТЕЛИ ПРОЕКТА</v>
      </c>
      <c r="B2008" s="165"/>
      <c r="C2008" s="165"/>
      <c r="D2008" s="165"/>
      <c r="E2008" s="165"/>
      <c r="F2008" s="177" t="str">
        <f t="shared" ref="F2008:AC2008" ca="1" si="5291">PeriodTitle</f>
        <v>1 кв. 2016</v>
      </c>
      <c r="G2008" s="177" t="str">
        <f t="shared" ca="1" si="5291"/>
        <v>2 кв. 2016</v>
      </c>
      <c r="H2008" s="177" t="str">
        <f t="shared" ca="1" si="5291"/>
        <v>3 кв. 2016</v>
      </c>
      <c r="I2008" s="177" t="str">
        <f t="shared" ca="1" si="5291"/>
        <v>4 кв. 2016</v>
      </c>
      <c r="J2008" s="177" t="str">
        <f t="shared" ca="1" si="5291"/>
        <v>1 кв. 2017</v>
      </c>
      <c r="K2008" s="177" t="str">
        <f t="shared" ca="1" si="5291"/>
        <v>2 кв. 2017</v>
      </c>
      <c r="L2008" s="177" t="str">
        <f t="shared" ca="1" si="5291"/>
        <v>3 кв. 2017</v>
      </c>
      <c r="M2008" s="177" t="str">
        <f t="shared" ca="1" si="5291"/>
        <v>4 кв. 2017</v>
      </c>
      <c r="N2008" s="177" t="str">
        <f t="shared" ca="1" si="5291"/>
        <v>1 кв. 2018</v>
      </c>
      <c r="O2008" s="177" t="str">
        <f t="shared" ca="1" si="5291"/>
        <v>2 кв. 2018</v>
      </c>
      <c r="P2008" s="177" t="str">
        <f t="shared" ca="1" si="5291"/>
        <v>3 кв. 2018</v>
      </c>
      <c r="Q2008" s="177" t="str">
        <f t="shared" ca="1" si="5291"/>
        <v>4 кв. 2018</v>
      </c>
      <c r="R2008" s="177" t="str">
        <f t="shared" ca="1" si="5291"/>
        <v>1 кв. 2019</v>
      </c>
      <c r="S2008" s="177" t="str">
        <f t="shared" ca="1" si="5291"/>
        <v>2 кв. 2019</v>
      </c>
      <c r="T2008" s="177" t="str">
        <f t="shared" ca="1" si="5291"/>
        <v>3 кв. 2019</v>
      </c>
      <c r="U2008" s="177" t="str">
        <f t="shared" ca="1" si="5291"/>
        <v>4 кв. 2019</v>
      </c>
      <c r="V2008" s="177" t="str">
        <f t="shared" ca="1" si="5291"/>
        <v>1 кв. 2020</v>
      </c>
      <c r="W2008" s="177" t="str">
        <f t="shared" ca="1" si="5291"/>
        <v>2 кв. 2020</v>
      </c>
      <c r="X2008" s="177" t="str">
        <f t="shared" ca="1" si="5291"/>
        <v>3 кв. 2020</v>
      </c>
      <c r="Y2008" s="177" t="str">
        <f t="shared" ca="1" si="5291"/>
        <v>4 кв. 2020</v>
      </c>
      <c r="Z2008" s="177" t="str">
        <f t="shared" ca="1" si="5291"/>
        <v>1 кв. 2021</v>
      </c>
      <c r="AA2008" s="177" t="str">
        <f t="shared" ca="1" si="5291"/>
        <v>2 кв. 2021</v>
      </c>
      <c r="AB2008" s="177" t="str">
        <f t="shared" ca="1" si="5291"/>
        <v>3 кв. 2021</v>
      </c>
      <c r="AC2008" s="177" t="str">
        <f t="shared" ca="1" si="5291"/>
        <v>4 кв. 2021</v>
      </c>
      <c r="AD2008" s="165"/>
      <c r="AE2008" s="166" t="str">
        <f ca="1">Language!A$372</f>
        <v>ИТОГО</v>
      </c>
    </row>
    <row r="2009" spans="1:31" ht="12" outlineLevel="1" thickTop="1" x14ac:dyDescent="0.2"/>
    <row r="2010" spans="1:31" outlineLevel="1" x14ac:dyDescent="0.2">
      <c r="A2010" t="str">
        <f ca="1">Language!A$932</f>
        <v>Выручка от реализации (без НДС)</v>
      </c>
      <c r="C2010" s="5" t="str">
        <f t="shared" ref="C2010:C2029" ca="1" si="5292">CUR_Report</f>
        <v>тыс. EUR</v>
      </c>
      <c r="F2010" s="43">
        <f t="shared" ref="F2010:T2010" si="5293">F1199</f>
        <v>0</v>
      </c>
      <c r="G2010" s="43">
        <f t="shared" si="5293"/>
        <v>0</v>
      </c>
      <c r="H2010" s="43">
        <f t="shared" si="5293"/>
        <v>0</v>
      </c>
      <c r="I2010" s="43">
        <f t="shared" si="5293"/>
        <v>0</v>
      </c>
      <c r="J2010" s="43">
        <f t="shared" si="5293"/>
        <v>0</v>
      </c>
      <c r="K2010" s="43">
        <f t="shared" si="5293"/>
        <v>714.56092469127964</v>
      </c>
      <c r="L2010" s="43">
        <f t="shared" si="5293"/>
        <v>2731.2132863136535</v>
      </c>
      <c r="M2010" s="43">
        <f t="shared" si="5293"/>
        <v>4381.7008046824012</v>
      </c>
      <c r="N2010" s="43">
        <f t="shared" si="5293"/>
        <v>6249.0205978072227</v>
      </c>
      <c r="O2010" s="43">
        <f t="shared" si="5293"/>
        <v>7525.4219523772372</v>
      </c>
      <c r="P2010" s="43">
        <f t="shared" si="5293"/>
        <v>7525.4219523772372</v>
      </c>
      <c r="Q2010" s="43">
        <f t="shared" si="5293"/>
        <v>7525.4219523772372</v>
      </c>
      <c r="R2010" s="43">
        <f t="shared" si="5293"/>
        <v>7525.4219523772372</v>
      </c>
      <c r="S2010" s="43">
        <f t="shared" si="5293"/>
        <v>7525.4219523772372</v>
      </c>
      <c r="T2010" s="43">
        <f t="shared" si="5293"/>
        <v>7525.4219523772372</v>
      </c>
      <c r="U2010" s="43">
        <f t="shared" ref="U2010" si="5294">U1199</f>
        <v>7525.4219523772372</v>
      </c>
      <c r="V2010" s="43">
        <f t="shared" ref="V2010" si="5295">V1199</f>
        <v>7525.4219523772372</v>
      </c>
      <c r="W2010" s="43">
        <f t="shared" ref="W2010" si="5296">W1199</f>
        <v>7525.4219523772372</v>
      </c>
      <c r="X2010" s="43">
        <f t="shared" ref="X2010" si="5297">X1199</f>
        <v>7525.4219523772372</v>
      </c>
      <c r="Y2010" s="43">
        <f t="shared" ref="Y2010" si="5298">Y1199</f>
        <v>7525.4219523772372</v>
      </c>
      <c r="Z2010" s="43">
        <f t="shared" ref="Z2010" si="5299">Z1199</f>
        <v>7525.4219523772372</v>
      </c>
      <c r="AA2010" s="43">
        <f t="shared" ref="AA2010" si="5300">AA1199</f>
        <v>7525.4219523772372</v>
      </c>
      <c r="AB2010" s="43">
        <f t="shared" ref="AB2010:AC2010" si="5301">AB1199</f>
        <v>7525.4219523772372</v>
      </c>
      <c r="AC2010" s="43">
        <f t="shared" si="5301"/>
        <v>7525.4219523772372</v>
      </c>
      <c r="AE2010" s="54">
        <f t="shared" ref="AE2010:AE2016" si="5302">SUM(F2010:AC2010)</f>
        <v>126957.82489915307</v>
      </c>
    </row>
    <row r="2011" spans="1:31" outlineLevel="1" x14ac:dyDescent="0.2">
      <c r="A2011" t="str">
        <f ca="1">Language!A$933</f>
        <v>Затраты на производство (без НДС)</v>
      </c>
      <c r="C2011" s="5" t="str">
        <f t="shared" ca="1" si="5292"/>
        <v>тыс. EUR</v>
      </c>
      <c r="F2011" s="43">
        <f t="shared" ref="F2011:T2011" ca="1" si="5303">F1200+F1209+F1210+F1211+F1212+F1213</f>
        <v>0</v>
      </c>
      <c r="G2011" s="43">
        <f t="shared" ca="1" si="5303"/>
        <v>0</v>
      </c>
      <c r="H2011" s="43">
        <f t="shared" ca="1" si="5303"/>
        <v>0</v>
      </c>
      <c r="I2011" s="43">
        <f t="shared" ca="1" si="5303"/>
        <v>0</v>
      </c>
      <c r="J2011" s="43">
        <f t="shared" ca="1" si="5303"/>
        <v>309.35251270876392</v>
      </c>
      <c r="K2011" s="43">
        <f t="shared" ca="1" si="5303"/>
        <v>1257.2829338387285</v>
      </c>
      <c r="L2011" s="43">
        <f t="shared" ca="1" si="5303"/>
        <v>2694.4045625238878</v>
      </c>
      <c r="M2011" s="43">
        <f t="shared" ca="1" si="5303"/>
        <v>3865.8247417011294</v>
      </c>
      <c r="N2011" s="43">
        <f t="shared" ca="1" si="5303"/>
        <v>5193.2471139663758</v>
      </c>
      <c r="O2011" s="43">
        <f t="shared" ca="1" si="5303"/>
        <v>6111.3204996894656</v>
      </c>
      <c r="P2011" s="43">
        <f t="shared" ca="1" si="5303"/>
        <v>6111.3204996894656</v>
      </c>
      <c r="Q2011" s="43">
        <f t="shared" ca="1" si="5303"/>
        <v>6111.3204996894656</v>
      </c>
      <c r="R2011" s="43">
        <f t="shared" ca="1" si="5303"/>
        <v>6111.3204996894656</v>
      </c>
      <c r="S2011" s="43">
        <f t="shared" ca="1" si="5303"/>
        <v>6111.3204996894656</v>
      </c>
      <c r="T2011" s="43">
        <f t="shared" ca="1" si="5303"/>
        <v>6111.3204996894656</v>
      </c>
      <c r="U2011" s="43">
        <f t="shared" ref="U2011" ca="1" si="5304">U1200+U1209+U1210+U1211+U1212+U1213</f>
        <v>6111.3204996894656</v>
      </c>
      <c r="V2011" s="43">
        <f t="shared" ref="V2011" ca="1" si="5305">V1200+V1209+V1210+V1211+V1212+V1213</f>
        <v>6111.3204996894656</v>
      </c>
      <c r="W2011" s="43">
        <f t="shared" ref="W2011" ca="1" si="5306">W1200+W1209+W1210+W1211+W1212+W1213</f>
        <v>6111.3204996894656</v>
      </c>
      <c r="X2011" s="43">
        <f t="shared" ref="X2011" ca="1" si="5307">X1200+X1209+X1210+X1211+X1212+X1213</f>
        <v>6111.3204996894656</v>
      </c>
      <c r="Y2011" s="43">
        <f t="shared" ref="Y2011" ca="1" si="5308">Y1200+Y1209+Y1210+Y1211+Y1212+Y1213</f>
        <v>6111.3204996894656</v>
      </c>
      <c r="Z2011" s="43">
        <f t="shared" ref="Z2011" ca="1" si="5309">Z1200+Z1209+Z1210+Z1211+Z1212+Z1213</f>
        <v>6111.3204996894656</v>
      </c>
      <c r="AA2011" s="43">
        <f t="shared" ref="AA2011" ca="1" si="5310">AA1200+AA1209+AA1210+AA1211+AA1212+AA1213</f>
        <v>6111.3204996894656</v>
      </c>
      <c r="AB2011" s="43">
        <f t="shared" ref="AB2011:AC2011" ca="1" si="5311">AB1200+AB1209+AB1210+AB1211+AB1212+AB1213</f>
        <v>6111.3204996894656</v>
      </c>
      <c r="AC2011" s="43">
        <f t="shared" ca="1" si="5311"/>
        <v>6111.3204996894656</v>
      </c>
      <c r="AE2011" s="54">
        <f t="shared" ca="1" si="5302"/>
        <v>104989.91936008085</v>
      </c>
    </row>
    <row r="2012" spans="1:31" outlineLevel="1" x14ac:dyDescent="0.2">
      <c r="A2012" t="str">
        <f ca="1">Language!A$728</f>
        <v>Прибыль до налога, процентов и амортизации (EBITDA)</v>
      </c>
      <c r="C2012" s="5" t="str">
        <f t="shared" ca="1" si="5292"/>
        <v>тыс. EUR</v>
      </c>
      <c r="F2012" s="43">
        <f t="shared" ref="F2012:T2012" ca="1" si="5312">F1285</f>
        <v>0</v>
      </c>
      <c r="G2012" s="43">
        <f t="shared" ca="1" si="5312"/>
        <v>0</v>
      </c>
      <c r="H2012" s="43">
        <f t="shared" ca="1" si="5312"/>
        <v>0</v>
      </c>
      <c r="I2012" s="43">
        <f t="shared" ca="1" si="5312"/>
        <v>0</v>
      </c>
      <c r="J2012" s="43">
        <f t="shared" ca="1" si="5312"/>
        <v>0</v>
      </c>
      <c r="K2012" s="43">
        <f t="shared" ca="1" si="5312"/>
        <v>-233.36949643868491</v>
      </c>
      <c r="L2012" s="43">
        <f t="shared" ca="1" si="5312"/>
        <v>346.16123649852915</v>
      </c>
      <c r="M2012" s="43">
        <f t="shared" ca="1" si="5312"/>
        <v>825.22857569003531</v>
      </c>
      <c r="N2012" s="43">
        <f t="shared" ca="1" si="5312"/>
        <v>1365.1259965496097</v>
      </c>
      <c r="O2012" s="43">
        <f t="shared" ca="1" si="5312"/>
        <v>1723.4539653965358</v>
      </c>
      <c r="P2012" s="43">
        <f t="shared" ca="1" si="5312"/>
        <v>1723.4539653965358</v>
      </c>
      <c r="Q2012" s="43">
        <f t="shared" ca="1" si="5312"/>
        <v>1723.4539653965358</v>
      </c>
      <c r="R2012" s="43">
        <f t="shared" ca="1" si="5312"/>
        <v>1723.4539653965358</v>
      </c>
      <c r="S2012" s="43">
        <f t="shared" ca="1" si="5312"/>
        <v>1723.4539653965358</v>
      </c>
      <c r="T2012" s="43">
        <f t="shared" ca="1" si="5312"/>
        <v>1723.4539653965358</v>
      </c>
      <c r="U2012" s="43">
        <f t="shared" ref="U2012" ca="1" si="5313">U1285</f>
        <v>1723.4539653965358</v>
      </c>
      <c r="V2012" s="43">
        <f t="shared" ref="V2012" ca="1" si="5314">V1285</f>
        <v>1723.4539653965358</v>
      </c>
      <c r="W2012" s="43">
        <f t="shared" ref="W2012" ca="1" si="5315">W1285</f>
        <v>1723.4539653965358</v>
      </c>
      <c r="X2012" s="43">
        <f t="shared" ref="X2012" ca="1" si="5316">X1285</f>
        <v>1723.4539653965358</v>
      </c>
      <c r="Y2012" s="43">
        <f t="shared" ref="Y2012" ca="1" si="5317">Y1285</f>
        <v>1723.4539653965358</v>
      </c>
      <c r="Z2012" s="43">
        <f t="shared" ref="Z2012" ca="1" si="5318">Z1285</f>
        <v>1723.4539653965358</v>
      </c>
      <c r="AA2012" s="43">
        <f t="shared" ref="AA2012" ca="1" si="5319">AA1285</f>
        <v>1723.4539653965358</v>
      </c>
      <c r="AB2012" s="43">
        <f t="shared" ref="AB2012:AC2012" ca="1" si="5320">AB1285</f>
        <v>1723.4539653965358</v>
      </c>
      <c r="AC2012" s="43">
        <f t="shared" ca="1" si="5320"/>
        <v>1723.4539653965358</v>
      </c>
      <c r="AE2012" s="54">
        <f t="shared" ca="1" si="5302"/>
        <v>28154.955793247536</v>
      </c>
    </row>
    <row r="2013" spans="1:31" outlineLevel="1" x14ac:dyDescent="0.2">
      <c r="A2013" t="str">
        <f ca="1">Language!A$730</f>
        <v>Прибыль до процентов и налога (EBIT)</v>
      </c>
      <c r="C2013" s="5" t="str">
        <f t="shared" ca="1" si="5292"/>
        <v>тыс. EUR</v>
      </c>
      <c r="F2013" s="43">
        <f t="shared" ref="F2013:T2013" ca="1" si="5321">F1286</f>
        <v>0</v>
      </c>
      <c r="G2013" s="43">
        <f t="shared" ca="1" si="5321"/>
        <v>0</v>
      </c>
      <c r="H2013" s="43">
        <f t="shared" ca="1" si="5321"/>
        <v>0</v>
      </c>
      <c r="I2013" s="43">
        <f t="shared" ca="1" si="5321"/>
        <v>0</v>
      </c>
      <c r="J2013" s="43">
        <f t="shared" ca="1" si="5321"/>
        <v>-309.35251270876392</v>
      </c>
      <c r="K2013" s="43">
        <f t="shared" ca="1" si="5321"/>
        <v>-542.72200914744883</v>
      </c>
      <c r="L2013" s="43">
        <f t="shared" ca="1" si="5321"/>
        <v>36.808723789765224</v>
      </c>
      <c r="M2013" s="43">
        <f t="shared" ca="1" si="5321"/>
        <v>515.87606298127139</v>
      </c>
      <c r="N2013" s="43">
        <f t="shared" ca="1" si="5321"/>
        <v>1055.7734838408458</v>
      </c>
      <c r="O2013" s="43">
        <f t="shared" ca="1" si="5321"/>
        <v>1414.1014526877718</v>
      </c>
      <c r="P2013" s="43">
        <f t="shared" ca="1" si="5321"/>
        <v>1414.1014526877718</v>
      </c>
      <c r="Q2013" s="43">
        <f t="shared" ca="1" si="5321"/>
        <v>1414.1014526877718</v>
      </c>
      <c r="R2013" s="43">
        <f t="shared" ca="1" si="5321"/>
        <v>1414.1014526877718</v>
      </c>
      <c r="S2013" s="43">
        <f t="shared" ca="1" si="5321"/>
        <v>1414.1014526877718</v>
      </c>
      <c r="T2013" s="43">
        <f t="shared" ca="1" si="5321"/>
        <v>1414.1014526877718</v>
      </c>
      <c r="U2013" s="43">
        <f t="shared" ref="U2013" ca="1" si="5322">U1286</f>
        <v>1414.1014526877718</v>
      </c>
      <c r="V2013" s="43">
        <f t="shared" ref="V2013" ca="1" si="5323">V1286</f>
        <v>1414.1014526877718</v>
      </c>
      <c r="W2013" s="43">
        <f t="shared" ref="W2013" ca="1" si="5324">W1286</f>
        <v>1414.1014526877718</v>
      </c>
      <c r="X2013" s="43">
        <f t="shared" ref="X2013" ca="1" si="5325">X1286</f>
        <v>1414.1014526877718</v>
      </c>
      <c r="Y2013" s="43">
        <f t="shared" ref="Y2013" ca="1" si="5326">Y1286</f>
        <v>1414.1014526877718</v>
      </c>
      <c r="Z2013" s="43">
        <f t="shared" ref="Z2013" ca="1" si="5327">Z1286</f>
        <v>1414.1014526877718</v>
      </c>
      <c r="AA2013" s="43">
        <f t="shared" ref="AA2013" ca="1" si="5328">AA1286</f>
        <v>1414.1014526877718</v>
      </c>
      <c r="AB2013" s="43">
        <f t="shared" ref="AB2013:AC2013" ca="1" si="5329">AB1286</f>
        <v>1414.1014526877718</v>
      </c>
      <c r="AC2013" s="43">
        <f t="shared" ca="1" si="5329"/>
        <v>1414.1014526877718</v>
      </c>
      <c r="AE2013" s="54">
        <f t="shared" ca="1" si="5302"/>
        <v>21967.90553907225</v>
      </c>
    </row>
    <row r="2014" spans="1:31" outlineLevel="1" x14ac:dyDescent="0.2">
      <c r="A2014" t="str">
        <f ca="1">Language!A$732</f>
        <v>Прибыль до налогообложения</v>
      </c>
      <c r="C2014" s="5" t="str">
        <f t="shared" ca="1" si="5292"/>
        <v>тыс. EUR</v>
      </c>
      <c r="F2014" s="43">
        <f t="shared" ref="F2014:T2014" ca="1" si="5330">F1220</f>
        <v>0</v>
      </c>
      <c r="G2014" s="43">
        <f t="shared" ca="1" si="5330"/>
        <v>0</v>
      </c>
      <c r="H2014" s="43">
        <f t="shared" ca="1" si="5330"/>
        <v>0</v>
      </c>
      <c r="I2014" s="43">
        <f t="shared" ca="1" si="5330"/>
        <v>0</v>
      </c>
      <c r="J2014" s="43">
        <f t="shared" ca="1" si="5330"/>
        <v>-309.35251270876392</v>
      </c>
      <c r="K2014" s="43">
        <f t="shared" ca="1" si="5330"/>
        <v>-542.72200914744883</v>
      </c>
      <c r="L2014" s="43">
        <f t="shared" ca="1" si="5330"/>
        <v>36.808723789765239</v>
      </c>
      <c r="M2014" s="43">
        <f t="shared" ca="1" si="5330"/>
        <v>515.87606298127139</v>
      </c>
      <c r="N2014" s="43">
        <f t="shared" ca="1" si="5330"/>
        <v>1055.7734838408458</v>
      </c>
      <c r="O2014" s="43">
        <f t="shared" ca="1" si="5330"/>
        <v>1414.1014526877718</v>
      </c>
      <c r="P2014" s="43">
        <f t="shared" ca="1" si="5330"/>
        <v>1414.1014526877718</v>
      </c>
      <c r="Q2014" s="43">
        <f t="shared" ca="1" si="5330"/>
        <v>1414.1014526877718</v>
      </c>
      <c r="R2014" s="43">
        <f t="shared" ca="1" si="5330"/>
        <v>1414.1014526877718</v>
      </c>
      <c r="S2014" s="43">
        <f t="shared" ca="1" si="5330"/>
        <v>1414.1014526877718</v>
      </c>
      <c r="T2014" s="43">
        <f t="shared" ca="1" si="5330"/>
        <v>1414.1014526877718</v>
      </c>
      <c r="U2014" s="43">
        <f t="shared" ref="U2014" ca="1" si="5331">U1220</f>
        <v>1414.1014526877718</v>
      </c>
      <c r="V2014" s="43">
        <f t="shared" ref="V2014" ca="1" si="5332">V1220</f>
        <v>1414.1014526877718</v>
      </c>
      <c r="W2014" s="43">
        <f t="shared" ref="W2014" ca="1" si="5333">W1220</f>
        <v>1414.1014526877718</v>
      </c>
      <c r="X2014" s="43">
        <f t="shared" ref="X2014" ca="1" si="5334">X1220</f>
        <v>1414.1014526877718</v>
      </c>
      <c r="Y2014" s="43">
        <f t="shared" ref="Y2014" ca="1" si="5335">Y1220</f>
        <v>1414.1014526877718</v>
      </c>
      <c r="Z2014" s="43">
        <f t="shared" ref="Z2014" ca="1" si="5336">Z1220</f>
        <v>1414.1014526877718</v>
      </c>
      <c r="AA2014" s="43">
        <f t="shared" ref="AA2014" ca="1" si="5337">AA1220</f>
        <v>1414.1014526877718</v>
      </c>
      <c r="AB2014" s="43">
        <f t="shared" ref="AB2014:AC2014" ca="1" si="5338">AB1220</f>
        <v>1414.1014526877718</v>
      </c>
      <c r="AC2014" s="43">
        <f t="shared" ca="1" si="5338"/>
        <v>1414.1014526877718</v>
      </c>
      <c r="AE2014" s="54">
        <f t="shared" ca="1" si="5302"/>
        <v>21967.90553907225</v>
      </c>
    </row>
    <row r="2015" spans="1:31" outlineLevel="1" x14ac:dyDescent="0.2">
      <c r="A2015" t="str">
        <f ca="1">Language!A$734</f>
        <v>Чистая прибыль (убыток)</v>
      </c>
      <c r="C2015" s="5" t="str">
        <f t="shared" ca="1" si="5292"/>
        <v>тыс. EUR</v>
      </c>
      <c r="F2015" s="43">
        <f t="shared" ref="F2015:T2015" ca="1" si="5339">F1222</f>
        <v>0</v>
      </c>
      <c r="G2015" s="43">
        <f t="shared" ca="1" si="5339"/>
        <v>0</v>
      </c>
      <c r="H2015" s="43">
        <f t="shared" ca="1" si="5339"/>
        <v>0</v>
      </c>
      <c r="I2015" s="43">
        <f t="shared" ca="1" si="5339"/>
        <v>0</v>
      </c>
      <c r="J2015" s="43">
        <f t="shared" ca="1" si="5339"/>
        <v>-309.35251270876392</v>
      </c>
      <c r="K2015" s="43">
        <f t="shared" ca="1" si="5339"/>
        <v>-542.72200914744883</v>
      </c>
      <c r="L2015" s="43">
        <f t="shared" ca="1" si="5339"/>
        <v>36.808723789765239</v>
      </c>
      <c r="M2015" s="43">
        <f t="shared" ca="1" si="5339"/>
        <v>515.87606298127139</v>
      </c>
      <c r="N2015" s="43">
        <f t="shared" ca="1" si="5339"/>
        <v>912.06057157726855</v>
      </c>
      <c r="O2015" s="43">
        <f t="shared" ca="1" si="5339"/>
        <v>1145.4221766770952</v>
      </c>
      <c r="P2015" s="43">
        <f t="shared" ca="1" si="5339"/>
        <v>1145.4221766770952</v>
      </c>
      <c r="Q2015" s="43">
        <f t="shared" ca="1" si="5339"/>
        <v>1145.4221766770952</v>
      </c>
      <c r="R2015" s="43">
        <f t="shared" ca="1" si="5339"/>
        <v>1145.4221766770952</v>
      </c>
      <c r="S2015" s="43">
        <f t="shared" ca="1" si="5339"/>
        <v>1145.4221766770952</v>
      </c>
      <c r="T2015" s="43">
        <f t="shared" ca="1" si="5339"/>
        <v>1145.4221766770952</v>
      </c>
      <c r="U2015" s="43">
        <f t="shared" ref="U2015" ca="1" si="5340">U1222</f>
        <v>1145.4221766770952</v>
      </c>
      <c r="V2015" s="43">
        <f t="shared" ref="V2015" ca="1" si="5341">V1222</f>
        <v>1145.4221766770952</v>
      </c>
      <c r="W2015" s="43">
        <f t="shared" ref="W2015" ca="1" si="5342">W1222</f>
        <v>1145.4221766770952</v>
      </c>
      <c r="X2015" s="43">
        <f t="shared" ref="X2015" ca="1" si="5343">X1222</f>
        <v>1145.4221766770952</v>
      </c>
      <c r="Y2015" s="43">
        <f t="shared" ref="Y2015" ca="1" si="5344">Y1222</f>
        <v>1145.4221766770952</v>
      </c>
      <c r="Z2015" s="43">
        <f t="shared" ref="Z2015" ca="1" si="5345">Z1222</f>
        <v>1145.4221766770952</v>
      </c>
      <c r="AA2015" s="43">
        <f t="shared" ref="AA2015" ca="1" si="5346">AA1222</f>
        <v>1145.4221766770952</v>
      </c>
      <c r="AB2015" s="43">
        <f t="shared" ref="AB2015:AC2015" ca="1" si="5347">AB1222</f>
        <v>1145.4221766770952</v>
      </c>
      <c r="AC2015" s="43">
        <f t="shared" ca="1" si="5347"/>
        <v>1145.4221766770952</v>
      </c>
      <c r="AE2015" s="54">
        <f t="shared" ca="1" si="5302"/>
        <v>17794.003486648522</v>
      </c>
    </row>
    <row r="2016" spans="1:31" outlineLevel="1" x14ac:dyDescent="0.2">
      <c r="A2016" t="str">
        <f ca="1">Language!A$743</f>
        <v>Нераспределенная прибыль (за период)</v>
      </c>
      <c r="C2016" s="5" t="str">
        <f t="shared" ca="1" si="5292"/>
        <v>тыс. EUR</v>
      </c>
      <c r="F2016" s="43">
        <f t="shared" ref="F2016:T2016" ca="1" si="5348">F1289</f>
        <v>0</v>
      </c>
      <c r="G2016" s="43">
        <f t="shared" ca="1" si="5348"/>
        <v>0</v>
      </c>
      <c r="H2016" s="43">
        <f t="shared" ca="1" si="5348"/>
        <v>0</v>
      </c>
      <c r="I2016" s="43">
        <f t="shared" ca="1" si="5348"/>
        <v>0</v>
      </c>
      <c r="J2016" s="43">
        <f t="shared" ca="1" si="5348"/>
        <v>-309.35251270876392</v>
      </c>
      <c r="K2016" s="43">
        <f t="shared" ca="1" si="5348"/>
        <v>-542.72200914744883</v>
      </c>
      <c r="L2016" s="43">
        <f t="shared" ca="1" si="5348"/>
        <v>36.808723789765239</v>
      </c>
      <c r="M2016" s="43">
        <f t="shared" ca="1" si="5348"/>
        <v>515.87606298127139</v>
      </c>
      <c r="N2016" s="43">
        <f t="shared" ca="1" si="5348"/>
        <v>912.06057157726855</v>
      </c>
      <c r="O2016" s="43">
        <f t="shared" ca="1" si="5348"/>
        <v>1145.4221766770952</v>
      </c>
      <c r="P2016" s="43">
        <f t="shared" ca="1" si="5348"/>
        <v>1145.4221766770952</v>
      </c>
      <c r="Q2016" s="43">
        <f t="shared" ca="1" si="5348"/>
        <v>1145.4221766770952</v>
      </c>
      <c r="R2016" s="43">
        <f t="shared" ca="1" si="5348"/>
        <v>1145.4221766770952</v>
      </c>
      <c r="S2016" s="43">
        <f t="shared" ca="1" si="5348"/>
        <v>1145.4221766770952</v>
      </c>
      <c r="T2016" s="43">
        <f t="shared" ca="1" si="5348"/>
        <v>1145.4221766770952</v>
      </c>
      <c r="U2016" s="43">
        <f t="shared" ref="U2016" ca="1" si="5349">U1289</f>
        <v>1145.4221766770952</v>
      </c>
      <c r="V2016" s="43">
        <f t="shared" ref="V2016" ca="1" si="5350">V1289</f>
        <v>1145.4221766770952</v>
      </c>
      <c r="W2016" s="43">
        <f t="shared" ref="W2016" ca="1" si="5351">W1289</f>
        <v>1145.4221766770952</v>
      </c>
      <c r="X2016" s="43">
        <f t="shared" ref="X2016" ca="1" si="5352">X1289</f>
        <v>1145.4221766770952</v>
      </c>
      <c r="Y2016" s="43">
        <f t="shared" ref="Y2016" ca="1" si="5353">Y1289</f>
        <v>1145.4221766770952</v>
      </c>
      <c r="Z2016" s="43">
        <f t="shared" ref="Z2016" ca="1" si="5354">Z1289</f>
        <v>1145.4221766770952</v>
      </c>
      <c r="AA2016" s="43">
        <f t="shared" ref="AA2016" ca="1" si="5355">AA1289</f>
        <v>1145.4221766770952</v>
      </c>
      <c r="AB2016" s="43">
        <f t="shared" ref="AB2016:AC2016" ca="1" si="5356">AB1289</f>
        <v>1145.4221766770952</v>
      </c>
      <c r="AC2016" s="43">
        <f t="shared" ca="1" si="5356"/>
        <v>1145.4221766770952</v>
      </c>
      <c r="AE2016" s="54">
        <f t="shared" ca="1" si="5302"/>
        <v>17794.003486648522</v>
      </c>
    </row>
    <row r="2017" spans="1:31" outlineLevel="1" x14ac:dyDescent="0.2">
      <c r="A2017" s="63"/>
      <c r="B2017" s="63"/>
      <c r="C2017" s="63"/>
      <c r="D2017" s="63"/>
      <c r="E2017" s="63"/>
      <c r="F2017" s="63"/>
      <c r="G2017" s="63"/>
      <c r="H2017" s="63"/>
      <c r="I2017" s="63"/>
      <c r="J2017" s="63"/>
      <c r="K2017" s="63"/>
      <c r="L2017" s="63"/>
      <c r="M2017" s="63"/>
      <c r="N2017" s="63"/>
      <c r="O2017" s="63"/>
      <c r="P2017" s="63"/>
      <c r="Q2017" s="63"/>
      <c r="R2017" s="63"/>
      <c r="S2017" s="63"/>
      <c r="T2017" s="63"/>
      <c r="U2017" s="63"/>
      <c r="V2017" s="63"/>
      <c r="W2017" s="63"/>
      <c r="X2017" s="63"/>
      <c r="Y2017" s="63"/>
      <c r="Z2017" s="63"/>
      <c r="AA2017" s="63"/>
      <c r="AB2017" s="63"/>
      <c r="AC2017" s="63"/>
      <c r="AD2017" s="63"/>
      <c r="AE2017" s="64"/>
    </row>
    <row r="2018" spans="1:31" outlineLevel="1" x14ac:dyDescent="0.2">
      <c r="A2018" s="19" t="str">
        <f ca="1">Language!A$934</f>
        <v>Инвестции во внеоборотные активы</v>
      </c>
      <c r="B2018" s="19"/>
      <c r="C2018" s="26" t="str">
        <f t="shared" ca="1" si="5292"/>
        <v>тыс. EUR</v>
      </c>
      <c r="D2018" s="19"/>
      <c r="E2018" s="19"/>
      <c r="F2018" s="65">
        <f t="shared" ref="F2018:T2018" si="5357">F1333+F1336+F1334+F1335+F1337+F1338</f>
        <v>0</v>
      </c>
      <c r="G2018" s="65">
        <f t="shared" si="5357"/>
        <v>0</v>
      </c>
      <c r="H2018" s="65">
        <f t="shared" si="5357"/>
        <v>-5695.3855543220343</v>
      </c>
      <c r="I2018" s="65">
        <f t="shared" si="5357"/>
        <v>-1519.56</v>
      </c>
      <c r="J2018" s="65">
        <f t="shared" ca="1" si="5357"/>
        <v>-7024.8891971793519</v>
      </c>
      <c r="K2018" s="65">
        <f t="shared" si="5357"/>
        <v>-2982.5256975335087</v>
      </c>
      <c r="L2018" s="65">
        <f t="shared" si="5357"/>
        <v>0</v>
      </c>
      <c r="M2018" s="65">
        <f t="shared" si="5357"/>
        <v>0</v>
      </c>
      <c r="N2018" s="65">
        <f t="shared" si="5357"/>
        <v>0</v>
      </c>
      <c r="O2018" s="65">
        <f t="shared" si="5357"/>
        <v>0</v>
      </c>
      <c r="P2018" s="65">
        <f t="shared" si="5357"/>
        <v>0</v>
      </c>
      <c r="Q2018" s="65">
        <f t="shared" si="5357"/>
        <v>0</v>
      </c>
      <c r="R2018" s="65">
        <f t="shared" si="5357"/>
        <v>0</v>
      </c>
      <c r="S2018" s="65">
        <f t="shared" si="5357"/>
        <v>0</v>
      </c>
      <c r="T2018" s="65">
        <f t="shared" si="5357"/>
        <v>0</v>
      </c>
      <c r="U2018" s="65">
        <f t="shared" ref="U2018" si="5358">U1333+U1336+U1334+U1335+U1337+U1338</f>
        <v>0</v>
      </c>
      <c r="V2018" s="65">
        <f t="shared" ref="V2018" si="5359">V1333+V1336+V1334+V1335+V1337+V1338</f>
        <v>0</v>
      </c>
      <c r="W2018" s="65">
        <f t="shared" ref="W2018" si="5360">W1333+W1336+W1334+W1335+W1337+W1338</f>
        <v>0</v>
      </c>
      <c r="X2018" s="65">
        <f t="shared" ref="X2018" si="5361">X1333+X1336+X1334+X1335+X1337+X1338</f>
        <v>0</v>
      </c>
      <c r="Y2018" s="65">
        <f t="shared" ref="Y2018" si="5362">Y1333+Y1336+Y1334+Y1335+Y1337+Y1338</f>
        <v>0</v>
      </c>
      <c r="Z2018" s="65">
        <f t="shared" ref="Z2018" si="5363">Z1333+Z1336+Z1334+Z1335+Z1337+Z1338</f>
        <v>0</v>
      </c>
      <c r="AA2018" s="65">
        <f t="shared" ref="AA2018" si="5364">AA1333+AA1336+AA1334+AA1335+AA1337+AA1338</f>
        <v>0</v>
      </c>
      <c r="AB2018" s="65">
        <f t="shared" ref="AB2018:AC2018" si="5365">AB1333+AB1336+AB1334+AB1335+AB1337+AB1338</f>
        <v>0</v>
      </c>
      <c r="AC2018" s="65">
        <f t="shared" si="5365"/>
        <v>0</v>
      </c>
      <c r="AD2018" s="19"/>
      <c r="AE2018" s="66">
        <f ca="1">SUM(F2018:AC2018)</f>
        <v>-17222.360449034895</v>
      </c>
    </row>
    <row r="2019" spans="1:31" outlineLevel="1" x14ac:dyDescent="0.2">
      <c r="A2019" s="19" t="str">
        <f ca="1">Language!A$935</f>
        <v>Инвестиции в оборотный капитал</v>
      </c>
      <c r="B2019" s="19"/>
      <c r="C2019" s="26" t="str">
        <f t="shared" ca="1" si="5292"/>
        <v>тыс. EUR</v>
      </c>
      <c r="D2019" s="19"/>
      <c r="E2019" s="19"/>
      <c r="F2019" s="65">
        <f t="shared" ref="F2019:T2019" ca="1" si="5366">F1339</f>
        <v>0</v>
      </c>
      <c r="G2019" s="65">
        <f t="shared" ca="1" si="5366"/>
        <v>0</v>
      </c>
      <c r="H2019" s="65">
        <f t="shared" ca="1" si="5366"/>
        <v>0</v>
      </c>
      <c r="I2019" s="65">
        <f t="shared" ca="1" si="5366"/>
        <v>0</v>
      </c>
      <c r="J2019" s="65">
        <f t="shared" ca="1" si="5366"/>
        <v>0</v>
      </c>
      <c r="K2019" s="65">
        <f t="shared" ca="1" si="5366"/>
        <v>98.76332976744186</v>
      </c>
      <c r="L2019" s="65">
        <f t="shared" ca="1" si="5366"/>
        <v>-5.6843418860808015E-14</v>
      </c>
      <c r="M2019" s="65">
        <f t="shared" ca="1" si="5366"/>
        <v>0</v>
      </c>
      <c r="N2019" s="65">
        <f t="shared" ca="1" si="5366"/>
        <v>47.90430408785906</v>
      </c>
      <c r="O2019" s="65">
        <f t="shared" ca="1" si="5366"/>
        <v>41.655454582366474</v>
      </c>
      <c r="P2019" s="65">
        <f t="shared" ca="1" si="5366"/>
        <v>0</v>
      </c>
      <c r="Q2019" s="65">
        <f t="shared" ca="1" si="5366"/>
        <v>0</v>
      </c>
      <c r="R2019" s="65">
        <f t="shared" ca="1" si="5366"/>
        <v>0</v>
      </c>
      <c r="S2019" s="65">
        <f t="shared" ca="1" si="5366"/>
        <v>0</v>
      </c>
      <c r="T2019" s="65">
        <f t="shared" ca="1" si="5366"/>
        <v>0</v>
      </c>
      <c r="U2019" s="65">
        <f t="shared" ref="U2019" ca="1" si="5367">U1339</f>
        <v>0</v>
      </c>
      <c r="V2019" s="65">
        <f t="shared" ref="V2019" ca="1" si="5368">V1339</f>
        <v>0</v>
      </c>
      <c r="W2019" s="65">
        <f t="shared" ref="W2019" ca="1" si="5369">W1339</f>
        <v>0</v>
      </c>
      <c r="X2019" s="65">
        <f t="shared" ref="X2019" ca="1" si="5370">X1339</f>
        <v>0</v>
      </c>
      <c r="Y2019" s="65">
        <f t="shared" ref="Y2019" ca="1" si="5371">Y1339</f>
        <v>0</v>
      </c>
      <c r="Z2019" s="65">
        <f t="shared" ref="Z2019" ca="1" si="5372">Z1339</f>
        <v>0</v>
      </c>
      <c r="AA2019" s="65">
        <f t="shared" ref="AA2019" ca="1" si="5373">AA1339</f>
        <v>0</v>
      </c>
      <c r="AB2019" s="65">
        <f t="shared" ref="AB2019:AC2019" ca="1" si="5374">AB1339</f>
        <v>0</v>
      </c>
      <c r="AC2019" s="65">
        <f t="shared" ca="1" si="5374"/>
        <v>0</v>
      </c>
      <c r="AD2019" s="19"/>
      <c r="AE2019" s="66">
        <f ca="1">SUM(F2019:AC2019)</f>
        <v>188.32308843766734</v>
      </c>
    </row>
    <row r="2020" spans="1:31" outlineLevel="1" x14ac:dyDescent="0.2">
      <c r="A2020" s="63"/>
      <c r="B2020" s="63"/>
      <c r="C2020" s="63"/>
      <c r="D2020" s="63"/>
      <c r="E2020" s="63"/>
      <c r="F2020" s="63"/>
      <c r="G2020" s="63"/>
      <c r="H2020" s="63"/>
      <c r="I2020" s="63"/>
      <c r="J2020" s="63"/>
      <c r="K2020" s="63"/>
      <c r="L2020" s="63"/>
      <c r="M2020" s="63"/>
      <c r="N2020" s="63"/>
      <c r="O2020" s="63"/>
      <c r="P2020" s="63"/>
      <c r="Q2020" s="63"/>
      <c r="R2020" s="63"/>
      <c r="S2020" s="63"/>
      <c r="T2020" s="63"/>
      <c r="U2020" s="63"/>
      <c r="V2020" s="63"/>
      <c r="W2020" s="63"/>
      <c r="X2020" s="63"/>
      <c r="Y2020" s="63"/>
      <c r="Z2020" s="63"/>
      <c r="AA2020" s="63"/>
      <c r="AB2020" s="63"/>
      <c r="AC2020" s="63"/>
      <c r="AD2020" s="63"/>
      <c r="AE2020" s="64"/>
    </row>
    <row r="2021" spans="1:31" outlineLevel="1" x14ac:dyDescent="0.2">
      <c r="A2021" s="19" t="str">
        <f ca="1">Language!A$936</f>
        <v>Собственные средства и целевое финансирование</v>
      </c>
      <c r="B2021" s="19"/>
      <c r="C2021" s="26" t="str">
        <f t="shared" ca="1" si="5292"/>
        <v>тыс. EUR</v>
      </c>
      <c r="D2021" s="19"/>
      <c r="E2021" s="19"/>
      <c r="F2021" s="65">
        <f t="shared" ref="F2021:T2021" si="5375">F1344+F1345+F1346</f>
        <v>0</v>
      </c>
      <c r="G2021" s="65">
        <f t="shared" si="5375"/>
        <v>0</v>
      </c>
      <c r="H2021" s="65">
        <f t="shared" si="5375"/>
        <v>5695.3855543220343</v>
      </c>
      <c r="I2021" s="65">
        <f t="shared" si="5375"/>
        <v>1519.56</v>
      </c>
      <c r="J2021" s="65">
        <f t="shared" ca="1" si="5375"/>
        <v>7024.8891971793519</v>
      </c>
      <c r="K2021" s="65">
        <f t="shared" si="5375"/>
        <v>2982.5256975335087</v>
      </c>
      <c r="L2021" s="65">
        <f t="shared" si="5375"/>
        <v>0</v>
      </c>
      <c r="M2021" s="65">
        <f t="shared" si="5375"/>
        <v>0</v>
      </c>
      <c r="N2021" s="65">
        <f t="shared" si="5375"/>
        <v>0</v>
      </c>
      <c r="O2021" s="65">
        <f t="shared" si="5375"/>
        <v>0</v>
      </c>
      <c r="P2021" s="65">
        <f t="shared" si="5375"/>
        <v>0</v>
      </c>
      <c r="Q2021" s="65">
        <f t="shared" si="5375"/>
        <v>0</v>
      </c>
      <c r="R2021" s="65">
        <f t="shared" si="5375"/>
        <v>0</v>
      </c>
      <c r="S2021" s="65">
        <f t="shared" si="5375"/>
        <v>0</v>
      </c>
      <c r="T2021" s="65">
        <f t="shared" si="5375"/>
        <v>0</v>
      </c>
      <c r="U2021" s="65">
        <f t="shared" ref="U2021" si="5376">U1344+U1345+U1346</f>
        <v>0</v>
      </c>
      <c r="V2021" s="65">
        <f t="shared" ref="V2021" si="5377">V1344+V1345+V1346</f>
        <v>0</v>
      </c>
      <c r="W2021" s="65">
        <f t="shared" ref="W2021" si="5378">W1344+W1345+W1346</f>
        <v>0</v>
      </c>
      <c r="X2021" s="65">
        <f t="shared" ref="X2021" si="5379">X1344+X1345+X1346</f>
        <v>0</v>
      </c>
      <c r="Y2021" s="65">
        <f t="shared" ref="Y2021" si="5380">Y1344+Y1345+Y1346</f>
        <v>0</v>
      </c>
      <c r="Z2021" s="65">
        <f t="shared" ref="Z2021" si="5381">Z1344+Z1345+Z1346</f>
        <v>0</v>
      </c>
      <c r="AA2021" s="65">
        <f t="shared" ref="AA2021" si="5382">AA1344+AA1345+AA1346</f>
        <v>0</v>
      </c>
      <c r="AB2021" s="65">
        <f t="shared" ref="AB2021:AC2021" si="5383">AB1344+AB1345+AB1346</f>
        <v>0</v>
      </c>
      <c r="AC2021" s="65">
        <f t="shared" si="5383"/>
        <v>0</v>
      </c>
      <c r="AD2021" s="19"/>
      <c r="AE2021" s="66">
        <f ca="1">SUM(F2021:AC2021)</f>
        <v>17222.360449034895</v>
      </c>
    </row>
    <row r="2022" spans="1:31" outlineLevel="1" x14ac:dyDescent="0.2"/>
    <row r="2023" spans="1:31" outlineLevel="1" x14ac:dyDescent="0.2">
      <c r="A2023" t="str">
        <f ca="1">Language!A$937</f>
        <v>Привлечение кредитов</v>
      </c>
      <c r="C2023" s="5" t="str">
        <f t="shared" ca="1" si="5292"/>
        <v>тыс. EUR</v>
      </c>
      <c r="F2023" s="43">
        <f t="shared" ref="F2023:T2023" si="5384">F1347</f>
        <v>0</v>
      </c>
      <c r="G2023" s="43">
        <f t="shared" si="5384"/>
        <v>0</v>
      </c>
      <c r="H2023" s="43">
        <f t="shared" si="5384"/>
        <v>0</v>
      </c>
      <c r="I2023" s="43">
        <f t="shared" si="5384"/>
        <v>0</v>
      </c>
      <c r="J2023" s="43">
        <f t="shared" si="5384"/>
        <v>0</v>
      </c>
      <c r="K2023" s="43">
        <f t="shared" si="5384"/>
        <v>0</v>
      </c>
      <c r="L2023" s="43">
        <f t="shared" si="5384"/>
        <v>0</v>
      </c>
      <c r="M2023" s="43">
        <f t="shared" si="5384"/>
        <v>0</v>
      </c>
      <c r="N2023" s="43">
        <f t="shared" si="5384"/>
        <v>0</v>
      </c>
      <c r="O2023" s="43">
        <f t="shared" si="5384"/>
        <v>0</v>
      </c>
      <c r="P2023" s="43">
        <f t="shared" si="5384"/>
        <v>0</v>
      </c>
      <c r="Q2023" s="43">
        <f t="shared" si="5384"/>
        <v>0</v>
      </c>
      <c r="R2023" s="43">
        <f t="shared" si="5384"/>
        <v>0</v>
      </c>
      <c r="S2023" s="43">
        <f t="shared" si="5384"/>
        <v>0</v>
      </c>
      <c r="T2023" s="43">
        <f t="shared" si="5384"/>
        <v>0</v>
      </c>
      <c r="U2023" s="43">
        <f t="shared" ref="U2023" si="5385">U1347</f>
        <v>0</v>
      </c>
      <c r="V2023" s="43">
        <f t="shared" ref="V2023" si="5386">V1347</f>
        <v>0</v>
      </c>
      <c r="W2023" s="43">
        <f t="shared" ref="W2023" si="5387">W1347</f>
        <v>0</v>
      </c>
      <c r="X2023" s="43">
        <f t="shared" ref="X2023" si="5388">X1347</f>
        <v>0</v>
      </c>
      <c r="Y2023" s="43">
        <f t="shared" ref="Y2023" si="5389">Y1347</f>
        <v>0</v>
      </c>
      <c r="Z2023" s="43">
        <f t="shared" ref="Z2023" si="5390">Z1347</f>
        <v>0</v>
      </c>
      <c r="AA2023" s="43">
        <f t="shared" ref="AA2023" si="5391">AA1347</f>
        <v>0</v>
      </c>
      <c r="AB2023" s="43">
        <f t="shared" ref="AB2023:AC2023" si="5392">AB1347</f>
        <v>0</v>
      </c>
      <c r="AC2023" s="43">
        <f t="shared" si="5392"/>
        <v>0</v>
      </c>
      <c r="AE2023" s="54">
        <f>SUM(F2023:AC2023)</f>
        <v>0</v>
      </c>
    </row>
    <row r="2024" spans="1:31" outlineLevel="1" x14ac:dyDescent="0.2">
      <c r="A2024" t="str">
        <f ca="1">Language!A$938</f>
        <v>Погашение кредитов</v>
      </c>
      <c r="C2024" s="5" t="str">
        <f t="shared" ca="1" si="5292"/>
        <v>тыс. EUR</v>
      </c>
      <c r="F2024" s="43">
        <f t="shared" ref="F2024:T2024" si="5393">F1348</f>
        <v>0</v>
      </c>
      <c r="G2024" s="43">
        <f t="shared" si="5393"/>
        <v>0</v>
      </c>
      <c r="H2024" s="43">
        <f t="shared" si="5393"/>
        <v>0</v>
      </c>
      <c r="I2024" s="43">
        <f t="shared" si="5393"/>
        <v>0</v>
      </c>
      <c r="J2024" s="43">
        <f t="shared" si="5393"/>
        <v>0</v>
      </c>
      <c r="K2024" s="43">
        <f t="shared" si="5393"/>
        <v>0</v>
      </c>
      <c r="L2024" s="43">
        <f t="shared" si="5393"/>
        <v>0</v>
      </c>
      <c r="M2024" s="43">
        <f t="shared" si="5393"/>
        <v>0</v>
      </c>
      <c r="N2024" s="43">
        <f t="shared" si="5393"/>
        <v>0</v>
      </c>
      <c r="O2024" s="43">
        <f t="shared" si="5393"/>
        <v>0</v>
      </c>
      <c r="P2024" s="43">
        <f t="shared" si="5393"/>
        <v>0</v>
      </c>
      <c r="Q2024" s="43">
        <f t="shared" si="5393"/>
        <v>0</v>
      </c>
      <c r="R2024" s="43">
        <f t="shared" si="5393"/>
        <v>0</v>
      </c>
      <c r="S2024" s="43">
        <f t="shared" si="5393"/>
        <v>0</v>
      </c>
      <c r="T2024" s="43">
        <f t="shared" si="5393"/>
        <v>0</v>
      </c>
      <c r="U2024" s="43">
        <f t="shared" ref="U2024" si="5394">U1348</f>
        <v>0</v>
      </c>
      <c r="V2024" s="43">
        <f t="shared" ref="V2024" si="5395">V1348</f>
        <v>0</v>
      </c>
      <c r="W2024" s="43">
        <f t="shared" ref="W2024" si="5396">W1348</f>
        <v>0</v>
      </c>
      <c r="X2024" s="43">
        <f t="shared" ref="X2024" si="5397">X1348</f>
        <v>0</v>
      </c>
      <c r="Y2024" s="43">
        <f t="shared" ref="Y2024" si="5398">Y1348</f>
        <v>0</v>
      </c>
      <c r="Z2024" s="43">
        <f t="shared" ref="Z2024" si="5399">Z1348</f>
        <v>0</v>
      </c>
      <c r="AA2024" s="43">
        <f t="shared" ref="AA2024" si="5400">AA1348</f>
        <v>0</v>
      </c>
      <c r="AB2024" s="43">
        <f t="shared" ref="AB2024:AC2024" si="5401">AB1348</f>
        <v>0</v>
      </c>
      <c r="AC2024" s="43">
        <f t="shared" si="5401"/>
        <v>0</v>
      </c>
      <c r="AE2024" s="54">
        <f>SUM(F2024:AC2024)</f>
        <v>0</v>
      </c>
    </row>
    <row r="2025" spans="1:31" outlineLevel="1" x14ac:dyDescent="0.2">
      <c r="A2025" t="str">
        <f ca="1">Language!A$939</f>
        <v>Выплата процентов по кредитам</v>
      </c>
      <c r="C2025" s="5" t="str">
        <f t="shared" ca="1" si="5292"/>
        <v>тыс. EUR</v>
      </c>
      <c r="F2025" s="43">
        <f t="shared" ref="F2025:T2025" si="5402">F1327</f>
        <v>0</v>
      </c>
      <c r="G2025" s="43">
        <f t="shared" si="5402"/>
        <v>0</v>
      </c>
      <c r="H2025" s="43">
        <f t="shared" si="5402"/>
        <v>0</v>
      </c>
      <c r="I2025" s="43">
        <f t="shared" si="5402"/>
        <v>0</v>
      </c>
      <c r="J2025" s="43">
        <f t="shared" si="5402"/>
        <v>0</v>
      </c>
      <c r="K2025" s="43">
        <f t="shared" si="5402"/>
        <v>0</v>
      </c>
      <c r="L2025" s="43">
        <f t="shared" si="5402"/>
        <v>0</v>
      </c>
      <c r="M2025" s="43">
        <f t="shared" si="5402"/>
        <v>0</v>
      </c>
      <c r="N2025" s="43">
        <f t="shared" si="5402"/>
        <v>0</v>
      </c>
      <c r="O2025" s="43">
        <f t="shared" si="5402"/>
        <v>0</v>
      </c>
      <c r="P2025" s="43">
        <f t="shared" si="5402"/>
        <v>0</v>
      </c>
      <c r="Q2025" s="43">
        <f t="shared" si="5402"/>
        <v>0</v>
      </c>
      <c r="R2025" s="43">
        <f t="shared" si="5402"/>
        <v>0</v>
      </c>
      <c r="S2025" s="43">
        <f t="shared" si="5402"/>
        <v>0</v>
      </c>
      <c r="T2025" s="43">
        <f t="shared" si="5402"/>
        <v>0</v>
      </c>
      <c r="U2025" s="43">
        <f t="shared" ref="U2025" si="5403">U1327</f>
        <v>0</v>
      </c>
      <c r="V2025" s="43">
        <f t="shared" ref="V2025" si="5404">V1327</f>
        <v>0</v>
      </c>
      <c r="W2025" s="43">
        <f t="shared" ref="W2025" si="5405">W1327</f>
        <v>0</v>
      </c>
      <c r="X2025" s="43">
        <f t="shared" ref="X2025" si="5406">X1327</f>
        <v>0</v>
      </c>
      <c r="Y2025" s="43">
        <f t="shared" ref="Y2025" si="5407">Y1327</f>
        <v>0</v>
      </c>
      <c r="Z2025" s="43">
        <f t="shared" ref="Z2025" si="5408">Z1327</f>
        <v>0</v>
      </c>
      <c r="AA2025" s="43">
        <f t="shared" ref="AA2025" si="5409">AA1327</f>
        <v>0</v>
      </c>
      <c r="AB2025" s="43">
        <f t="shared" ref="AB2025:AC2025" si="5410">AB1327</f>
        <v>0</v>
      </c>
      <c r="AC2025" s="43">
        <f t="shared" si="5410"/>
        <v>0</v>
      </c>
      <c r="AE2025" s="54">
        <f>SUM(F2025:AC2025)</f>
        <v>0</v>
      </c>
    </row>
    <row r="2026" spans="1:31" outlineLevel="1" x14ac:dyDescent="0.2">
      <c r="A2026" s="63"/>
      <c r="B2026" s="63"/>
      <c r="C2026" s="63"/>
      <c r="D2026" s="63"/>
      <c r="E2026" s="63"/>
      <c r="F2026" s="63"/>
      <c r="G2026" s="63"/>
      <c r="H2026" s="63"/>
      <c r="I2026" s="63"/>
      <c r="J2026" s="63"/>
      <c r="K2026" s="63"/>
      <c r="L2026" s="63"/>
      <c r="M2026" s="63"/>
      <c r="N2026" s="63"/>
      <c r="O2026" s="63"/>
      <c r="P2026" s="63"/>
      <c r="Q2026" s="63"/>
      <c r="R2026" s="63"/>
      <c r="S2026" s="63"/>
      <c r="T2026" s="63"/>
      <c r="U2026" s="63"/>
      <c r="V2026" s="63"/>
      <c r="W2026" s="63"/>
      <c r="X2026" s="63"/>
      <c r="Y2026" s="63"/>
      <c r="Z2026" s="63"/>
      <c r="AA2026" s="63"/>
      <c r="AB2026" s="63"/>
      <c r="AC2026" s="63"/>
      <c r="AD2026" s="63"/>
      <c r="AE2026" s="64"/>
    </row>
    <row r="2027" spans="1:31" outlineLevel="1" x14ac:dyDescent="0.2">
      <c r="A2027" s="23" t="str">
        <f ca="1">Language!A$765</f>
        <v>Суммарный денежный поток за период</v>
      </c>
      <c r="B2027" s="19"/>
      <c r="C2027" s="5" t="str">
        <f t="shared" ca="1" si="5292"/>
        <v>тыс. EUR</v>
      </c>
      <c r="D2027" s="19"/>
      <c r="E2027" s="19"/>
      <c r="F2027" s="65">
        <f t="shared" ref="F2027:T2027" ca="1" si="5411">F1354</f>
        <v>0</v>
      </c>
      <c r="G2027" s="65">
        <f t="shared" ca="1" si="5411"/>
        <v>0</v>
      </c>
      <c r="H2027" s="65">
        <f t="shared" ca="1" si="5411"/>
        <v>0</v>
      </c>
      <c r="I2027" s="65">
        <f t="shared" ca="1" si="5411"/>
        <v>0</v>
      </c>
      <c r="J2027" s="65">
        <f t="shared" ca="1" si="5411"/>
        <v>0</v>
      </c>
      <c r="K2027" s="65">
        <f t="shared" ca="1" si="5411"/>
        <v>2827.4120312836421</v>
      </c>
      <c r="L2027" s="65">
        <f t="shared" ca="1" si="5411"/>
        <v>15.623261900942822</v>
      </c>
      <c r="M2027" s="65">
        <f t="shared" ca="1" si="5411"/>
        <v>662.99303790614749</v>
      </c>
      <c r="N2027" s="65">
        <f t="shared" ca="1" si="5411"/>
        <v>964.01024275288535</v>
      </c>
      <c r="O2027" s="65">
        <f t="shared" ca="1" si="5411"/>
        <v>1285.2732652519153</v>
      </c>
      <c r="P2027" s="65">
        <f t="shared" ca="1" si="5411"/>
        <v>1454.7746893858591</v>
      </c>
      <c r="Q2027" s="65">
        <f t="shared" ca="1" si="5411"/>
        <v>1454.7746893858591</v>
      </c>
      <c r="R2027" s="65">
        <f t="shared" ca="1" si="5411"/>
        <v>1454.7746893858591</v>
      </c>
      <c r="S2027" s="65">
        <f t="shared" ca="1" si="5411"/>
        <v>1454.7746893858591</v>
      </c>
      <c r="T2027" s="65">
        <f t="shared" ca="1" si="5411"/>
        <v>1454.7746893858591</v>
      </c>
      <c r="U2027" s="65">
        <f t="shared" ref="U2027" ca="1" si="5412">U1354</f>
        <v>1454.7746893858591</v>
      </c>
      <c r="V2027" s="65">
        <f t="shared" ref="V2027" ca="1" si="5413">V1354</f>
        <v>1454.7746893858591</v>
      </c>
      <c r="W2027" s="65">
        <f t="shared" ref="W2027" ca="1" si="5414">W1354</f>
        <v>1454.7746893858591</v>
      </c>
      <c r="X2027" s="65">
        <f t="shared" ref="X2027" ca="1" si="5415">X1354</f>
        <v>1454.7746893858591</v>
      </c>
      <c r="Y2027" s="65">
        <f t="shared" ref="Y2027" ca="1" si="5416">Y1354</f>
        <v>1454.7746893858591</v>
      </c>
      <c r="Z2027" s="65">
        <f t="shared" ref="Z2027" ca="1" si="5417">Z1354</f>
        <v>1454.7746893858591</v>
      </c>
      <c r="AA2027" s="65">
        <f t="shared" ref="AA2027" ca="1" si="5418">AA1354</f>
        <v>1454.7746893858591</v>
      </c>
      <c r="AB2027" s="65">
        <f t="shared" ref="AB2027:AC2027" ca="1" si="5419">AB1354</f>
        <v>1454.7746893858591</v>
      </c>
      <c r="AC2027" s="65">
        <f t="shared" ca="1" si="5419"/>
        <v>1454.7746893858591</v>
      </c>
      <c r="AD2027" s="19"/>
      <c r="AE2027" s="66">
        <f ca="1">SUM(F2027:AC2027)</f>
        <v>26122.157490497564</v>
      </c>
    </row>
    <row r="2028" spans="1:31" outlineLevel="1" x14ac:dyDescent="0.2">
      <c r="A2028" s="23" t="str">
        <f ca="1">Language!A$766</f>
        <v>Денежные средства на начало периода</v>
      </c>
      <c r="B2028" s="19"/>
      <c r="C2028" s="5" t="str">
        <f t="shared" ca="1" si="5292"/>
        <v>тыс. EUR</v>
      </c>
      <c r="D2028" s="16" t="s">
        <v>2594</v>
      </c>
      <c r="E2028" s="19"/>
      <c r="F2028" s="65">
        <f t="shared" ref="F2028:T2028" si="5420">F1355</f>
        <v>0</v>
      </c>
      <c r="G2028" s="65">
        <f t="shared" ca="1" si="5420"/>
        <v>0</v>
      </c>
      <c r="H2028" s="65">
        <f t="shared" ca="1" si="5420"/>
        <v>0</v>
      </c>
      <c r="I2028" s="65">
        <f t="shared" ca="1" si="5420"/>
        <v>0</v>
      </c>
      <c r="J2028" s="65">
        <f t="shared" ca="1" si="5420"/>
        <v>0</v>
      </c>
      <c r="K2028" s="65">
        <f t="shared" ca="1" si="5420"/>
        <v>0</v>
      </c>
      <c r="L2028" s="65">
        <f t="shared" ca="1" si="5420"/>
        <v>2827.4120312836421</v>
      </c>
      <c r="M2028" s="65">
        <f t="shared" ca="1" si="5420"/>
        <v>2843.035293184585</v>
      </c>
      <c r="N2028" s="65">
        <f t="shared" ca="1" si="5420"/>
        <v>3506.0283310907325</v>
      </c>
      <c r="O2028" s="65">
        <f t="shared" ca="1" si="5420"/>
        <v>4470.038573843618</v>
      </c>
      <c r="P2028" s="65">
        <f t="shared" ca="1" si="5420"/>
        <v>5755.3118390955333</v>
      </c>
      <c r="Q2028" s="65">
        <f t="shared" ca="1" si="5420"/>
        <v>7210.0865284813926</v>
      </c>
      <c r="R2028" s="65">
        <f t="shared" ca="1" si="5420"/>
        <v>8664.861217867252</v>
      </c>
      <c r="S2028" s="65">
        <f t="shared" ca="1" si="5420"/>
        <v>10119.63590725311</v>
      </c>
      <c r="T2028" s="65">
        <f t="shared" ca="1" si="5420"/>
        <v>11574.410596638969</v>
      </c>
      <c r="U2028" s="65">
        <f t="shared" ref="U2028" ca="1" si="5421">U1355</f>
        <v>13029.185286024827</v>
      </c>
      <c r="V2028" s="65">
        <f t="shared" ref="V2028" ca="1" si="5422">V1355</f>
        <v>14483.959975410686</v>
      </c>
      <c r="W2028" s="65">
        <f t="shared" ref="W2028" ca="1" si="5423">W1355</f>
        <v>15938.734664796544</v>
      </c>
      <c r="X2028" s="65">
        <f t="shared" ref="X2028" ca="1" si="5424">X1355</f>
        <v>17393.509354182403</v>
      </c>
      <c r="Y2028" s="65">
        <f t="shared" ref="Y2028" ca="1" si="5425">Y1355</f>
        <v>18848.284043568263</v>
      </c>
      <c r="Z2028" s="65">
        <f t="shared" ref="Z2028" ca="1" si="5426">Z1355</f>
        <v>20303.058732954123</v>
      </c>
      <c r="AA2028" s="65">
        <f t="shared" ref="AA2028" ca="1" si="5427">AA1355</f>
        <v>21757.833422339983</v>
      </c>
      <c r="AB2028" s="65">
        <f t="shared" ref="AB2028:AC2028" ca="1" si="5428">AB1355</f>
        <v>23212.608111725844</v>
      </c>
      <c r="AC2028" s="65">
        <f t="shared" ca="1" si="5428"/>
        <v>24667.382801111704</v>
      </c>
      <c r="AD2028" s="19"/>
      <c r="AE2028" s="22"/>
    </row>
    <row r="2029" spans="1:31" outlineLevel="1" x14ac:dyDescent="0.2">
      <c r="A2029" s="23" t="str">
        <f ca="1">Language!A$767</f>
        <v>Денежные средства на конец периода</v>
      </c>
      <c r="B2029" s="19"/>
      <c r="C2029" s="5" t="str">
        <f t="shared" ca="1" si="5292"/>
        <v>тыс. EUR</v>
      </c>
      <c r="D2029" s="16" t="s">
        <v>2594</v>
      </c>
      <c r="E2029" s="19"/>
      <c r="F2029" s="65">
        <f t="shared" ref="F2029:T2029" ca="1" si="5429">F1356</f>
        <v>0</v>
      </c>
      <c r="G2029" s="65">
        <f t="shared" ca="1" si="5429"/>
        <v>0</v>
      </c>
      <c r="H2029" s="65">
        <f t="shared" ca="1" si="5429"/>
        <v>0</v>
      </c>
      <c r="I2029" s="65">
        <f t="shared" ca="1" si="5429"/>
        <v>0</v>
      </c>
      <c r="J2029" s="65">
        <f t="shared" ca="1" si="5429"/>
        <v>0</v>
      </c>
      <c r="K2029" s="65">
        <f t="shared" ca="1" si="5429"/>
        <v>2827.4120312836421</v>
      </c>
      <c r="L2029" s="65">
        <f t="shared" ca="1" si="5429"/>
        <v>2843.035293184585</v>
      </c>
      <c r="M2029" s="65">
        <f t="shared" ca="1" si="5429"/>
        <v>3506.0283310907325</v>
      </c>
      <c r="N2029" s="65">
        <f t="shared" ca="1" si="5429"/>
        <v>4470.038573843618</v>
      </c>
      <c r="O2029" s="65">
        <f t="shared" ca="1" si="5429"/>
        <v>5755.3118390955333</v>
      </c>
      <c r="P2029" s="65">
        <f t="shared" ca="1" si="5429"/>
        <v>7210.0865284813926</v>
      </c>
      <c r="Q2029" s="65">
        <f t="shared" ca="1" si="5429"/>
        <v>8664.861217867252</v>
      </c>
      <c r="R2029" s="65">
        <f t="shared" ca="1" si="5429"/>
        <v>10119.63590725311</v>
      </c>
      <c r="S2029" s="65">
        <f t="shared" ca="1" si="5429"/>
        <v>11574.410596638969</v>
      </c>
      <c r="T2029" s="65">
        <f t="shared" ca="1" si="5429"/>
        <v>13029.185286024827</v>
      </c>
      <c r="U2029" s="65">
        <f t="shared" ref="U2029" ca="1" si="5430">U1356</f>
        <v>14483.959975410686</v>
      </c>
      <c r="V2029" s="65">
        <f t="shared" ref="V2029" ca="1" si="5431">V1356</f>
        <v>15938.734664796544</v>
      </c>
      <c r="W2029" s="65">
        <f t="shared" ref="W2029" ca="1" si="5432">W1356</f>
        <v>17393.509354182403</v>
      </c>
      <c r="X2029" s="65">
        <f t="shared" ref="X2029" ca="1" si="5433">X1356</f>
        <v>18848.284043568263</v>
      </c>
      <c r="Y2029" s="65">
        <f t="shared" ref="Y2029" ca="1" si="5434">Y1356</f>
        <v>20303.058732954123</v>
      </c>
      <c r="Z2029" s="65">
        <f t="shared" ref="Z2029" ca="1" si="5435">Z1356</f>
        <v>21757.833422339983</v>
      </c>
      <c r="AA2029" s="65">
        <f t="shared" ref="AA2029" ca="1" si="5436">AA1356</f>
        <v>23212.608111725844</v>
      </c>
      <c r="AB2029" s="65">
        <f t="shared" ref="AB2029:AC2029" ca="1" si="5437">AB1356</f>
        <v>24667.382801111704</v>
      </c>
      <c r="AC2029" s="65">
        <f t="shared" ca="1" si="5437"/>
        <v>26122.157490497564</v>
      </c>
      <c r="AD2029" s="19"/>
      <c r="AE2029" s="22"/>
    </row>
    <row r="2030" spans="1:31" outlineLevel="1" x14ac:dyDescent="0.2">
      <c r="A2030" s="63"/>
      <c r="B2030" s="63"/>
      <c r="C2030" s="63"/>
      <c r="D2030" s="63"/>
      <c r="E2030" s="63"/>
      <c r="F2030" s="63"/>
      <c r="G2030" s="63"/>
      <c r="H2030" s="63"/>
      <c r="I2030" s="63"/>
      <c r="J2030" s="63"/>
      <c r="K2030" s="63"/>
      <c r="L2030" s="63"/>
      <c r="M2030" s="63"/>
      <c r="N2030" s="63"/>
      <c r="O2030" s="63"/>
      <c r="P2030" s="63"/>
      <c r="Q2030" s="63"/>
      <c r="R2030" s="63"/>
      <c r="S2030" s="63"/>
      <c r="T2030" s="63"/>
      <c r="U2030" s="63"/>
      <c r="V2030" s="63"/>
      <c r="W2030" s="63"/>
      <c r="X2030" s="63"/>
      <c r="Y2030" s="63"/>
      <c r="Z2030" s="63"/>
      <c r="AA2030" s="63"/>
      <c r="AB2030" s="63"/>
      <c r="AC2030" s="63"/>
      <c r="AD2030" s="63"/>
      <c r="AE2030" s="64"/>
    </row>
    <row r="2031" spans="1:31" outlineLevel="1" x14ac:dyDescent="0.2">
      <c r="A2031" s="62" t="str">
        <f ca="1">Language!A$940</f>
        <v>Эффективность полных инвестиционных затрат</v>
      </c>
      <c r="B2031" s="19"/>
      <c r="C2031" s="19"/>
      <c r="D2031" s="19"/>
      <c r="E2031" s="19"/>
      <c r="F2031" s="19"/>
      <c r="G2031" s="19"/>
      <c r="H2031" s="19"/>
      <c r="I2031" s="19"/>
      <c r="J2031" s="19"/>
      <c r="K2031" s="19"/>
      <c r="L2031" s="19"/>
      <c r="M2031" s="19"/>
      <c r="N2031" s="19"/>
      <c r="O2031" s="19"/>
      <c r="P2031" s="19"/>
      <c r="Q2031" s="19"/>
      <c r="R2031" s="19"/>
      <c r="S2031" s="19"/>
      <c r="T2031" s="19"/>
      <c r="U2031" s="19"/>
      <c r="V2031" s="19"/>
      <c r="W2031" s="19"/>
      <c r="X2031" s="19"/>
      <c r="Y2031" s="19"/>
      <c r="Z2031" s="19"/>
      <c r="AA2031" s="19"/>
      <c r="AB2031" s="19"/>
      <c r="AC2031" s="19"/>
      <c r="AD2031" s="19"/>
      <c r="AE2031" s="22"/>
    </row>
    <row r="2032" spans="1:31" outlineLevel="1" x14ac:dyDescent="0.2">
      <c r="A2032" s="24" t="str">
        <f ca="1">Language!A$864</f>
        <v>Чистая приведенная стоимость (NPV)</v>
      </c>
      <c r="B2032" s="137">
        <f ca="1">B1742</f>
        <v>838.04126949682859</v>
      </c>
      <c r="C2032" s="26" t="str">
        <f ca="1">C1742</f>
        <v>тыс. EUR</v>
      </c>
      <c r="D2032" s="19"/>
      <c r="E2032" s="19"/>
      <c r="F2032" s="19"/>
      <c r="G2032" s="19"/>
      <c r="H2032" s="19"/>
      <c r="I2032" s="19"/>
      <c r="J2032" s="19"/>
      <c r="K2032" s="19"/>
      <c r="L2032" s="19"/>
      <c r="M2032" s="19"/>
      <c r="N2032" s="19"/>
      <c r="O2032" s="19"/>
      <c r="P2032" s="19"/>
      <c r="Q2032" s="19"/>
      <c r="R2032" s="19"/>
      <c r="S2032" s="19"/>
      <c r="T2032" s="19"/>
      <c r="U2032" s="19"/>
      <c r="V2032" s="19"/>
      <c r="W2032" s="19"/>
      <c r="X2032" s="19"/>
      <c r="Y2032" s="19"/>
      <c r="Z2032" s="19"/>
      <c r="AA2032" s="19"/>
      <c r="AB2032" s="19"/>
      <c r="AC2032" s="19"/>
      <c r="AD2032" s="19"/>
      <c r="AE2032" s="22"/>
    </row>
    <row r="2033" spans="1:31" outlineLevel="1" x14ac:dyDescent="0.2">
      <c r="A2033" s="24" t="str">
        <f ca="1">Language!A$865</f>
        <v>Дисконтированный срок окупаемости (PBP)</v>
      </c>
      <c r="B2033" s="156">
        <f ca="1">B1743</f>
        <v>5.6807825716873559</v>
      </c>
      <c r="C2033" s="26" t="str">
        <f ca="1">C1743</f>
        <v>лет</v>
      </c>
      <c r="D2033" s="19"/>
      <c r="E2033" s="19"/>
      <c r="F2033" s="19"/>
      <c r="G2033" s="19"/>
      <c r="H2033" s="19"/>
      <c r="I2033" s="19"/>
      <c r="J2033" s="19"/>
      <c r="K2033" s="19"/>
      <c r="L2033" s="19"/>
      <c r="M2033" s="19"/>
      <c r="N2033" s="19"/>
      <c r="O2033" s="19"/>
      <c r="P2033" s="19"/>
      <c r="Q2033" s="19"/>
      <c r="R2033" s="19"/>
      <c r="S2033" s="19"/>
      <c r="T2033" s="19"/>
      <c r="U2033" s="19"/>
      <c r="V2033" s="19"/>
      <c r="W2033" s="19"/>
      <c r="X2033" s="19"/>
      <c r="Y2033" s="19"/>
      <c r="Z2033" s="19"/>
      <c r="AA2033" s="19"/>
      <c r="AB2033" s="19"/>
      <c r="AC2033" s="19"/>
      <c r="AD2033" s="19"/>
      <c r="AE2033" s="22"/>
    </row>
    <row r="2034" spans="1:31" outlineLevel="1" x14ac:dyDescent="0.2">
      <c r="A2034" s="23" t="str">
        <f ca="1">Language!A$868</f>
        <v>Внутренняя норма рентабельности (IRR)</v>
      </c>
      <c r="B2034" s="155">
        <f ca="1">B1746</f>
        <v>0.17529380638914649</v>
      </c>
      <c r="C2034" s="71" t="str">
        <f ca="1">C1746</f>
        <v>(номинальная - с учетом инфляции)</v>
      </c>
    </row>
    <row r="2035" spans="1:31" outlineLevel="1" x14ac:dyDescent="0.2">
      <c r="A2035" s="23" t="str">
        <f ca="1">Language!A$869</f>
        <v>Норма доходности дисконтированных затрат (PI)</v>
      </c>
      <c r="B2035" s="153">
        <f ca="1">B1749</f>
        <v>1.0648730884159889</v>
      </c>
      <c r="C2035" s="5" t="s">
        <v>2430</v>
      </c>
    </row>
    <row r="2036" spans="1:31" outlineLevel="1" x14ac:dyDescent="0.2"/>
    <row r="2037" spans="1:31" outlineLevel="1" x14ac:dyDescent="0.2">
      <c r="A2037" s="35" t="str">
        <f ca="1">Language!A$941</f>
        <v>Эффективность для собственного капитала</v>
      </c>
    </row>
    <row r="2038" spans="1:31" outlineLevel="1" x14ac:dyDescent="0.2">
      <c r="A2038" s="24" t="str">
        <f ca="1">Language!A$864</f>
        <v>Чистая приведенная стоимость (NPV)</v>
      </c>
      <c r="B2038" s="130">
        <f ca="1">B1816</f>
        <v>18728.016928640918</v>
      </c>
      <c r="C2038" s="5" t="str">
        <f ca="1">C1816</f>
        <v>тыс. EUR</v>
      </c>
    </row>
    <row r="2039" spans="1:31" outlineLevel="1" x14ac:dyDescent="0.2">
      <c r="A2039" s="24" t="str">
        <f ca="1">Language!A$865</f>
        <v>Дисконтированный срок окупаемости (PBP)</v>
      </c>
      <c r="B2039" s="135" t="str">
        <f ca="1">B1817</f>
        <v>Нет</v>
      </c>
      <c r="C2039" s="5" t="str">
        <f ca="1">C1817</f>
        <v>лет</v>
      </c>
    </row>
    <row r="2040" spans="1:31" outlineLevel="1" x14ac:dyDescent="0.2">
      <c r="A2040" s="23" t="str">
        <f ca="1">Language!A$868</f>
        <v>Внутренняя норма рентабельности (IRR)</v>
      </c>
      <c r="B2040" s="155" t="str">
        <f ca="1">B1820</f>
        <v>Нет</v>
      </c>
      <c r="C2040" s="71" t="str">
        <f ca="1">C1820</f>
        <v>(номинальная - с учетом инфляции)</v>
      </c>
    </row>
    <row r="2041" spans="1:31" outlineLevel="1" x14ac:dyDescent="0.2">
      <c r="A2041" s="23" t="str">
        <f ca="1">Language!A$869</f>
        <v>Норма доходности дисконтированных затрат (PI)</v>
      </c>
      <c r="B2041" s="153" t="str">
        <f ca="1">B1823</f>
        <v>Нет</v>
      </c>
      <c r="C2041" s="5" t="str">
        <f ca="1">C1823</f>
        <v>разы</v>
      </c>
    </row>
    <row r="2042" spans="1:31" outlineLevel="1" x14ac:dyDescent="0.2"/>
    <row r="2043" spans="1:31" outlineLevel="1" x14ac:dyDescent="0.2">
      <c r="A2043" s="35" t="str">
        <f ca="1">Language!A$942</f>
        <v>Эффективность для банка</v>
      </c>
    </row>
    <row r="2044" spans="1:31" outlineLevel="1" x14ac:dyDescent="0.2">
      <c r="A2044" s="24" t="str">
        <f ca="1">Language!A$865</f>
        <v>Дисконтированный срок окупаемости (PBP)</v>
      </c>
      <c r="B2044" s="135" t="str">
        <f ca="1">B1889</f>
        <v>Нет</v>
      </c>
      <c r="C2044" s="5" t="str">
        <f ca="1">C1889</f>
        <v>лет</v>
      </c>
    </row>
    <row r="2045" spans="1:31" outlineLevel="1" x14ac:dyDescent="0.2">
      <c r="A2045" s="23" t="str">
        <f ca="1">Language!A$868</f>
        <v>Внутренняя норма рентабельности (IRR)</v>
      </c>
      <c r="B2045" s="155" t="str">
        <f ca="1">B1892</f>
        <v>Нет</v>
      </c>
      <c r="C2045" s="71" t="str">
        <f ca="1">C1892</f>
        <v>(номинальная - с учетом инфляции)</v>
      </c>
    </row>
    <row r="2046" spans="1:31" outlineLevel="1" x14ac:dyDescent="0.2">
      <c r="A2046" s="63"/>
      <c r="B2046" s="63"/>
      <c r="C2046" s="63"/>
      <c r="D2046" s="63"/>
      <c r="E2046" s="63"/>
      <c r="F2046" s="63"/>
      <c r="G2046" s="63"/>
      <c r="H2046" s="63"/>
      <c r="I2046" s="63"/>
      <c r="J2046" s="63"/>
      <c r="K2046" s="63"/>
      <c r="L2046" s="63"/>
      <c r="M2046" s="63"/>
      <c r="N2046" s="63"/>
      <c r="O2046" s="63"/>
      <c r="P2046" s="63"/>
      <c r="Q2046" s="63"/>
      <c r="R2046" s="63"/>
      <c r="S2046" s="63"/>
      <c r="T2046" s="63"/>
      <c r="U2046" s="63"/>
      <c r="V2046" s="63"/>
      <c r="W2046" s="63"/>
      <c r="X2046" s="63"/>
      <c r="Y2046" s="63"/>
      <c r="Z2046" s="63"/>
      <c r="AA2046" s="63"/>
      <c r="AB2046" s="63"/>
      <c r="AC2046" s="63"/>
      <c r="AD2046" s="63"/>
      <c r="AE2046" s="64"/>
    </row>
    <row r="2047" spans="1:31" outlineLevel="1" x14ac:dyDescent="0.2"/>
    <row r="2048" spans="1:31" s="4" customFormat="1" ht="15.95" customHeight="1" thickBot="1" x14ac:dyDescent="0.25">
      <c r="A2048" s="165" t="str">
        <f ca="1">Language!A943</f>
        <v xml:space="preserve">         АНАЛИЗ ЧУВСТВИТЕЛЬНОСТИ</v>
      </c>
      <c r="B2048" s="165"/>
      <c r="C2048" s="165"/>
      <c r="D2048" s="165"/>
      <c r="E2048" s="165"/>
      <c r="F2048" s="177"/>
      <c r="G2048" s="177"/>
      <c r="H2048" s="177"/>
      <c r="I2048" s="177"/>
      <c r="J2048" s="177"/>
      <c r="K2048" s="177"/>
      <c r="L2048" s="177"/>
      <c r="M2048" s="177"/>
      <c r="N2048" s="177"/>
      <c r="O2048" s="177"/>
      <c r="P2048" s="177"/>
      <c r="Q2048" s="177"/>
      <c r="R2048" s="177"/>
      <c r="S2048" s="177"/>
      <c r="T2048" s="177"/>
      <c r="U2048" s="177"/>
      <c r="V2048" s="177"/>
      <c r="W2048" s="177"/>
      <c r="X2048" s="177"/>
      <c r="Y2048" s="177"/>
      <c r="Z2048" s="177"/>
      <c r="AA2048" s="177"/>
      <c r="AB2048" s="177"/>
      <c r="AC2048" s="177"/>
      <c r="AD2048" s="165"/>
      <c r="AE2048" s="166"/>
    </row>
    <row r="2049" spans="1:5" ht="12" outlineLevel="1" thickTop="1" x14ac:dyDescent="0.2"/>
    <row r="2050" spans="1:5" outlineLevel="1" x14ac:dyDescent="0.2">
      <c r="A2050" s="225" t="str">
        <f ca="1">Language!A984</f>
        <v>Изменяемый параметр</v>
      </c>
      <c r="B2050" s="225"/>
      <c r="C2050" s="225"/>
    </row>
    <row r="2051" spans="1:5" outlineLevel="1" x14ac:dyDescent="0.2">
      <c r="A2051" s="48"/>
      <c r="B2051" s="48"/>
      <c r="C2051" s="48"/>
    </row>
    <row r="2052" spans="1:5" outlineLevel="1" x14ac:dyDescent="0.2">
      <c r="A2052" s="236" t="str">
        <f ca="1">OFFSET(A2099,SENS_Source,)</f>
        <v>Общая величина инвестиций</v>
      </c>
      <c r="C2052" s="19"/>
      <c r="E2052">
        <v>4</v>
      </c>
    </row>
    <row r="2053" spans="1:5" outlineLevel="1" x14ac:dyDescent="0.2">
      <c r="A2053" s="234"/>
      <c r="C2053" s="19"/>
    </row>
    <row r="2054" spans="1:5" outlineLevel="1" x14ac:dyDescent="0.2">
      <c r="A2054" s="225" t="str">
        <f ca="1">Language!A985</f>
        <v>В интервале</v>
      </c>
      <c r="B2054" s="225"/>
      <c r="C2054" s="225"/>
    </row>
    <row r="2055" spans="1:5" outlineLevel="1" x14ac:dyDescent="0.2">
      <c r="A2055" s="227" t="str">
        <f ca="1">Language!A986</f>
        <v xml:space="preserve">от: </v>
      </c>
      <c r="B2055" s="272">
        <v>1</v>
      </c>
      <c r="C2055" t="str">
        <f ca="1">IF(ISERROR(FIND("%",OFFSET(C2099,SENS_Source,0))),Language!A1006,"")</f>
        <v>от планового значения</v>
      </c>
    </row>
    <row r="2056" spans="1:5" outlineLevel="1" x14ac:dyDescent="0.2">
      <c r="A2056" s="227" t="str">
        <f ca="1">Language!A987</f>
        <v xml:space="preserve">с шагом: </v>
      </c>
      <c r="B2056" s="272">
        <v>0.05</v>
      </c>
    </row>
    <row r="2057" spans="1:5" outlineLevel="1" x14ac:dyDescent="0.2">
      <c r="A2057" s="235"/>
      <c r="B2057" s="134"/>
      <c r="C2057" s="48"/>
    </row>
    <row r="2058" spans="1:5" outlineLevel="1" x14ac:dyDescent="0.2">
      <c r="A2058" s="225" t="str">
        <f ca="1">Language!A988</f>
        <v>Итоговый показатель</v>
      </c>
      <c r="B2058" s="231"/>
      <c r="C2058" s="232"/>
    </row>
    <row r="2059" spans="1:5" outlineLevel="1" x14ac:dyDescent="0.2"/>
    <row r="2060" spans="1:5" outlineLevel="1" x14ac:dyDescent="0.2">
      <c r="A2060" s="236" t="str">
        <f ca="1">OFFSET(A2107,SENS_Result,0)</f>
        <v>NPV для полных инвестиционных затрат</v>
      </c>
      <c r="E2060">
        <v>1</v>
      </c>
    </row>
    <row r="2061" spans="1:5" outlineLevel="1" x14ac:dyDescent="0.2">
      <c r="C2061" s="230"/>
    </row>
    <row r="2062" spans="1:5" outlineLevel="1" x14ac:dyDescent="0.2">
      <c r="A2062" s="225" t="str">
        <f ca="1">Language!A989</f>
        <v>Таблица рассчитанных значений</v>
      </c>
      <c r="B2062" s="228" t="str">
        <f ca="1">Language!A990</f>
        <v>Значение</v>
      </c>
      <c r="C2062" s="233" t="str">
        <f ca="1">Language!A991</f>
        <v>Результат</v>
      </c>
    </row>
    <row r="2063" spans="1:5" outlineLevel="1" x14ac:dyDescent="0.2">
      <c r="A2063" s="48"/>
      <c r="B2063" s="229">
        <f>SENS_From</f>
        <v>1</v>
      </c>
      <c r="C2063" s="237">
        <v>0</v>
      </c>
    </row>
    <row r="2064" spans="1:5" outlineLevel="1" x14ac:dyDescent="0.2">
      <c r="A2064" s="48"/>
      <c r="B2064" s="229">
        <f t="shared" ref="B2064:B2069" si="5438">B2063+SENS_Step</f>
        <v>1.05</v>
      </c>
      <c r="C2064" s="237">
        <v>0</v>
      </c>
    </row>
    <row r="2065" spans="1:3" outlineLevel="1" x14ac:dyDescent="0.2">
      <c r="A2065" s="48"/>
      <c r="B2065" s="229">
        <f t="shared" si="5438"/>
        <v>1.1000000000000001</v>
      </c>
      <c r="C2065" s="237">
        <v>0</v>
      </c>
    </row>
    <row r="2066" spans="1:3" outlineLevel="1" x14ac:dyDescent="0.2">
      <c r="A2066" s="48"/>
      <c r="B2066" s="229">
        <f t="shared" si="5438"/>
        <v>1.1500000000000001</v>
      </c>
      <c r="C2066" s="237">
        <v>0</v>
      </c>
    </row>
    <row r="2067" spans="1:3" outlineLevel="1" x14ac:dyDescent="0.2">
      <c r="A2067" s="48"/>
      <c r="B2067" s="229">
        <f t="shared" si="5438"/>
        <v>1.2000000000000002</v>
      </c>
      <c r="C2067" s="237">
        <v>0</v>
      </c>
    </row>
    <row r="2068" spans="1:3" outlineLevel="1" x14ac:dyDescent="0.2">
      <c r="A2068" s="48"/>
      <c r="B2068" s="229">
        <f t="shared" si="5438"/>
        <v>1.2500000000000002</v>
      </c>
      <c r="C2068" s="237">
        <v>0</v>
      </c>
    </row>
    <row r="2069" spans="1:3" outlineLevel="1" x14ac:dyDescent="0.2">
      <c r="A2069" s="172"/>
      <c r="B2069" s="240">
        <f t="shared" si="5438"/>
        <v>1.3000000000000003</v>
      </c>
      <c r="C2069" s="241">
        <v>0</v>
      </c>
    </row>
    <row r="2070" spans="1:3" outlineLevel="1" x14ac:dyDescent="0.2"/>
    <row r="2071" spans="1:3" outlineLevel="1" collapsed="1" x14ac:dyDescent="0.2">
      <c r="A2071" s="226" t="str">
        <f ca="1">Language!A$992</f>
        <v>График: Анализ чувствительности</v>
      </c>
    </row>
    <row r="2072" spans="1:3" hidden="1" outlineLevel="2" x14ac:dyDescent="0.2"/>
    <row r="2073" spans="1:3" hidden="1" outlineLevel="2" x14ac:dyDescent="0.2"/>
    <row r="2074" spans="1:3" hidden="1" outlineLevel="2" x14ac:dyDescent="0.2"/>
    <row r="2075" spans="1:3" hidden="1" outlineLevel="2" x14ac:dyDescent="0.2"/>
    <row r="2076" spans="1:3" hidden="1" outlineLevel="2" x14ac:dyDescent="0.2"/>
    <row r="2077" spans="1:3" hidden="1" outlineLevel="2" x14ac:dyDescent="0.2"/>
    <row r="2078" spans="1:3" hidden="1" outlineLevel="2" x14ac:dyDescent="0.2"/>
    <row r="2079" spans="1:3" hidden="1" outlineLevel="2" x14ac:dyDescent="0.2"/>
    <row r="2080" spans="1:3" hidden="1" outlineLevel="2" x14ac:dyDescent="0.2"/>
    <row r="2081" hidden="1" outlineLevel="2" x14ac:dyDescent="0.2"/>
    <row r="2082" hidden="1" outlineLevel="2" x14ac:dyDescent="0.2"/>
    <row r="2083" hidden="1" outlineLevel="2" x14ac:dyDescent="0.2"/>
    <row r="2084" hidden="1" outlineLevel="2" x14ac:dyDescent="0.2"/>
    <row r="2085" hidden="1" outlineLevel="2" x14ac:dyDescent="0.2"/>
    <row r="2086" hidden="1" outlineLevel="2" x14ac:dyDescent="0.2"/>
    <row r="2087" hidden="1" outlineLevel="2" x14ac:dyDescent="0.2"/>
    <row r="2088" hidden="1" outlineLevel="2" x14ac:dyDescent="0.2"/>
    <row r="2089" hidden="1" outlineLevel="2" x14ac:dyDescent="0.2"/>
    <row r="2090" hidden="1" outlineLevel="2" x14ac:dyDescent="0.2"/>
    <row r="2091" hidden="1" outlineLevel="2" x14ac:dyDescent="0.2"/>
    <row r="2092" hidden="1" outlineLevel="2" x14ac:dyDescent="0.2"/>
    <row r="2093" hidden="1" outlineLevel="2" x14ac:dyDescent="0.2"/>
    <row r="2094" hidden="1" outlineLevel="2" x14ac:dyDescent="0.2"/>
    <row r="2095" outlineLevel="1" x14ac:dyDescent="0.2"/>
    <row r="2096" outlineLevel="1" x14ac:dyDescent="0.2"/>
    <row r="2097" spans="1:6" outlineLevel="1" collapsed="1" x14ac:dyDescent="0.2">
      <c r="A2097" s="225" t="str">
        <f ca="1">Language!A993</f>
        <v>Параметры анализа чувствительности</v>
      </c>
      <c r="B2097" s="225"/>
      <c r="C2097" s="225"/>
    </row>
    <row r="2098" spans="1:6" hidden="1" outlineLevel="2" x14ac:dyDescent="0.2"/>
    <row r="2099" spans="1:6" hidden="1" outlineLevel="2" x14ac:dyDescent="0.2">
      <c r="A2099" s="238" t="str">
        <f ca="1">Language!A984</f>
        <v>Изменяемый параметр</v>
      </c>
      <c r="B2099" s="239" t="str">
        <f ca="1">Language!A1005</f>
        <v>Область</v>
      </c>
      <c r="C2099" s="239" t="s">
        <v>1352</v>
      </c>
      <c r="D2099" s="309" t="s">
        <v>684</v>
      </c>
    </row>
    <row r="2100" spans="1:6" hidden="1" outlineLevel="2" x14ac:dyDescent="0.2">
      <c r="A2100" t="str">
        <f ca="1">Language!A994</f>
        <v>Объем реализации (в единицах продукции)</v>
      </c>
      <c r="B2100" s="71" t="s">
        <v>1354</v>
      </c>
      <c r="C2100" s="5"/>
    </row>
    <row r="2101" spans="1:6" hidden="1" outlineLevel="2" x14ac:dyDescent="0.2">
      <c r="A2101" t="str">
        <f ca="1">Language!A995</f>
        <v>Цена реализации</v>
      </c>
      <c r="B2101" s="71" t="s">
        <v>1355</v>
      </c>
      <c r="C2101" s="5"/>
    </row>
    <row r="2102" spans="1:6" hidden="1" outlineLevel="2" x14ac:dyDescent="0.2">
      <c r="A2102" t="str">
        <f ca="1">Language!A996</f>
        <v>Текущие затраты</v>
      </c>
      <c r="B2102" s="71" t="s">
        <v>2077</v>
      </c>
      <c r="C2102" s="5"/>
    </row>
    <row r="2103" spans="1:6" hidden="1" outlineLevel="2" x14ac:dyDescent="0.2">
      <c r="A2103" t="str">
        <f ca="1">Language!A997</f>
        <v>Общая величина инвестиций</v>
      </c>
      <c r="B2103" s="71" t="s">
        <v>1356</v>
      </c>
      <c r="C2103" s="5"/>
    </row>
    <row r="2104" spans="1:6" hidden="1" outlineLevel="2" x14ac:dyDescent="0.2">
      <c r="A2104" t="str">
        <f ca="1">Language!A998</f>
        <v>Ставка дисконтирования</v>
      </c>
      <c r="B2104" s="71" t="s">
        <v>1357</v>
      </c>
      <c r="C2104" s="5" t="s">
        <v>2430</v>
      </c>
    </row>
    <row r="2105" spans="1:6" hidden="1" outlineLevel="2" x14ac:dyDescent="0.2">
      <c r="A2105" s="226" t="str">
        <f ca="1">Language!A999</f>
        <v>&lt;конец списка изменяемых параметров&gt;</v>
      </c>
    </row>
    <row r="2106" spans="1:6" hidden="1" outlineLevel="2" x14ac:dyDescent="0.2"/>
    <row r="2107" spans="1:6" hidden="1" outlineLevel="2" x14ac:dyDescent="0.2">
      <c r="A2107" s="238" t="str">
        <f ca="1">Language!A988</f>
        <v>Итоговый показатель</v>
      </c>
      <c r="B2107" s="239" t="str">
        <f ca="1">Language!A1005</f>
        <v>Область</v>
      </c>
      <c r="C2107" s="239" t="s">
        <v>1352</v>
      </c>
      <c r="D2107" s="322"/>
      <c r="E2107" s="322"/>
      <c r="F2107" s="322" t="s">
        <v>278</v>
      </c>
    </row>
    <row r="2108" spans="1:6" hidden="1" outlineLevel="2" x14ac:dyDescent="0.2">
      <c r="A2108" t="str">
        <f ca="1">Language!A1000</f>
        <v>NPV для полных инвестиционных затрат</v>
      </c>
      <c r="B2108" s="71" t="s">
        <v>430</v>
      </c>
      <c r="C2108" s="5"/>
    </row>
    <row r="2109" spans="1:6" hidden="1" outlineLevel="2" x14ac:dyDescent="0.2">
      <c r="A2109" t="str">
        <f ca="1">Language!A1001</f>
        <v>NPV для собственного капитала</v>
      </c>
      <c r="B2109" s="71" t="s">
        <v>431</v>
      </c>
      <c r="C2109" s="5"/>
    </row>
    <row r="2110" spans="1:6" hidden="1" outlineLevel="2" x14ac:dyDescent="0.2">
      <c r="A2110" t="str">
        <f ca="1">Language!A1002</f>
        <v>NPV для банка</v>
      </c>
      <c r="B2110" s="71" t="s">
        <v>432</v>
      </c>
      <c r="C2110" s="5"/>
    </row>
    <row r="2111" spans="1:6" hidden="1" outlineLevel="2" x14ac:dyDescent="0.2">
      <c r="A2111" t="str">
        <f ca="1">Language!A1003</f>
        <v>Суммарная чистая прибыль</v>
      </c>
      <c r="B2111" s="71" t="s">
        <v>1358</v>
      </c>
      <c r="C2111" s="5"/>
    </row>
    <row r="2112" spans="1:6" hidden="1" outlineLevel="2" x14ac:dyDescent="0.2">
      <c r="A2112" s="226" t="str">
        <f ca="1">Language!A1004</f>
        <v>&lt;конец списка анализируемых результатов&gt;</v>
      </c>
    </row>
    <row r="2113" outlineLevel="1" x14ac:dyDescent="0.2"/>
  </sheetData>
  <phoneticPr fontId="13" type="noConversion"/>
  <conditionalFormatting sqref="F72 F1501:T1553 F1139:T1163">
    <cfRule type="cellIs" dxfId="38" priority="51" stopIfTrue="1" operator="notEqual">
      <formula>0</formula>
    </cfRule>
  </conditionalFormatting>
  <conditionalFormatting sqref="B1026 B1038">
    <cfRule type="cellIs" dxfId="37" priority="52" stopIfTrue="1" operator="notBetween">
      <formula>0</formula>
      <formula>1</formula>
    </cfRule>
  </conditionalFormatting>
  <conditionalFormatting sqref="F778:T779">
    <cfRule type="cellIs" dxfId="36" priority="53" stopIfTrue="1" operator="lessThan">
      <formula>-0.01</formula>
    </cfRule>
  </conditionalFormatting>
  <conditionalFormatting sqref="U1501:U1553 U1139:U1163">
    <cfRule type="cellIs" dxfId="35" priority="41" stopIfTrue="1" operator="notEqual">
      <formula>0</formula>
    </cfRule>
  </conditionalFormatting>
  <conditionalFormatting sqref="U778:U779">
    <cfRule type="cellIs" dxfId="34" priority="42" stopIfTrue="1" operator="lessThan">
      <formula>-0.01</formula>
    </cfRule>
  </conditionalFormatting>
  <conditionalFormatting sqref="V1501:V1553 V1139:V1163">
    <cfRule type="cellIs" dxfId="33" priority="37" stopIfTrue="1" operator="notEqual">
      <formula>0</formula>
    </cfRule>
  </conditionalFormatting>
  <conditionalFormatting sqref="V778:V779">
    <cfRule type="cellIs" dxfId="32" priority="38" stopIfTrue="1" operator="lessThan">
      <formula>-0.01</formula>
    </cfRule>
  </conditionalFormatting>
  <conditionalFormatting sqref="W1501:W1553 W1139:W1163">
    <cfRule type="cellIs" dxfId="31" priority="33" stopIfTrue="1" operator="notEqual">
      <formula>0</formula>
    </cfRule>
  </conditionalFormatting>
  <conditionalFormatting sqref="W778:W779">
    <cfRule type="cellIs" dxfId="30" priority="34" stopIfTrue="1" operator="lessThan">
      <formula>-0.01</formula>
    </cfRule>
  </conditionalFormatting>
  <conditionalFormatting sqref="X1501:X1553 X1139:X1163">
    <cfRule type="cellIs" dxfId="29" priority="29" stopIfTrue="1" operator="notEqual">
      <formula>0</formula>
    </cfRule>
  </conditionalFormatting>
  <conditionalFormatting sqref="X778:X779">
    <cfRule type="cellIs" dxfId="28" priority="30" stopIfTrue="1" operator="lessThan">
      <formula>-0.01</formula>
    </cfRule>
  </conditionalFormatting>
  <conditionalFormatting sqref="Y1501:Y1553 Y1139:Y1163">
    <cfRule type="cellIs" dxfId="27" priority="25" stopIfTrue="1" operator="notEqual">
      <formula>0</formula>
    </cfRule>
  </conditionalFormatting>
  <conditionalFormatting sqref="Y778:Y779">
    <cfRule type="cellIs" dxfId="26" priority="26" stopIfTrue="1" operator="lessThan">
      <formula>-0.01</formula>
    </cfRule>
  </conditionalFormatting>
  <conditionalFormatting sqref="Z1501:Z1553 Z1139:Z1163">
    <cfRule type="cellIs" dxfId="25" priority="21" stopIfTrue="1" operator="notEqual">
      <formula>0</formula>
    </cfRule>
  </conditionalFormatting>
  <conditionalFormatting sqref="Z778:Z779">
    <cfRule type="cellIs" dxfId="24" priority="22" stopIfTrue="1" operator="lessThan">
      <formula>-0.01</formula>
    </cfRule>
  </conditionalFormatting>
  <conditionalFormatting sqref="AA1501:AA1553 AA1139:AA1163">
    <cfRule type="cellIs" dxfId="23" priority="17" stopIfTrue="1" operator="notEqual">
      <formula>0</formula>
    </cfRule>
  </conditionalFormatting>
  <conditionalFormatting sqref="AA778:AA779">
    <cfRule type="cellIs" dxfId="22" priority="18" stopIfTrue="1" operator="lessThan">
      <formula>-0.01</formula>
    </cfRule>
  </conditionalFormatting>
  <conditionalFormatting sqref="AB1501:AB1553 AB1139:AB1163">
    <cfRule type="cellIs" dxfId="21" priority="13" stopIfTrue="1" operator="notEqual">
      <formula>0</formula>
    </cfRule>
  </conditionalFormatting>
  <conditionalFormatting sqref="AB778:AB779">
    <cfRule type="cellIs" dxfId="20" priority="14" stopIfTrue="1" operator="lessThan">
      <formula>-0.01</formula>
    </cfRule>
  </conditionalFormatting>
  <conditionalFormatting sqref="AC1501:AC1553 AC1139:AC1163">
    <cfRule type="cellIs" dxfId="19" priority="11" stopIfTrue="1" operator="notEqual">
      <formula>0</formula>
    </cfRule>
  </conditionalFormatting>
  <conditionalFormatting sqref="AC778:AC779">
    <cfRule type="cellIs" dxfId="18" priority="12" stopIfTrue="1" operator="lessThan">
      <formula>-0.01</formula>
    </cfRule>
  </conditionalFormatting>
  <conditionalFormatting sqref="F795:T796">
    <cfRule type="cellIs" dxfId="17" priority="10" stopIfTrue="1" operator="lessThan">
      <formula>-0.01</formula>
    </cfRule>
  </conditionalFormatting>
  <conditionalFormatting sqref="U795:U796">
    <cfRule type="cellIs" dxfId="16" priority="9" stopIfTrue="1" operator="lessThan">
      <formula>-0.01</formula>
    </cfRule>
  </conditionalFormatting>
  <conditionalFormatting sqref="V795:V796">
    <cfRule type="cellIs" dxfId="15" priority="8" stopIfTrue="1" operator="lessThan">
      <formula>-0.01</formula>
    </cfRule>
  </conditionalFormatting>
  <conditionalFormatting sqref="W795:W796">
    <cfRule type="cellIs" dxfId="14" priority="7" stopIfTrue="1" operator="lessThan">
      <formula>-0.01</formula>
    </cfRule>
  </conditionalFormatting>
  <conditionalFormatting sqref="X795:X796">
    <cfRule type="cellIs" dxfId="13" priority="6" stopIfTrue="1" operator="lessThan">
      <formula>-0.01</formula>
    </cfRule>
  </conditionalFormatting>
  <conditionalFormatting sqref="Y795:Y796">
    <cfRule type="cellIs" dxfId="12" priority="5" stopIfTrue="1" operator="lessThan">
      <formula>-0.01</formula>
    </cfRule>
  </conditionalFormatting>
  <conditionalFormatting sqref="Z795:Z796">
    <cfRule type="cellIs" dxfId="11" priority="4" stopIfTrue="1" operator="lessThan">
      <formula>-0.01</formula>
    </cfRule>
  </conditionalFormatting>
  <conditionalFormatting sqref="AA795:AA796">
    <cfRule type="cellIs" dxfId="10" priority="3" stopIfTrue="1" operator="lessThan">
      <formula>-0.01</formula>
    </cfRule>
  </conditionalFormatting>
  <conditionalFormatting sqref="AB795:AB796">
    <cfRule type="cellIs" dxfId="9" priority="2" stopIfTrue="1" operator="lessThan">
      <formula>-0.01</formula>
    </cfRule>
  </conditionalFormatting>
  <conditionalFormatting sqref="AC795:AC796">
    <cfRule type="cellIs" dxfId="8" priority="1" stopIfTrue="1" operator="lessThan">
      <formula>-0.01</formula>
    </cfRule>
  </conditionalFormatting>
  <dataValidations count="16">
    <dataValidation type="list" allowBlank="1" showInputMessage="1" showErrorMessage="1" errorTitle="Внимание!" error="Значение ячейки может содержать:_x000a_1 - Основная валюта_x000a_2 - Иностранная валюта" prompt="1 - Основная валюта_x000a_2 - Иностранная валюта" sqref="B1933 B1861 B1715 B1789 B1277 B1279 B478 B1083:B1084 B1077:B1081 B1109 B1086:B1087 B461 B438 B364 B299 B284 B624 B678 B751 B870 B879 B888 B897 B823 B962 B947 B930 B973 B37 B341 B320 B951 B412 B388 B685 B759 B839 B934 B494 B510" xr:uid="{00000000-0002-0000-0000-000000000000}">
      <formula1>"1,2"</formula1>
    </dataValidation>
    <dataValidation type="list" allowBlank="1" showInputMessage="1" showErrorMessage="1" errorTitle="Внимание!" error="Значение ячейки может содержать:_x000a_1 - Да, учитывать_x000a_2 - Нет, не учитывать" prompt="1 - Да, учитывать_x000a_2 - Нет, не учитывать" sqref="B1787:B1788 B1713:B1714" xr:uid="{00000000-0002-0000-0000-000001000000}">
      <formula1>"1,2"</formula1>
    </dataValidation>
    <dataValidation type="decimal" allowBlank="1" showInputMessage="1" showErrorMessage="1" sqref="B1280 B1278 B763:B764 B829:B831 B845:B847 B977 B965 B755:B756 B950 B954 B837 B853:B855 B933 B937" xr:uid="{00000000-0002-0000-0000-000002000000}">
      <formula1>0</formula1>
      <formula2>1</formula2>
    </dataValidation>
    <dataValidation type="list" allowBlank="1" showInputMessage="1" showErrorMessage="1" errorTitle="Внимание!" error="Значение ячейки может содержать:_x000a_1 - Затраты на сырье и материалы_x000a_2 - Переменные затраты_x000a_3 - Выручка" prompt="1 - Затраты на сырье и материалы_x000a_2 - Переменные затраты_x000a_3 - Выручка" sqref="B1659" xr:uid="{00000000-0002-0000-0000-000003000000}">
      <formula1>"1,2,3"</formula1>
    </dataValidation>
    <dataValidation type="list" allowBlank="1" showInputMessage="1" showErrorMessage="1" errorTitle="Внимание!" error="Значение ячейки может содержать:_x000a_1 - Кредит на пополнение оборотного капитала_x000a_2 - Инвестиционный кредит_x000a_3 - Кредит федерального бюджета_x000a_4 - Кредит территориального бюджета" prompt="1 - Кредит на пополнение оборотного капитала_x000a_2 - Инвестиционный кредит_x000a_3 - Государственный инвестиционный кредит (федеральный бюджет)_x000a_4 - Государственный инвестиционный кредит (территориальный бюджет)" sqref="B1108" xr:uid="{00000000-0002-0000-0000-000004000000}">
      <formula1>"1,2,3,4"</formula1>
    </dataValidation>
    <dataValidation type="list" allowBlank="1" showInputMessage="1" showErrorMessage="1" errorTitle="Внимание!" error="Значение ячейки может содержать:_x000a_1 - Создавать резерв_x000a_2 - Не создавать резерв" prompt="1 - Создавать_x000a_2 - Не создавать" sqref="B1061" xr:uid="{00000000-0002-0000-0000-000005000000}">
      <formula1>"1,2"</formula1>
    </dataValidation>
    <dataValidation type="list" allowBlank="1" showInputMessage="1" showErrorMessage="1" errorTitle="Внимание!" error="Значение ячейки может содержать:_x000a_1 - С выкупом (учет на балансе лизингодателя)_x000a_2 - С выкупом (учет на балансе лизингополучателя)_x000a_3 - Без выкупа (учет на балансе лизингодателя)_x000a_4 - Без выкупа (учет на балансе лизингополучателя" prompt="1 - С выкупом (учет на балансе лизингодателя)_x000a_2 - С выкупом (учет на балансе лизингополучателя)_x000a_3 - Без выкупа (учет на балансе лизингодателя)_x000a_4 - Без выкупа (учет на балансе лизингополучателя)" sqref="B625" xr:uid="{00000000-0002-0000-0000-000006000000}">
      <formula1>"1,2,3,4"</formula1>
    </dataValidation>
    <dataValidation type="list" allowBlank="1" showInputMessage="1" showErrorMessage="1" errorTitle="Внимание!" error="Значение ячейки может содержать:_x000a_1 - По мере оплаты актива_x000a_2 - После постановки актива на баланс" prompt="1 - По мере оплаты_x000a_2 - После постановки на баланс" sqref="B444 B373 B305 B347 B326 B421 B397" xr:uid="{00000000-0002-0000-0000-000007000000}">
      <formula1>"1,2"</formula1>
    </dataValidation>
    <dataValidation type="list" allowBlank="1" showInputMessage="1" showErrorMessage="1" errorTitle="Внимание!" error="Значение ячейки может содержать:_x000a_1 - Да, импорт_x000a_2 - Нет" prompt="1 - Да, импорт_x000a_2 - Нет" sqref="B367 B415 B391" xr:uid="{00000000-0002-0000-0000-000008000000}">
      <formula1>"1,2"</formula1>
    </dataValidation>
    <dataValidation type="decimal" operator="lessThanOrEqual" allowBlank="1" showInputMessage="1" showErrorMessage="1" error="Внимание! Период оборота не может быть больше длительности интервала планирования." sqref="B1012 B1057 C1040 C1027:C1028 B1020 B1016" xr:uid="{00000000-0002-0000-0000-000009000000}">
      <formula1>$D$12</formula1>
    </dataValidation>
    <dataValidation type="decimal" operator="lessThanOrEqual" allowBlank="1" showInputMessage="1" showErrorMessage="1" error="Внимание! Период оборота не может быть больше длительности периода планирования." sqref="C1039" xr:uid="{00000000-0002-0000-0000-00000A000000}">
      <formula1>$D$12</formula1>
    </dataValidation>
    <dataValidation type="decimal" operator="lessThanOrEqual" allowBlank="1" showInputMessage="1" showErrorMessage="1" error="Внимание! Период оборота не может быть больше длительности шага планирования" sqref="B213 B205 B195 B224 B150 B166:B167 B146 B161 B107:B108 B112 B142 B139 B154:B155 B172" xr:uid="{00000000-0002-0000-0000-00000B000000}">
      <formula1>$D$12</formula1>
    </dataValidation>
    <dataValidation type="list" allowBlank="1" showInputMessage="1" showErrorMessage="1" errorTitle="Внимание!" error="Значение ячейки может содержать:_x000a_1 - Доходы_x000a_2 - Доходы, уменьшенные на величину расходов" prompt="1 -  Доходы_x000a_2 - Доходы, уменьшенные на величину расходов" sqref="B211" xr:uid="{00000000-0002-0000-0000-00000C000000}">
      <formula1>"1,2"</formula1>
    </dataValidation>
    <dataValidation type="list" allowBlank="1" showInputMessage="1" showErrorMessage="1" errorTitle="Внимание!" error="Значение ячейки может содержать:_x000a_1 - Зачет в счет будущих платежей_x000a_2 - Прямое возмещение из бюджета" prompt="1 - Зачет при будущих расчетах_x000a_2 - Прямое возмещение из бюджета" sqref="B113" xr:uid="{00000000-0002-0000-0000-00000D000000}">
      <formula1>"1,2"</formula1>
    </dataValidation>
    <dataValidation type="list" allowBlank="1" showInputMessage="1" showErrorMessage="1" errorTitle="Внимание!" error="Значение ячейки может содержать:_x000a_1 - Постоянные цены_x000a_2 - Прогнозные цены" prompt="1 - Постоянные цены (без учета инфляции)_x000a_2 - Прогнозные цены (с учетом инфляции)" sqref="B77" xr:uid="{00000000-0002-0000-0000-00000E000000}">
      <formula1>"1,2"</formula1>
    </dataValidation>
    <dataValidation type="list" allowBlank="1" showInputMessage="1" showErrorMessage="1" errorTitle="Внимание!" error="Значение ячейки может содержать:_x000a_1 - Налог на прибыль (общий налоговый режим)_x000a_2 - Единый налог на вмененный доход (специальный налоговый режим)_x000a_3 - Упрощенная система налогообложения (специальный налоговый режим)" prompt="1 -  Налог на прибыль (общий налоговый режим)_x000a_2 - Единый налог на вмененный доход (специальный налоговый режим)_x000a_3 - Упрощенная система налогообложения (специальный налоговый режим)" sqref="B104" xr:uid="{00000000-0002-0000-0000-00000F000000}">
      <formula1>"1,2,3"</formula1>
    </dataValidation>
  </dataValidations>
  <pageMargins left="0.7" right="0.7" top="0.75" bottom="0.75" header="0.3" footer="0.3"/>
  <pageSetup paperSize="9" orientation="portrait" horizontalDpi="200" verticalDpi="200" r:id="rId1"/>
  <drawing r:id="rId2"/>
  <legacyDrawing r:id="rId3"/>
  <mc:AlternateContent xmlns:mc="http://schemas.openxmlformats.org/markup-compatibility/2006">
    <mc:Choice Requires="x14">
      <controls>
        <mc:AlternateContent xmlns:mc="http://schemas.openxmlformats.org/markup-compatibility/2006">
          <mc:Choice Requires="x14">
            <control shapeId="1043" r:id="rId4" name="Button 19">
              <controlPr defaultSize="0" print="0" autoFill="0" autoPict="0" macro="[0]!Run_ProjectSetup">
                <anchor moveWithCells="1" sizeWithCells="1">
                  <from>
                    <xdr:col>0</xdr:col>
                    <xdr:colOff>19050</xdr:colOff>
                    <xdr:row>16</xdr:row>
                    <xdr:rowOff>0</xdr:rowOff>
                  </from>
                  <to>
                    <xdr:col>1</xdr:col>
                    <xdr:colOff>9525</xdr:colOff>
                    <xdr:row>17</xdr:row>
                    <xdr:rowOff>47625</xdr:rowOff>
                  </to>
                </anchor>
              </controlPr>
            </control>
          </mc:Choice>
        </mc:AlternateContent>
        <mc:AlternateContent xmlns:mc="http://schemas.openxmlformats.org/markup-compatibility/2006">
          <mc:Choice Requires="x14">
            <control shapeId="1044" r:id="rId5" name="Button 20">
              <controlPr defaultSize="0" print="0" autoFill="0" autoPict="0" macro="[0]!Run_ProjectView">
                <anchor moveWithCells="1" sizeWithCells="1">
                  <from>
                    <xdr:col>0</xdr:col>
                    <xdr:colOff>19050</xdr:colOff>
                    <xdr:row>23</xdr:row>
                    <xdr:rowOff>0</xdr:rowOff>
                  </from>
                  <to>
                    <xdr:col>1</xdr:col>
                    <xdr:colOff>9525</xdr:colOff>
                    <xdr:row>24</xdr:row>
                    <xdr:rowOff>47625</xdr:rowOff>
                  </to>
                </anchor>
              </controlPr>
            </control>
          </mc:Choice>
        </mc:AlternateContent>
        <mc:AlternateContent xmlns:mc="http://schemas.openxmlformats.org/markup-compatibility/2006">
          <mc:Choice Requires="x14">
            <control shapeId="1051" r:id="rId6" name="PRJ_BTN_8">
              <controlPr defaultSize="0" print="0" autoFill="0" autoPict="0" macro="[0]!Run_AddDel_Leasing">
                <anchor moveWithCells="1">
                  <from>
                    <xdr:col>1</xdr:col>
                    <xdr:colOff>9525</xdr:colOff>
                    <xdr:row>620</xdr:row>
                    <xdr:rowOff>9525</xdr:rowOff>
                  </from>
                  <to>
                    <xdr:col>3</xdr:col>
                    <xdr:colOff>0</xdr:colOff>
                    <xdr:row>621</xdr:row>
                    <xdr:rowOff>0</xdr:rowOff>
                  </to>
                </anchor>
              </controlPr>
            </control>
          </mc:Choice>
        </mc:AlternateContent>
        <mc:AlternateContent xmlns:mc="http://schemas.openxmlformats.org/markup-compatibility/2006">
          <mc:Choice Requires="x14">
            <control shapeId="1062" r:id="rId7" name="PRJ_BTN_3">
              <controlPr defaultSize="0" print="0" autoFill="0" autoPict="0" macro="[0]!Run_AddDel_Products">
                <anchor moveWithCells="1">
                  <from>
                    <xdr:col>1</xdr:col>
                    <xdr:colOff>9525</xdr:colOff>
                    <xdr:row>621</xdr:row>
                    <xdr:rowOff>0</xdr:rowOff>
                  </from>
                  <to>
                    <xdr:col>3</xdr:col>
                    <xdr:colOff>0</xdr:colOff>
                    <xdr:row>661</xdr:row>
                    <xdr:rowOff>0</xdr:rowOff>
                  </to>
                </anchor>
              </controlPr>
            </control>
          </mc:Choice>
        </mc:AlternateContent>
        <mc:AlternateContent xmlns:mc="http://schemas.openxmlformats.org/markup-compatibility/2006">
          <mc:Choice Requires="x14">
            <control shapeId="1067" r:id="rId8" name="Button 43">
              <controlPr defaultSize="0" print="0" autoFill="0" autoPict="0" macro="[0]!Run_AddDel_Materials">
                <anchor moveWithCells="1">
                  <from>
                    <xdr:col>1</xdr:col>
                    <xdr:colOff>9525</xdr:colOff>
                    <xdr:row>724</xdr:row>
                    <xdr:rowOff>0</xdr:rowOff>
                  </from>
                  <to>
                    <xdr:col>3</xdr:col>
                    <xdr:colOff>0</xdr:colOff>
                    <xdr:row>738</xdr:row>
                    <xdr:rowOff>9525</xdr:rowOff>
                  </to>
                </anchor>
              </controlPr>
            </control>
          </mc:Choice>
        </mc:AlternateContent>
        <mc:AlternateContent xmlns:mc="http://schemas.openxmlformats.org/markup-compatibility/2006">
          <mc:Choice Requires="x14">
            <control shapeId="1070" r:id="rId9" name="Button 46">
              <controlPr defaultSize="0" print="0" autoFill="0" autoPict="0">
                <anchor moveWithCells="1">
                  <from>
                    <xdr:col>1</xdr:col>
                    <xdr:colOff>9525</xdr:colOff>
                    <xdr:row>819</xdr:row>
                    <xdr:rowOff>0</xdr:rowOff>
                  </from>
                  <to>
                    <xdr:col>3</xdr:col>
                    <xdr:colOff>0</xdr:colOff>
                    <xdr:row>820</xdr:row>
                    <xdr:rowOff>0</xdr:rowOff>
                  </to>
                </anchor>
              </controlPr>
            </control>
          </mc:Choice>
        </mc:AlternateContent>
        <mc:AlternateContent xmlns:mc="http://schemas.openxmlformats.org/markup-compatibility/2006">
          <mc:Choice Requires="x14">
            <control shapeId="1071" r:id="rId10" name="Button 47">
              <controlPr defaultSize="0" print="0" autoFill="0" autoPict="0" macro="[0]!Run_AddDel_Personnel">
                <anchor moveWithCells="1">
                  <from>
                    <xdr:col>1</xdr:col>
                    <xdr:colOff>9525</xdr:colOff>
                    <xdr:row>820</xdr:row>
                    <xdr:rowOff>0</xdr:rowOff>
                  </from>
                  <to>
                    <xdr:col>3</xdr:col>
                    <xdr:colOff>0</xdr:colOff>
                    <xdr:row>866</xdr:row>
                    <xdr:rowOff>0</xdr:rowOff>
                  </to>
                </anchor>
              </controlPr>
            </control>
          </mc:Choice>
        </mc:AlternateContent>
        <mc:AlternateContent xmlns:mc="http://schemas.openxmlformats.org/markup-compatibility/2006">
          <mc:Choice Requires="x14">
            <control shapeId="1076" r:id="rId11" name="Button 52">
              <controlPr defaultSize="0" print="0" autoFill="0" autoPict="0" macro="[0]!Run_AddDel_Expenses">
                <anchor moveWithCells="1">
                  <from>
                    <xdr:col>1</xdr:col>
                    <xdr:colOff>9525</xdr:colOff>
                    <xdr:row>866</xdr:row>
                    <xdr:rowOff>0</xdr:rowOff>
                  </from>
                  <to>
                    <xdr:col>3</xdr:col>
                    <xdr:colOff>0</xdr:colOff>
                    <xdr:row>867</xdr:row>
                    <xdr:rowOff>57150</xdr:rowOff>
                  </to>
                </anchor>
              </controlPr>
            </control>
          </mc:Choice>
        </mc:AlternateContent>
        <mc:AlternateContent xmlns:mc="http://schemas.openxmlformats.org/markup-compatibility/2006">
          <mc:Choice Requires="x14">
            <control shapeId="1080" r:id="rId12" name="Button 56">
              <controlPr defaultSize="0" print="0" autoFill="0" autoPict="0" macro="[0]!Run_AddDel_OtherCosts">
                <anchor moveWithCells="1">
                  <from>
                    <xdr:col>1</xdr:col>
                    <xdr:colOff>9525</xdr:colOff>
                    <xdr:row>819</xdr:row>
                    <xdr:rowOff>0</xdr:rowOff>
                  </from>
                  <to>
                    <xdr:col>3</xdr:col>
                    <xdr:colOff>0</xdr:colOff>
                    <xdr:row>820</xdr:row>
                    <xdr:rowOff>0</xdr:rowOff>
                  </to>
                </anchor>
              </controlPr>
            </control>
          </mc:Choice>
        </mc:AlternateContent>
        <mc:AlternateContent xmlns:mc="http://schemas.openxmlformats.org/markup-compatibility/2006">
          <mc:Choice Requires="x14">
            <control shapeId="1086" r:id="rId13" name="Button 62">
              <controlPr defaultSize="0" print="0" autoFill="0" autoPict="0" macro="[0]!Run_AddDel_Taxes">
                <anchor moveWithCells="1">
                  <from>
                    <xdr:col>1</xdr:col>
                    <xdr:colOff>9525</xdr:colOff>
                    <xdr:row>75</xdr:row>
                    <xdr:rowOff>0</xdr:rowOff>
                  </from>
                  <to>
                    <xdr:col>3</xdr:col>
                    <xdr:colOff>0</xdr:colOff>
                    <xdr:row>102</xdr:row>
                    <xdr:rowOff>9525</xdr:rowOff>
                  </to>
                </anchor>
              </controlPr>
            </control>
          </mc:Choice>
        </mc:AlternateContent>
        <mc:AlternateContent xmlns:mc="http://schemas.openxmlformats.org/markup-compatibility/2006">
          <mc:Choice Requires="x14">
            <control shapeId="1100" r:id="rId14" name="Button 76">
              <controlPr defaultSize="0" print="0" autoFill="0" autoPict="0" macro="[0]!Run_AddDel_Loans">
                <anchor moveWithCells="1">
                  <from>
                    <xdr:col>1</xdr:col>
                    <xdr:colOff>19050</xdr:colOff>
                    <xdr:row>1095</xdr:row>
                    <xdr:rowOff>9525</xdr:rowOff>
                  </from>
                  <to>
                    <xdr:col>3</xdr:col>
                    <xdr:colOff>0</xdr:colOff>
                    <xdr:row>1096</xdr:row>
                    <xdr:rowOff>0</xdr:rowOff>
                  </to>
                </anchor>
              </controlPr>
            </control>
          </mc:Choice>
        </mc:AlternateContent>
        <mc:AlternateContent xmlns:mc="http://schemas.openxmlformats.org/markup-compatibility/2006">
          <mc:Choice Requires="x14">
            <control shapeId="1101" r:id="rId15" name="Button 77">
              <controlPr defaultSize="0" print="0" autoFill="0" autoPict="0" macro="[0]!Run_AutoLoan">
                <anchor moveWithCells="1" sizeWithCells="1">
                  <from>
                    <xdr:col>0</xdr:col>
                    <xdr:colOff>0</xdr:colOff>
                    <xdr:row>1096</xdr:row>
                    <xdr:rowOff>0</xdr:rowOff>
                  </from>
                  <to>
                    <xdr:col>1</xdr:col>
                    <xdr:colOff>0</xdr:colOff>
                    <xdr:row>1096</xdr:row>
                    <xdr:rowOff>0</xdr:rowOff>
                  </to>
                </anchor>
              </controlPr>
            </control>
          </mc:Choice>
        </mc:AlternateContent>
        <mc:AlternateContent xmlns:mc="http://schemas.openxmlformats.org/markup-compatibility/2006">
          <mc:Choice Requires="x14">
            <control shapeId="1173" r:id="rId16" name="Button 149">
              <controlPr defaultSize="0" print="0" autoFill="0" autoPict="0" macro="[0]!Run_AddDel_Assets">
                <anchor moveWithCells="1">
                  <from>
                    <xdr:col>1</xdr:col>
                    <xdr:colOff>9525</xdr:colOff>
                    <xdr:row>230</xdr:row>
                    <xdr:rowOff>0</xdr:rowOff>
                  </from>
                  <to>
                    <xdr:col>3</xdr:col>
                    <xdr:colOff>0</xdr:colOff>
                    <xdr:row>280</xdr:row>
                    <xdr:rowOff>0</xdr:rowOff>
                  </to>
                </anchor>
              </controlPr>
            </control>
          </mc:Choice>
        </mc:AlternateContent>
        <mc:AlternateContent xmlns:mc="http://schemas.openxmlformats.org/markup-compatibility/2006">
          <mc:Choice Requires="x14">
            <control shapeId="1189" r:id="rId17" name="Button 165">
              <controlPr defaultSize="0" print="0" autoFill="0" autoPict="0" macro="[0]!Run_Navigator">
                <anchor moveWithCells="1" sizeWithCells="1">
                  <from>
                    <xdr:col>0</xdr:col>
                    <xdr:colOff>19050</xdr:colOff>
                    <xdr:row>3</xdr:row>
                    <xdr:rowOff>9525</xdr:rowOff>
                  </from>
                  <to>
                    <xdr:col>0</xdr:col>
                    <xdr:colOff>219075</xdr:colOff>
                    <xdr:row>3</xdr:row>
                    <xdr:rowOff>190500</xdr:rowOff>
                  </to>
                </anchor>
              </controlPr>
            </control>
          </mc:Choice>
        </mc:AlternateContent>
        <mc:AlternateContent xmlns:mc="http://schemas.openxmlformats.org/markup-compatibility/2006">
          <mc:Choice Requires="x14">
            <control shapeId="1190" r:id="rId18" name="Button 166">
              <controlPr defaultSize="0" print="0" autoFill="0" autoPict="0" macro="[0]!Run_Navigator">
                <anchor moveWithCells="1" sizeWithCells="1">
                  <from>
                    <xdr:col>0</xdr:col>
                    <xdr:colOff>19050</xdr:colOff>
                    <xdr:row>34</xdr:row>
                    <xdr:rowOff>9525</xdr:rowOff>
                  </from>
                  <to>
                    <xdr:col>0</xdr:col>
                    <xdr:colOff>219075</xdr:colOff>
                    <xdr:row>34</xdr:row>
                    <xdr:rowOff>190500</xdr:rowOff>
                  </to>
                </anchor>
              </controlPr>
            </control>
          </mc:Choice>
        </mc:AlternateContent>
        <mc:AlternateContent xmlns:mc="http://schemas.openxmlformats.org/markup-compatibility/2006">
          <mc:Choice Requires="x14">
            <control shapeId="1191" r:id="rId19" name="Button 167">
              <controlPr defaultSize="0" print="0" autoFill="0" autoPict="0" macro="[0]!Run_Navigator">
                <anchor moveWithCells="1" sizeWithCells="1">
                  <from>
                    <xdr:col>0</xdr:col>
                    <xdr:colOff>19050</xdr:colOff>
                    <xdr:row>35</xdr:row>
                    <xdr:rowOff>0</xdr:rowOff>
                  </from>
                  <to>
                    <xdr:col>0</xdr:col>
                    <xdr:colOff>219075</xdr:colOff>
                    <xdr:row>74</xdr:row>
                    <xdr:rowOff>190500</xdr:rowOff>
                  </to>
                </anchor>
              </controlPr>
            </control>
          </mc:Choice>
        </mc:AlternateContent>
        <mc:AlternateContent xmlns:mc="http://schemas.openxmlformats.org/markup-compatibility/2006">
          <mc:Choice Requires="x14">
            <control shapeId="1192" r:id="rId20" name="Button 168">
              <controlPr defaultSize="0" print="0" autoFill="0" autoPict="0" macro="[0]!Run_Navigator">
                <anchor moveWithCells="1" sizeWithCells="1">
                  <from>
                    <xdr:col>0</xdr:col>
                    <xdr:colOff>19050</xdr:colOff>
                    <xdr:row>75</xdr:row>
                    <xdr:rowOff>0</xdr:rowOff>
                  </from>
                  <to>
                    <xdr:col>0</xdr:col>
                    <xdr:colOff>219075</xdr:colOff>
                    <xdr:row>101</xdr:row>
                    <xdr:rowOff>190500</xdr:rowOff>
                  </to>
                </anchor>
              </controlPr>
            </control>
          </mc:Choice>
        </mc:AlternateContent>
        <mc:AlternateContent xmlns:mc="http://schemas.openxmlformats.org/markup-compatibility/2006">
          <mc:Choice Requires="x14">
            <control shapeId="1202" r:id="rId21" name="Button 178">
              <controlPr defaultSize="0" print="0" autoFill="0" autoPict="0" macro="[0]!Run_Navigator">
                <anchor moveWithCells="1" sizeWithCells="1">
                  <from>
                    <xdr:col>0</xdr:col>
                    <xdr:colOff>19050</xdr:colOff>
                    <xdr:row>229</xdr:row>
                    <xdr:rowOff>9525</xdr:rowOff>
                  </from>
                  <to>
                    <xdr:col>0</xdr:col>
                    <xdr:colOff>219075</xdr:colOff>
                    <xdr:row>229</xdr:row>
                    <xdr:rowOff>190500</xdr:rowOff>
                  </to>
                </anchor>
              </controlPr>
            </control>
          </mc:Choice>
        </mc:AlternateContent>
        <mc:AlternateContent xmlns:mc="http://schemas.openxmlformats.org/markup-compatibility/2006">
          <mc:Choice Requires="x14">
            <control shapeId="1203" r:id="rId22" name="Button 179">
              <controlPr defaultSize="0" print="0" autoFill="0" autoPict="0" macro="[0]!Run_Navigator">
                <anchor moveWithCells="1" sizeWithCells="1">
                  <from>
                    <xdr:col>0</xdr:col>
                    <xdr:colOff>19050</xdr:colOff>
                    <xdr:row>230</xdr:row>
                    <xdr:rowOff>0</xdr:rowOff>
                  </from>
                  <to>
                    <xdr:col>0</xdr:col>
                    <xdr:colOff>219075</xdr:colOff>
                    <xdr:row>279</xdr:row>
                    <xdr:rowOff>190500</xdr:rowOff>
                  </to>
                </anchor>
              </controlPr>
            </control>
          </mc:Choice>
        </mc:AlternateContent>
        <mc:AlternateContent xmlns:mc="http://schemas.openxmlformats.org/markup-compatibility/2006">
          <mc:Choice Requires="x14">
            <control shapeId="1204" r:id="rId23" name="Button 180">
              <controlPr defaultSize="0" print="0" autoFill="0" autoPict="0" macro="[0]!Run_Navigator">
                <anchor moveWithCells="1" sizeWithCells="1">
                  <from>
                    <xdr:col>0</xdr:col>
                    <xdr:colOff>19050</xdr:colOff>
                    <xdr:row>620</xdr:row>
                    <xdr:rowOff>9525</xdr:rowOff>
                  </from>
                  <to>
                    <xdr:col>0</xdr:col>
                    <xdr:colOff>219075</xdr:colOff>
                    <xdr:row>620</xdr:row>
                    <xdr:rowOff>190500</xdr:rowOff>
                  </to>
                </anchor>
              </controlPr>
            </control>
          </mc:Choice>
        </mc:AlternateContent>
        <mc:AlternateContent xmlns:mc="http://schemas.openxmlformats.org/markup-compatibility/2006">
          <mc:Choice Requires="x14">
            <control shapeId="1205" r:id="rId24" name="Button 181">
              <controlPr defaultSize="0" print="0" autoFill="0" autoPict="0" macro="[0]!Run_Navigator">
                <anchor moveWithCells="1" sizeWithCells="1">
                  <from>
                    <xdr:col>0</xdr:col>
                    <xdr:colOff>19050</xdr:colOff>
                    <xdr:row>621</xdr:row>
                    <xdr:rowOff>0</xdr:rowOff>
                  </from>
                  <to>
                    <xdr:col>0</xdr:col>
                    <xdr:colOff>219075</xdr:colOff>
                    <xdr:row>660</xdr:row>
                    <xdr:rowOff>190500</xdr:rowOff>
                  </to>
                </anchor>
              </controlPr>
            </control>
          </mc:Choice>
        </mc:AlternateContent>
        <mc:AlternateContent xmlns:mc="http://schemas.openxmlformats.org/markup-compatibility/2006">
          <mc:Choice Requires="x14">
            <control shapeId="1206" r:id="rId25" name="Button 182">
              <controlPr defaultSize="0" print="0" autoFill="0" autoPict="0" macro="[0]!Run_Navigator">
                <anchor moveWithCells="1" sizeWithCells="1">
                  <from>
                    <xdr:col>0</xdr:col>
                    <xdr:colOff>19050</xdr:colOff>
                    <xdr:row>661</xdr:row>
                    <xdr:rowOff>0</xdr:rowOff>
                  </from>
                  <to>
                    <xdr:col>0</xdr:col>
                    <xdr:colOff>219075</xdr:colOff>
                    <xdr:row>668</xdr:row>
                    <xdr:rowOff>190500</xdr:rowOff>
                  </to>
                </anchor>
              </controlPr>
            </control>
          </mc:Choice>
        </mc:AlternateContent>
        <mc:AlternateContent xmlns:mc="http://schemas.openxmlformats.org/markup-compatibility/2006">
          <mc:Choice Requires="x14">
            <control shapeId="1207" r:id="rId26" name="Button 183">
              <controlPr defaultSize="0" print="0" autoFill="0" autoPict="0" macro="[0]!Run_Navigator">
                <anchor moveWithCells="1" sizeWithCells="1">
                  <from>
                    <xdr:col>0</xdr:col>
                    <xdr:colOff>19050</xdr:colOff>
                    <xdr:row>675</xdr:row>
                    <xdr:rowOff>9525</xdr:rowOff>
                  </from>
                  <to>
                    <xdr:col>0</xdr:col>
                    <xdr:colOff>219075</xdr:colOff>
                    <xdr:row>675</xdr:row>
                    <xdr:rowOff>190500</xdr:rowOff>
                  </to>
                </anchor>
              </controlPr>
            </control>
          </mc:Choice>
        </mc:AlternateContent>
        <mc:AlternateContent xmlns:mc="http://schemas.openxmlformats.org/markup-compatibility/2006">
          <mc:Choice Requires="x14">
            <control shapeId="1208" r:id="rId27" name="Button 184">
              <controlPr defaultSize="0" print="0" autoFill="0" autoPict="0" macro="[0]!Run_Navigator">
                <anchor moveWithCells="1" sizeWithCells="1">
                  <from>
                    <xdr:col>0</xdr:col>
                    <xdr:colOff>19050</xdr:colOff>
                    <xdr:row>694</xdr:row>
                    <xdr:rowOff>9525</xdr:rowOff>
                  </from>
                  <to>
                    <xdr:col>0</xdr:col>
                    <xdr:colOff>219075</xdr:colOff>
                    <xdr:row>694</xdr:row>
                    <xdr:rowOff>190500</xdr:rowOff>
                  </to>
                </anchor>
              </controlPr>
            </control>
          </mc:Choice>
        </mc:AlternateContent>
        <mc:AlternateContent xmlns:mc="http://schemas.openxmlformats.org/markup-compatibility/2006">
          <mc:Choice Requires="x14">
            <control shapeId="1209" r:id="rId28" name="Button 185">
              <controlPr defaultSize="0" print="0" autoFill="0" autoPict="0" macro="[0]!Run_Navigator">
                <anchor moveWithCells="1" sizeWithCells="1">
                  <from>
                    <xdr:col>0</xdr:col>
                    <xdr:colOff>19050</xdr:colOff>
                    <xdr:row>723</xdr:row>
                    <xdr:rowOff>9525</xdr:rowOff>
                  </from>
                  <to>
                    <xdr:col>0</xdr:col>
                    <xdr:colOff>219075</xdr:colOff>
                    <xdr:row>723</xdr:row>
                    <xdr:rowOff>190500</xdr:rowOff>
                  </to>
                </anchor>
              </controlPr>
            </control>
          </mc:Choice>
        </mc:AlternateContent>
        <mc:AlternateContent xmlns:mc="http://schemas.openxmlformats.org/markup-compatibility/2006">
          <mc:Choice Requires="x14">
            <control shapeId="1210" r:id="rId29" name="Button 186">
              <controlPr defaultSize="0" print="0" autoFill="0" autoPict="0" macro="[0]!Run_Navigator">
                <anchor moveWithCells="1" sizeWithCells="1">
                  <from>
                    <xdr:col>0</xdr:col>
                    <xdr:colOff>19050</xdr:colOff>
                    <xdr:row>724</xdr:row>
                    <xdr:rowOff>0</xdr:rowOff>
                  </from>
                  <to>
                    <xdr:col>0</xdr:col>
                    <xdr:colOff>219075</xdr:colOff>
                    <xdr:row>737</xdr:row>
                    <xdr:rowOff>190500</xdr:rowOff>
                  </to>
                </anchor>
              </controlPr>
            </control>
          </mc:Choice>
        </mc:AlternateContent>
        <mc:AlternateContent xmlns:mc="http://schemas.openxmlformats.org/markup-compatibility/2006">
          <mc:Choice Requires="x14">
            <control shapeId="1211" r:id="rId30" name="Button 187">
              <controlPr defaultSize="0" print="0" autoFill="0" autoPict="0" macro="[0]!Run_Navigator">
                <anchor moveWithCells="1" sizeWithCells="1">
                  <from>
                    <xdr:col>0</xdr:col>
                    <xdr:colOff>19050</xdr:colOff>
                    <xdr:row>747</xdr:row>
                    <xdr:rowOff>9525</xdr:rowOff>
                  </from>
                  <to>
                    <xdr:col>0</xdr:col>
                    <xdr:colOff>219075</xdr:colOff>
                    <xdr:row>747</xdr:row>
                    <xdr:rowOff>190500</xdr:rowOff>
                  </to>
                </anchor>
              </controlPr>
            </control>
          </mc:Choice>
        </mc:AlternateContent>
        <mc:AlternateContent xmlns:mc="http://schemas.openxmlformats.org/markup-compatibility/2006">
          <mc:Choice Requires="x14">
            <control shapeId="1212" r:id="rId31" name="Button 188">
              <controlPr defaultSize="0" print="0" autoFill="0" autoPict="0" macro="[0]!Run_Navigator">
                <anchor moveWithCells="1" sizeWithCells="1">
                  <from>
                    <xdr:col>0</xdr:col>
                    <xdr:colOff>19050</xdr:colOff>
                    <xdr:row>767</xdr:row>
                    <xdr:rowOff>9525</xdr:rowOff>
                  </from>
                  <to>
                    <xdr:col>0</xdr:col>
                    <xdr:colOff>219075</xdr:colOff>
                    <xdr:row>767</xdr:row>
                    <xdr:rowOff>190500</xdr:rowOff>
                  </to>
                </anchor>
              </controlPr>
            </control>
          </mc:Choice>
        </mc:AlternateContent>
        <mc:AlternateContent xmlns:mc="http://schemas.openxmlformats.org/markup-compatibility/2006">
          <mc:Choice Requires="x14">
            <control shapeId="1213" r:id="rId32" name="Button 189">
              <controlPr defaultSize="0" print="0" autoFill="0" autoPict="0" macro="[0]!Run_Navigator">
                <anchor moveWithCells="1" sizeWithCells="1">
                  <from>
                    <xdr:col>0</xdr:col>
                    <xdr:colOff>19050</xdr:colOff>
                    <xdr:row>819</xdr:row>
                    <xdr:rowOff>9525</xdr:rowOff>
                  </from>
                  <to>
                    <xdr:col>0</xdr:col>
                    <xdr:colOff>219075</xdr:colOff>
                    <xdr:row>819</xdr:row>
                    <xdr:rowOff>190500</xdr:rowOff>
                  </to>
                </anchor>
              </controlPr>
            </control>
          </mc:Choice>
        </mc:AlternateContent>
        <mc:AlternateContent xmlns:mc="http://schemas.openxmlformats.org/markup-compatibility/2006">
          <mc:Choice Requires="x14">
            <control shapeId="1214" r:id="rId33" name="Button 190">
              <controlPr defaultSize="0" print="0" autoFill="0" autoPict="0" macro="[0]!Run_Navigator">
                <anchor moveWithCells="1" sizeWithCells="1">
                  <from>
                    <xdr:col>0</xdr:col>
                    <xdr:colOff>19050</xdr:colOff>
                    <xdr:row>820</xdr:row>
                    <xdr:rowOff>0</xdr:rowOff>
                  </from>
                  <to>
                    <xdr:col>0</xdr:col>
                    <xdr:colOff>219075</xdr:colOff>
                    <xdr:row>865</xdr:row>
                    <xdr:rowOff>190500</xdr:rowOff>
                  </to>
                </anchor>
              </controlPr>
            </control>
          </mc:Choice>
        </mc:AlternateContent>
        <mc:AlternateContent xmlns:mc="http://schemas.openxmlformats.org/markup-compatibility/2006">
          <mc:Choice Requires="x14">
            <control shapeId="1215" r:id="rId34" name="Button 191">
              <controlPr defaultSize="0" print="0" autoFill="0" autoPict="0" macro="[0]!Run_Navigator">
                <anchor moveWithCells="1" sizeWithCells="1">
                  <from>
                    <xdr:col>0</xdr:col>
                    <xdr:colOff>19050</xdr:colOff>
                    <xdr:row>920</xdr:row>
                    <xdr:rowOff>9525</xdr:rowOff>
                  </from>
                  <to>
                    <xdr:col>0</xdr:col>
                    <xdr:colOff>219075</xdr:colOff>
                    <xdr:row>920</xdr:row>
                    <xdr:rowOff>190500</xdr:rowOff>
                  </to>
                </anchor>
              </controlPr>
            </control>
          </mc:Choice>
        </mc:AlternateContent>
        <mc:AlternateContent xmlns:mc="http://schemas.openxmlformats.org/markup-compatibility/2006">
          <mc:Choice Requires="x14">
            <control shapeId="1216" r:id="rId35" name="Button 192">
              <controlPr defaultSize="0" print="0" autoFill="0" autoPict="0" macro="[0]!Run_Navigator">
                <anchor moveWithCells="1" sizeWithCells="1">
                  <from>
                    <xdr:col>0</xdr:col>
                    <xdr:colOff>19050</xdr:colOff>
                    <xdr:row>991</xdr:row>
                    <xdr:rowOff>0</xdr:rowOff>
                  </from>
                  <to>
                    <xdr:col>0</xdr:col>
                    <xdr:colOff>219075</xdr:colOff>
                    <xdr:row>1007</xdr:row>
                    <xdr:rowOff>190500</xdr:rowOff>
                  </to>
                </anchor>
              </controlPr>
            </control>
          </mc:Choice>
        </mc:AlternateContent>
        <mc:AlternateContent xmlns:mc="http://schemas.openxmlformats.org/markup-compatibility/2006">
          <mc:Choice Requires="x14">
            <control shapeId="1217" r:id="rId36" name="Button 193">
              <controlPr defaultSize="0" print="0" autoFill="0" autoPict="0" macro="[0]!Run_Navigator">
                <anchor moveWithCells="1" sizeWithCells="1">
                  <from>
                    <xdr:col>0</xdr:col>
                    <xdr:colOff>19050</xdr:colOff>
                    <xdr:row>1008</xdr:row>
                    <xdr:rowOff>0</xdr:rowOff>
                  </from>
                  <to>
                    <xdr:col>0</xdr:col>
                    <xdr:colOff>219075</xdr:colOff>
                    <xdr:row>1072</xdr:row>
                    <xdr:rowOff>190500</xdr:rowOff>
                  </to>
                </anchor>
              </controlPr>
            </control>
          </mc:Choice>
        </mc:AlternateContent>
        <mc:AlternateContent xmlns:mc="http://schemas.openxmlformats.org/markup-compatibility/2006">
          <mc:Choice Requires="x14">
            <control shapeId="1219" r:id="rId37" name="Button 195">
              <controlPr defaultSize="0" print="0" autoFill="0" autoPict="0" macro="[0]!Run_Navigator">
                <anchor moveWithCells="1" sizeWithCells="1">
                  <from>
                    <xdr:col>0</xdr:col>
                    <xdr:colOff>19050</xdr:colOff>
                    <xdr:row>1095</xdr:row>
                    <xdr:rowOff>9525</xdr:rowOff>
                  </from>
                  <to>
                    <xdr:col>0</xdr:col>
                    <xdr:colOff>219075</xdr:colOff>
                    <xdr:row>1095</xdr:row>
                    <xdr:rowOff>190500</xdr:rowOff>
                  </to>
                </anchor>
              </controlPr>
            </control>
          </mc:Choice>
        </mc:AlternateContent>
        <mc:AlternateContent xmlns:mc="http://schemas.openxmlformats.org/markup-compatibility/2006">
          <mc:Choice Requires="x14">
            <control shapeId="1220" r:id="rId38" name="Button 196">
              <controlPr defaultSize="0" print="0" autoFill="0" autoPict="0" macro="[0]!Run_Navigator">
                <anchor moveWithCells="1" sizeWithCells="1">
                  <from>
                    <xdr:col>0</xdr:col>
                    <xdr:colOff>19050</xdr:colOff>
                    <xdr:row>1096</xdr:row>
                    <xdr:rowOff>0</xdr:rowOff>
                  </from>
                  <to>
                    <xdr:col>0</xdr:col>
                    <xdr:colOff>219075</xdr:colOff>
                    <xdr:row>1164</xdr:row>
                    <xdr:rowOff>190500</xdr:rowOff>
                  </to>
                </anchor>
              </controlPr>
            </control>
          </mc:Choice>
        </mc:AlternateContent>
        <mc:AlternateContent xmlns:mc="http://schemas.openxmlformats.org/markup-compatibility/2006">
          <mc:Choice Requires="x14">
            <control shapeId="1221" r:id="rId39" name="Button 197">
              <controlPr defaultSize="0" print="0" autoFill="0" autoPict="0" macro="[0]!Run_Navigator">
                <anchor moveWithCells="1" sizeWithCells="1">
                  <from>
                    <xdr:col>0</xdr:col>
                    <xdr:colOff>19050</xdr:colOff>
                    <xdr:row>1196</xdr:row>
                    <xdr:rowOff>9525</xdr:rowOff>
                  </from>
                  <to>
                    <xdr:col>0</xdr:col>
                    <xdr:colOff>219075</xdr:colOff>
                    <xdr:row>1196</xdr:row>
                    <xdr:rowOff>190500</xdr:rowOff>
                  </to>
                </anchor>
              </controlPr>
            </control>
          </mc:Choice>
        </mc:AlternateContent>
        <mc:AlternateContent xmlns:mc="http://schemas.openxmlformats.org/markup-compatibility/2006">
          <mc:Choice Requires="x14">
            <control shapeId="1222" r:id="rId40" name="Button 198">
              <controlPr defaultSize="0" print="0" autoFill="0" autoPict="0" macro="[0]!Run_Navigator">
                <anchor moveWithCells="1" sizeWithCells="1">
                  <from>
                    <xdr:col>0</xdr:col>
                    <xdr:colOff>19050</xdr:colOff>
                    <xdr:row>1275</xdr:row>
                    <xdr:rowOff>9525</xdr:rowOff>
                  </from>
                  <to>
                    <xdr:col>0</xdr:col>
                    <xdr:colOff>219075</xdr:colOff>
                    <xdr:row>1318</xdr:row>
                    <xdr:rowOff>190500</xdr:rowOff>
                  </to>
                </anchor>
              </controlPr>
            </control>
          </mc:Choice>
        </mc:AlternateContent>
        <mc:AlternateContent xmlns:mc="http://schemas.openxmlformats.org/markup-compatibility/2006">
          <mc:Choice Requires="x14">
            <control shapeId="1223" r:id="rId41" name="Button 199">
              <controlPr defaultSize="0" print="0" autoFill="0" autoPict="0" macro="[0]!Run_Navigator">
                <anchor moveWithCells="1" sizeWithCells="1">
                  <from>
                    <xdr:col>0</xdr:col>
                    <xdr:colOff>19050</xdr:colOff>
                    <xdr:row>1458</xdr:row>
                    <xdr:rowOff>9525</xdr:rowOff>
                  </from>
                  <to>
                    <xdr:col>0</xdr:col>
                    <xdr:colOff>219075</xdr:colOff>
                    <xdr:row>1458</xdr:row>
                    <xdr:rowOff>190500</xdr:rowOff>
                  </to>
                </anchor>
              </controlPr>
            </control>
          </mc:Choice>
        </mc:AlternateContent>
        <mc:AlternateContent xmlns:mc="http://schemas.openxmlformats.org/markup-compatibility/2006">
          <mc:Choice Requires="x14">
            <control shapeId="1224" r:id="rId42" name="Button 200">
              <controlPr defaultSize="0" print="0" autoFill="0" autoPict="0" macro="[0]!Run_Navigator">
                <anchor moveWithCells="1" sizeWithCells="1">
                  <from>
                    <xdr:col>0</xdr:col>
                    <xdr:colOff>19050</xdr:colOff>
                    <xdr:row>1553</xdr:row>
                    <xdr:rowOff>9525</xdr:rowOff>
                  </from>
                  <to>
                    <xdr:col>0</xdr:col>
                    <xdr:colOff>219075</xdr:colOff>
                    <xdr:row>1553</xdr:row>
                    <xdr:rowOff>190500</xdr:rowOff>
                  </to>
                </anchor>
              </controlPr>
            </control>
          </mc:Choice>
        </mc:AlternateContent>
        <mc:AlternateContent xmlns:mc="http://schemas.openxmlformats.org/markup-compatibility/2006">
          <mc:Choice Requires="x14">
            <control shapeId="1225" r:id="rId43" name="Button 201">
              <controlPr defaultSize="0" print="0" autoFill="0" autoPict="0" macro="[0]!Run_Navigator">
                <anchor moveWithCells="1" sizeWithCells="1">
                  <from>
                    <xdr:col>0</xdr:col>
                    <xdr:colOff>19050</xdr:colOff>
                    <xdr:row>1657</xdr:row>
                    <xdr:rowOff>0</xdr:rowOff>
                  </from>
                  <to>
                    <xdr:col>0</xdr:col>
                    <xdr:colOff>219075</xdr:colOff>
                    <xdr:row>1710</xdr:row>
                    <xdr:rowOff>190500</xdr:rowOff>
                  </to>
                </anchor>
              </controlPr>
            </control>
          </mc:Choice>
        </mc:AlternateContent>
        <mc:AlternateContent xmlns:mc="http://schemas.openxmlformats.org/markup-compatibility/2006">
          <mc:Choice Requires="x14">
            <control shapeId="1226" r:id="rId44" name="Button 202">
              <controlPr defaultSize="0" print="0" autoFill="0" autoPict="0" macro="[0]!Run_Navigator">
                <anchor moveWithCells="1" sizeWithCells="1">
                  <from>
                    <xdr:col>0</xdr:col>
                    <xdr:colOff>19050</xdr:colOff>
                    <xdr:row>1784</xdr:row>
                    <xdr:rowOff>9525</xdr:rowOff>
                  </from>
                  <to>
                    <xdr:col>0</xdr:col>
                    <xdr:colOff>219075</xdr:colOff>
                    <xdr:row>1784</xdr:row>
                    <xdr:rowOff>190500</xdr:rowOff>
                  </to>
                </anchor>
              </controlPr>
            </control>
          </mc:Choice>
        </mc:AlternateContent>
        <mc:AlternateContent xmlns:mc="http://schemas.openxmlformats.org/markup-compatibility/2006">
          <mc:Choice Requires="x14">
            <control shapeId="1227" r:id="rId45" name="Button 203">
              <controlPr defaultSize="0" print="0" autoFill="0" autoPict="0" macro="[0]!Run_Navigator">
                <anchor moveWithCells="1" sizeWithCells="1">
                  <from>
                    <xdr:col>0</xdr:col>
                    <xdr:colOff>19050</xdr:colOff>
                    <xdr:row>1785</xdr:row>
                    <xdr:rowOff>0</xdr:rowOff>
                  </from>
                  <to>
                    <xdr:col>0</xdr:col>
                    <xdr:colOff>219075</xdr:colOff>
                    <xdr:row>1858</xdr:row>
                    <xdr:rowOff>190500</xdr:rowOff>
                  </to>
                </anchor>
              </controlPr>
            </control>
          </mc:Choice>
        </mc:AlternateContent>
        <mc:AlternateContent xmlns:mc="http://schemas.openxmlformats.org/markup-compatibility/2006">
          <mc:Choice Requires="x14">
            <control shapeId="1228" r:id="rId46" name="Button 204">
              <controlPr defaultSize="0" print="0" autoFill="0" autoPict="0" macro="[0]!Run_Navigator">
                <anchor moveWithCells="1" sizeWithCells="1">
                  <from>
                    <xdr:col>0</xdr:col>
                    <xdr:colOff>19050</xdr:colOff>
                    <xdr:row>1859</xdr:row>
                    <xdr:rowOff>0</xdr:rowOff>
                  </from>
                  <to>
                    <xdr:col>0</xdr:col>
                    <xdr:colOff>219075</xdr:colOff>
                    <xdr:row>1930</xdr:row>
                    <xdr:rowOff>190500</xdr:rowOff>
                  </to>
                </anchor>
              </controlPr>
            </control>
          </mc:Choice>
        </mc:AlternateContent>
        <mc:AlternateContent xmlns:mc="http://schemas.openxmlformats.org/markup-compatibility/2006">
          <mc:Choice Requires="x14">
            <control shapeId="1229" r:id="rId47" name="Button 205">
              <controlPr defaultSize="0" print="0" autoFill="0" autoPict="0" macro="[0]!Run_Navigator">
                <anchor moveWithCells="1" sizeWithCells="1">
                  <from>
                    <xdr:col>0</xdr:col>
                    <xdr:colOff>19050</xdr:colOff>
                    <xdr:row>1956</xdr:row>
                    <xdr:rowOff>9525</xdr:rowOff>
                  </from>
                  <to>
                    <xdr:col>0</xdr:col>
                    <xdr:colOff>219075</xdr:colOff>
                    <xdr:row>1956</xdr:row>
                    <xdr:rowOff>190500</xdr:rowOff>
                  </to>
                </anchor>
              </controlPr>
            </control>
          </mc:Choice>
        </mc:AlternateContent>
        <mc:AlternateContent xmlns:mc="http://schemas.openxmlformats.org/markup-compatibility/2006">
          <mc:Choice Requires="x14">
            <control shapeId="1231" r:id="rId48" name="Button 207">
              <controlPr defaultSize="0" print="0" autoFill="0" autoPict="0" macro="[0]!Run_Navigator">
                <anchor moveWithCells="1" sizeWithCells="1">
                  <from>
                    <xdr:col>0</xdr:col>
                    <xdr:colOff>19050</xdr:colOff>
                    <xdr:row>2047</xdr:row>
                    <xdr:rowOff>9525</xdr:rowOff>
                  </from>
                  <to>
                    <xdr:col>0</xdr:col>
                    <xdr:colOff>219075</xdr:colOff>
                    <xdr:row>2047</xdr:row>
                    <xdr:rowOff>190500</xdr:rowOff>
                  </to>
                </anchor>
              </controlPr>
            </control>
          </mc:Choice>
        </mc:AlternateContent>
        <mc:AlternateContent xmlns:mc="http://schemas.openxmlformats.org/markup-compatibility/2006">
          <mc:Choice Requires="x14">
            <control shapeId="1235" r:id="rId49" name="Button 211">
              <controlPr defaultSize="0" print="0" autoFill="0" autoPict="0" macro="[0]!Run_Navigator">
                <anchor moveWithCells="1" sizeWithCells="1">
                  <from>
                    <xdr:col>0</xdr:col>
                    <xdr:colOff>19050</xdr:colOff>
                    <xdr:row>1274</xdr:row>
                    <xdr:rowOff>9525</xdr:rowOff>
                  </from>
                  <to>
                    <xdr:col>0</xdr:col>
                    <xdr:colOff>219075</xdr:colOff>
                    <xdr:row>1274</xdr:row>
                    <xdr:rowOff>190500</xdr:rowOff>
                  </to>
                </anchor>
              </controlPr>
            </control>
          </mc:Choice>
        </mc:AlternateContent>
        <mc:AlternateContent xmlns:mc="http://schemas.openxmlformats.org/markup-compatibility/2006">
          <mc:Choice Requires="x14">
            <control shapeId="3424338" r:id="rId50" name="Button 2130">
              <controlPr defaultSize="0" print="0" autoFill="0" autoPict="0" macro="[0]!Run_Setup_SensAnal">
                <anchor moveWithCells="1">
                  <from>
                    <xdr:col>1</xdr:col>
                    <xdr:colOff>9525</xdr:colOff>
                    <xdr:row>2047</xdr:row>
                    <xdr:rowOff>0</xdr:rowOff>
                  </from>
                  <to>
                    <xdr:col>3</xdr:col>
                    <xdr:colOff>0</xdr:colOff>
                    <xdr:row>2048</xdr:row>
                    <xdr:rowOff>0</xdr:rowOff>
                  </to>
                </anchor>
              </controlPr>
            </control>
          </mc:Choice>
        </mc:AlternateContent>
        <mc:AlternateContent xmlns:mc="http://schemas.openxmlformats.org/markup-compatibility/2006">
          <mc:Choice Requires="x14">
            <control shapeId="3424469" r:id="rId51" name="Button 2261">
              <controlPr defaultSize="0" print="0" autoFill="0" autoPict="0" macro="[0]!Run_SensAnal">
                <anchor moveWithCells="1" sizeWithCells="1">
                  <from>
                    <xdr:col>0</xdr:col>
                    <xdr:colOff>19050</xdr:colOff>
                    <xdr:row>2062</xdr:row>
                    <xdr:rowOff>19050</xdr:rowOff>
                  </from>
                  <to>
                    <xdr:col>1</xdr:col>
                    <xdr:colOff>0</xdr:colOff>
                    <xdr:row>2064</xdr:row>
                    <xdr:rowOff>0</xdr:rowOff>
                  </to>
                </anchor>
              </controlPr>
            </control>
          </mc:Choice>
        </mc:AlternateContent>
        <mc:AlternateContent xmlns:mc="http://schemas.openxmlformats.org/markup-compatibility/2006">
          <mc:Choice Requires="x14">
            <control shapeId="13002492" r:id="rId52" name="Button 7932">
              <controlPr defaultSize="0" print="0" autoFill="0" autoPict="0" macro="[0]!Run_Navigator">
                <anchor moveWithCells="1" sizeWithCells="1">
                  <from>
                    <xdr:col>0</xdr:col>
                    <xdr:colOff>19050</xdr:colOff>
                    <xdr:row>1656</xdr:row>
                    <xdr:rowOff>9525</xdr:rowOff>
                  </from>
                  <to>
                    <xdr:col>0</xdr:col>
                    <xdr:colOff>219075</xdr:colOff>
                    <xdr:row>1656</xdr:row>
                    <xdr:rowOff>190500</xdr:rowOff>
                  </to>
                </anchor>
              </controlPr>
            </control>
          </mc:Choice>
        </mc:AlternateContent>
        <mc:AlternateContent xmlns:mc="http://schemas.openxmlformats.org/markup-compatibility/2006">
          <mc:Choice Requires="x14">
            <control shapeId="1230" r:id="rId53" name="Button 206">
              <controlPr defaultSize="0" print="0" autoFill="0" autoPict="0" macro="[0]!Run_Navigator">
                <anchor moveWithCells="1" sizeWithCells="1">
                  <from>
                    <xdr:col>0</xdr:col>
                    <xdr:colOff>19050</xdr:colOff>
                    <xdr:row>1957</xdr:row>
                    <xdr:rowOff>0</xdr:rowOff>
                  </from>
                  <to>
                    <xdr:col>0</xdr:col>
                    <xdr:colOff>219075</xdr:colOff>
                    <xdr:row>2007</xdr:row>
                    <xdr:rowOff>190500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33"/>
  <sheetViews>
    <sheetView view="pageBreakPreview" topLeftCell="A88" zoomScale="80" zoomScaleNormal="100" zoomScaleSheetLayoutView="80" workbookViewId="0">
      <selection activeCell="B121" sqref="B121"/>
    </sheetView>
  </sheetViews>
  <sheetFormatPr defaultRowHeight="15" x14ac:dyDescent="0.3"/>
  <cols>
    <col min="1" max="1" width="39.33203125" customWidth="1"/>
    <col min="2" max="2" width="21.33203125" style="333" bestFit="1" customWidth="1"/>
    <col min="3" max="4" width="13.83203125" style="333" bestFit="1" customWidth="1"/>
    <col min="5" max="5" width="17.33203125" style="333" bestFit="1" customWidth="1"/>
    <col min="6" max="8" width="16.83203125" style="333" bestFit="1" customWidth="1"/>
    <col min="9" max="17" width="18.1640625" style="333" bestFit="1" customWidth="1"/>
    <col min="18" max="18" width="24" style="333" bestFit="1" customWidth="1"/>
    <col min="19" max="20" width="18.1640625" style="333" bestFit="1" customWidth="1"/>
    <col min="21" max="21" width="18.1640625" bestFit="1" customWidth="1"/>
    <col min="22" max="22" width="20.5" bestFit="1" customWidth="1"/>
    <col min="23" max="25" width="18.1640625" bestFit="1" customWidth="1"/>
    <col min="26" max="26" width="20.33203125" bestFit="1" customWidth="1"/>
  </cols>
  <sheetData>
    <row r="1" spans="2:19" ht="15.75" thickBot="1" x14ac:dyDescent="0.35">
      <c r="B1" s="686" t="s">
        <v>2877</v>
      </c>
      <c r="C1" s="687"/>
      <c r="D1" s="687"/>
      <c r="E1" s="687"/>
      <c r="F1" s="688"/>
    </row>
    <row r="2" spans="2:19" x14ac:dyDescent="0.3">
      <c r="B2" s="695" t="s">
        <v>2719</v>
      </c>
      <c r="C2" s="691" t="s">
        <v>2720</v>
      </c>
      <c r="D2" s="691" t="s">
        <v>2757</v>
      </c>
      <c r="E2" s="691" t="s">
        <v>2840</v>
      </c>
      <c r="F2" s="691" t="s">
        <v>2756</v>
      </c>
      <c r="G2" s="703" t="s">
        <v>2755</v>
      </c>
      <c r="H2" s="703"/>
      <c r="I2" s="703"/>
      <c r="J2" s="703"/>
      <c r="K2" s="703"/>
      <c r="L2" s="703"/>
      <c r="M2" s="703"/>
      <c r="N2" s="703" t="s">
        <v>2754</v>
      </c>
      <c r="O2" s="703"/>
      <c r="P2" s="703"/>
      <c r="Q2" s="691" t="s">
        <v>2753</v>
      </c>
      <c r="R2" s="703" t="s">
        <v>2752</v>
      </c>
      <c r="S2" s="704"/>
    </row>
    <row r="3" spans="2:19" x14ac:dyDescent="0.3">
      <c r="B3" s="696"/>
      <c r="C3" s="692"/>
      <c r="D3" s="692"/>
      <c r="E3" s="692"/>
      <c r="F3" s="692"/>
      <c r="G3" s="389" t="s">
        <v>2751</v>
      </c>
      <c r="H3" s="389" t="s">
        <v>2750</v>
      </c>
      <c r="I3" s="389" t="s">
        <v>2749</v>
      </c>
      <c r="J3" s="389" t="s">
        <v>2748</v>
      </c>
      <c r="K3" s="389" t="s">
        <v>2747</v>
      </c>
      <c r="L3" s="389" t="s">
        <v>2746</v>
      </c>
      <c r="M3" s="389" t="s">
        <v>2745</v>
      </c>
      <c r="N3" s="389" t="s">
        <v>2744</v>
      </c>
      <c r="O3" s="389" t="s">
        <v>2743</v>
      </c>
      <c r="P3" s="389" t="s">
        <v>2742</v>
      </c>
      <c r="Q3" s="692"/>
      <c r="R3" s="389" t="s">
        <v>2741</v>
      </c>
      <c r="S3" s="390" t="s">
        <v>2740</v>
      </c>
    </row>
    <row r="4" spans="2:19" x14ac:dyDescent="0.3">
      <c r="B4" s="377">
        <v>1</v>
      </c>
      <c r="C4" s="378" t="s">
        <v>2722</v>
      </c>
      <c r="D4" s="384">
        <v>1</v>
      </c>
      <c r="E4" s="387">
        <v>200</v>
      </c>
      <c r="F4" s="387">
        <f>390*D4</f>
        <v>390</v>
      </c>
      <c r="G4" s="379">
        <f>18*D4</f>
        <v>18</v>
      </c>
      <c r="H4" s="379">
        <f>37*D4</f>
        <v>37</v>
      </c>
      <c r="I4" s="379"/>
      <c r="J4" s="379"/>
      <c r="K4" s="379"/>
      <c r="L4" s="379"/>
      <c r="M4" s="379"/>
      <c r="N4" s="379">
        <f>18*D4</f>
        <v>18</v>
      </c>
      <c r="O4" s="379"/>
      <c r="P4" s="379"/>
      <c r="Q4" s="379">
        <f>8*D4</f>
        <v>8</v>
      </c>
      <c r="R4" s="384">
        <f>0.6*6*D4</f>
        <v>3.5999999999999996</v>
      </c>
      <c r="S4" s="380">
        <f>ROUNDUP(0.15*(G4+H4+N4),1)</f>
        <v>11</v>
      </c>
    </row>
    <row r="5" spans="2:19" x14ac:dyDescent="0.3">
      <c r="B5" s="377">
        <v>2</v>
      </c>
      <c r="C5" s="378" t="s">
        <v>2723</v>
      </c>
      <c r="D5" s="384">
        <v>1</v>
      </c>
      <c r="E5" s="697">
        <v>230</v>
      </c>
      <c r="F5" s="388">
        <f>420*D5</f>
        <v>420</v>
      </c>
      <c r="G5" s="379">
        <f>12*D5</f>
        <v>12</v>
      </c>
      <c r="H5" s="379"/>
      <c r="I5" s="379">
        <f>26*D5</f>
        <v>26</v>
      </c>
      <c r="J5" s="379"/>
      <c r="K5" s="379"/>
      <c r="L5" s="379"/>
      <c r="M5" s="379"/>
      <c r="N5" s="379"/>
      <c r="O5" s="379">
        <f>14*D5</f>
        <v>14</v>
      </c>
      <c r="P5" s="379">
        <f>12*D5</f>
        <v>12</v>
      </c>
      <c r="Q5" s="379">
        <f>6*D5</f>
        <v>6</v>
      </c>
      <c r="R5" s="384">
        <f>1.1*4*D5</f>
        <v>4.4000000000000004</v>
      </c>
      <c r="S5" s="380">
        <f>ROUNDUP(0.2*(G5+I5+O5+P5),1)</f>
        <v>12.8</v>
      </c>
    </row>
    <row r="6" spans="2:19" x14ac:dyDescent="0.3">
      <c r="B6" s="377">
        <v>3</v>
      </c>
      <c r="C6" s="378" t="s">
        <v>2724</v>
      </c>
      <c r="D6" s="384">
        <v>1</v>
      </c>
      <c r="E6" s="697"/>
      <c r="F6" s="388">
        <f t="shared" ref="F6:F12" si="0">420*D6</f>
        <v>420</v>
      </c>
      <c r="G6" s="379">
        <f>15*D6</f>
        <v>15</v>
      </c>
      <c r="H6" s="379"/>
      <c r="I6" s="379">
        <f>29*D6</f>
        <v>29</v>
      </c>
      <c r="J6" s="379">
        <f>D6</f>
        <v>1</v>
      </c>
      <c r="K6" s="379">
        <f>D6</f>
        <v>1</v>
      </c>
      <c r="L6" s="379"/>
      <c r="M6" s="379"/>
      <c r="N6" s="379">
        <f>15*D6</f>
        <v>15</v>
      </c>
      <c r="O6" s="379"/>
      <c r="P6" s="379">
        <f>15*D6</f>
        <v>15</v>
      </c>
      <c r="Q6" s="379">
        <f>7*D6</f>
        <v>7</v>
      </c>
      <c r="R6" s="384">
        <f>0.9*5*D6</f>
        <v>4.5</v>
      </c>
      <c r="S6" s="380">
        <f>ROUNDUP(0.2*(G6+I6+J6+K6+N6+P6),1)</f>
        <v>15.2</v>
      </c>
    </row>
    <row r="7" spans="2:19" x14ac:dyDescent="0.3">
      <c r="B7" s="377">
        <v>4</v>
      </c>
      <c r="C7" s="378" t="s">
        <v>2725</v>
      </c>
      <c r="D7" s="384">
        <v>1</v>
      </c>
      <c r="E7" s="697"/>
      <c r="F7" s="388">
        <f t="shared" si="0"/>
        <v>420</v>
      </c>
      <c r="G7" s="379">
        <f>18*D7</f>
        <v>18</v>
      </c>
      <c r="H7" s="379">
        <f>44*D7</f>
        <v>44</v>
      </c>
      <c r="I7" s="379"/>
      <c r="J7" s="379"/>
      <c r="K7" s="379"/>
      <c r="L7" s="379"/>
      <c r="M7" s="379"/>
      <c r="N7" s="379">
        <f>18*D7</f>
        <v>18</v>
      </c>
      <c r="O7" s="379"/>
      <c r="P7" s="379">
        <f>18*D7</f>
        <v>18</v>
      </c>
      <c r="Q7" s="379">
        <f>8*D7</f>
        <v>8</v>
      </c>
      <c r="R7" s="384">
        <f>0.8*6*D7</f>
        <v>4.8000000000000007</v>
      </c>
      <c r="S7" s="380">
        <f>ROUNDUP(0.15*(G7+H7+N7+P7),1)</f>
        <v>14.7</v>
      </c>
    </row>
    <row r="8" spans="2:19" x14ac:dyDescent="0.3">
      <c r="B8" s="377">
        <v>5</v>
      </c>
      <c r="C8" s="378" t="s">
        <v>2726</v>
      </c>
      <c r="D8" s="384">
        <v>1</v>
      </c>
      <c r="E8" s="697"/>
      <c r="F8" s="388">
        <f t="shared" si="0"/>
        <v>420</v>
      </c>
      <c r="G8" s="379">
        <f>23*D8</f>
        <v>23</v>
      </c>
      <c r="H8" s="379">
        <f>50*D8</f>
        <v>50</v>
      </c>
      <c r="I8" s="379"/>
      <c r="J8" s="379"/>
      <c r="K8" s="379"/>
      <c r="L8" s="379"/>
      <c r="M8" s="379"/>
      <c r="N8" s="379">
        <v>21</v>
      </c>
      <c r="O8" s="379"/>
      <c r="P8" s="379">
        <v>21</v>
      </c>
      <c r="Q8" s="379">
        <f>10*D8</f>
        <v>10</v>
      </c>
      <c r="R8" s="384">
        <f>0.6*7*D8</f>
        <v>4.2</v>
      </c>
      <c r="S8" s="380">
        <f>ROUNDUP(0.15*(G8+H8),1)</f>
        <v>11</v>
      </c>
    </row>
    <row r="9" spans="2:19" x14ac:dyDescent="0.3">
      <c r="B9" s="377">
        <v>6</v>
      </c>
      <c r="C9" s="378" t="s">
        <v>2727</v>
      </c>
      <c r="D9" s="384">
        <v>1</v>
      </c>
      <c r="E9" s="697">
        <v>230</v>
      </c>
      <c r="F9" s="388">
        <f t="shared" si="0"/>
        <v>420</v>
      </c>
      <c r="G9" s="379">
        <f>12*D9</f>
        <v>12</v>
      </c>
      <c r="H9" s="379"/>
      <c r="I9" s="379">
        <f>26*D9</f>
        <v>26</v>
      </c>
      <c r="J9" s="379"/>
      <c r="K9" s="379"/>
      <c r="L9" s="379"/>
      <c r="M9" s="379"/>
      <c r="N9" s="379"/>
      <c r="O9" s="379">
        <f>14*D9</f>
        <v>14</v>
      </c>
      <c r="P9" s="379">
        <f>12*D9</f>
        <v>12</v>
      </c>
      <c r="Q9" s="379">
        <f>6*D9</f>
        <v>6</v>
      </c>
      <c r="R9" s="384">
        <f>1.1*4*D9</f>
        <v>4.4000000000000004</v>
      </c>
      <c r="S9" s="380">
        <f>ROUNDUP(0.2*(G9+I9+O9+P9),1)</f>
        <v>12.8</v>
      </c>
    </row>
    <row r="10" spans="2:19" x14ac:dyDescent="0.3">
      <c r="B10" s="377">
        <v>7</v>
      </c>
      <c r="C10" s="378" t="s">
        <v>2728</v>
      </c>
      <c r="D10" s="384">
        <v>1</v>
      </c>
      <c r="E10" s="697"/>
      <c r="F10" s="388">
        <f t="shared" si="0"/>
        <v>420</v>
      </c>
      <c r="G10" s="379">
        <f>15*D10</f>
        <v>15</v>
      </c>
      <c r="H10" s="379"/>
      <c r="I10" s="379">
        <f>29*D10</f>
        <v>29</v>
      </c>
      <c r="J10" s="379">
        <f>D10</f>
        <v>1</v>
      </c>
      <c r="K10" s="379">
        <f>D10</f>
        <v>1</v>
      </c>
      <c r="L10" s="379"/>
      <c r="M10" s="379"/>
      <c r="N10" s="379">
        <f>15*D10</f>
        <v>15</v>
      </c>
      <c r="O10" s="379"/>
      <c r="P10" s="379">
        <f>15*D10</f>
        <v>15</v>
      </c>
      <c r="Q10" s="379">
        <f>7*D10</f>
        <v>7</v>
      </c>
      <c r="R10" s="384">
        <f>0.9*5*D10</f>
        <v>4.5</v>
      </c>
      <c r="S10" s="380">
        <f>ROUNDUP(0.2*(G10+I10+J10+K10+N10+P10),1)</f>
        <v>15.2</v>
      </c>
    </row>
    <row r="11" spans="2:19" x14ac:dyDescent="0.3">
      <c r="B11" s="377">
        <v>8</v>
      </c>
      <c r="C11" s="378" t="s">
        <v>2729</v>
      </c>
      <c r="D11" s="384">
        <v>1</v>
      </c>
      <c r="E11" s="697"/>
      <c r="F11" s="388">
        <f t="shared" si="0"/>
        <v>420</v>
      </c>
      <c r="G11" s="379">
        <f>18*D11</f>
        <v>18</v>
      </c>
      <c r="H11" s="379">
        <f>44*D11</f>
        <v>44</v>
      </c>
      <c r="I11" s="379"/>
      <c r="J11" s="379"/>
      <c r="K11" s="379"/>
      <c r="L11" s="379"/>
      <c r="M11" s="379"/>
      <c r="N11" s="379">
        <f>18*D11</f>
        <v>18</v>
      </c>
      <c r="O11" s="379"/>
      <c r="P11" s="379">
        <f>18*D11</f>
        <v>18</v>
      </c>
      <c r="Q11" s="379">
        <f>8*D11</f>
        <v>8</v>
      </c>
      <c r="R11" s="384">
        <f>0.8*6*D11</f>
        <v>4.8000000000000007</v>
      </c>
      <c r="S11" s="380">
        <f>ROUNDUP(0.15*(G11+H11+N11+P11),1)</f>
        <v>14.7</v>
      </c>
    </row>
    <row r="12" spans="2:19" x14ac:dyDescent="0.3">
      <c r="B12" s="377">
        <v>9</v>
      </c>
      <c r="C12" s="378" t="s">
        <v>2730</v>
      </c>
      <c r="D12" s="384">
        <v>1</v>
      </c>
      <c r="E12" s="697"/>
      <c r="F12" s="388">
        <f t="shared" si="0"/>
        <v>420</v>
      </c>
      <c r="G12" s="379">
        <f>23*D12</f>
        <v>23</v>
      </c>
      <c r="H12" s="379">
        <f>50*D12</f>
        <v>50</v>
      </c>
      <c r="I12" s="379"/>
      <c r="J12" s="379"/>
      <c r="K12" s="379"/>
      <c r="L12" s="379"/>
      <c r="M12" s="379"/>
      <c r="N12" s="379">
        <v>21</v>
      </c>
      <c r="O12" s="379"/>
      <c r="P12" s="379">
        <v>21</v>
      </c>
      <c r="Q12" s="379">
        <f>10*D12</f>
        <v>10</v>
      </c>
      <c r="R12" s="384">
        <f>0.6*7*D12</f>
        <v>4.2</v>
      </c>
      <c r="S12" s="380">
        <f>ROUNDUP(0.15*(G12+H12),1)</f>
        <v>11</v>
      </c>
    </row>
    <row r="13" spans="2:19" x14ac:dyDescent="0.3">
      <c r="B13" s="377">
        <v>10</v>
      </c>
      <c r="C13" s="378" t="s">
        <v>2731</v>
      </c>
      <c r="D13" s="384">
        <v>1</v>
      </c>
      <c r="E13" s="697">
        <v>310</v>
      </c>
      <c r="F13" s="388">
        <f>540*D13</f>
        <v>540</v>
      </c>
      <c r="G13" s="379">
        <f>12*D13</f>
        <v>12</v>
      </c>
      <c r="H13" s="379"/>
      <c r="I13" s="379"/>
      <c r="J13" s="379"/>
      <c r="K13" s="379"/>
      <c r="L13" s="379">
        <f>33*D13</f>
        <v>33</v>
      </c>
      <c r="M13" s="379">
        <f>12*D13</f>
        <v>12</v>
      </c>
      <c r="N13" s="379"/>
      <c r="O13" s="379">
        <f>15*D13</f>
        <v>15</v>
      </c>
      <c r="P13" s="379"/>
      <c r="Q13" s="379">
        <f>6*D13</f>
        <v>6</v>
      </c>
      <c r="R13" s="384">
        <f>2.4*4*D13</f>
        <v>9.6</v>
      </c>
      <c r="S13" s="380">
        <f>ROUNDUP(0.25*(G13+L13+M13+O13),1)</f>
        <v>18</v>
      </c>
    </row>
    <row r="14" spans="2:19" x14ac:dyDescent="0.3">
      <c r="B14" s="377">
        <v>11</v>
      </c>
      <c r="C14" s="378" t="s">
        <v>2732</v>
      </c>
      <c r="D14" s="384">
        <v>1</v>
      </c>
      <c r="E14" s="697"/>
      <c r="F14" s="388">
        <f t="shared" ref="F14:F16" si="1">540*D14</f>
        <v>540</v>
      </c>
      <c r="G14" s="379">
        <f>15*D14</f>
        <v>15</v>
      </c>
      <c r="H14" s="379"/>
      <c r="I14" s="379"/>
      <c r="J14" s="379"/>
      <c r="K14" s="379"/>
      <c r="L14" s="379">
        <f>40*D14</f>
        <v>40</v>
      </c>
      <c r="M14" s="379">
        <f>15*D14</f>
        <v>15</v>
      </c>
      <c r="N14" s="379"/>
      <c r="O14" s="379">
        <f>15*D14</f>
        <v>15</v>
      </c>
      <c r="P14" s="379"/>
      <c r="Q14" s="379">
        <f>7*D14</f>
        <v>7</v>
      </c>
      <c r="R14" s="384">
        <f>1.9*5*D14</f>
        <v>9.5</v>
      </c>
      <c r="S14" s="380">
        <f>ROUNDUP(0.25*(G14+L14+M14+O14),1)</f>
        <v>21.3</v>
      </c>
    </row>
    <row r="15" spans="2:19" x14ac:dyDescent="0.3">
      <c r="B15" s="377">
        <v>12</v>
      </c>
      <c r="C15" s="378" t="s">
        <v>2733</v>
      </c>
      <c r="D15" s="384">
        <v>1</v>
      </c>
      <c r="E15" s="697"/>
      <c r="F15" s="388">
        <f t="shared" si="1"/>
        <v>540</v>
      </c>
      <c r="G15" s="379">
        <f>12*D15</f>
        <v>12</v>
      </c>
      <c r="H15" s="379"/>
      <c r="I15" s="379"/>
      <c r="J15" s="379"/>
      <c r="K15" s="379">
        <f>18*D15</f>
        <v>18</v>
      </c>
      <c r="L15" s="379">
        <f>45*D15</f>
        <v>45</v>
      </c>
      <c r="M15" s="379"/>
      <c r="N15" s="379"/>
      <c r="O15" s="379">
        <f>21*D15</f>
        <v>21</v>
      </c>
      <c r="P15" s="379"/>
      <c r="Q15" s="379">
        <f>8*D15</f>
        <v>8</v>
      </c>
      <c r="R15" s="384">
        <f>1.4*6*D15</f>
        <v>8.3999999999999986</v>
      </c>
      <c r="S15" s="380">
        <f>ROUNDUP(0.25*(G15+K15+L15+O15),1)</f>
        <v>24</v>
      </c>
    </row>
    <row r="16" spans="2:19" x14ac:dyDescent="0.3">
      <c r="B16" s="377">
        <v>13</v>
      </c>
      <c r="C16" s="378" t="s">
        <v>2734</v>
      </c>
      <c r="D16" s="384">
        <v>1</v>
      </c>
      <c r="E16" s="697"/>
      <c r="F16" s="388">
        <f t="shared" si="1"/>
        <v>540</v>
      </c>
      <c r="G16" s="379"/>
      <c r="H16" s="379"/>
      <c r="I16" s="379">
        <f>62*D16</f>
        <v>62</v>
      </c>
      <c r="J16" s="379">
        <f>D16</f>
        <v>1</v>
      </c>
      <c r="K16" s="379">
        <f>21*D16</f>
        <v>21</v>
      </c>
      <c r="L16" s="379"/>
      <c r="M16" s="379"/>
      <c r="N16" s="379">
        <f>24*D16</f>
        <v>24</v>
      </c>
      <c r="O16" s="379"/>
      <c r="P16" s="379"/>
      <c r="Q16" s="379">
        <f>10*D16</f>
        <v>10</v>
      </c>
      <c r="R16" s="384">
        <f>1.1*7*D16</f>
        <v>7.7000000000000011</v>
      </c>
      <c r="S16" s="380">
        <f>ROUNDUP(0.2*(I16+J16+K16+N16),1)</f>
        <v>21.6</v>
      </c>
    </row>
    <row r="17" spans="2:20" x14ac:dyDescent="0.3">
      <c r="B17" s="377">
        <v>14</v>
      </c>
      <c r="C17" s="378" t="s">
        <v>2735</v>
      </c>
      <c r="D17" s="384">
        <v>1</v>
      </c>
      <c r="E17" s="387">
        <v>410</v>
      </c>
      <c r="F17" s="387">
        <f>590*D17</f>
        <v>590</v>
      </c>
      <c r="G17" s="379"/>
      <c r="H17" s="379"/>
      <c r="I17" s="379"/>
      <c r="J17" s="379"/>
      <c r="K17" s="379">
        <f>12*D17</f>
        <v>12</v>
      </c>
      <c r="L17" s="379">
        <f>59*D17</f>
        <v>59</v>
      </c>
      <c r="M17" s="379">
        <f>18*D17</f>
        <v>18</v>
      </c>
      <c r="N17" s="379"/>
      <c r="O17" s="379">
        <f>31*D17</f>
        <v>31</v>
      </c>
      <c r="P17" s="379"/>
      <c r="Q17" s="379">
        <f>8*D17</f>
        <v>8</v>
      </c>
      <c r="R17" s="384">
        <f>2.3*6*D17</f>
        <v>13.799999999999999</v>
      </c>
      <c r="S17" s="380">
        <f>ROUNDUP(0.2*(K17+L17+M17+O17),1)</f>
        <v>24</v>
      </c>
    </row>
    <row r="18" spans="2:20" x14ac:dyDescent="0.3">
      <c r="B18" s="377"/>
      <c r="C18" s="384"/>
      <c r="D18" s="384"/>
      <c r="E18" s="384"/>
      <c r="F18" s="384"/>
      <c r="G18" s="384"/>
      <c r="H18" s="384"/>
      <c r="I18" s="384"/>
      <c r="J18" s="384"/>
      <c r="K18" s="384"/>
      <c r="L18" s="384"/>
      <c r="M18" s="384"/>
      <c r="N18" s="384"/>
      <c r="O18" s="384"/>
      <c r="P18" s="384"/>
      <c r="Q18" s="384"/>
      <c r="R18" s="384"/>
      <c r="S18" s="380"/>
    </row>
    <row r="19" spans="2:20" ht="15.75" thickBot="1" x14ac:dyDescent="0.35">
      <c r="B19" s="381" t="s">
        <v>2847</v>
      </c>
      <c r="C19" s="385"/>
      <c r="D19" s="385"/>
      <c r="E19" s="385"/>
      <c r="F19" s="385"/>
      <c r="G19" s="385">
        <f>SUM(G4:G15)</f>
        <v>193</v>
      </c>
      <c r="H19" s="385">
        <f>H4+H7+H8+H11+H12</f>
        <v>225</v>
      </c>
      <c r="I19" s="385">
        <f>I5+I6+I9+I10+I16</f>
        <v>172</v>
      </c>
      <c r="J19" s="385">
        <f>J6+J10+J16</f>
        <v>3</v>
      </c>
      <c r="K19" s="385">
        <f>K6+K10+K15+K16+K17</f>
        <v>53</v>
      </c>
      <c r="L19" s="385">
        <f>L13+L14+L15+L17</f>
        <v>177</v>
      </c>
      <c r="M19" s="385">
        <f>M13+M14+M17</f>
        <v>45</v>
      </c>
      <c r="N19" s="385">
        <f>N4+N6+N7+N10+N11+N16</f>
        <v>108</v>
      </c>
      <c r="O19" s="385">
        <f>O5+O9+O13+O14+O15+O17</f>
        <v>110</v>
      </c>
      <c r="P19" s="385">
        <f>P5+P6+P7+P9+P10+P11</f>
        <v>90</v>
      </c>
      <c r="Q19" s="385">
        <f>SUM(Q4:Q17)</f>
        <v>109</v>
      </c>
      <c r="R19" s="385">
        <f>SUM(R4:R17)</f>
        <v>88.4</v>
      </c>
      <c r="S19" s="383">
        <f>SUM(S4:S17)</f>
        <v>227.3</v>
      </c>
    </row>
    <row r="20" spans="2:20" ht="15.75" thickBot="1" x14ac:dyDescent="0.35"/>
    <row r="21" spans="2:20" ht="15.75" thickBot="1" x14ac:dyDescent="0.35">
      <c r="F21" s="686" t="s">
        <v>2878</v>
      </c>
      <c r="G21" s="687"/>
      <c r="H21" s="687"/>
      <c r="I21" s="687"/>
      <c r="J21" s="688"/>
    </row>
    <row r="22" spans="2:20" s="391" customFormat="1" x14ac:dyDescent="0.3">
      <c r="B22" s="346"/>
      <c r="C22" s="346"/>
      <c r="D22" s="346"/>
      <c r="E22" s="698" t="s">
        <v>2848</v>
      </c>
      <c r="F22" s="693"/>
      <c r="G22" s="691" t="s">
        <v>2755</v>
      </c>
      <c r="H22" s="691"/>
      <c r="I22" s="691"/>
      <c r="J22" s="691"/>
      <c r="K22" s="691"/>
      <c r="L22" s="691"/>
      <c r="M22" s="691"/>
      <c r="N22" s="703" t="s">
        <v>2754</v>
      </c>
      <c r="O22" s="703"/>
      <c r="P22" s="703"/>
      <c r="Q22" s="705" t="s">
        <v>2753</v>
      </c>
      <c r="R22" s="703" t="s">
        <v>2752</v>
      </c>
      <c r="S22" s="704"/>
      <c r="T22" s="346"/>
    </row>
    <row r="23" spans="2:20" s="391" customFormat="1" x14ac:dyDescent="0.3">
      <c r="B23" s="346"/>
      <c r="C23" s="346"/>
      <c r="D23" s="346"/>
      <c r="E23" s="699"/>
      <c r="F23" s="694"/>
      <c r="G23" s="394" t="s">
        <v>2751</v>
      </c>
      <c r="H23" s="394" t="s">
        <v>2750</v>
      </c>
      <c r="I23" s="394" t="s">
        <v>2749</v>
      </c>
      <c r="J23" s="394" t="s">
        <v>2748</v>
      </c>
      <c r="K23" s="394" t="s">
        <v>2747</v>
      </c>
      <c r="L23" s="394" t="s">
        <v>2746</v>
      </c>
      <c r="M23" s="394" t="s">
        <v>2745</v>
      </c>
      <c r="N23" s="394" t="s">
        <v>2744</v>
      </c>
      <c r="O23" s="394" t="s">
        <v>2743</v>
      </c>
      <c r="P23" s="394" t="s">
        <v>2742</v>
      </c>
      <c r="Q23" s="706"/>
      <c r="R23" s="389" t="s">
        <v>2741</v>
      </c>
      <c r="S23" s="390" t="s">
        <v>2740</v>
      </c>
      <c r="T23" s="346"/>
    </row>
    <row r="24" spans="2:20" ht="15.75" thickBot="1" x14ac:dyDescent="0.35">
      <c r="E24" s="404">
        <v>4</v>
      </c>
      <c r="F24" s="402">
        <v>105</v>
      </c>
      <c r="G24" s="463">
        <f>G31*(1+Расходы!$B$9)*Расходы!$B$8/Расходы!$B$7</f>
        <v>81.302325581395351</v>
      </c>
      <c r="H24" s="463">
        <f>H31*(1+Расходы!$B$9)*Расходы!$B$8/Расходы!$B$7</f>
        <v>83.069767441860463</v>
      </c>
      <c r="I24" s="463">
        <f>I31*(1+Расходы!$B$9)*Расходы!$B$8/Расходы!$B$7</f>
        <v>103.3953488372093</v>
      </c>
      <c r="J24" s="463">
        <f>J31*(1+Расходы!$B$9)*Расходы!$B$8/Расходы!$B$7</f>
        <v>101.62790697674419</v>
      </c>
      <c r="K24" s="463">
        <f>K31*(1+Расходы!$B$9)*Расходы!$B$8/Расходы!$B$7</f>
        <v>101.62790697674419</v>
      </c>
      <c r="L24" s="463">
        <f>L31*(1+Расходы!$B$9)*Расходы!$B$8/Расходы!$B$7</f>
        <v>132.55813953488374</v>
      </c>
      <c r="M24" s="463">
        <f>M31*(1+Расходы!$B$9)*Расходы!$B$8/Расходы!$B$7</f>
        <v>129.90697674418607</v>
      </c>
      <c r="N24" s="463">
        <f>1.33*1.23</f>
        <v>1.6359000000000001</v>
      </c>
      <c r="O24" s="463">
        <f>1.98*1.23</f>
        <v>2.4354</v>
      </c>
      <c r="P24" s="463">
        <f>1.12*1.23</f>
        <v>1.3776000000000002</v>
      </c>
      <c r="Q24" s="463">
        <f>30*1.23</f>
        <v>36.9</v>
      </c>
      <c r="R24" s="463">
        <f>4154.8/4.5*1.23/Расходы!B5</f>
        <v>15.346558558558559</v>
      </c>
      <c r="S24" s="463">
        <f>0.46</f>
        <v>0.46</v>
      </c>
    </row>
    <row r="25" spans="2:20" ht="15.75" thickBot="1" x14ac:dyDescent="0.35">
      <c r="E25" s="401">
        <v>5</v>
      </c>
      <c r="F25" s="403">
        <v>129</v>
      </c>
      <c r="G25" s="463">
        <f>G32*(1+Расходы!$B$9)*Расходы!$B$8/Расходы!$B$7</f>
        <v>81.302325581395351</v>
      </c>
      <c r="H25" s="463">
        <f>H32*(1+Расходы!$B$9)*Расходы!$B$8/Расходы!$B$7</f>
        <v>83.069767441860463</v>
      </c>
      <c r="I25" s="463">
        <f>I32*(1+Расходы!$B$9)*Расходы!$B$8/Расходы!$B$7</f>
        <v>103.3953488372093</v>
      </c>
      <c r="J25" s="463">
        <f>J32*(1+Расходы!$B$9)*Расходы!$B$8/Расходы!$B$7</f>
        <v>101.62790697674419</v>
      </c>
      <c r="K25" s="463">
        <f>K32*(1+Расходы!$B$9)*Расходы!$B$8/Расходы!$B$7</f>
        <v>101.62790697674419</v>
      </c>
      <c r="L25" s="463">
        <f>L32*(1+Расходы!$B$9)*Расходы!$B$8/Расходы!$B$7</f>
        <v>132.55813953488374</v>
      </c>
      <c r="M25" s="463">
        <f>M32*(1+Расходы!$B$9)*Расходы!$B$8/Расходы!$B$7</f>
        <v>129.90697674418607</v>
      </c>
      <c r="N25" s="406"/>
      <c r="O25" s="406"/>
      <c r="P25" s="406"/>
      <c r="Q25" s="406"/>
      <c r="R25" s="406"/>
      <c r="S25" s="406"/>
    </row>
    <row r="26" spans="2:20" ht="15.75" thickBot="1" x14ac:dyDescent="0.35">
      <c r="E26" s="401">
        <v>6</v>
      </c>
      <c r="F26" s="403">
        <v>137</v>
      </c>
      <c r="G26" s="463">
        <f>G33*(1+Расходы!$B$9)*Расходы!$B$8/Расходы!$B$7</f>
        <v>81.302325581395351</v>
      </c>
      <c r="H26" s="463">
        <f>H33*(1+Расходы!$B$9)*Расходы!$B$8/Расходы!$B$7</f>
        <v>83.069767441860463</v>
      </c>
      <c r="I26" s="463">
        <f>I33*(1+Расходы!$B$9)*Расходы!$B$8/Расходы!$B$7</f>
        <v>103.3953488372093</v>
      </c>
      <c r="J26" s="463">
        <f>J33*(1+Расходы!$B$9)*Расходы!$B$8/Расходы!$B$7</f>
        <v>101.62790697674419</v>
      </c>
      <c r="K26" s="463">
        <f>K33*(1+Расходы!$B$9)*Расходы!$B$8/Расходы!$B$7</f>
        <v>101.62790697674419</v>
      </c>
      <c r="L26" s="463">
        <f>L33*(1+Расходы!$B$9)*Расходы!$B$8/Расходы!$B$7</f>
        <v>132.55813953488374</v>
      </c>
      <c r="M26" s="463">
        <f>M33*(1+Расходы!$B$9)*Расходы!$B$8/Расходы!$B$7</f>
        <v>129.90697674418607</v>
      </c>
      <c r="N26" s="406"/>
      <c r="O26" s="406"/>
      <c r="P26" s="406"/>
      <c r="Q26" s="406"/>
      <c r="R26" s="406"/>
      <c r="S26" s="406"/>
    </row>
    <row r="27" spans="2:20" ht="15.75" thickBot="1" x14ac:dyDescent="0.35">
      <c r="E27" s="401">
        <v>7</v>
      </c>
      <c r="F27" s="403">
        <v>143</v>
      </c>
      <c r="G27" s="463">
        <f>G34*(1+Расходы!$B$9)*Расходы!$B$8/Расходы!$B$7</f>
        <v>81.302325581395351</v>
      </c>
      <c r="H27" s="463">
        <f>H34*(1+Расходы!$B$9)*Расходы!$B$8/Расходы!$B$7</f>
        <v>83.069767441860463</v>
      </c>
      <c r="I27" s="463">
        <f>I34*(1+Расходы!$B$9)*Расходы!$B$8/Расходы!$B$7</f>
        <v>103.3953488372093</v>
      </c>
      <c r="J27" s="463">
        <f>J34*(1+Расходы!$B$9)*Расходы!$B$8/Расходы!$B$7</f>
        <v>101.62790697674419</v>
      </c>
      <c r="K27" s="463">
        <f>K34*(1+Расходы!$B$9)*Расходы!$B$8/Расходы!$B$7</f>
        <v>101.62790697674419</v>
      </c>
      <c r="L27" s="463">
        <f>L34*(1+Расходы!$B$9)*Расходы!$B$8/Расходы!$B$7</f>
        <v>132.55813953488374</v>
      </c>
      <c r="M27" s="463">
        <f>M34*(1+Расходы!$B$9)*Расходы!$B$8/Расходы!$B$7</f>
        <v>129.90697674418607</v>
      </c>
      <c r="N27" s="406"/>
      <c r="O27" s="406"/>
      <c r="P27" s="406"/>
      <c r="Q27" s="406">
        <v>73.67</v>
      </c>
      <c r="R27" s="406">
        <v>43.19</v>
      </c>
      <c r="S27" s="406"/>
    </row>
    <row r="28" spans="2:20" ht="15.75" thickBot="1" x14ac:dyDescent="0.35">
      <c r="F28" s="405"/>
      <c r="G28" s="406"/>
      <c r="H28" s="406"/>
      <c r="I28" s="406"/>
      <c r="J28" s="406"/>
      <c r="K28" s="406"/>
      <c r="L28" s="406"/>
      <c r="M28" s="406"/>
      <c r="N28" s="406"/>
      <c r="O28" s="406"/>
      <c r="P28" s="394" t="s">
        <v>2990</v>
      </c>
      <c r="Q28" s="406"/>
      <c r="R28" s="406"/>
      <c r="S28" s="406"/>
    </row>
    <row r="29" spans="2:20" ht="15.75" thickBot="1" x14ac:dyDescent="0.35">
      <c r="F29" s="686" t="s">
        <v>2879</v>
      </c>
      <c r="G29" s="687"/>
      <c r="H29" s="687"/>
      <c r="I29" s="687"/>
      <c r="J29" s="688"/>
      <c r="N29" s="406"/>
      <c r="O29" s="406"/>
      <c r="P29" s="463">
        <f>P24*Q29</f>
        <v>0.81080324149108618</v>
      </c>
      <c r="Q29" s="524">
        <f>R29/R27</f>
        <v>0.5885621671683261</v>
      </c>
      <c r="R29" s="406">
        <v>25.42</v>
      </c>
      <c r="S29" s="406"/>
    </row>
    <row r="30" spans="2:20" ht="30" x14ac:dyDescent="0.3">
      <c r="E30" s="404" t="s">
        <v>2848</v>
      </c>
      <c r="F30" s="401" t="s">
        <v>2845</v>
      </c>
      <c r="G30" s="400" t="s">
        <v>2751</v>
      </c>
      <c r="H30" s="400" t="s">
        <v>2750</v>
      </c>
      <c r="I30" s="400" t="s">
        <v>2749</v>
      </c>
      <c r="J30" s="400" t="s">
        <v>2748</v>
      </c>
      <c r="K30" s="400" t="s">
        <v>2747</v>
      </c>
      <c r="L30" s="400" t="s">
        <v>2746</v>
      </c>
      <c r="M30" s="400" t="s">
        <v>2745</v>
      </c>
      <c r="N30" s="406"/>
      <c r="O30" s="406"/>
      <c r="P30" s="394" t="s">
        <v>2993</v>
      </c>
      <c r="Q30" s="406"/>
      <c r="R30" s="406"/>
      <c r="S30" s="406"/>
    </row>
    <row r="31" spans="2:20" ht="15.75" thickBot="1" x14ac:dyDescent="0.35">
      <c r="E31" s="404">
        <v>4</v>
      </c>
      <c r="F31" s="402">
        <v>105</v>
      </c>
      <c r="G31" s="398">
        <v>92</v>
      </c>
      <c r="H31" s="399">
        <v>94</v>
      </c>
      <c r="I31" s="399">
        <v>117</v>
      </c>
      <c r="J31" s="399">
        <v>115</v>
      </c>
      <c r="K31" s="399">
        <v>115</v>
      </c>
      <c r="L31" s="399">
        <v>150</v>
      </c>
      <c r="M31" s="399">
        <v>147</v>
      </c>
      <c r="P31" s="463">
        <f>Q31*P24</f>
        <v>3.0674645056726102</v>
      </c>
      <c r="Q31" s="524">
        <f>R31/R27</f>
        <v>2.226672840935402</v>
      </c>
      <c r="R31" s="333">
        <v>96.17</v>
      </c>
    </row>
    <row r="32" spans="2:20" x14ac:dyDescent="0.3">
      <c r="E32" s="401">
        <v>5</v>
      </c>
      <c r="F32" s="403">
        <v>129</v>
      </c>
      <c r="G32" s="398">
        <v>92</v>
      </c>
      <c r="H32" s="399">
        <v>94</v>
      </c>
      <c r="I32" s="399">
        <v>117</v>
      </c>
      <c r="J32" s="399">
        <v>115</v>
      </c>
      <c r="K32" s="399">
        <v>115</v>
      </c>
      <c r="L32" s="399">
        <v>150</v>
      </c>
      <c r="M32" s="399">
        <v>147</v>
      </c>
      <c r="N32" s="395"/>
      <c r="O32" s="395"/>
      <c r="P32" s="395"/>
      <c r="Q32" s="395"/>
      <c r="R32" s="395"/>
      <c r="S32" s="395"/>
    </row>
    <row r="33" spans="2:25" x14ac:dyDescent="0.3">
      <c r="E33" s="401">
        <v>6</v>
      </c>
      <c r="F33" s="403">
        <v>137</v>
      </c>
      <c r="G33" s="398">
        <v>92</v>
      </c>
      <c r="H33" s="399">
        <v>94</v>
      </c>
      <c r="I33" s="399">
        <v>117</v>
      </c>
      <c r="J33" s="399">
        <v>115</v>
      </c>
      <c r="K33" s="399">
        <v>115</v>
      </c>
      <c r="L33" s="399">
        <v>150</v>
      </c>
      <c r="M33" s="399">
        <v>147</v>
      </c>
      <c r="N33" s="395"/>
      <c r="O33" s="395"/>
      <c r="P33" s="395"/>
      <c r="Q33" s="395"/>
      <c r="R33" s="395"/>
      <c r="S33" s="395"/>
    </row>
    <row r="34" spans="2:25" x14ac:dyDescent="0.3">
      <c r="E34" s="401">
        <v>7</v>
      </c>
      <c r="F34" s="403">
        <v>143</v>
      </c>
      <c r="G34" s="398">
        <v>92</v>
      </c>
      <c r="H34" s="399">
        <v>94</v>
      </c>
      <c r="I34" s="399">
        <v>117</v>
      </c>
      <c r="J34" s="399">
        <v>115</v>
      </c>
      <c r="K34" s="399">
        <v>115</v>
      </c>
      <c r="L34" s="399">
        <v>150</v>
      </c>
      <c r="M34" s="399">
        <v>147</v>
      </c>
      <c r="N34" s="395"/>
      <c r="O34" s="395"/>
      <c r="P34" s="395"/>
      <c r="Q34" s="395"/>
      <c r="R34" s="395"/>
      <c r="S34" s="395"/>
    </row>
    <row r="35" spans="2:25" x14ac:dyDescent="0.3">
      <c r="N35" s="395"/>
      <c r="O35" s="395"/>
      <c r="P35" s="395"/>
      <c r="Q35" s="395"/>
      <c r="R35" s="395"/>
      <c r="S35" s="395"/>
    </row>
    <row r="36" spans="2:25" x14ac:dyDescent="0.3">
      <c r="N36" s="395"/>
      <c r="O36" s="395"/>
      <c r="P36" s="395"/>
      <c r="Q36" s="395"/>
      <c r="R36" s="395"/>
      <c r="S36" s="395"/>
    </row>
    <row r="37" spans="2:25" x14ac:dyDescent="0.3">
      <c r="G37" s="395"/>
      <c r="H37" s="395"/>
      <c r="I37" s="395"/>
      <c r="J37" s="395"/>
      <c r="K37" s="395"/>
      <c r="L37" s="395"/>
      <c r="M37" s="395"/>
      <c r="N37" s="395"/>
      <c r="O37" s="395"/>
      <c r="P37" s="395"/>
      <c r="Q37" s="395"/>
      <c r="R37" s="395"/>
      <c r="S37" s="395"/>
    </row>
    <row r="38" spans="2:25" ht="15.75" thickBot="1" x14ac:dyDescent="0.35"/>
    <row r="39" spans="2:25" ht="15.75" thickBot="1" x14ac:dyDescent="0.35">
      <c r="B39" s="686" t="s">
        <v>2862</v>
      </c>
      <c r="C39" s="687"/>
      <c r="D39" s="687"/>
      <c r="E39" s="687"/>
      <c r="F39" s="688"/>
    </row>
    <row r="40" spans="2:25" s="391" customFormat="1" x14ac:dyDescent="0.2">
      <c r="B40" s="689" t="s">
        <v>2719</v>
      </c>
      <c r="C40" s="691" t="s">
        <v>2720</v>
      </c>
      <c r="D40" s="691" t="s">
        <v>2757</v>
      </c>
      <c r="E40" s="691" t="s">
        <v>2846</v>
      </c>
      <c r="F40" s="691" t="s">
        <v>2894</v>
      </c>
      <c r="G40" s="691" t="s">
        <v>2755</v>
      </c>
      <c r="H40" s="691"/>
      <c r="I40" s="691"/>
      <c r="J40" s="691"/>
      <c r="K40" s="691"/>
      <c r="L40" s="691"/>
      <c r="M40" s="691"/>
      <c r="N40" s="691" t="s">
        <v>2754</v>
      </c>
      <c r="O40" s="691"/>
      <c r="P40" s="691"/>
      <c r="Q40" s="691" t="s">
        <v>2753</v>
      </c>
      <c r="R40" s="700" t="s">
        <v>2752</v>
      </c>
      <c r="S40" s="700"/>
      <c r="T40" s="701" t="s">
        <v>2916</v>
      </c>
      <c r="U40" s="701"/>
    </row>
    <row r="41" spans="2:25" s="391" customFormat="1" x14ac:dyDescent="0.2">
      <c r="B41" s="690"/>
      <c r="C41" s="692"/>
      <c r="D41" s="692"/>
      <c r="E41" s="692"/>
      <c r="F41" s="692"/>
      <c r="G41" s="392" t="s">
        <v>2751</v>
      </c>
      <c r="H41" s="392" t="s">
        <v>2750</v>
      </c>
      <c r="I41" s="392" t="s">
        <v>2749</v>
      </c>
      <c r="J41" s="392" t="s">
        <v>2748</v>
      </c>
      <c r="K41" s="392" t="s">
        <v>2747</v>
      </c>
      <c r="L41" s="392" t="s">
        <v>2746</v>
      </c>
      <c r="M41" s="392" t="s">
        <v>2745</v>
      </c>
      <c r="N41" s="392" t="s">
        <v>2744</v>
      </c>
      <c r="O41" s="392" t="s">
        <v>2743</v>
      </c>
      <c r="P41" s="392" t="s">
        <v>2742</v>
      </c>
      <c r="Q41" s="692"/>
      <c r="R41" s="393" t="s">
        <v>2741</v>
      </c>
      <c r="S41" s="393" t="s">
        <v>2740</v>
      </c>
      <c r="T41" s="702"/>
      <c r="U41" s="702"/>
    </row>
    <row r="42" spans="2:25" x14ac:dyDescent="0.3">
      <c r="B42" s="377">
        <v>1</v>
      </c>
      <c r="C42" s="378" t="s">
        <v>2722</v>
      </c>
      <c r="D42" s="384">
        <v>1</v>
      </c>
      <c r="E42" s="356">
        <v>6</v>
      </c>
      <c r="F42" s="464">
        <f>Металл!M5</f>
        <v>190.54776000000001</v>
      </c>
      <c r="G42" s="464">
        <f>G4*G26</f>
        <v>1463.4418604651164</v>
      </c>
      <c r="H42" s="464">
        <f t="shared" ref="H42:M42" si="2">H4*H26</f>
        <v>3073.5813953488373</v>
      </c>
      <c r="I42" s="464">
        <f t="shared" si="2"/>
        <v>0</v>
      </c>
      <c r="J42" s="464">
        <f t="shared" si="2"/>
        <v>0</v>
      </c>
      <c r="K42" s="464">
        <f t="shared" si="2"/>
        <v>0</v>
      </c>
      <c r="L42" s="464">
        <f t="shared" si="2"/>
        <v>0</v>
      </c>
      <c r="M42" s="464">
        <f t="shared" si="2"/>
        <v>0</v>
      </c>
      <c r="N42" s="464">
        <f t="shared" ref="N42:N55" si="3">N4*$N$24</f>
        <v>29.446200000000001</v>
      </c>
      <c r="O42" s="464">
        <f t="shared" ref="O42:O55" si="4">O4*$O$24</f>
        <v>0</v>
      </c>
      <c r="P42" s="464">
        <f t="shared" ref="P42:P55" si="5">P4*$P$24</f>
        <v>0</v>
      </c>
      <c r="Q42" s="464">
        <f t="shared" ref="Q42:Q55" si="6">Q4*$Q$24</f>
        <v>295.2</v>
      </c>
      <c r="R42" s="464">
        <f t="shared" ref="R42:R55" si="7">R4*$R$24</f>
        <v>55.247610810810805</v>
      </c>
      <c r="S42" s="464">
        <f t="shared" ref="S42:S55" si="8">S4*$S$24</f>
        <v>5.0600000000000005</v>
      </c>
      <c r="T42" s="465">
        <f>SUM(F42:S42)</f>
        <v>5112.5248266247654</v>
      </c>
      <c r="U42" s="396"/>
      <c r="X42" s="411">
        <f>SUM(G42:M42)</f>
        <v>4537.0232558139542</v>
      </c>
      <c r="Y42" s="445">
        <f>X42/Расходы!$B$6</f>
        <v>68.742776603241737</v>
      </c>
    </row>
    <row r="43" spans="2:25" x14ac:dyDescent="0.3">
      <c r="B43" s="377">
        <v>2</v>
      </c>
      <c r="C43" s="378" t="s">
        <v>2723</v>
      </c>
      <c r="D43" s="384">
        <v>1</v>
      </c>
      <c r="E43" s="356">
        <v>4</v>
      </c>
      <c r="F43" s="464">
        <f>Металл!M6</f>
        <v>271.38398280000001</v>
      </c>
      <c r="G43" s="464">
        <f>G5*G24</f>
        <v>975.62790697674427</v>
      </c>
      <c r="H43" s="464">
        <f t="shared" ref="H43:M43" si="9">H5*H24</f>
        <v>0</v>
      </c>
      <c r="I43" s="464">
        <f t="shared" si="9"/>
        <v>2688.2790697674418</v>
      </c>
      <c r="J43" s="464">
        <f t="shared" si="9"/>
        <v>0</v>
      </c>
      <c r="K43" s="464">
        <f t="shared" si="9"/>
        <v>0</v>
      </c>
      <c r="L43" s="464">
        <f t="shared" si="9"/>
        <v>0</v>
      </c>
      <c r="M43" s="464">
        <f t="shared" si="9"/>
        <v>0</v>
      </c>
      <c r="N43" s="464">
        <f t="shared" si="3"/>
        <v>0</v>
      </c>
      <c r="O43" s="464">
        <f t="shared" si="4"/>
        <v>34.095599999999997</v>
      </c>
      <c r="P43" s="464">
        <f t="shared" si="5"/>
        <v>16.531200000000002</v>
      </c>
      <c r="Q43" s="464">
        <f t="shared" si="6"/>
        <v>221.39999999999998</v>
      </c>
      <c r="R43" s="464">
        <f t="shared" si="7"/>
        <v>67.524857657657662</v>
      </c>
      <c r="S43" s="464">
        <f t="shared" si="8"/>
        <v>5.8880000000000008</v>
      </c>
      <c r="T43" s="465">
        <f t="shared" ref="T43:T55" si="10">SUM(F43:S43)</f>
        <v>4280.7306172018434</v>
      </c>
      <c r="U43" s="396"/>
      <c r="X43" s="411">
        <f t="shared" ref="X43:X55" si="11">SUM(G43:M43)</f>
        <v>3663.9069767441861</v>
      </c>
      <c r="Y43" s="445">
        <f>X43/Расходы!$B$6</f>
        <v>55.513742071881609</v>
      </c>
    </row>
    <row r="44" spans="2:25" x14ac:dyDescent="0.3">
      <c r="B44" s="377">
        <v>3</v>
      </c>
      <c r="C44" s="378" t="s">
        <v>2724</v>
      </c>
      <c r="D44" s="384">
        <v>1</v>
      </c>
      <c r="E44" s="356">
        <v>5</v>
      </c>
      <c r="F44" s="464">
        <f>Металл!M7</f>
        <v>271.38398280000001</v>
      </c>
      <c r="G44" s="464">
        <f>G6*G25</f>
        <v>1219.5348837209303</v>
      </c>
      <c r="H44" s="464">
        <f t="shared" ref="H44:M44" si="12">H6*H25</f>
        <v>0</v>
      </c>
      <c r="I44" s="464">
        <f t="shared" si="12"/>
        <v>2998.4651162790697</v>
      </c>
      <c r="J44" s="464">
        <f t="shared" si="12"/>
        <v>101.62790697674419</v>
      </c>
      <c r="K44" s="464">
        <f t="shared" si="12"/>
        <v>101.62790697674419</v>
      </c>
      <c r="L44" s="464">
        <f t="shared" si="12"/>
        <v>0</v>
      </c>
      <c r="M44" s="464">
        <f t="shared" si="12"/>
        <v>0</v>
      </c>
      <c r="N44" s="464">
        <f t="shared" si="3"/>
        <v>24.538500000000003</v>
      </c>
      <c r="O44" s="464">
        <f t="shared" si="4"/>
        <v>0</v>
      </c>
      <c r="P44" s="464">
        <f t="shared" si="5"/>
        <v>20.664000000000001</v>
      </c>
      <c r="Q44" s="464">
        <f t="shared" si="6"/>
        <v>258.3</v>
      </c>
      <c r="R44" s="464">
        <f t="shared" si="7"/>
        <v>69.059513513513522</v>
      </c>
      <c r="S44" s="464">
        <f t="shared" si="8"/>
        <v>6.992</v>
      </c>
      <c r="T44" s="465">
        <f t="shared" si="10"/>
        <v>5072.1938102670019</v>
      </c>
      <c r="U44" s="396"/>
      <c r="X44" s="411">
        <f t="shared" si="11"/>
        <v>4421.2558139534885</v>
      </c>
      <c r="Y44" s="445">
        <f>X44/Расходы!$B$6</f>
        <v>66.988724453840732</v>
      </c>
    </row>
    <row r="45" spans="2:25" x14ac:dyDescent="0.3">
      <c r="B45" s="377">
        <v>4</v>
      </c>
      <c r="C45" s="378" t="s">
        <v>2725</v>
      </c>
      <c r="D45" s="384">
        <v>1</v>
      </c>
      <c r="E45" s="356">
        <v>6</v>
      </c>
      <c r="F45" s="464">
        <f>Металл!M8</f>
        <v>271.38398280000001</v>
      </c>
      <c r="G45" s="464">
        <f>G7*G26</f>
        <v>1463.4418604651164</v>
      </c>
      <c r="H45" s="464">
        <f t="shared" ref="H45:M45" si="13">H7*H26</f>
        <v>3655.0697674418602</v>
      </c>
      <c r="I45" s="464">
        <f t="shared" si="13"/>
        <v>0</v>
      </c>
      <c r="J45" s="464">
        <f t="shared" si="13"/>
        <v>0</v>
      </c>
      <c r="K45" s="464">
        <f t="shared" si="13"/>
        <v>0</v>
      </c>
      <c r="L45" s="464">
        <f t="shared" si="13"/>
        <v>0</v>
      </c>
      <c r="M45" s="464">
        <f t="shared" si="13"/>
        <v>0</v>
      </c>
      <c r="N45" s="464">
        <f t="shared" si="3"/>
        <v>29.446200000000001</v>
      </c>
      <c r="O45" s="464">
        <f t="shared" si="4"/>
        <v>0</v>
      </c>
      <c r="P45" s="464">
        <f t="shared" si="5"/>
        <v>24.796800000000005</v>
      </c>
      <c r="Q45" s="464">
        <f t="shared" si="6"/>
        <v>295.2</v>
      </c>
      <c r="R45" s="464">
        <f t="shared" si="7"/>
        <v>73.663481081081102</v>
      </c>
      <c r="S45" s="464">
        <f t="shared" si="8"/>
        <v>6.7619999999999996</v>
      </c>
      <c r="T45" s="465">
        <f t="shared" si="10"/>
        <v>5819.7640917880581</v>
      </c>
      <c r="U45" s="396"/>
      <c r="X45" s="411">
        <f t="shared" si="11"/>
        <v>5118.5116279069771</v>
      </c>
      <c r="Y45" s="445">
        <f>X45/Расходы!$B$6</f>
        <v>77.553206483439041</v>
      </c>
    </row>
    <row r="46" spans="2:25" x14ac:dyDescent="0.3">
      <c r="B46" s="377">
        <v>5</v>
      </c>
      <c r="C46" s="378" t="s">
        <v>2726</v>
      </c>
      <c r="D46" s="384">
        <v>1</v>
      </c>
      <c r="E46" s="356">
        <v>7</v>
      </c>
      <c r="F46" s="464">
        <f>Металл!M9</f>
        <v>271.38398280000001</v>
      </c>
      <c r="G46" s="464">
        <f>G8*G27</f>
        <v>1869.953488372093</v>
      </c>
      <c r="H46" s="464">
        <f t="shared" ref="H46:M46" si="14">H8*H27</f>
        <v>4153.4883720930229</v>
      </c>
      <c r="I46" s="464">
        <f t="shared" si="14"/>
        <v>0</v>
      </c>
      <c r="J46" s="464">
        <f t="shared" si="14"/>
        <v>0</v>
      </c>
      <c r="K46" s="464">
        <f t="shared" si="14"/>
        <v>0</v>
      </c>
      <c r="L46" s="464">
        <f t="shared" si="14"/>
        <v>0</v>
      </c>
      <c r="M46" s="464">
        <f t="shared" si="14"/>
        <v>0</v>
      </c>
      <c r="N46" s="464">
        <f t="shared" si="3"/>
        <v>34.353900000000003</v>
      </c>
      <c r="O46" s="464">
        <f t="shared" si="4"/>
        <v>0</v>
      </c>
      <c r="P46" s="464">
        <f t="shared" si="5"/>
        <v>28.929600000000004</v>
      </c>
      <c r="Q46" s="464">
        <f t="shared" si="6"/>
        <v>369</v>
      </c>
      <c r="R46" s="464">
        <f t="shared" si="7"/>
        <v>64.455545945945957</v>
      </c>
      <c r="S46" s="464">
        <f t="shared" si="8"/>
        <v>5.0600000000000005</v>
      </c>
      <c r="T46" s="465">
        <f t="shared" si="10"/>
        <v>6796.6248892110634</v>
      </c>
      <c r="U46" s="396"/>
      <c r="X46" s="411">
        <f t="shared" si="11"/>
        <v>6023.4418604651164</v>
      </c>
      <c r="Y46" s="445">
        <f>X46/Расходы!$B$6</f>
        <v>91.264270613107826</v>
      </c>
    </row>
    <row r="47" spans="2:25" x14ac:dyDescent="0.3">
      <c r="B47" s="377">
        <v>6</v>
      </c>
      <c r="C47" s="378" t="s">
        <v>2727</v>
      </c>
      <c r="D47" s="384">
        <v>1</v>
      </c>
      <c r="E47" s="356">
        <v>4</v>
      </c>
      <c r="F47" s="464">
        <f>Металл!M10</f>
        <v>271.38398280000001</v>
      </c>
      <c r="G47" s="464">
        <f>G9*G24</f>
        <v>975.62790697674427</v>
      </c>
      <c r="H47" s="464">
        <f t="shared" ref="H47:M47" si="15">H9*H24</f>
        <v>0</v>
      </c>
      <c r="I47" s="464">
        <f t="shared" si="15"/>
        <v>2688.2790697674418</v>
      </c>
      <c r="J47" s="464">
        <f t="shared" si="15"/>
        <v>0</v>
      </c>
      <c r="K47" s="464">
        <f t="shared" si="15"/>
        <v>0</v>
      </c>
      <c r="L47" s="464">
        <f t="shared" si="15"/>
        <v>0</v>
      </c>
      <c r="M47" s="464">
        <f t="shared" si="15"/>
        <v>0</v>
      </c>
      <c r="N47" s="464">
        <f t="shared" si="3"/>
        <v>0</v>
      </c>
      <c r="O47" s="464">
        <f t="shared" si="4"/>
        <v>34.095599999999997</v>
      </c>
      <c r="P47" s="464">
        <f t="shared" si="5"/>
        <v>16.531200000000002</v>
      </c>
      <c r="Q47" s="464">
        <f t="shared" si="6"/>
        <v>221.39999999999998</v>
      </c>
      <c r="R47" s="464">
        <f t="shared" si="7"/>
        <v>67.524857657657662</v>
      </c>
      <c r="S47" s="464">
        <f t="shared" si="8"/>
        <v>5.8880000000000008</v>
      </c>
      <c r="T47" s="465">
        <f t="shared" si="10"/>
        <v>4280.7306172018434</v>
      </c>
      <c r="U47" s="396"/>
      <c r="X47" s="411">
        <f t="shared" si="11"/>
        <v>3663.9069767441861</v>
      </c>
      <c r="Y47" s="445">
        <f>X47/Расходы!$B$6</f>
        <v>55.513742071881609</v>
      </c>
    </row>
    <row r="48" spans="2:25" x14ac:dyDescent="0.3">
      <c r="B48" s="377">
        <v>7</v>
      </c>
      <c r="C48" s="378" t="s">
        <v>2728</v>
      </c>
      <c r="D48" s="384">
        <v>1</v>
      </c>
      <c r="E48" s="356">
        <v>5</v>
      </c>
      <c r="F48" s="464">
        <f>Металл!M11</f>
        <v>271.38398280000001</v>
      </c>
      <c r="G48" s="464">
        <f>G10*G25</f>
        <v>1219.5348837209303</v>
      </c>
      <c r="H48" s="464">
        <f t="shared" ref="H48:M48" si="16">H10*H25</f>
        <v>0</v>
      </c>
      <c r="I48" s="464">
        <f t="shared" si="16"/>
        <v>2998.4651162790697</v>
      </c>
      <c r="J48" s="464">
        <f t="shared" si="16"/>
        <v>101.62790697674419</v>
      </c>
      <c r="K48" s="464">
        <f t="shared" si="16"/>
        <v>101.62790697674419</v>
      </c>
      <c r="L48" s="464">
        <f t="shared" si="16"/>
        <v>0</v>
      </c>
      <c r="M48" s="464">
        <f t="shared" si="16"/>
        <v>0</v>
      </c>
      <c r="N48" s="464">
        <f t="shared" si="3"/>
        <v>24.538500000000003</v>
      </c>
      <c r="O48" s="464">
        <f t="shared" si="4"/>
        <v>0</v>
      </c>
      <c r="P48" s="464">
        <f t="shared" si="5"/>
        <v>20.664000000000001</v>
      </c>
      <c r="Q48" s="464">
        <f t="shared" si="6"/>
        <v>258.3</v>
      </c>
      <c r="R48" s="464">
        <f t="shared" si="7"/>
        <v>69.059513513513522</v>
      </c>
      <c r="S48" s="464">
        <f t="shared" si="8"/>
        <v>6.992</v>
      </c>
      <c r="T48" s="465">
        <f t="shared" si="10"/>
        <v>5072.1938102670019</v>
      </c>
      <c r="U48" s="396"/>
      <c r="X48" s="411">
        <f t="shared" si="11"/>
        <v>4421.2558139534885</v>
      </c>
      <c r="Y48" s="445">
        <f>X48/Расходы!$B$6</f>
        <v>66.988724453840732</v>
      </c>
    </row>
    <row r="49" spans="2:25" x14ac:dyDescent="0.3">
      <c r="B49" s="377">
        <v>8</v>
      </c>
      <c r="C49" s="378" t="s">
        <v>2729</v>
      </c>
      <c r="D49" s="384">
        <v>1</v>
      </c>
      <c r="E49" s="356">
        <v>6</v>
      </c>
      <c r="F49" s="464">
        <f>Металл!M12</f>
        <v>271.38398280000001</v>
      </c>
      <c r="G49" s="464">
        <f>G11*G26</f>
        <v>1463.4418604651164</v>
      </c>
      <c r="H49" s="464">
        <f t="shared" ref="H49:M49" si="17">H11*H26</f>
        <v>3655.0697674418602</v>
      </c>
      <c r="I49" s="464">
        <f t="shared" si="17"/>
        <v>0</v>
      </c>
      <c r="J49" s="464">
        <f t="shared" si="17"/>
        <v>0</v>
      </c>
      <c r="K49" s="464">
        <f t="shared" si="17"/>
        <v>0</v>
      </c>
      <c r="L49" s="464">
        <f t="shared" si="17"/>
        <v>0</v>
      </c>
      <c r="M49" s="464">
        <f t="shared" si="17"/>
        <v>0</v>
      </c>
      <c r="N49" s="464">
        <f t="shared" si="3"/>
        <v>29.446200000000001</v>
      </c>
      <c r="O49" s="464">
        <f t="shared" si="4"/>
        <v>0</v>
      </c>
      <c r="P49" s="464">
        <f t="shared" si="5"/>
        <v>24.796800000000005</v>
      </c>
      <c r="Q49" s="464">
        <f t="shared" si="6"/>
        <v>295.2</v>
      </c>
      <c r="R49" s="464">
        <f t="shared" si="7"/>
        <v>73.663481081081102</v>
      </c>
      <c r="S49" s="464">
        <f t="shared" si="8"/>
        <v>6.7619999999999996</v>
      </c>
      <c r="T49" s="465">
        <f t="shared" si="10"/>
        <v>5819.7640917880581</v>
      </c>
      <c r="U49" s="396"/>
      <c r="X49" s="411">
        <f t="shared" si="11"/>
        <v>5118.5116279069771</v>
      </c>
      <c r="Y49" s="445">
        <f>X49/Расходы!$B$6</f>
        <v>77.553206483439041</v>
      </c>
    </row>
    <row r="50" spans="2:25" x14ac:dyDescent="0.3">
      <c r="B50" s="377">
        <v>9</v>
      </c>
      <c r="C50" s="378" t="s">
        <v>2730</v>
      </c>
      <c r="D50" s="384">
        <v>1</v>
      </c>
      <c r="E50" s="356">
        <v>7</v>
      </c>
      <c r="F50" s="464">
        <f>Металл!M13</f>
        <v>271.38398280000001</v>
      </c>
      <c r="G50" s="464">
        <f>G12*G27</f>
        <v>1869.953488372093</v>
      </c>
      <c r="H50" s="464">
        <f t="shared" ref="H50:M50" si="18">H12*H27</f>
        <v>4153.4883720930229</v>
      </c>
      <c r="I50" s="464">
        <f t="shared" si="18"/>
        <v>0</v>
      </c>
      <c r="J50" s="464">
        <f t="shared" si="18"/>
        <v>0</v>
      </c>
      <c r="K50" s="464">
        <f t="shared" si="18"/>
        <v>0</v>
      </c>
      <c r="L50" s="464">
        <f t="shared" si="18"/>
        <v>0</v>
      </c>
      <c r="M50" s="464">
        <f t="shared" si="18"/>
        <v>0</v>
      </c>
      <c r="N50" s="464">
        <f t="shared" si="3"/>
        <v>34.353900000000003</v>
      </c>
      <c r="O50" s="464">
        <f t="shared" si="4"/>
        <v>0</v>
      </c>
      <c r="P50" s="464">
        <f t="shared" si="5"/>
        <v>28.929600000000004</v>
      </c>
      <c r="Q50" s="464">
        <f t="shared" si="6"/>
        <v>369</v>
      </c>
      <c r="R50" s="464">
        <f t="shared" si="7"/>
        <v>64.455545945945957</v>
      </c>
      <c r="S50" s="464">
        <f t="shared" si="8"/>
        <v>5.0600000000000005</v>
      </c>
      <c r="T50" s="465">
        <f t="shared" si="10"/>
        <v>6796.6248892110634</v>
      </c>
      <c r="U50" s="396"/>
      <c r="X50" s="411">
        <f t="shared" si="11"/>
        <v>6023.4418604651164</v>
      </c>
      <c r="Y50" s="445">
        <f>X50/Расходы!$B$6</f>
        <v>91.264270613107826</v>
      </c>
    </row>
    <row r="51" spans="2:25" x14ac:dyDescent="0.3">
      <c r="B51" s="377">
        <v>10</v>
      </c>
      <c r="C51" s="378" t="s">
        <v>2731</v>
      </c>
      <c r="D51" s="384">
        <v>1</v>
      </c>
      <c r="E51" s="356">
        <v>4</v>
      </c>
      <c r="F51" s="464">
        <f>Металл!M14</f>
        <v>633.8644524</v>
      </c>
      <c r="G51" s="464">
        <f>G13*G24</f>
        <v>975.62790697674427</v>
      </c>
      <c r="H51" s="464">
        <f t="shared" ref="H51:M51" si="19">H13*H24</f>
        <v>0</v>
      </c>
      <c r="I51" s="464">
        <f t="shared" si="19"/>
        <v>0</v>
      </c>
      <c r="J51" s="464">
        <f t="shared" si="19"/>
        <v>0</v>
      </c>
      <c r="K51" s="464">
        <f t="shared" si="19"/>
        <v>0</v>
      </c>
      <c r="L51" s="464">
        <f t="shared" si="19"/>
        <v>4374.4186046511632</v>
      </c>
      <c r="M51" s="464">
        <f t="shared" si="19"/>
        <v>1558.8837209302328</v>
      </c>
      <c r="N51" s="464">
        <f t="shared" si="3"/>
        <v>0</v>
      </c>
      <c r="O51" s="464">
        <f t="shared" si="4"/>
        <v>36.530999999999999</v>
      </c>
      <c r="P51" s="464">
        <f t="shared" si="5"/>
        <v>0</v>
      </c>
      <c r="Q51" s="464">
        <f t="shared" si="6"/>
        <v>221.39999999999998</v>
      </c>
      <c r="R51" s="464">
        <f t="shared" si="7"/>
        <v>147.32696216216218</v>
      </c>
      <c r="S51" s="464">
        <f t="shared" si="8"/>
        <v>8.2800000000000011</v>
      </c>
      <c r="T51" s="465">
        <f t="shared" si="10"/>
        <v>7956.3326471203018</v>
      </c>
      <c r="U51" s="396"/>
      <c r="X51" s="411">
        <f t="shared" si="11"/>
        <v>6908.9302325581402</v>
      </c>
      <c r="Y51" s="445">
        <f>X51/Расходы!$B$6</f>
        <v>104.68076109936577</v>
      </c>
    </row>
    <row r="52" spans="2:25" x14ac:dyDescent="0.3">
      <c r="B52" s="377">
        <v>11</v>
      </c>
      <c r="C52" s="378" t="s">
        <v>2732</v>
      </c>
      <c r="D52" s="384">
        <v>1</v>
      </c>
      <c r="E52" s="356">
        <v>5</v>
      </c>
      <c r="F52" s="464">
        <f>Металл!M15</f>
        <v>633.8644524</v>
      </c>
      <c r="G52" s="464">
        <f>G14*G25</f>
        <v>1219.5348837209303</v>
      </c>
      <c r="H52" s="464">
        <f t="shared" ref="H52:M52" si="20">H14*H25</f>
        <v>0</v>
      </c>
      <c r="I52" s="464">
        <f t="shared" si="20"/>
        <v>0</v>
      </c>
      <c r="J52" s="464">
        <f t="shared" si="20"/>
        <v>0</v>
      </c>
      <c r="K52" s="464">
        <f t="shared" si="20"/>
        <v>0</v>
      </c>
      <c r="L52" s="464">
        <f t="shared" si="20"/>
        <v>5302.3255813953492</v>
      </c>
      <c r="M52" s="464">
        <f t="shared" si="20"/>
        <v>1948.604651162791</v>
      </c>
      <c r="N52" s="464">
        <f t="shared" si="3"/>
        <v>0</v>
      </c>
      <c r="O52" s="464">
        <f t="shared" si="4"/>
        <v>36.530999999999999</v>
      </c>
      <c r="P52" s="464">
        <f t="shared" si="5"/>
        <v>0</v>
      </c>
      <c r="Q52" s="464">
        <f t="shared" si="6"/>
        <v>258.3</v>
      </c>
      <c r="R52" s="464">
        <f t="shared" si="7"/>
        <v>145.7923063063063</v>
      </c>
      <c r="S52" s="464">
        <f t="shared" si="8"/>
        <v>9.798</v>
      </c>
      <c r="T52" s="465">
        <f t="shared" si="10"/>
        <v>9554.7508749853769</v>
      </c>
      <c r="U52" s="396"/>
      <c r="X52" s="411">
        <f t="shared" si="11"/>
        <v>8470.4651162790706</v>
      </c>
      <c r="Y52" s="445">
        <f>X52/Расходы!$B$6</f>
        <v>128.34038054968289</v>
      </c>
    </row>
    <row r="53" spans="2:25" x14ac:dyDescent="0.3">
      <c r="B53" s="377">
        <v>12</v>
      </c>
      <c r="C53" s="378" t="s">
        <v>2733</v>
      </c>
      <c r="D53" s="384">
        <v>1</v>
      </c>
      <c r="E53" s="356">
        <v>6</v>
      </c>
      <c r="F53" s="464">
        <f>Металл!M16</f>
        <v>633.8644524</v>
      </c>
      <c r="G53" s="464">
        <f>G15*G26</f>
        <v>975.62790697674427</v>
      </c>
      <c r="H53" s="464">
        <f t="shared" ref="H53:M53" si="21">H15*H26</f>
        <v>0</v>
      </c>
      <c r="I53" s="464">
        <f t="shared" si="21"/>
        <v>0</v>
      </c>
      <c r="J53" s="464">
        <f t="shared" si="21"/>
        <v>0</v>
      </c>
      <c r="K53" s="464">
        <f t="shared" si="21"/>
        <v>1829.3023255813953</v>
      </c>
      <c r="L53" s="464">
        <f t="shared" si="21"/>
        <v>5965.1162790697681</v>
      </c>
      <c r="M53" s="464">
        <f t="shared" si="21"/>
        <v>0</v>
      </c>
      <c r="N53" s="464">
        <f t="shared" si="3"/>
        <v>0</v>
      </c>
      <c r="O53" s="464">
        <f t="shared" si="4"/>
        <v>51.1434</v>
      </c>
      <c r="P53" s="464">
        <f t="shared" si="5"/>
        <v>0</v>
      </c>
      <c r="Q53" s="464">
        <f t="shared" si="6"/>
        <v>295.2</v>
      </c>
      <c r="R53" s="464">
        <f t="shared" si="7"/>
        <v>128.91109189189189</v>
      </c>
      <c r="S53" s="464">
        <f t="shared" si="8"/>
        <v>11.040000000000001</v>
      </c>
      <c r="T53" s="465">
        <f t="shared" si="10"/>
        <v>9890.2054559198023</v>
      </c>
      <c r="U53" s="396"/>
      <c r="X53" s="411">
        <f t="shared" si="11"/>
        <v>8770.0465116279083</v>
      </c>
      <c r="Y53" s="445">
        <f>X53/Расходы!$B$6</f>
        <v>132.87949260042285</v>
      </c>
    </row>
    <row r="54" spans="2:25" x14ac:dyDescent="0.3">
      <c r="B54" s="377">
        <v>13</v>
      </c>
      <c r="C54" s="378" t="s">
        <v>2734</v>
      </c>
      <c r="D54" s="384">
        <v>1</v>
      </c>
      <c r="E54" s="356">
        <v>7</v>
      </c>
      <c r="F54" s="464">
        <f>Металл!M17</f>
        <v>633.8644524</v>
      </c>
      <c r="G54" s="464">
        <f>G16*G27</f>
        <v>0</v>
      </c>
      <c r="H54" s="464">
        <f t="shared" ref="H54:M54" si="22">H16*H27</f>
        <v>0</v>
      </c>
      <c r="I54" s="464">
        <f t="shared" si="22"/>
        <v>6410.5116279069762</v>
      </c>
      <c r="J54" s="464">
        <f t="shared" si="22"/>
        <v>101.62790697674419</v>
      </c>
      <c r="K54" s="464">
        <f t="shared" si="22"/>
        <v>2134.1860465116279</v>
      </c>
      <c r="L54" s="464">
        <f t="shared" si="22"/>
        <v>0</v>
      </c>
      <c r="M54" s="464">
        <f t="shared" si="22"/>
        <v>0</v>
      </c>
      <c r="N54" s="464">
        <f t="shared" si="3"/>
        <v>39.261600000000001</v>
      </c>
      <c r="O54" s="464">
        <f t="shared" si="4"/>
        <v>0</v>
      </c>
      <c r="P54" s="464">
        <f t="shared" si="5"/>
        <v>0</v>
      </c>
      <c r="Q54" s="464">
        <f t="shared" si="6"/>
        <v>369</v>
      </c>
      <c r="R54" s="464">
        <f t="shared" si="7"/>
        <v>118.16850090090092</v>
      </c>
      <c r="S54" s="464">
        <f t="shared" si="8"/>
        <v>9.9360000000000017</v>
      </c>
      <c r="T54" s="465">
        <f t="shared" si="10"/>
        <v>9816.5561346962495</v>
      </c>
      <c r="U54" s="396"/>
      <c r="X54" s="411">
        <f t="shared" si="11"/>
        <v>8646.3255813953474</v>
      </c>
      <c r="Y54" s="445">
        <f>X54/Расходы!$B$6</f>
        <v>131.00493305144465</v>
      </c>
    </row>
    <row r="55" spans="2:25" ht="15.75" thickBot="1" x14ac:dyDescent="0.35">
      <c r="B55" s="381">
        <v>14</v>
      </c>
      <c r="C55" s="382" t="s">
        <v>2735</v>
      </c>
      <c r="D55" s="385">
        <v>1</v>
      </c>
      <c r="E55" s="386">
        <v>6</v>
      </c>
      <c r="F55" s="464">
        <f>Металл!M18</f>
        <v>1211.4318134</v>
      </c>
      <c r="G55" s="466">
        <f>G17*G26</f>
        <v>0</v>
      </c>
      <c r="H55" s="466">
        <f t="shared" ref="H55:M55" si="23">H17*H26</f>
        <v>0</v>
      </c>
      <c r="I55" s="466">
        <f t="shared" si="23"/>
        <v>0</v>
      </c>
      <c r="J55" s="466">
        <f t="shared" si="23"/>
        <v>0</v>
      </c>
      <c r="K55" s="466">
        <f t="shared" si="23"/>
        <v>1219.5348837209303</v>
      </c>
      <c r="L55" s="466">
        <f t="shared" si="23"/>
        <v>7820.9302325581402</v>
      </c>
      <c r="M55" s="466">
        <f t="shared" si="23"/>
        <v>2338.3255813953492</v>
      </c>
      <c r="N55" s="466">
        <f t="shared" si="3"/>
        <v>0</v>
      </c>
      <c r="O55" s="466">
        <f t="shared" si="4"/>
        <v>75.497399999999999</v>
      </c>
      <c r="P55" s="466">
        <f t="shared" si="5"/>
        <v>0</v>
      </c>
      <c r="Q55" s="466">
        <f t="shared" si="6"/>
        <v>295.2</v>
      </c>
      <c r="R55" s="466">
        <f t="shared" si="7"/>
        <v>211.78250810810809</v>
      </c>
      <c r="S55" s="466">
        <f t="shared" si="8"/>
        <v>11.040000000000001</v>
      </c>
      <c r="T55" s="465">
        <f t="shared" si="10"/>
        <v>13183.74241918253</v>
      </c>
      <c r="U55" s="397"/>
      <c r="X55" s="411">
        <f t="shared" si="11"/>
        <v>11378.79069767442</v>
      </c>
      <c r="Y55" s="445">
        <f>X55/Расходы!$B$6</f>
        <v>172.40591966173363</v>
      </c>
    </row>
    <row r="57" spans="2:25" ht="15.75" thickBot="1" x14ac:dyDescent="0.35"/>
    <row r="58" spans="2:25" ht="15.75" thickBot="1" x14ac:dyDescent="0.35">
      <c r="B58" s="686" t="s">
        <v>2862</v>
      </c>
      <c r="C58" s="687"/>
      <c r="D58" s="687"/>
      <c r="E58" s="687"/>
      <c r="F58" s="688"/>
    </row>
    <row r="59" spans="2:25" ht="15" customHeight="1" x14ac:dyDescent="0.3">
      <c r="B59" s="689" t="s">
        <v>2719</v>
      </c>
      <c r="C59" s="691" t="s">
        <v>2919</v>
      </c>
      <c r="D59" s="691" t="s">
        <v>2994</v>
      </c>
      <c r="E59" s="691" t="s">
        <v>2892</v>
      </c>
      <c r="F59" s="691" t="s">
        <v>2898</v>
      </c>
      <c r="G59" s="691" t="s">
        <v>2968</v>
      </c>
      <c r="H59" s="691" t="s">
        <v>2995</v>
      </c>
      <c r="I59" s="691" t="s">
        <v>2996</v>
      </c>
      <c r="J59" s="691" t="s">
        <v>2989</v>
      </c>
      <c r="K59" s="691" t="s">
        <v>2997</v>
      </c>
      <c r="L59" s="691" t="s">
        <v>2989</v>
      </c>
      <c r="M59" s="701" t="s">
        <v>2916</v>
      </c>
    </row>
    <row r="60" spans="2:25" ht="26.25" customHeight="1" x14ac:dyDescent="0.3">
      <c r="B60" s="690"/>
      <c r="C60" s="692"/>
      <c r="D60" s="692"/>
      <c r="E60" s="692"/>
      <c r="F60" s="692"/>
      <c r="G60" s="692"/>
      <c r="H60" s="692"/>
      <c r="I60" s="692"/>
      <c r="J60" s="692"/>
      <c r="K60" s="692"/>
      <c r="L60" s="692"/>
      <c r="M60" s="702"/>
    </row>
    <row r="61" spans="2:25" x14ac:dyDescent="0.3">
      <c r="B61" s="377">
        <v>1</v>
      </c>
      <c r="C61" s="378">
        <f>Лист1!B4</f>
        <v>54</v>
      </c>
      <c r="D61" s="356">
        <f>SUM(Лист1!G5:G9,Лист1!G12:G13)</f>
        <v>334</v>
      </c>
      <c r="E61" s="356">
        <f>D61/1000</f>
        <v>0.33400000000000002</v>
      </c>
      <c r="F61" s="464">
        <f>E61*Металл!$L$5</f>
        <v>668</v>
      </c>
      <c r="G61" s="356">
        <f>Лист1!E15</f>
        <v>7.5</v>
      </c>
      <c r="H61" s="464">
        <f>G61*7</f>
        <v>52.5</v>
      </c>
      <c r="I61" s="464"/>
      <c r="J61" s="356"/>
      <c r="K61" s="356"/>
      <c r="L61" s="464"/>
      <c r="M61" s="464">
        <f>F61+H61+I61+L61</f>
        <v>720.5</v>
      </c>
    </row>
    <row r="62" spans="2:25" x14ac:dyDescent="0.3">
      <c r="B62" s="377">
        <v>2</v>
      </c>
      <c r="C62" s="378">
        <f>Лист1!B5</f>
        <v>76</v>
      </c>
      <c r="D62" s="356">
        <f>SUM(Лист1!K5:K10,Лист1!K13:K14)</f>
        <v>1674</v>
      </c>
      <c r="E62" s="356">
        <f t="shared" ref="E62:E70" si="24">D62/1000</f>
        <v>1.6739999999999999</v>
      </c>
      <c r="F62" s="464">
        <f>E62*Металл!$L$5</f>
        <v>3348</v>
      </c>
      <c r="G62" s="356">
        <f>Лист1!I16</f>
        <v>7.5</v>
      </c>
      <c r="H62" s="464">
        <f t="shared" ref="H62:H70" si="25">G62*7</f>
        <v>52.5</v>
      </c>
      <c r="I62" s="464">
        <f>Лист1!K20/Расходы!$B$5</f>
        <v>10.810810810810811</v>
      </c>
      <c r="J62" s="400"/>
      <c r="K62" s="400"/>
      <c r="L62" s="464"/>
      <c r="M62" s="464">
        <f t="shared" ref="M62:M70" si="26">F62+H62+I62+L62</f>
        <v>3411.3108108108108</v>
      </c>
    </row>
    <row r="63" spans="2:25" x14ac:dyDescent="0.3">
      <c r="B63" s="377">
        <v>3</v>
      </c>
      <c r="C63" s="378">
        <f>Лист1!B6</f>
        <v>95</v>
      </c>
      <c r="D63" s="356">
        <f>SUM(Лист1!O5:O8,Лист1!O11:O14)</f>
        <v>2777</v>
      </c>
      <c r="E63" s="356">
        <f t="shared" si="24"/>
        <v>2.7770000000000001</v>
      </c>
      <c r="F63" s="464">
        <f>E63*Металл!$L$5</f>
        <v>5554</v>
      </c>
      <c r="G63" s="356">
        <f>Лист1!M16</f>
        <v>10</v>
      </c>
      <c r="H63" s="464">
        <f t="shared" si="25"/>
        <v>70</v>
      </c>
      <c r="I63" s="464">
        <f>Лист1!O20/Расходы!$B$5</f>
        <v>20.27027027027027</v>
      </c>
      <c r="J63" s="400" t="str">
        <f>Лист1!M23</f>
        <v>Г5411(8х6)</v>
      </c>
      <c r="K63" s="400">
        <f>Лист1!O23</f>
        <v>45</v>
      </c>
      <c r="L63" s="464">
        <f>K63*P29</f>
        <v>36.486145867098877</v>
      </c>
      <c r="M63" s="464">
        <f t="shared" si="26"/>
        <v>5680.7564161373684</v>
      </c>
    </row>
    <row r="64" spans="2:25" x14ac:dyDescent="0.3">
      <c r="B64" s="377">
        <v>4</v>
      </c>
      <c r="C64" s="378">
        <f>Лист1!B7</f>
        <v>106</v>
      </c>
      <c r="D64" s="356">
        <f>SUM(Лист1!S13:S15,Лист1!S5:S10)</f>
        <v>3710</v>
      </c>
      <c r="E64" s="356">
        <f t="shared" si="24"/>
        <v>3.71</v>
      </c>
      <c r="F64" s="464">
        <f>E64*Металл!$L$5</f>
        <v>7420</v>
      </c>
      <c r="G64" s="356">
        <f>Лист1!Q17</f>
        <v>15</v>
      </c>
      <c r="H64" s="464">
        <f t="shared" si="25"/>
        <v>105</v>
      </c>
      <c r="I64" s="464">
        <f>Лист1!S21/Расходы!$B$5</f>
        <v>17.027027027027028</v>
      </c>
      <c r="J64" s="400" t="str">
        <f>Лист1!Q24</f>
        <v>Г5412(10х8)</v>
      </c>
      <c r="K64" s="400">
        <f>Лист1!S24</f>
        <v>50</v>
      </c>
      <c r="L64" s="464">
        <f>$P$24*K64</f>
        <v>68.88000000000001</v>
      </c>
      <c r="M64" s="464">
        <f t="shared" si="26"/>
        <v>7610.9070270270267</v>
      </c>
    </row>
    <row r="65" spans="1:26" x14ac:dyDescent="0.3">
      <c r="B65" s="377">
        <v>5</v>
      </c>
      <c r="C65" s="378">
        <f>Лист1!B8</f>
        <v>120</v>
      </c>
      <c r="D65" s="356">
        <f>SUM(Лист1!W5:W8,Лист1!W11:W14)</f>
        <v>4731</v>
      </c>
      <c r="E65" s="356">
        <f t="shared" si="24"/>
        <v>4.7309999999999999</v>
      </c>
      <c r="F65" s="464">
        <f>E65*Металл!$L$5</f>
        <v>9462</v>
      </c>
      <c r="G65" s="356">
        <f>Лист1!U16</f>
        <v>18</v>
      </c>
      <c r="H65" s="464">
        <f t="shared" si="25"/>
        <v>126</v>
      </c>
      <c r="I65" s="464">
        <f>Лист1!W20/Расходы!$B$5</f>
        <v>29.72972972972973</v>
      </c>
      <c r="J65" s="400" t="str">
        <f>Лист1!U23</f>
        <v>Г5412(10х8)</v>
      </c>
      <c r="K65" s="400">
        <f>Лист1!W23</f>
        <v>50</v>
      </c>
      <c r="L65" s="464">
        <f>$P$24*K65</f>
        <v>68.88000000000001</v>
      </c>
      <c r="M65" s="464">
        <f t="shared" si="26"/>
        <v>9686.6097297297292</v>
      </c>
    </row>
    <row r="66" spans="1:26" x14ac:dyDescent="0.3">
      <c r="B66" s="377">
        <v>6</v>
      </c>
      <c r="C66" s="378">
        <f>Лист1!B9</f>
        <v>165</v>
      </c>
      <c r="D66" s="356">
        <f>SUM(Лист1!AA5:AA9,Лист1!AA12:AA17)</f>
        <v>9944</v>
      </c>
      <c r="E66" s="356">
        <f t="shared" si="24"/>
        <v>9.9440000000000008</v>
      </c>
      <c r="F66" s="464">
        <f>E66*Металл!$L$5</f>
        <v>19888</v>
      </c>
      <c r="G66" s="356">
        <f>Лист1!Y19</f>
        <v>38</v>
      </c>
      <c r="H66" s="464">
        <f t="shared" si="25"/>
        <v>266</v>
      </c>
      <c r="I66" s="464">
        <f>Лист1!AA23/Расходы!$B$5</f>
        <v>29.72972972972973</v>
      </c>
      <c r="J66" s="400" t="str">
        <f>Лист1!Y26</f>
        <v>Г5413(12х10)</v>
      </c>
      <c r="K66" s="400">
        <f>Лист1!AA26</f>
        <v>55</v>
      </c>
      <c r="L66" s="464">
        <f>K66*$P$31</f>
        <v>168.71054781199356</v>
      </c>
      <c r="M66" s="464">
        <f t="shared" si="26"/>
        <v>20352.440277541722</v>
      </c>
    </row>
    <row r="67" spans="1:26" x14ac:dyDescent="0.3">
      <c r="B67" s="377">
        <v>7</v>
      </c>
      <c r="C67" s="378">
        <f>Лист1!B10</f>
        <v>172</v>
      </c>
      <c r="D67" s="356">
        <f>SUM(Лист1!AE5:AE10,Лист1!AE13:AE18)</f>
        <v>11058</v>
      </c>
      <c r="E67" s="356">
        <f t="shared" si="24"/>
        <v>11.058</v>
      </c>
      <c r="F67" s="464">
        <f>E67*Металл!$L$5</f>
        <v>22116</v>
      </c>
      <c r="G67" s="356">
        <f>Лист1!AC20</f>
        <v>40</v>
      </c>
      <c r="H67" s="464">
        <f t="shared" si="25"/>
        <v>280</v>
      </c>
      <c r="I67" s="464">
        <f>Лист1!AE24/Расходы!$B$5</f>
        <v>81.081081081081081</v>
      </c>
      <c r="J67" s="400" t="str">
        <f>Лист1!AC27</f>
        <v>Г5413(12х10)</v>
      </c>
      <c r="K67" s="400">
        <f>Лист1!AE27</f>
        <v>55</v>
      </c>
      <c r="L67" s="464">
        <f t="shared" ref="L67:L70" si="27">K67*$P$31</f>
        <v>168.71054781199356</v>
      </c>
      <c r="M67" s="464">
        <f t="shared" si="26"/>
        <v>22645.791628893072</v>
      </c>
    </row>
    <row r="68" spans="1:26" x14ac:dyDescent="0.3">
      <c r="B68" s="377">
        <v>8</v>
      </c>
      <c r="C68" s="378">
        <f>Лист1!B11</f>
        <v>195</v>
      </c>
      <c r="D68" s="356">
        <f>SUM(Лист1!AI5:AI9,Лист1!AI12:AI16)</f>
        <v>15398</v>
      </c>
      <c r="E68" s="356">
        <f t="shared" si="24"/>
        <v>15.398</v>
      </c>
      <c r="F68" s="464">
        <f>E68*Металл!$L$5</f>
        <v>30796</v>
      </c>
      <c r="G68" s="356">
        <f>Лист1!AG18</f>
        <v>67</v>
      </c>
      <c r="H68" s="464">
        <f t="shared" si="25"/>
        <v>469</v>
      </c>
      <c r="I68" s="464">
        <f>Лист1!AI22/Расходы!$B$5</f>
        <v>81.081081081081081</v>
      </c>
      <c r="J68" s="400" t="str">
        <f>Лист1!AG25</f>
        <v>Г5413(12х10)</v>
      </c>
      <c r="K68" s="400">
        <f>Лист1!AI25</f>
        <v>60</v>
      </c>
      <c r="L68" s="464">
        <f t="shared" si="27"/>
        <v>184.04787034035661</v>
      </c>
      <c r="M68" s="464">
        <f t="shared" si="26"/>
        <v>31530.128951421437</v>
      </c>
    </row>
    <row r="69" spans="1:26" x14ac:dyDescent="0.3">
      <c r="B69" s="377">
        <v>9</v>
      </c>
      <c r="C69" s="378">
        <f>Лист1!B12</f>
        <v>215</v>
      </c>
      <c r="D69" s="356">
        <f>SUM(Лист1!AM5:AM9,Лист1!AM12:AM16)</f>
        <v>15242</v>
      </c>
      <c r="E69" s="356">
        <f t="shared" si="24"/>
        <v>15.242000000000001</v>
      </c>
      <c r="F69" s="464">
        <f>E69*Металл!$L$5</f>
        <v>30484</v>
      </c>
      <c r="G69" s="356">
        <f>Лист1!AK18</f>
        <v>74</v>
      </c>
      <c r="H69" s="464">
        <f t="shared" si="25"/>
        <v>518</v>
      </c>
      <c r="I69" s="464">
        <f>Лист1!AM22/Расходы!$B$5</f>
        <v>81.081081081081081</v>
      </c>
      <c r="J69" s="400" t="str">
        <f>Лист1!AK25</f>
        <v>Г5413(12х10)</v>
      </c>
      <c r="K69" s="400">
        <f>Лист1!AM25</f>
        <v>60</v>
      </c>
      <c r="L69" s="464">
        <f t="shared" si="27"/>
        <v>184.04787034035661</v>
      </c>
      <c r="M69" s="464">
        <f t="shared" si="26"/>
        <v>31267.128951421437</v>
      </c>
    </row>
    <row r="70" spans="1:26" x14ac:dyDescent="0.3">
      <c r="B70" s="377">
        <v>10</v>
      </c>
      <c r="C70" s="378">
        <f>Лист1!B13</f>
        <v>240</v>
      </c>
      <c r="D70" s="356">
        <f>SUM(Лист1!AQ5:AQ10,Лист1!AQ13:AQ20)</f>
        <v>15109</v>
      </c>
      <c r="E70" s="356">
        <f t="shared" si="24"/>
        <v>15.109</v>
      </c>
      <c r="F70" s="464">
        <f>E70*Металл!$L$5</f>
        <v>30218</v>
      </c>
      <c r="G70" s="356">
        <f>Лист1!AO22</f>
        <v>81</v>
      </c>
      <c r="H70" s="464">
        <f t="shared" si="25"/>
        <v>567</v>
      </c>
      <c r="I70" s="464">
        <f>Лист1!AQ26/Расходы!$B$5</f>
        <v>81.081081081081081</v>
      </c>
      <c r="J70" s="400" t="str">
        <f>Лист1!AO29</f>
        <v>Г5413(12х10)</v>
      </c>
      <c r="K70" s="400">
        <f>Лист1!AQ29</f>
        <v>75</v>
      </c>
      <c r="L70" s="464">
        <f t="shared" si="27"/>
        <v>230.05983792544578</v>
      </c>
      <c r="M70" s="464">
        <f t="shared" si="26"/>
        <v>31096.140919006524</v>
      </c>
    </row>
    <row r="74" spans="1:26" ht="15.75" thickBot="1" x14ac:dyDescent="0.35"/>
    <row r="75" spans="1:26" ht="15.75" thickBot="1" x14ac:dyDescent="0.35">
      <c r="A75" s="686" t="s">
        <v>2841</v>
      </c>
      <c r="B75" s="687"/>
      <c r="C75" s="687"/>
      <c r="D75" s="687"/>
      <c r="E75" s="688"/>
    </row>
    <row r="76" spans="1:26" ht="12.75" x14ac:dyDescent="0.2">
      <c r="A76" s="368"/>
      <c r="B76" s="369" t="s">
        <v>2816</v>
      </c>
      <c r="C76" s="369" t="s">
        <v>2817</v>
      </c>
      <c r="D76" s="369" t="s">
        <v>2818</v>
      </c>
      <c r="E76" s="369" t="s">
        <v>2819</v>
      </c>
      <c r="F76" s="369" t="s">
        <v>2820</v>
      </c>
      <c r="G76" s="369" t="s">
        <v>2821</v>
      </c>
      <c r="H76" s="369" t="s">
        <v>2822</v>
      </c>
      <c r="I76" s="369" t="s">
        <v>2823</v>
      </c>
      <c r="J76" s="369" t="s">
        <v>2824</v>
      </c>
      <c r="K76" s="369" t="s">
        <v>2825</v>
      </c>
      <c r="L76" s="369" t="s">
        <v>2826</v>
      </c>
      <c r="M76" s="369" t="s">
        <v>2827</v>
      </c>
      <c r="N76" s="369" t="s">
        <v>2828</v>
      </c>
      <c r="O76" s="369" t="s">
        <v>2829</v>
      </c>
      <c r="P76" s="369" t="s">
        <v>2830</v>
      </c>
      <c r="Q76" s="369" t="s">
        <v>2831</v>
      </c>
      <c r="R76" s="369" t="s">
        <v>2832</v>
      </c>
      <c r="S76" s="369" t="s">
        <v>2833</v>
      </c>
      <c r="T76" s="369" t="s">
        <v>2834</v>
      </c>
      <c r="U76" s="369" t="s">
        <v>2835</v>
      </c>
      <c r="V76" s="369" t="s">
        <v>2899</v>
      </c>
      <c r="W76" s="369" t="s">
        <v>2900</v>
      </c>
      <c r="X76" s="369" t="s">
        <v>2901</v>
      </c>
      <c r="Y76" s="369" t="s">
        <v>2902</v>
      </c>
      <c r="Z76" s="370" t="s">
        <v>2440</v>
      </c>
    </row>
    <row r="77" spans="1:26" ht="12.75" x14ac:dyDescent="0.2">
      <c r="A77" s="525" t="s">
        <v>2838</v>
      </c>
      <c r="B77" s="526"/>
      <c r="C77" s="526"/>
      <c r="D77" s="526"/>
      <c r="E77" s="526"/>
      <c r="F77" s="526"/>
      <c r="G77" s="526"/>
      <c r="H77" s="526"/>
      <c r="I77" s="526"/>
      <c r="J77" s="526"/>
      <c r="K77" s="526"/>
      <c r="L77" s="526"/>
      <c r="M77" s="526"/>
      <c r="N77" s="526"/>
      <c r="O77" s="526"/>
      <c r="P77" s="526"/>
      <c r="Q77" s="526"/>
      <c r="R77" s="526"/>
      <c r="S77" s="526"/>
      <c r="T77" s="526"/>
      <c r="U77" s="526"/>
      <c r="V77" s="526"/>
      <c r="W77" s="526"/>
      <c r="X77" s="526"/>
      <c r="Y77" s="526"/>
      <c r="Z77" s="527"/>
    </row>
    <row r="78" spans="1:26" ht="12.75" x14ac:dyDescent="0.2">
      <c r="A78" s="373" t="s">
        <v>2880</v>
      </c>
      <c r="B78" s="375"/>
      <c r="C78" s="375"/>
      <c r="D78" s="375"/>
      <c r="E78" s="375"/>
      <c r="F78" s="375"/>
      <c r="G78" s="375"/>
      <c r="H78" s="375"/>
      <c r="I78" s="375"/>
      <c r="J78" s="375"/>
      <c r="K78" s="375"/>
      <c r="L78" s="375"/>
      <c r="M78" s="375"/>
      <c r="N78" s="375"/>
      <c r="O78" s="375"/>
      <c r="P78" s="375"/>
      <c r="Q78" s="375"/>
      <c r="R78" s="375"/>
      <c r="S78" s="375"/>
      <c r="T78" s="375"/>
      <c r="U78" s="375"/>
      <c r="V78" s="375"/>
      <c r="W78" s="375"/>
      <c r="X78" s="375"/>
      <c r="Y78" s="375"/>
      <c r="Z78" s="376"/>
    </row>
    <row r="79" spans="1:26" ht="12.75" x14ac:dyDescent="0.2">
      <c r="A79" s="372" t="s">
        <v>2802</v>
      </c>
      <c r="B79" s="366">
        <f>'Продажи 2'!B20</f>
        <v>0</v>
      </c>
      <c r="C79" s="366">
        <f>'Продажи 2'!C20</f>
        <v>0</v>
      </c>
      <c r="D79" s="366">
        <f>'Продажи 2'!D20</f>
        <v>0</v>
      </c>
      <c r="E79" s="366">
        <f>'Продажи 2'!E20</f>
        <v>0</v>
      </c>
      <c r="F79" s="366">
        <f>'Продажи 2'!F20</f>
        <v>0</v>
      </c>
      <c r="G79" s="366">
        <f>'Продажи 2'!G20</f>
        <v>7</v>
      </c>
      <c r="H79" s="366">
        <f>'Продажи 2'!H20</f>
        <v>12</v>
      </c>
      <c r="I79" s="366">
        <f>'Продажи 2'!I20</f>
        <v>18</v>
      </c>
      <c r="J79" s="366">
        <f>'Продажи 2'!J20</f>
        <v>24</v>
      </c>
      <c r="K79" s="366">
        <f>'Продажи 2'!K20</f>
        <v>24</v>
      </c>
      <c r="L79" s="366">
        <f>'Продажи 2'!L20</f>
        <v>24</v>
      </c>
      <c r="M79" s="366">
        <f>'Продажи 2'!M20</f>
        <v>24</v>
      </c>
      <c r="N79" s="366">
        <f>'Продажи 2'!N20</f>
        <v>24</v>
      </c>
      <c r="O79" s="366">
        <f>'Продажи 2'!O20</f>
        <v>24</v>
      </c>
      <c r="P79" s="366">
        <f>'Продажи 2'!P20</f>
        <v>24</v>
      </c>
      <c r="Q79" s="366">
        <f>'Продажи 2'!Q20</f>
        <v>24</v>
      </c>
      <c r="R79" s="366">
        <f>'Продажи 2'!R20</f>
        <v>24</v>
      </c>
      <c r="S79" s="366">
        <f>'Продажи 2'!S20</f>
        <v>24</v>
      </c>
      <c r="T79" s="366">
        <f>'Продажи 2'!T20</f>
        <v>24</v>
      </c>
      <c r="U79" s="366">
        <f>'Продажи 2'!U20</f>
        <v>24</v>
      </c>
      <c r="V79" s="366">
        <f>'Продажи 2'!V20</f>
        <v>24</v>
      </c>
      <c r="W79" s="366">
        <f>'Продажи 2'!W20</f>
        <v>24</v>
      </c>
      <c r="X79" s="366">
        <f>'Продажи 2'!X20</f>
        <v>24</v>
      </c>
      <c r="Y79" s="366">
        <f>'Продажи 2'!Y20</f>
        <v>24</v>
      </c>
      <c r="Z79" s="371"/>
    </row>
    <row r="80" spans="1:26" ht="12.75" x14ac:dyDescent="0.2">
      <c r="A80" s="372" t="s">
        <v>2803</v>
      </c>
      <c r="B80" s="366">
        <f>'Продажи 2'!B21</f>
        <v>0</v>
      </c>
      <c r="C80" s="366">
        <f>'Продажи 2'!C21</f>
        <v>0</v>
      </c>
      <c r="D80" s="366">
        <f>'Продажи 2'!D21</f>
        <v>0</v>
      </c>
      <c r="E80" s="366">
        <f>'Продажи 2'!E21</f>
        <v>0</v>
      </c>
      <c r="F80" s="366">
        <f>'Продажи 2'!F21</f>
        <v>0</v>
      </c>
      <c r="G80" s="366">
        <f>'Продажи 2'!G21</f>
        <v>9</v>
      </c>
      <c r="H80" s="366">
        <f>'Продажи 2'!H21</f>
        <v>15</v>
      </c>
      <c r="I80" s="366">
        <f>'Продажи 2'!I21</f>
        <v>23</v>
      </c>
      <c r="J80" s="366">
        <f>'Продажи 2'!J21</f>
        <v>30</v>
      </c>
      <c r="K80" s="366">
        <f>'Продажи 2'!K21</f>
        <v>30</v>
      </c>
      <c r="L80" s="366">
        <f>'Продажи 2'!L21</f>
        <v>30</v>
      </c>
      <c r="M80" s="366">
        <f>'Продажи 2'!M21</f>
        <v>30</v>
      </c>
      <c r="N80" s="366">
        <f>'Продажи 2'!N21</f>
        <v>30</v>
      </c>
      <c r="O80" s="366">
        <f>'Продажи 2'!O21</f>
        <v>30</v>
      </c>
      <c r="P80" s="366">
        <f>'Продажи 2'!P21</f>
        <v>30</v>
      </c>
      <c r="Q80" s="366">
        <f>'Продажи 2'!Q21</f>
        <v>30</v>
      </c>
      <c r="R80" s="366">
        <f>'Продажи 2'!R21</f>
        <v>30</v>
      </c>
      <c r="S80" s="366">
        <f>'Продажи 2'!S21</f>
        <v>30</v>
      </c>
      <c r="T80" s="366">
        <f>'Продажи 2'!T21</f>
        <v>30</v>
      </c>
      <c r="U80" s="366">
        <f>'Продажи 2'!U21</f>
        <v>30</v>
      </c>
      <c r="V80" s="366">
        <f>'Продажи 2'!V21</f>
        <v>30</v>
      </c>
      <c r="W80" s="366">
        <f>'Продажи 2'!W21</f>
        <v>30</v>
      </c>
      <c r="X80" s="366">
        <f>'Продажи 2'!X21</f>
        <v>30</v>
      </c>
      <c r="Y80" s="366">
        <f>'Продажи 2'!Y21</f>
        <v>30</v>
      </c>
      <c r="Z80" s="371"/>
    </row>
    <row r="81" spans="1:26" ht="12.75" x14ac:dyDescent="0.2">
      <c r="A81" s="372" t="s">
        <v>2804</v>
      </c>
      <c r="B81" s="366">
        <f>'Продажи 2'!B22</f>
        <v>0</v>
      </c>
      <c r="C81" s="366">
        <f>'Продажи 2'!C22</f>
        <v>0</v>
      </c>
      <c r="D81" s="366">
        <f>'Продажи 2'!D22</f>
        <v>0</v>
      </c>
      <c r="E81" s="366">
        <f>'Продажи 2'!E22</f>
        <v>0</v>
      </c>
      <c r="F81" s="366">
        <f>'Продажи 2'!F22</f>
        <v>0</v>
      </c>
      <c r="G81" s="366">
        <f>'Продажи 2'!G22</f>
        <v>9</v>
      </c>
      <c r="H81" s="366">
        <f>'Продажи 2'!H22</f>
        <v>15</v>
      </c>
      <c r="I81" s="366">
        <f>'Продажи 2'!I22</f>
        <v>23</v>
      </c>
      <c r="J81" s="366">
        <f>'Продажи 2'!J22</f>
        <v>30</v>
      </c>
      <c r="K81" s="366">
        <f>'Продажи 2'!K22</f>
        <v>30</v>
      </c>
      <c r="L81" s="366">
        <f>'Продажи 2'!L22</f>
        <v>30</v>
      </c>
      <c r="M81" s="366">
        <f>'Продажи 2'!M22</f>
        <v>30</v>
      </c>
      <c r="N81" s="366">
        <f>'Продажи 2'!N22</f>
        <v>30</v>
      </c>
      <c r="O81" s="366">
        <f>'Продажи 2'!O22</f>
        <v>30</v>
      </c>
      <c r="P81" s="366">
        <f>'Продажи 2'!P22</f>
        <v>30</v>
      </c>
      <c r="Q81" s="366">
        <f>'Продажи 2'!Q22</f>
        <v>30</v>
      </c>
      <c r="R81" s="366">
        <f>'Продажи 2'!R22</f>
        <v>30</v>
      </c>
      <c r="S81" s="366">
        <f>'Продажи 2'!S22</f>
        <v>30</v>
      </c>
      <c r="T81" s="366">
        <f>'Продажи 2'!T22</f>
        <v>30</v>
      </c>
      <c r="U81" s="366">
        <f>'Продажи 2'!U22</f>
        <v>30</v>
      </c>
      <c r="V81" s="366">
        <f>'Продажи 2'!V22</f>
        <v>30</v>
      </c>
      <c r="W81" s="366">
        <f>'Продажи 2'!W22</f>
        <v>30</v>
      </c>
      <c r="X81" s="366">
        <f>'Продажи 2'!X22</f>
        <v>30</v>
      </c>
      <c r="Y81" s="366">
        <f>'Продажи 2'!Y22</f>
        <v>30</v>
      </c>
      <c r="Z81" s="371"/>
    </row>
    <row r="82" spans="1:26" ht="12.75" x14ac:dyDescent="0.2">
      <c r="A82" s="372" t="s">
        <v>2805</v>
      </c>
      <c r="B82" s="366">
        <f>'Продажи 2'!B23</f>
        <v>0</v>
      </c>
      <c r="C82" s="366">
        <f>'Продажи 2'!C23</f>
        <v>0</v>
      </c>
      <c r="D82" s="366">
        <f>'Продажи 2'!D23</f>
        <v>0</v>
      </c>
      <c r="E82" s="366">
        <f>'Продажи 2'!E23</f>
        <v>0</v>
      </c>
      <c r="F82" s="366">
        <f>'Продажи 2'!F23</f>
        <v>0</v>
      </c>
      <c r="G82" s="366">
        <f>'Продажи 2'!G23</f>
        <v>9</v>
      </c>
      <c r="H82" s="366">
        <f>'Продажи 2'!H23</f>
        <v>15</v>
      </c>
      <c r="I82" s="366">
        <f>'Продажи 2'!I23</f>
        <v>23</v>
      </c>
      <c r="J82" s="366">
        <f>'Продажи 2'!J23</f>
        <v>30</v>
      </c>
      <c r="K82" s="366">
        <f>'Продажи 2'!K23</f>
        <v>30</v>
      </c>
      <c r="L82" s="366">
        <f>'Продажи 2'!L23</f>
        <v>30</v>
      </c>
      <c r="M82" s="366">
        <f>'Продажи 2'!M23</f>
        <v>30</v>
      </c>
      <c r="N82" s="366">
        <f>'Продажи 2'!N23</f>
        <v>30</v>
      </c>
      <c r="O82" s="366">
        <f>'Продажи 2'!O23</f>
        <v>30</v>
      </c>
      <c r="P82" s="366">
        <f>'Продажи 2'!P23</f>
        <v>30</v>
      </c>
      <c r="Q82" s="366">
        <f>'Продажи 2'!Q23</f>
        <v>30</v>
      </c>
      <c r="R82" s="366">
        <f>'Продажи 2'!R23</f>
        <v>30</v>
      </c>
      <c r="S82" s="366">
        <f>'Продажи 2'!S23</f>
        <v>30</v>
      </c>
      <c r="T82" s="366">
        <f>'Продажи 2'!T23</f>
        <v>30</v>
      </c>
      <c r="U82" s="366">
        <f>'Продажи 2'!U23</f>
        <v>30</v>
      </c>
      <c r="V82" s="366">
        <f>'Продажи 2'!V23</f>
        <v>30</v>
      </c>
      <c r="W82" s="366">
        <f>'Продажи 2'!W23</f>
        <v>30</v>
      </c>
      <c r="X82" s="366">
        <f>'Продажи 2'!X23</f>
        <v>30</v>
      </c>
      <c r="Y82" s="366">
        <f>'Продажи 2'!Y23</f>
        <v>30</v>
      </c>
      <c r="Z82" s="371"/>
    </row>
    <row r="83" spans="1:26" ht="12.75" x14ac:dyDescent="0.2">
      <c r="A83" s="372" t="s">
        <v>2806</v>
      </c>
      <c r="B83" s="366">
        <f>'Продажи 2'!B24</f>
        <v>0</v>
      </c>
      <c r="C83" s="366">
        <f>'Продажи 2'!C24</f>
        <v>0</v>
      </c>
      <c r="D83" s="366">
        <f>'Продажи 2'!D24</f>
        <v>0</v>
      </c>
      <c r="E83" s="366">
        <f>'Продажи 2'!E24</f>
        <v>0</v>
      </c>
      <c r="F83" s="366">
        <f>'Продажи 2'!F24</f>
        <v>0</v>
      </c>
      <c r="G83" s="366">
        <f>'Продажи 2'!G24</f>
        <v>9</v>
      </c>
      <c r="H83" s="366">
        <f>'Продажи 2'!H24</f>
        <v>15</v>
      </c>
      <c r="I83" s="366">
        <f>'Продажи 2'!I24</f>
        <v>23</v>
      </c>
      <c r="J83" s="366">
        <f>'Продажи 2'!J24</f>
        <v>30</v>
      </c>
      <c r="K83" s="366">
        <f>'Продажи 2'!K24</f>
        <v>30</v>
      </c>
      <c r="L83" s="366">
        <f>'Продажи 2'!L24</f>
        <v>30</v>
      </c>
      <c r="M83" s="366">
        <f>'Продажи 2'!M24</f>
        <v>30</v>
      </c>
      <c r="N83" s="366">
        <f>'Продажи 2'!N24</f>
        <v>30</v>
      </c>
      <c r="O83" s="366">
        <f>'Продажи 2'!O24</f>
        <v>30</v>
      </c>
      <c r="P83" s="366">
        <f>'Продажи 2'!P24</f>
        <v>30</v>
      </c>
      <c r="Q83" s="366">
        <f>'Продажи 2'!Q24</f>
        <v>30</v>
      </c>
      <c r="R83" s="366">
        <f>'Продажи 2'!R24</f>
        <v>30</v>
      </c>
      <c r="S83" s="366">
        <f>'Продажи 2'!S24</f>
        <v>30</v>
      </c>
      <c r="T83" s="366">
        <f>'Продажи 2'!T24</f>
        <v>30</v>
      </c>
      <c r="U83" s="366">
        <f>'Продажи 2'!U24</f>
        <v>30</v>
      </c>
      <c r="V83" s="366">
        <f>'Продажи 2'!V24</f>
        <v>30</v>
      </c>
      <c r="W83" s="366">
        <f>'Продажи 2'!W24</f>
        <v>30</v>
      </c>
      <c r="X83" s="366">
        <f>'Продажи 2'!X24</f>
        <v>30</v>
      </c>
      <c r="Y83" s="366">
        <f>'Продажи 2'!Y24</f>
        <v>30</v>
      </c>
      <c r="Z83" s="371"/>
    </row>
    <row r="84" spans="1:26" ht="12.75" x14ac:dyDescent="0.2">
      <c r="A84" s="372" t="s">
        <v>2807</v>
      </c>
      <c r="B84" s="366">
        <f>'Продажи 2'!B25</f>
        <v>0</v>
      </c>
      <c r="C84" s="366">
        <f>'Продажи 2'!C25</f>
        <v>0</v>
      </c>
      <c r="D84" s="366">
        <f>'Продажи 2'!D25</f>
        <v>0</v>
      </c>
      <c r="E84" s="366">
        <f>'Продажи 2'!E25</f>
        <v>0</v>
      </c>
      <c r="F84" s="366">
        <f>'Продажи 2'!F25</f>
        <v>0</v>
      </c>
      <c r="G84" s="366">
        <f>'Продажи 2'!G25</f>
        <v>4</v>
      </c>
      <c r="H84" s="366">
        <f>'Продажи 2'!H25</f>
        <v>6</v>
      </c>
      <c r="I84" s="366">
        <f>'Продажи 2'!I25</f>
        <v>9</v>
      </c>
      <c r="J84" s="366">
        <f>'Продажи 2'!J25</f>
        <v>12</v>
      </c>
      <c r="K84" s="366">
        <f>'Продажи 2'!K25</f>
        <v>12</v>
      </c>
      <c r="L84" s="366">
        <f>'Продажи 2'!L25</f>
        <v>12</v>
      </c>
      <c r="M84" s="366">
        <f>'Продажи 2'!M25</f>
        <v>12</v>
      </c>
      <c r="N84" s="366">
        <f>'Продажи 2'!N25</f>
        <v>12</v>
      </c>
      <c r="O84" s="366">
        <f>'Продажи 2'!O25</f>
        <v>12</v>
      </c>
      <c r="P84" s="366">
        <f>'Продажи 2'!P25</f>
        <v>12</v>
      </c>
      <c r="Q84" s="366">
        <f>'Продажи 2'!Q25</f>
        <v>12</v>
      </c>
      <c r="R84" s="366">
        <f>'Продажи 2'!R25</f>
        <v>12</v>
      </c>
      <c r="S84" s="366">
        <f>'Продажи 2'!S25</f>
        <v>12</v>
      </c>
      <c r="T84" s="366">
        <f>'Продажи 2'!T25</f>
        <v>12</v>
      </c>
      <c r="U84" s="366">
        <f>'Продажи 2'!U25</f>
        <v>12</v>
      </c>
      <c r="V84" s="366">
        <f>'Продажи 2'!V25</f>
        <v>12</v>
      </c>
      <c r="W84" s="366">
        <f>'Продажи 2'!W25</f>
        <v>12</v>
      </c>
      <c r="X84" s="366">
        <f>'Продажи 2'!X25</f>
        <v>12</v>
      </c>
      <c r="Y84" s="366">
        <f>'Продажи 2'!Y25</f>
        <v>12</v>
      </c>
      <c r="Z84" s="371"/>
    </row>
    <row r="85" spans="1:26" ht="12.75" x14ac:dyDescent="0.2">
      <c r="A85" s="372" t="s">
        <v>2808</v>
      </c>
      <c r="B85" s="366">
        <f>'Продажи 2'!B26</f>
        <v>0</v>
      </c>
      <c r="C85" s="366">
        <f>'Продажи 2'!C26</f>
        <v>0</v>
      </c>
      <c r="D85" s="366">
        <f>'Продажи 2'!D26</f>
        <v>0</v>
      </c>
      <c r="E85" s="366">
        <f>'Продажи 2'!E26</f>
        <v>0</v>
      </c>
      <c r="F85" s="366">
        <f>'Продажи 2'!F26</f>
        <v>0</v>
      </c>
      <c r="G85" s="366">
        <f>'Продажи 2'!G26</f>
        <v>4</v>
      </c>
      <c r="H85" s="366">
        <f>'Продажи 2'!H26</f>
        <v>6</v>
      </c>
      <c r="I85" s="366">
        <f>'Продажи 2'!I26</f>
        <v>9</v>
      </c>
      <c r="J85" s="366">
        <f>'Продажи 2'!J26</f>
        <v>12</v>
      </c>
      <c r="K85" s="366">
        <f>'Продажи 2'!K26</f>
        <v>12</v>
      </c>
      <c r="L85" s="366">
        <f>'Продажи 2'!L26</f>
        <v>12</v>
      </c>
      <c r="M85" s="366">
        <f>'Продажи 2'!M26</f>
        <v>12</v>
      </c>
      <c r="N85" s="366">
        <f>'Продажи 2'!N26</f>
        <v>12</v>
      </c>
      <c r="O85" s="366">
        <f>'Продажи 2'!O26</f>
        <v>12</v>
      </c>
      <c r="P85" s="366">
        <f>'Продажи 2'!P26</f>
        <v>12</v>
      </c>
      <c r="Q85" s="366">
        <f>'Продажи 2'!Q26</f>
        <v>12</v>
      </c>
      <c r="R85" s="366">
        <f>'Продажи 2'!R26</f>
        <v>12</v>
      </c>
      <c r="S85" s="366">
        <f>'Продажи 2'!S26</f>
        <v>12</v>
      </c>
      <c r="T85" s="366">
        <f>'Продажи 2'!T26</f>
        <v>12</v>
      </c>
      <c r="U85" s="366">
        <f>'Продажи 2'!U26</f>
        <v>12</v>
      </c>
      <c r="V85" s="366">
        <f>'Продажи 2'!V26</f>
        <v>12</v>
      </c>
      <c r="W85" s="366">
        <f>'Продажи 2'!W26</f>
        <v>12</v>
      </c>
      <c r="X85" s="366">
        <f>'Продажи 2'!X26</f>
        <v>12</v>
      </c>
      <c r="Y85" s="366">
        <f>'Продажи 2'!Y26</f>
        <v>12</v>
      </c>
      <c r="Z85" s="371"/>
    </row>
    <row r="86" spans="1:26" ht="12.75" x14ac:dyDescent="0.2">
      <c r="A86" s="372" t="s">
        <v>2809</v>
      </c>
      <c r="B86" s="366">
        <f>'Продажи 2'!B27</f>
        <v>0</v>
      </c>
      <c r="C86" s="366">
        <f>'Продажи 2'!C27</f>
        <v>0</v>
      </c>
      <c r="D86" s="366">
        <f>'Продажи 2'!D27</f>
        <v>0</v>
      </c>
      <c r="E86" s="366">
        <f>'Продажи 2'!E27</f>
        <v>0</v>
      </c>
      <c r="F86" s="366">
        <f>'Продажи 2'!F27</f>
        <v>0</v>
      </c>
      <c r="G86" s="366">
        <f>'Продажи 2'!G27</f>
        <v>4</v>
      </c>
      <c r="H86" s="366">
        <f>'Продажи 2'!H27</f>
        <v>6</v>
      </c>
      <c r="I86" s="366">
        <f>'Продажи 2'!I27</f>
        <v>9</v>
      </c>
      <c r="J86" s="366">
        <f>'Продажи 2'!J27</f>
        <v>12</v>
      </c>
      <c r="K86" s="366">
        <f>'Продажи 2'!K27</f>
        <v>12</v>
      </c>
      <c r="L86" s="366">
        <f>'Продажи 2'!L27</f>
        <v>12</v>
      </c>
      <c r="M86" s="366">
        <f>'Продажи 2'!M27</f>
        <v>12</v>
      </c>
      <c r="N86" s="366">
        <f>'Продажи 2'!N27</f>
        <v>12</v>
      </c>
      <c r="O86" s="366">
        <f>'Продажи 2'!O27</f>
        <v>12</v>
      </c>
      <c r="P86" s="366">
        <f>'Продажи 2'!P27</f>
        <v>12</v>
      </c>
      <c r="Q86" s="366">
        <f>'Продажи 2'!Q27</f>
        <v>12</v>
      </c>
      <c r="R86" s="366">
        <f>'Продажи 2'!R27</f>
        <v>12</v>
      </c>
      <c r="S86" s="366">
        <f>'Продажи 2'!S27</f>
        <v>12</v>
      </c>
      <c r="T86" s="366">
        <f>'Продажи 2'!T27</f>
        <v>12</v>
      </c>
      <c r="U86" s="366">
        <f>'Продажи 2'!U27</f>
        <v>12</v>
      </c>
      <c r="V86" s="366">
        <f>'Продажи 2'!V27</f>
        <v>12</v>
      </c>
      <c r="W86" s="366">
        <f>'Продажи 2'!W27</f>
        <v>12</v>
      </c>
      <c r="X86" s="366">
        <f>'Продажи 2'!X27</f>
        <v>12</v>
      </c>
      <c r="Y86" s="366">
        <f>'Продажи 2'!Y27</f>
        <v>12</v>
      </c>
      <c r="Z86" s="371"/>
    </row>
    <row r="87" spans="1:26" ht="12.75" x14ac:dyDescent="0.2">
      <c r="A87" s="372" t="s">
        <v>2810</v>
      </c>
      <c r="B87" s="366">
        <f>'Продажи 2'!B28</f>
        <v>0</v>
      </c>
      <c r="C87" s="366">
        <f>'Продажи 2'!C28</f>
        <v>0</v>
      </c>
      <c r="D87" s="366">
        <f>'Продажи 2'!D28</f>
        <v>0</v>
      </c>
      <c r="E87" s="366">
        <f>'Продажи 2'!E28</f>
        <v>0</v>
      </c>
      <c r="F87" s="366">
        <f>'Продажи 2'!F28</f>
        <v>0</v>
      </c>
      <c r="G87" s="366">
        <f>'Продажи 2'!G28</f>
        <v>4</v>
      </c>
      <c r="H87" s="366">
        <f>'Продажи 2'!H28</f>
        <v>6</v>
      </c>
      <c r="I87" s="366">
        <f>'Продажи 2'!I28</f>
        <v>9</v>
      </c>
      <c r="J87" s="366">
        <f>'Продажи 2'!J28</f>
        <v>12</v>
      </c>
      <c r="K87" s="366">
        <f>'Продажи 2'!K28</f>
        <v>12</v>
      </c>
      <c r="L87" s="366">
        <f>'Продажи 2'!L28</f>
        <v>12</v>
      </c>
      <c r="M87" s="366">
        <f>'Продажи 2'!M28</f>
        <v>12</v>
      </c>
      <c r="N87" s="366">
        <f>'Продажи 2'!N28</f>
        <v>12</v>
      </c>
      <c r="O87" s="366">
        <f>'Продажи 2'!O28</f>
        <v>12</v>
      </c>
      <c r="P87" s="366">
        <f>'Продажи 2'!P28</f>
        <v>12</v>
      </c>
      <c r="Q87" s="366">
        <f>'Продажи 2'!Q28</f>
        <v>12</v>
      </c>
      <c r="R87" s="366">
        <f>'Продажи 2'!R28</f>
        <v>12</v>
      </c>
      <c r="S87" s="366">
        <f>'Продажи 2'!S28</f>
        <v>12</v>
      </c>
      <c r="T87" s="366">
        <f>'Продажи 2'!T28</f>
        <v>12</v>
      </c>
      <c r="U87" s="366">
        <f>'Продажи 2'!U28</f>
        <v>12</v>
      </c>
      <c r="V87" s="366">
        <f>'Продажи 2'!V28</f>
        <v>12</v>
      </c>
      <c r="W87" s="366">
        <f>'Продажи 2'!W28</f>
        <v>12</v>
      </c>
      <c r="X87" s="366">
        <f>'Продажи 2'!X28</f>
        <v>12</v>
      </c>
      <c r="Y87" s="366">
        <f>'Продажи 2'!Y28</f>
        <v>12</v>
      </c>
      <c r="Z87" s="371"/>
    </row>
    <row r="88" spans="1:26" ht="12.75" x14ac:dyDescent="0.2">
      <c r="A88" s="372" t="s">
        <v>2811</v>
      </c>
      <c r="B88" s="366">
        <f>'Продажи 2'!B29</f>
        <v>0</v>
      </c>
      <c r="C88" s="366">
        <f>'Продажи 2'!C29</f>
        <v>0</v>
      </c>
      <c r="D88" s="366">
        <f>'Продажи 2'!D29</f>
        <v>0</v>
      </c>
      <c r="E88" s="366">
        <f>'Продажи 2'!E29</f>
        <v>0</v>
      </c>
      <c r="F88" s="366">
        <f>'Продажи 2'!F29</f>
        <v>0</v>
      </c>
      <c r="G88" s="366">
        <f>'Продажи 2'!G29</f>
        <v>4</v>
      </c>
      <c r="H88" s="366">
        <f>'Продажи 2'!H29</f>
        <v>6</v>
      </c>
      <c r="I88" s="366">
        <f>'Продажи 2'!I29</f>
        <v>9</v>
      </c>
      <c r="J88" s="366">
        <f>'Продажи 2'!J29</f>
        <v>12</v>
      </c>
      <c r="K88" s="366">
        <f>'Продажи 2'!K29</f>
        <v>12</v>
      </c>
      <c r="L88" s="366">
        <f>'Продажи 2'!L29</f>
        <v>12</v>
      </c>
      <c r="M88" s="366">
        <f>'Продажи 2'!M29</f>
        <v>12</v>
      </c>
      <c r="N88" s="366">
        <f>'Продажи 2'!N29</f>
        <v>12</v>
      </c>
      <c r="O88" s="366">
        <f>'Продажи 2'!O29</f>
        <v>12</v>
      </c>
      <c r="P88" s="366">
        <f>'Продажи 2'!P29</f>
        <v>12</v>
      </c>
      <c r="Q88" s="366">
        <f>'Продажи 2'!Q29</f>
        <v>12</v>
      </c>
      <c r="R88" s="366">
        <f>'Продажи 2'!R29</f>
        <v>12</v>
      </c>
      <c r="S88" s="366">
        <f>'Продажи 2'!S29</f>
        <v>12</v>
      </c>
      <c r="T88" s="366">
        <f>'Продажи 2'!T29</f>
        <v>12</v>
      </c>
      <c r="U88" s="366">
        <f>'Продажи 2'!U29</f>
        <v>12</v>
      </c>
      <c r="V88" s="366">
        <f>'Продажи 2'!V29</f>
        <v>12</v>
      </c>
      <c r="W88" s="366">
        <f>'Продажи 2'!W29</f>
        <v>12</v>
      </c>
      <c r="X88" s="366">
        <f>'Продажи 2'!X29</f>
        <v>12</v>
      </c>
      <c r="Y88" s="366">
        <f>'Продажи 2'!Y29</f>
        <v>12</v>
      </c>
      <c r="Z88" s="371"/>
    </row>
    <row r="89" spans="1:26" ht="12.75" x14ac:dyDescent="0.2">
      <c r="A89" s="372" t="s">
        <v>2812</v>
      </c>
      <c r="B89" s="366">
        <f>'Продажи 2'!B30</f>
        <v>0</v>
      </c>
      <c r="C89" s="366">
        <f>'Продажи 2'!C30</f>
        <v>0</v>
      </c>
      <c r="D89" s="366">
        <f>'Продажи 2'!D30</f>
        <v>0</v>
      </c>
      <c r="E89" s="366">
        <f>'Продажи 2'!E30</f>
        <v>0</v>
      </c>
      <c r="F89" s="366">
        <f>'Продажи 2'!F30</f>
        <v>0</v>
      </c>
      <c r="G89" s="366">
        <f>'Продажи 2'!G30</f>
        <v>5</v>
      </c>
      <c r="H89" s="366">
        <f>'Продажи 2'!H30</f>
        <v>8</v>
      </c>
      <c r="I89" s="366">
        <f>'Продажи 2'!I30</f>
        <v>11</v>
      </c>
      <c r="J89" s="366">
        <f>'Продажи 2'!J30</f>
        <v>15</v>
      </c>
      <c r="K89" s="366">
        <f>'Продажи 2'!K30</f>
        <v>15</v>
      </c>
      <c r="L89" s="366">
        <f>'Продажи 2'!L30</f>
        <v>15</v>
      </c>
      <c r="M89" s="366">
        <f>'Продажи 2'!M30</f>
        <v>15</v>
      </c>
      <c r="N89" s="366">
        <f>'Продажи 2'!N30</f>
        <v>15</v>
      </c>
      <c r="O89" s="366">
        <f>'Продажи 2'!O30</f>
        <v>15</v>
      </c>
      <c r="P89" s="366">
        <f>'Продажи 2'!P30</f>
        <v>15</v>
      </c>
      <c r="Q89" s="366">
        <f>'Продажи 2'!Q30</f>
        <v>15</v>
      </c>
      <c r="R89" s="366">
        <f>'Продажи 2'!R30</f>
        <v>15</v>
      </c>
      <c r="S89" s="366">
        <f>'Продажи 2'!S30</f>
        <v>15</v>
      </c>
      <c r="T89" s="366">
        <f>'Продажи 2'!T30</f>
        <v>15</v>
      </c>
      <c r="U89" s="366">
        <f>'Продажи 2'!U30</f>
        <v>15</v>
      </c>
      <c r="V89" s="366">
        <f>'Продажи 2'!V30</f>
        <v>15</v>
      </c>
      <c r="W89" s="366">
        <f>'Продажи 2'!W30</f>
        <v>15</v>
      </c>
      <c r="X89" s="366">
        <f>'Продажи 2'!X30</f>
        <v>15</v>
      </c>
      <c r="Y89" s="366">
        <f>'Продажи 2'!Y30</f>
        <v>15</v>
      </c>
      <c r="Z89" s="371"/>
    </row>
    <row r="90" spans="1:26" ht="12.75" x14ac:dyDescent="0.2">
      <c r="A90" s="372" t="s">
        <v>2813</v>
      </c>
      <c r="B90" s="366">
        <f>'Продажи 2'!B31</f>
        <v>0</v>
      </c>
      <c r="C90" s="366">
        <f>'Продажи 2'!C31</f>
        <v>0</v>
      </c>
      <c r="D90" s="366">
        <f>'Продажи 2'!D31</f>
        <v>0</v>
      </c>
      <c r="E90" s="366">
        <f>'Продажи 2'!E31</f>
        <v>0</v>
      </c>
      <c r="F90" s="366">
        <f>'Продажи 2'!F31</f>
        <v>0</v>
      </c>
      <c r="G90" s="366">
        <f>'Продажи 2'!G31</f>
        <v>5</v>
      </c>
      <c r="H90" s="366">
        <f>'Продажи 2'!H31</f>
        <v>8</v>
      </c>
      <c r="I90" s="366">
        <f>'Продажи 2'!I31</f>
        <v>11</v>
      </c>
      <c r="J90" s="366">
        <f>'Продажи 2'!J31</f>
        <v>15</v>
      </c>
      <c r="K90" s="366">
        <f>'Продажи 2'!K31</f>
        <v>15</v>
      </c>
      <c r="L90" s="366">
        <f>'Продажи 2'!L31</f>
        <v>15</v>
      </c>
      <c r="M90" s="366">
        <f>'Продажи 2'!M31</f>
        <v>15</v>
      </c>
      <c r="N90" s="366">
        <f>'Продажи 2'!N31</f>
        <v>15</v>
      </c>
      <c r="O90" s="366">
        <f>'Продажи 2'!O31</f>
        <v>15</v>
      </c>
      <c r="P90" s="366">
        <f>'Продажи 2'!P31</f>
        <v>15</v>
      </c>
      <c r="Q90" s="366">
        <f>'Продажи 2'!Q31</f>
        <v>15</v>
      </c>
      <c r="R90" s="366">
        <f>'Продажи 2'!R31</f>
        <v>15</v>
      </c>
      <c r="S90" s="366">
        <f>'Продажи 2'!S31</f>
        <v>15</v>
      </c>
      <c r="T90" s="366">
        <f>'Продажи 2'!T31</f>
        <v>15</v>
      </c>
      <c r="U90" s="366">
        <f>'Продажи 2'!U31</f>
        <v>15</v>
      </c>
      <c r="V90" s="366">
        <f>'Продажи 2'!V31</f>
        <v>15</v>
      </c>
      <c r="W90" s="366">
        <f>'Продажи 2'!W31</f>
        <v>15</v>
      </c>
      <c r="X90" s="366">
        <f>'Продажи 2'!X31</f>
        <v>15</v>
      </c>
      <c r="Y90" s="366">
        <f>'Продажи 2'!Y31</f>
        <v>15</v>
      </c>
      <c r="Z90" s="371"/>
    </row>
    <row r="91" spans="1:26" ht="12.75" x14ac:dyDescent="0.2">
      <c r="A91" s="372" t="s">
        <v>2814</v>
      </c>
      <c r="B91" s="366">
        <f>'Продажи 2'!B32</f>
        <v>0</v>
      </c>
      <c r="C91" s="366">
        <f>'Продажи 2'!C32</f>
        <v>0</v>
      </c>
      <c r="D91" s="366">
        <f>'Продажи 2'!D32</f>
        <v>0</v>
      </c>
      <c r="E91" s="366">
        <f>'Продажи 2'!E32</f>
        <v>0</v>
      </c>
      <c r="F91" s="366">
        <f>'Продажи 2'!F32</f>
        <v>0</v>
      </c>
      <c r="G91" s="366">
        <f>'Продажи 2'!G32</f>
        <v>4</v>
      </c>
      <c r="H91" s="366">
        <f>'Продажи 2'!H32</f>
        <v>6</v>
      </c>
      <c r="I91" s="366">
        <f>'Продажи 2'!I32</f>
        <v>9</v>
      </c>
      <c r="J91" s="366">
        <f>'Продажи 2'!J32</f>
        <v>12</v>
      </c>
      <c r="K91" s="366">
        <f>'Продажи 2'!K32</f>
        <v>12</v>
      </c>
      <c r="L91" s="366">
        <f>'Продажи 2'!L32</f>
        <v>12</v>
      </c>
      <c r="M91" s="366">
        <f>'Продажи 2'!M32</f>
        <v>12</v>
      </c>
      <c r="N91" s="366">
        <f>'Продажи 2'!N32</f>
        <v>12</v>
      </c>
      <c r="O91" s="366">
        <f>'Продажи 2'!O32</f>
        <v>12</v>
      </c>
      <c r="P91" s="366">
        <f>'Продажи 2'!P32</f>
        <v>12</v>
      </c>
      <c r="Q91" s="366">
        <f>'Продажи 2'!Q32</f>
        <v>12</v>
      </c>
      <c r="R91" s="366">
        <f>'Продажи 2'!R32</f>
        <v>12</v>
      </c>
      <c r="S91" s="366">
        <f>'Продажи 2'!S32</f>
        <v>12</v>
      </c>
      <c r="T91" s="366">
        <f>'Продажи 2'!T32</f>
        <v>12</v>
      </c>
      <c r="U91" s="366">
        <f>'Продажи 2'!U32</f>
        <v>12</v>
      </c>
      <c r="V91" s="366">
        <f>'Продажи 2'!V32</f>
        <v>12</v>
      </c>
      <c r="W91" s="366">
        <f>'Продажи 2'!W32</f>
        <v>12</v>
      </c>
      <c r="X91" s="366">
        <f>'Продажи 2'!X32</f>
        <v>12</v>
      </c>
      <c r="Y91" s="366">
        <f>'Продажи 2'!Y32</f>
        <v>12</v>
      </c>
      <c r="Z91" s="371"/>
    </row>
    <row r="92" spans="1:26" ht="12.75" x14ac:dyDescent="0.2">
      <c r="A92" s="372" t="s">
        <v>2815</v>
      </c>
      <c r="B92" s="366">
        <f>'Продажи 2'!B33</f>
        <v>0</v>
      </c>
      <c r="C92" s="366">
        <f>'Продажи 2'!C33</f>
        <v>0</v>
      </c>
      <c r="D92" s="366">
        <f>'Продажи 2'!D33</f>
        <v>0</v>
      </c>
      <c r="E92" s="366">
        <f>'Продажи 2'!E33</f>
        <v>0</v>
      </c>
      <c r="F92" s="366">
        <f>'Продажи 2'!F33</f>
        <v>0</v>
      </c>
      <c r="G92" s="366">
        <f>'Продажи 2'!G33</f>
        <v>7</v>
      </c>
      <c r="H92" s="366">
        <f>'Продажи 2'!H33</f>
        <v>12</v>
      </c>
      <c r="I92" s="366">
        <f>'Продажи 2'!I33</f>
        <v>18</v>
      </c>
      <c r="J92" s="366">
        <f>'Продажи 2'!J33</f>
        <v>24</v>
      </c>
      <c r="K92" s="366">
        <f>'Продажи 2'!K33</f>
        <v>24</v>
      </c>
      <c r="L92" s="366">
        <f>'Продажи 2'!L33</f>
        <v>24</v>
      </c>
      <c r="M92" s="366">
        <f>'Продажи 2'!M33</f>
        <v>24</v>
      </c>
      <c r="N92" s="366">
        <f>'Продажи 2'!N33</f>
        <v>24</v>
      </c>
      <c r="O92" s="366">
        <f>'Продажи 2'!O33</f>
        <v>24</v>
      </c>
      <c r="P92" s="366">
        <f>'Продажи 2'!P33</f>
        <v>24</v>
      </c>
      <c r="Q92" s="366">
        <f>'Продажи 2'!Q33</f>
        <v>24</v>
      </c>
      <c r="R92" s="366">
        <f>'Продажи 2'!R33</f>
        <v>24</v>
      </c>
      <c r="S92" s="366">
        <f>'Продажи 2'!S33</f>
        <v>24</v>
      </c>
      <c r="T92" s="366">
        <f>'Продажи 2'!T33</f>
        <v>24</v>
      </c>
      <c r="U92" s="366">
        <f>'Продажи 2'!U33</f>
        <v>24</v>
      </c>
      <c r="V92" s="366">
        <f>'Продажи 2'!V33</f>
        <v>24</v>
      </c>
      <c r="W92" s="366">
        <f>'Продажи 2'!W33</f>
        <v>24</v>
      </c>
      <c r="X92" s="366">
        <f>'Продажи 2'!X33</f>
        <v>24</v>
      </c>
      <c r="Y92" s="366">
        <f>'Продажи 2'!Y33</f>
        <v>24</v>
      </c>
      <c r="Z92" s="371"/>
    </row>
    <row r="93" spans="1:26" ht="12.75" x14ac:dyDescent="0.2">
      <c r="A93" s="373" t="s">
        <v>2841</v>
      </c>
      <c r="B93" s="375"/>
      <c r="C93" s="375"/>
      <c r="D93" s="375"/>
      <c r="E93" s="375"/>
      <c r="F93" s="375"/>
      <c r="G93" s="375"/>
      <c r="H93" s="375"/>
      <c r="I93" s="375"/>
      <c r="J93" s="375"/>
      <c r="K93" s="375"/>
      <c r="L93" s="375"/>
      <c r="M93" s="375"/>
      <c r="N93" s="375"/>
      <c r="O93" s="375"/>
      <c r="P93" s="375"/>
      <c r="Q93" s="375"/>
      <c r="R93" s="375"/>
      <c r="S93" s="375"/>
      <c r="T93" s="375"/>
      <c r="U93" s="375"/>
      <c r="V93" s="375"/>
      <c r="W93" s="375"/>
      <c r="X93" s="375"/>
      <c r="Y93" s="375"/>
      <c r="Z93" s="376"/>
    </row>
    <row r="94" spans="1:26" ht="12.75" x14ac:dyDescent="0.2">
      <c r="A94" s="372" t="s">
        <v>2802</v>
      </c>
      <c r="B94" s="451">
        <f>B79*$T$42</f>
        <v>0</v>
      </c>
      <c r="C94" s="451">
        <f t="shared" ref="C94:U94" si="28">C79*$T$42</f>
        <v>0</v>
      </c>
      <c r="D94" s="451">
        <f t="shared" si="28"/>
        <v>0</v>
      </c>
      <c r="E94" s="451">
        <f t="shared" si="28"/>
        <v>0</v>
      </c>
      <c r="F94" s="451">
        <f t="shared" si="28"/>
        <v>0</v>
      </c>
      <c r="G94" s="451">
        <f t="shared" si="28"/>
        <v>35787.673786373358</v>
      </c>
      <c r="H94" s="451">
        <f t="shared" si="28"/>
        <v>61350.297919497185</v>
      </c>
      <c r="I94" s="451">
        <f t="shared" si="28"/>
        <v>92025.446879245777</v>
      </c>
      <c r="J94" s="451">
        <f t="shared" si="28"/>
        <v>122700.59583899437</v>
      </c>
      <c r="K94" s="451">
        <f t="shared" si="28"/>
        <v>122700.59583899437</v>
      </c>
      <c r="L94" s="451">
        <f t="shared" si="28"/>
        <v>122700.59583899437</v>
      </c>
      <c r="M94" s="451">
        <f t="shared" si="28"/>
        <v>122700.59583899437</v>
      </c>
      <c r="N94" s="451">
        <f t="shared" si="28"/>
        <v>122700.59583899437</v>
      </c>
      <c r="O94" s="451">
        <f t="shared" si="28"/>
        <v>122700.59583899437</v>
      </c>
      <c r="P94" s="451">
        <f t="shared" si="28"/>
        <v>122700.59583899437</v>
      </c>
      <c r="Q94" s="451">
        <f t="shared" si="28"/>
        <v>122700.59583899437</v>
      </c>
      <c r="R94" s="451">
        <f t="shared" si="28"/>
        <v>122700.59583899437</v>
      </c>
      <c r="S94" s="451">
        <f t="shared" si="28"/>
        <v>122700.59583899437</v>
      </c>
      <c r="T94" s="451">
        <f t="shared" si="28"/>
        <v>122700.59583899437</v>
      </c>
      <c r="U94" s="451">
        <f t="shared" si="28"/>
        <v>122700.59583899437</v>
      </c>
      <c r="V94" s="451">
        <f t="shared" ref="V94:Y94" si="29">V79*$T$42</f>
        <v>122700.59583899437</v>
      </c>
      <c r="W94" s="451">
        <f t="shared" si="29"/>
        <v>122700.59583899437</v>
      </c>
      <c r="X94" s="451">
        <f t="shared" si="29"/>
        <v>122700.59583899437</v>
      </c>
      <c r="Y94" s="451">
        <f t="shared" si="29"/>
        <v>122700.59583899437</v>
      </c>
      <c r="Z94" s="452">
        <f>SUM(B94:Y94)</f>
        <v>2152372.9520090255</v>
      </c>
    </row>
    <row r="95" spans="1:26" ht="12.75" x14ac:dyDescent="0.2">
      <c r="A95" s="372" t="s">
        <v>2803</v>
      </c>
      <c r="B95" s="451">
        <f>B80*$T$43</f>
        <v>0</v>
      </c>
      <c r="C95" s="451">
        <f t="shared" ref="C95:U95" si="30">C80*$T$43</f>
        <v>0</v>
      </c>
      <c r="D95" s="451">
        <f t="shared" si="30"/>
        <v>0</v>
      </c>
      <c r="E95" s="451">
        <f t="shared" si="30"/>
        <v>0</v>
      </c>
      <c r="F95" s="451">
        <f t="shared" si="30"/>
        <v>0</v>
      </c>
      <c r="G95" s="451">
        <f t="shared" si="30"/>
        <v>38526.575554816591</v>
      </c>
      <c r="H95" s="451">
        <f t="shared" si="30"/>
        <v>64210.959258027651</v>
      </c>
      <c r="I95" s="451">
        <f t="shared" si="30"/>
        <v>98456.804195642399</v>
      </c>
      <c r="J95" s="451">
        <f t="shared" si="30"/>
        <v>128421.9185160553</v>
      </c>
      <c r="K95" s="451">
        <f t="shared" si="30"/>
        <v>128421.9185160553</v>
      </c>
      <c r="L95" s="451">
        <f t="shared" si="30"/>
        <v>128421.9185160553</v>
      </c>
      <c r="M95" s="451">
        <f t="shared" si="30"/>
        <v>128421.9185160553</v>
      </c>
      <c r="N95" s="451">
        <f t="shared" si="30"/>
        <v>128421.9185160553</v>
      </c>
      <c r="O95" s="451">
        <f t="shared" si="30"/>
        <v>128421.9185160553</v>
      </c>
      <c r="P95" s="451">
        <f t="shared" si="30"/>
        <v>128421.9185160553</v>
      </c>
      <c r="Q95" s="451">
        <f t="shared" si="30"/>
        <v>128421.9185160553</v>
      </c>
      <c r="R95" s="451">
        <f t="shared" si="30"/>
        <v>128421.9185160553</v>
      </c>
      <c r="S95" s="451">
        <f t="shared" si="30"/>
        <v>128421.9185160553</v>
      </c>
      <c r="T95" s="451">
        <f t="shared" si="30"/>
        <v>128421.9185160553</v>
      </c>
      <c r="U95" s="451">
        <f t="shared" si="30"/>
        <v>128421.9185160553</v>
      </c>
      <c r="V95" s="451">
        <f t="shared" ref="V95:Y95" si="31">V80*$T$43</f>
        <v>128421.9185160553</v>
      </c>
      <c r="W95" s="451">
        <f t="shared" si="31"/>
        <v>128421.9185160553</v>
      </c>
      <c r="X95" s="451">
        <f t="shared" si="31"/>
        <v>128421.9185160553</v>
      </c>
      <c r="Y95" s="451">
        <f t="shared" si="31"/>
        <v>128421.9185160553</v>
      </c>
      <c r="Z95" s="452">
        <f t="shared" ref="Z95:Z107" si="32">SUM(B95:Y95)</f>
        <v>2255945.0352653707</v>
      </c>
    </row>
    <row r="96" spans="1:26" ht="12.75" x14ac:dyDescent="0.2">
      <c r="A96" s="372" t="s">
        <v>2804</v>
      </c>
      <c r="B96" s="451">
        <f>B81*$T$44</f>
        <v>0</v>
      </c>
      <c r="C96" s="451">
        <f t="shared" ref="C96:U96" si="33">C81*$T$44</f>
        <v>0</v>
      </c>
      <c r="D96" s="451">
        <f t="shared" si="33"/>
        <v>0</v>
      </c>
      <c r="E96" s="451">
        <f t="shared" si="33"/>
        <v>0</v>
      </c>
      <c r="F96" s="451">
        <f t="shared" si="33"/>
        <v>0</v>
      </c>
      <c r="G96" s="451">
        <f t="shared" si="33"/>
        <v>45649.744292403018</v>
      </c>
      <c r="H96" s="451">
        <f t="shared" si="33"/>
        <v>76082.907154005035</v>
      </c>
      <c r="I96" s="451">
        <f t="shared" si="33"/>
        <v>116660.45763614104</v>
      </c>
      <c r="J96" s="451">
        <f t="shared" si="33"/>
        <v>152165.81430801007</v>
      </c>
      <c r="K96" s="451">
        <f t="shared" si="33"/>
        <v>152165.81430801007</v>
      </c>
      <c r="L96" s="451">
        <f t="shared" si="33"/>
        <v>152165.81430801007</v>
      </c>
      <c r="M96" s="451">
        <f t="shared" si="33"/>
        <v>152165.81430801007</v>
      </c>
      <c r="N96" s="451">
        <f t="shared" si="33"/>
        <v>152165.81430801007</v>
      </c>
      <c r="O96" s="451">
        <f t="shared" si="33"/>
        <v>152165.81430801007</v>
      </c>
      <c r="P96" s="451">
        <f t="shared" si="33"/>
        <v>152165.81430801007</v>
      </c>
      <c r="Q96" s="451">
        <f t="shared" si="33"/>
        <v>152165.81430801007</v>
      </c>
      <c r="R96" s="451">
        <f t="shared" si="33"/>
        <v>152165.81430801007</v>
      </c>
      <c r="S96" s="451">
        <f t="shared" si="33"/>
        <v>152165.81430801007</v>
      </c>
      <c r="T96" s="451">
        <f t="shared" si="33"/>
        <v>152165.81430801007</v>
      </c>
      <c r="U96" s="451">
        <f t="shared" si="33"/>
        <v>152165.81430801007</v>
      </c>
      <c r="V96" s="451">
        <f t="shared" ref="V96:Y96" si="34">V81*$T$44</f>
        <v>152165.81430801007</v>
      </c>
      <c r="W96" s="451">
        <f t="shared" si="34"/>
        <v>152165.81430801007</v>
      </c>
      <c r="X96" s="451">
        <f t="shared" si="34"/>
        <v>152165.81430801007</v>
      </c>
      <c r="Y96" s="451">
        <f t="shared" si="34"/>
        <v>152165.81430801007</v>
      </c>
      <c r="Z96" s="452">
        <f t="shared" si="32"/>
        <v>2673046.13801071</v>
      </c>
    </row>
    <row r="97" spans="1:26" ht="12.75" x14ac:dyDescent="0.2">
      <c r="A97" s="372" t="s">
        <v>2805</v>
      </c>
      <c r="B97" s="451">
        <f>B82*$T$45</f>
        <v>0</v>
      </c>
      <c r="C97" s="451">
        <f t="shared" ref="C97:U97" si="35">C82*$T$45</f>
        <v>0</v>
      </c>
      <c r="D97" s="451">
        <f t="shared" si="35"/>
        <v>0</v>
      </c>
      <c r="E97" s="451">
        <f t="shared" si="35"/>
        <v>0</v>
      </c>
      <c r="F97" s="451">
        <f t="shared" si="35"/>
        <v>0</v>
      </c>
      <c r="G97" s="451">
        <f t="shared" si="35"/>
        <v>52377.876826092521</v>
      </c>
      <c r="H97" s="451">
        <f t="shared" si="35"/>
        <v>87296.461376820866</v>
      </c>
      <c r="I97" s="451">
        <f t="shared" si="35"/>
        <v>133854.57411112534</v>
      </c>
      <c r="J97" s="451">
        <f t="shared" si="35"/>
        <v>174592.92275364173</v>
      </c>
      <c r="K97" s="451">
        <f t="shared" si="35"/>
        <v>174592.92275364173</v>
      </c>
      <c r="L97" s="451">
        <f t="shared" si="35"/>
        <v>174592.92275364173</v>
      </c>
      <c r="M97" s="451">
        <f t="shared" si="35"/>
        <v>174592.92275364173</v>
      </c>
      <c r="N97" s="451">
        <f t="shared" si="35"/>
        <v>174592.92275364173</v>
      </c>
      <c r="O97" s="451">
        <f t="shared" si="35"/>
        <v>174592.92275364173</v>
      </c>
      <c r="P97" s="451">
        <f t="shared" si="35"/>
        <v>174592.92275364173</v>
      </c>
      <c r="Q97" s="451">
        <f t="shared" si="35"/>
        <v>174592.92275364173</v>
      </c>
      <c r="R97" s="451">
        <f t="shared" si="35"/>
        <v>174592.92275364173</v>
      </c>
      <c r="S97" s="451">
        <f t="shared" si="35"/>
        <v>174592.92275364173</v>
      </c>
      <c r="T97" s="451">
        <f t="shared" si="35"/>
        <v>174592.92275364173</v>
      </c>
      <c r="U97" s="451">
        <f t="shared" si="35"/>
        <v>174592.92275364173</v>
      </c>
      <c r="V97" s="451">
        <f t="shared" ref="V97:Y97" si="36">V82*$T$45</f>
        <v>174592.92275364173</v>
      </c>
      <c r="W97" s="451">
        <f t="shared" si="36"/>
        <v>174592.92275364173</v>
      </c>
      <c r="X97" s="451">
        <f t="shared" si="36"/>
        <v>174592.92275364173</v>
      </c>
      <c r="Y97" s="451">
        <f t="shared" si="36"/>
        <v>174592.92275364173</v>
      </c>
      <c r="Z97" s="452">
        <f t="shared" si="32"/>
        <v>3067015.6763723078</v>
      </c>
    </row>
    <row r="98" spans="1:26" ht="12.75" x14ac:dyDescent="0.2">
      <c r="A98" s="372" t="s">
        <v>2806</v>
      </c>
      <c r="B98" s="451">
        <f>B83*$T$46</f>
        <v>0</v>
      </c>
      <c r="C98" s="451">
        <f t="shared" ref="C98:U98" si="37">C83*$T$46</f>
        <v>0</v>
      </c>
      <c r="D98" s="451">
        <f t="shared" si="37"/>
        <v>0</v>
      </c>
      <c r="E98" s="451">
        <f t="shared" si="37"/>
        <v>0</v>
      </c>
      <c r="F98" s="451">
        <f t="shared" si="37"/>
        <v>0</v>
      </c>
      <c r="G98" s="451">
        <f t="shared" si="37"/>
        <v>61169.624002899567</v>
      </c>
      <c r="H98" s="451">
        <f t="shared" si="37"/>
        <v>101949.37333816595</v>
      </c>
      <c r="I98" s="451">
        <f t="shared" si="37"/>
        <v>156322.37245185446</v>
      </c>
      <c r="J98" s="451">
        <f t="shared" si="37"/>
        <v>203898.74667633191</v>
      </c>
      <c r="K98" s="451">
        <f t="shared" si="37"/>
        <v>203898.74667633191</v>
      </c>
      <c r="L98" s="451">
        <f t="shared" si="37"/>
        <v>203898.74667633191</v>
      </c>
      <c r="M98" s="451">
        <f t="shared" si="37"/>
        <v>203898.74667633191</v>
      </c>
      <c r="N98" s="451">
        <f t="shared" si="37"/>
        <v>203898.74667633191</v>
      </c>
      <c r="O98" s="451">
        <f t="shared" si="37"/>
        <v>203898.74667633191</v>
      </c>
      <c r="P98" s="451">
        <f t="shared" si="37"/>
        <v>203898.74667633191</v>
      </c>
      <c r="Q98" s="451">
        <f t="shared" si="37"/>
        <v>203898.74667633191</v>
      </c>
      <c r="R98" s="451">
        <f t="shared" si="37"/>
        <v>203898.74667633191</v>
      </c>
      <c r="S98" s="451">
        <f t="shared" si="37"/>
        <v>203898.74667633191</v>
      </c>
      <c r="T98" s="451">
        <f t="shared" si="37"/>
        <v>203898.74667633191</v>
      </c>
      <c r="U98" s="451">
        <f t="shared" si="37"/>
        <v>203898.74667633191</v>
      </c>
      <c r="V98" s="451">
        <f t="shared" ref="V98:Y98" si="38">V83*$T$46</f>
        <v>203898.74667633191</v>
      </c>
      <c r="W98" s="451">
        <f t="shared" si="38"/>
        <v>203898.74667633191</v>
      </c>
      <c r="X98" s="451">
        <f t="shared" si="38"/>
        <v>203898.74667633191</v>
      </c>
      <c r="Y98" s="451">
        <f t="shared" si="38"/>
        <v>203898.74667633191</v>
      </c>
      <c r="Z98" s="452">
        <f t="shared" si="32"/>
        <v>3581821.3166142297</v>
      </c>
    </row>
    <row r="99" spans="1:26" ht="12.75" x14ac:dyDescent="0.2">
      <c r="A99" s="372" t="s">
        <v>2807</v>
      </c>
      <c r="B99" s="451">
        <f>B84*$T$47</f>
        <v>0</v>
      </c>
      <c r="C99" s="451">
        <f t="shared" ref="C99:U99" si="39">C84*$T$47</f>
        <v>0</v>
      </c>
      <c r="D99" s="451">
        <f t="shared" si="39"/>
        <v>0</v>
      </c>
      <c r="E99" s="451">
        <f t="shared" si="39"/>
        <v>0</v>
      </c>
      <c r="F99" s="451">
        <f t="shared" si="39"/>
        <v>0</v>
      </c>
      <c r="G99" s="451">
        <f t="shared" si="39"/>
        <v>17122.922468807374</v>
      </c>
      <c r="H99" s="451">
        <f t="shared" si="39"/>
        <v>25684.38370321106</v>
      </c>
      <c r="I99" s="451">
        <f t="shared" si="39"/>
        <v>38526.575554816591</v>
      </c>
      <c r="J99" s="451">
        <f t="shared" si="39"/>
        <v>51368.767406422121</v>
      </c>
      <c r="K99" s="451">
        <f t="shared" si="39"/>
        <v>51368.767406422121</v>
      </c>
      <c r="L99" s="451">
        <f t="shared" si="39"/>
        <v>51368.767406422121</v>
      </c>
      <c r="M99" s="451">
        <f t="shared" si="39"/>
        <v>51368.767406422121</v>
      </c>
      <c r="N99" s="451">
        <f t="shared" si="39"/>
        <v>51368.767406422121</v>
      </c>
      <c r="O99" s="451">
        <f t="shared" si="39"/>
        <v>51368.767406422121</v>
      </c>
      <c r="P99" s="451">
        <f t="shared" si="39"/>
        <v>51368.767406422121</v>
      </c>
      <c r="Q99" s="451">
        <f t="shared" si="39"/>
        <v>51368.767406422121</v>
      </c>
      <c r="R99" s="451">
        <f t="shared" si="39"/>
        <v>51368.767406422121</v>
      </c>
      <c r="S99" s="451">
        <f t="shared" si="39"/>
        <v>51368.767406422121</v>
      </c>
      <c r="T99" s="451">
        <f t="shared" si="39"/>
        <v>51368.767406422121</v>
      </c>
      <c r="U99" s="451">
        <f t="shared" si="39"/>
        <v>51368.767406422121</v>
      </c>
      <c r="V99" s="451">
        <f t="shared" ref="V99:Y99" si="40">V84*$T$47</f>
        <v>51368.767406422121</v>
      </c>
      <c r="W99" s="451">
        <f t="shared" si="40"/>
        <v>51368.767406422121</v>
      </c>
      <c r="X99" s="451">
        <f t="shared" si="40"/>
        <v>51368.767406422121</v>
      </c>
      <c r="Y99" s="451">
        <f t="shared" si="40"/>
        <v>51368.767406422121</v>
      </c>
      <c r="Z99" s="452">
        <f t="shared" si="32"/>
        <v>903234.16022958932</v>
      </c>
    </row>
    <row r="100" spans="1:26" ht="12.75" x14ac:dyDescent="0.2">
      <c r="A100" s="372" t="s">
        <v>2808</v>
      </c>
      <c r="B100" s="451">
        <f>B85*$T$48</f>
        <v>0</v>
      </c>
      <c r="C100" s="451">
        <f t="shared" ref="C100:U100" si="41">C85*$T$48</f>
        <v>0</v>
      </c>
      <c r="D100" s="451">
        <f t="shared" si="41"/>
        <v>0</v>
      </c>
      <c r="E100" s="451">
        <f t="shared" si="41"/>
        <v>0</v>
      </c>
      <c r="F100" s="451">
        <f t="shared" si="41"/>
        <v>0</v>
      </c>
      <c r="G100" s="451">
        <f t="shared" si="41"/>
        <v>20288.775241068008</v>
      </c>
      <c r="H100" s="451">
        <f t="shared" si="41"/>
        <v>30433.16286160201</v>
      </c>
      <c r="I100" s="451">
        <f t="shared" si="41"/>
        <v>45649.744292403018</v>
      </c>
      <c r="J100" s="451">
        <f t="shared" si="41"/>
        <v>60866.32572320402</v>
      </c>
      <c r="K100" s="451">
        <f t="shared" si="41"/>
        <v>60866.32572320402</v>
      </c>
      <c r="L100" s="451">
        <f t="shared" si="41"/>
        <v>60866.32572320402</v>
      </c>
      <c r="M100" s="451">
        <f t="shared" si="41"/>
        <v>60866.32572320402</v>
      </c>
      <c r="N100" s="451">
        <f t="shared" si="41"/>
        <v>60866.32572320402</v>
      </c>
      <c r="O100" s="451">
        <f t="shared" si="41"/>
        <v>60866.32572320402</v>
      </c>
      <c r="P100" s="451">
        <f t="shared" si="41"/>
        <v>60866.32572320402</v>
      </c>
      <c r="Q100" s="451">
        <f t="shared" si="41"/>
        <v>60866.32572320402</v>
      </c>
      <c r="R100" s="451">
        <f t="shared" si="41"/>
        <v>60866.32572320402</v>
      </c>
      <c r="S100" s="451">
        <f t="shared" si="41"/>
        <v>60866.32572320402</v>
      </c>
      <c r="T100" s="451">
        <f t="shared" si="41"/>
        <v>60866.32572320402</v>
      </c>
      <c r="U100" s="451">
        <f t="shared" si="41"/>
        <v>60866.32572320402</v>
      </c>
      <c r="V100" s="451">
        <f t="shared" ref="V100:Y100" si="42">V85*$T$48</f>
        <v>60866.32572320402</v>
      </c>
      <c r="W100" s="451">
        <f t="shared" si="42"/>
        <v>60866.32572320402</v>
      </c>
      <c r="X100" s="451">
        <f t="shared" si="42"/>
        <v>60866.32572320402</v>
      </c>
      <c r="Y100" s="451">
        <f t="shared" si="42"/>
        <v>60866.32572320402</v>
      </c>
      <c r="Z100" s="452">
        <f t="shared" si="32"/>
        <v>1070232.8939663377</v>
      </c>
    </row>
    <row r="101" spans="1:26" ht="12.75" x14ac:dyDescent="0.2">
      <c r="A101" s="372" t="s">
        <v>2809</v>
      </c>
      <c r="B101" s="451">
        <f>B86*$T$49</f>
        <v>0</v>
      </c>
      <c r="C101" s="451">
        <f t="shared" ref="C101:U101" si="43">C86*$T$49</f>
        <v>0</v>
      </c>
      <c r="D101" s="451">
        <f t="shared" si="43"/>
        <v>0</v>
      </c>
      <c r="E101" s="451">
        <f t="shared" si="43"/>
        <v>0</v>
      </c>
      <c r="F101" s="451">
        <f t="shared" si="43"/>
        <v>0</v>
      </c>
      <c r="G101" s="451">
        <f t="shared" si="43"/>
        <v>23279.056367152232</v>
      </c>
      <c r="H101" s="451">
        <f t="shared" si="43"/>
        <v>34918.584550728352</v>
      </c>
      <c r="I101" s="451">
        <f t="shared" si="43"/>
        <v>52377.876826092521</v>
      </c>
      <c r="J101" s="451">
        <f t="shared" si="43"/>
        <v>69837.169101456704</v>
      </c>
      <c r="K101" s="451">
        <f t="shared" si="43"/>
        <v>69837.169101456704</v>
      </c>
      <c r="L101" s="451">
        <f t="shared" si="43"/>
        <v>69837.169101456704</v>
      </c>
      <c r="M101" s="451">
        <f t="shared" si="43"/>
        <v>69837.169101456704</v>
      </c>
      <c r="N101" s="451">
        <f t="shared" si="43"/>
        <v>69837.169101456704</v>
      </c>
      <c r="O101" s="451">
        <f t="shared" si="43"/>
        <v>69837.169101456704</v>
      </c>
      <c r="P101" s="451">
        <f t="shared" si="43"/>
        <v>69837.169101456704</v>
      </c>
      <c r="Q101" s="451">
        <f t="shared" si="43"/>
        <v>69837.169101456704</v>
      </c>
      <c r="R101" s="451">
        <f t="shared" si="43"/>
        <v>69837.169101456704</v>
      </c>
      <c r="S101" s="451">
        <f t="shared" si="43"/>
        <v>69837.169101456704</v>
      </c>
      <c r="T101" s="451">
        <f t="shared" si="43"/>
        <v>69837.169101456704</v>
      </c>
      <c r="U101" s="451">
        <f t="shared" si="43"/>
        <v>69837.169101456704</v>
      </c>
      <c r="V101" s="451">
        <f t="shared" ref="V101:Y101" si="44">V86*$T$49</f>
        <v>69837.169101456704</v>
      </c>
      <c r="W101" s="451">
        <f t="shared" si="44"/>
        <v>69837.169101456704</v>
      </c>
      <c r="X101" s="451">
        <f t="shared" si="44"/>
        <v>69837.169101456704</v>
      </c>
      <c r="Y101" s="451">
        <f t="shared" si="44"/>
        <v>69837.169101456704</v>
      </c>
      <c r="Z101" s="452">
        <f t="shared" si="32"/>
        <v>1227970.2233672799</v>
      </c>
    </row>
    <row r="102" spans="1:26" ht="12.75" x14ac:dyDescent="0.2">
      <c r="A102" s="372" t="s">
        <v>2810</v>
      </c>
      <c r="B102" s="451">
        <f>B87*$T$50</f>
        <v>0</v>
      </c>
      <c r="C102" s="451">
        <f t="shared" ref="C102:U102" si="45">C87*$T$50</f>
        <v>0</v>
      </c>
      <c r="D102" s="451">
        <f t="shared" si="45"/>
        <v>0</v>
      </c>
      <c r="E102" s="451">
        <f t="shared" si="45"/>
        <v>0</v>
      </c>
      <c r="F102" s="451">
        <f t="shared" si="45"/>
        <v>0</v>
      </c>
      <c r="G102" s="451">
        <f t="shared" si="45"/>
        <v>27186.499556844254</v>
      </c>
      <c r="H102" s="451">
        <f t="shared" si="45"/>
        <v>40779.749335266381</v>
      </c>
      <c r="I102" s="451">
        <f t="shared" si="45"/>
        <v>61169.624002899567</v>
      </c>
      <c r="J102" s="451">
        <f t="shared" si="45"/>
        <v>81559.498670532761</v>
      </c>
      <c r="K102" s="451">
        <f t="shared" si="45"/>
        <v>81559.498670532761</v>
      </c>
      <c r="L102" s="451">
        <f t="shared" si="45"/>
        <v>81559.498670532761</v>
      </c>
      <c r="M102" s="451">
        <f t="shared" si="45"/>
        <v>81559.498670532761</v>
      </c>
      <c r="N102" s="451">
        <f t="shared" si="45"/>
        <v>81559.498670532761</v>
      </c>
      <c r="O102" s="451">
        <f t="shared" si="45"/>
        <v>81559.498670532761</v>
      </c>
      <c r="P102" s="451">
        <f t="shared" si="45"/>
        <v>81559.498670532761</v>
      </c>
      <c r="Q102" s="451">
        <f t="shared" si="45"/>
        <v>81559.498670532761</v>
      </c>
      <c r="R102" s="451">
        <f t="shared" si="45"/>
        <v>81559.498670532761</v>
      </c>
      <c r="S102" s="451">
        <f t="shared" si="45"/>
        <v>81559.498670532761</v>
      </c>
      <c r="T102" s="451">
        <f t="shared" si="45"/>
        <v>81559.498670532761</v>
      </c>
      <c r="U102" s="451">
        <f t="shared" si="45"/>
        <v>81559.498670532761</v>
      </c>
      <c r="V102" s="451">
        <f t="shared" ref="V102:Y102" si="46">V87*$T$50</f>
        <v>81559.498670532761</v>
      </c>
      <c r="W102" s="451">
        <f t="shared" si="46"/>
        <v>81559.498670532761</v>
      </c>
      <c r="X102" s="451">
        <f t="shared" si="46"/>
        <v>81559.498670532761</v>
      </c>
      <c r="Y102" s="451">
        <f t="shared" si="46"/>
        <v>81559.498670532761</v>
      </c>
      <c r="Z102" s="452">
        <f t="shared" si="32"/>
        <v>1434087.8516235345</v>
      </c>
    </row>
    <row r="103" spans="1:26" ht="12.75" x14ac:dyDescent="0.2">
      <c r="A103" s="372" t="s">
        <v>2811</v>
      </c>
      <c r="B103" s="451">
        <f>B88*$T$51</f>
        <v>0</v>
      </c>
      <c r="C103" s="451">
        <f t="shared" ref="C103:U103" si="47">C88*$T$51</f>
        <v>0</v>
      </c>
      <c r="D103" s="451">
        <f t="shared" si="47"/>
        <v>0</v>
      </c>
      <c r="E103" s="451">
        <f t="shared" si="47"/>
        <v>0</v>
      </c>
      <c r="F103" s="451">
        <f t="shared" si="47"/>
        <v>0</v>
      </c>
      <c r="G103" s="451">
        <f t="shared" si="47"/>
        <v>31825.330588481207</v>
      </c>
      <c r="H103" s="451">
        <f t="shared" si="47"/>
        <v>47737.995882721807</v>
      </c>
      <c r="I103" s="451">
        <f t="shared" si="47"/>
        <v>71606.993824082718</v>
      </c>
      <c r="J103" s="451">
        <f t="shared" si="47"/>
        <v>95475.991765443614</v>
      </c>
      <c r="K103" s="451">
        <f t="shared" si="47"/>
        <v>95475.991765443614</v>
      </c>
      <c r="L103" s="451">
        <f t="shared" si="47"/>
        <v>95475.991765443614</v>
      </c>
      <c r="M103" s="451">
        <f t="shared" si="47"/>
        <v>95475.991765443614</v>
      </c>
      <c r="N103" s="451">
        <f t="shared" si="47"/>
        <v>95475.991765443614</v>
      </c>
      <c r="O103" s="451">
        <f t="shared" si="47"/>
        <v>95475.991765443614</v>
      </c>
      <c r="P103" s="451">
        <f t="shared" si="47"/>
        <v>95475.991765443614</v>
      </c>
      <c r="Q103" s="451">
        <f t="shared" si="47"/>
        <v>95475.991765443614</v>
      </c>
      <c r="R103" s="451">
        <f t="shared" si="47"/>
        <v>95475.991765443614</v>
      </c>
      <c r="S103" s="451">
        <f t="shared" si="47"/>
        <v>95475.991765443614</v>
      </c>
      <c r="T103" s="451">
        <f t="shared" si="47"/>
        <v>95475.991765443614</v>
      </c>
      <c r="U103" s="451">
        <f t="shared" si="47"/>
        <v>95475.991765443614</v>
      </c>
      <c r="V103" s="451">
        <f t="shared" ref="V103:Y103" si="48">V88*$T$51</f>
        <v>95475.991765443614</v>
      </c>
      <c r="W103" s="451">
        <f t="shared" si="48"/>
        <v>95475.991765443614</v>
      </c>
      <c r="X103" s="451">
        <f t="shared" si="48"/>
        <v>95475.991765443614</v>
      </c>
      <c r="Y103" s="451">
        <f t="shared" si="48"/>
        <v>95475.991765443614</v>
      </c>
      <c r="Z103" s="452">
        <f t="shared" si="32"/>
        <v>1678786.188542384</v>
      </c>
    </row>
    <row r="104" spans="1:26" ht="12.75" x14ac:dyDescent="0.2">
      <c r="A104" s="372" t="s">
        <v>2812</v>
      </c>
      <c r="B104" s="451">
        <f>B89*$T$52</f>
        <v>0</v>
      </c>
      <c r="C104" s="451">
        <f t="shared" ref="C104:U104" si="49">C89*$T$52</f>
        <v>0</v>
      </c>
      <c r="D104" s="451">
        <f t="shared" si="49"/>
        <v>0</v>
      </c>
      <c r="E104" s="451">
        <f t="shared" si="49"/>
        <v>0</v>
      </c>
      <c r="F104" s="451">
        <f t="shared" si="49"/>
        <v>0</v>
      </c>
      <c r="G104" s="451">
        <f t="shared" si="49"/>
        <v>47773.754374926881</v>
      </c>
      <c r="H104" s="451">
        <f t="shared" si="49"/>
        <v>76438.006999883015</v>
      </c>
      <c r="I104" s="451">
        <f t="shared" si="49"/>
        <v>105102.25962483915</v>
      </c>
      <c r="J104" s="451">
        <f t="shared" si="49"/>
        <v>143321.26312478064</v>
      </c>
      <c r="K104" s="451">
        <f t="shared" si="49"/>
        <v>143321.26312478064</v>
      </c>
      <c r="L104" s="451">
        <f t="shared" si="49"/>
        <v>143321.26312478064</v>
      </c>
      <c r="M104" s="451">
        <f t="shared" si="49"/>
        <v>143321.26312478064</v>
      </c>
      <c r="N104" s="451">
        <f t="shared" si="49"/>
        <v>143321.26312478064</v>
      </c>
      <c r="O104" s="451">
        <f t="shared" si="49"/>
        <v>143321.26312478064</v>
      </c>
      <c r="P104" s="451">
        <f t="shared" si="49"/>
        <v>143321.26312478064</v>
      </c>
      <c r="Q104" s="451">
        <f t="shared" si="49"/>
        <v>143321.26312478064</v>
      </c>
      <c r="R104" s="451">
        <f t="shared" si="49"/>
        <v>143321.26312478064</v>
      </c>
      <c r="S104" s="451">
        <f t="shared" si="49"/>
        <v>143321.26312478064</v>
      </c>
      <c r="T104" s="451">
        <f t="shared" si="49"/>
        <v>143321.26312478064</v>
      </c>
      <c r="U104" s="451">
        <f t="shared" si="49"/>
        <v>143321.26312478064</v>
      </c>
      <c r="V104" s="451">
        <f t="shared" ref="V104:Y104" si="50">V89*$T$52</f>
        <v>143321.26312478064</v>
      </c>
      <c r="W104" s="451">
        <f t="shared" si="50"/>
        <v>143321.26312478064</v>
      </c>
      <c r="X104" s="451">
        <f t="shared" si="50"/>
        <v>143321.26312478064</v>
      </c>
      <c r="Y104" s="451">
        <f t="shared" si="50"/>
        <v>143321.26312478064</v>
      </c>
      <c r="Z104" s="452">
        <f t="shared" si="32"/>
        <v>2522454.2309961398</v>
      </c>
    </row>
    <row r="105" spans="1:26" ht="12.75" x14ac:dyDescent="0.2">
      <c r="A105" s="372" t="s">
        <v>2813</v>
      </c>
      <c r="B105" s="451">
        <f>B90*$T$53</f>
        <v>0</v>
      </c>
      <c r="C105" s="451">
        <f t="shared" ref="C105:U105" si="51">C90*$T$53</f>
        <v>0</v>
      </c>
      <c r="D105" s="451">
        <f t="shared" si="51"/>
        <v>0</v>
      </c>
      <c r="E105" s="451">
        <f t="shared" si="51"/>
        <v>0</v>
      </c>
      <c r="F105" s="451">
        <f t="shared" si="51"/>
        <v>0</v>
      </c>
      <c r="G105" s="451">
        <f t="shared" si="51"/>
        <v>49451.027279599009</v>
      </c>
      <c r="H105" s="451">
        <f t="shared" si="51"/>
        <v>79121.643647358418</v>
      </c>
      <c r="I105" s="451">
        <f t="shared" si="51"/>
        <v>108792.26001511782</v>
      </c>
      <c r="J105" s="451">
        <f t="shared" si="51"/>
        <v>148353.08183879702</v>
      </c>
      <c r="K105" s="451">
        <f t="shared" si="51"/>
        <v>148353.08183879702</v>
      </c>
      <c r="L105" s="451">
        <f t="shared" si="51"/>
        <v>148353.08183879702</v>
      </c>
      <c r="M105" s="451">
        <f t="shared" si="51"/>
        <v>148353.08183879702</v>
      </c>
      <c r="N105" s="451">
        <f t="shared" si="51"/>
        <v>148353.08183879702</v>
      </c>
      <c r="O105" s="451">
        <f t="shared" si="51"/>
        <v>148353.08183879702</v>
      </c>
      <c r="P105" s="451">
        <f t="shared" si="51"/>
        <v>148353.08183879702</v>
      </c>
      <c r="Q105" s="451">
        <f t="shared" si="51"/>
        <v>148353.08183879702</v>
      </c>
      <c r="R105" s="451">
        <f t="shared" si="51"/>
        <v>148353.08183879702</v>
      </c>
      <c r="S105" s="451">
        <f t="shared" si="51"/>
        <v>148353.08183879702</v>
      </c>
      <c r="T105" s="451">
        <f t="shared" si="51"/>
        <v>148353.08183879702</v>
      </c>
      <c r="U105" s="451">
        <f t="shared" si="51"/>
        <v>148353.08183879702</v>
      </c>
      <c r="V105" s="451">
        <f t="shared" ref="V105:Y105" si="52">V90*$T$53</f>
        <v>148353.08183879702</v>
      </c>
      <c r="W105" s="451">
        <f t="shared" si="52"/>
        <v>148353.08183879702</v>
      </c>
      <c r="X105" s="451">
        <f t="shared" si="52"/>
        <v>148353.08183879702</v>
      </c>
      <c r="Y105" s="451">
        <f t="shared" si="52"/>
        <v>148353.08183879702</v>
      </c>
      <c r="Z105" s="452">
        <f t="shared" si="32"/>
        <v>2611014.2403628277</v>
      </c>
    </row>
    <row r="106" spans="1:26" ht="12.75" x14ac:dyDescent="0.2">
      <c r="A106" s="372" t="s">
        <v>2814</v>
      </c>
      <c r="B106" s="451">
        <f>B91*$T$54</f>
        <v>0</v>
      </c>
      <c r="C106" s="451">
        <f t="shared" ref="C106:U106" si="53">C91*$T$54</f>
        <v>0</v>
      </c>
      <c r="D106" s="451">
        <f t="shared" si="53"/>
        <v>0</v>
      </c>
      <c r="E106" s="451">
        <f t="shared" si="53"/>
        <v>0</v>
      </c>
      <c r="F106" s="451">
        <f t="shared" si="53"/>
        <v>0</v>
      </c>
      <c r="G106" s="451">
        <f t="shared" si="53"/>
        <v>39266.224538784998</v>
      </c>
      <c r="H106" s="451">
        <f t="shared" si="53"/>
        <v>58899.336808177497</v>
      </c>
      <c r="I106" s="451">
        <f t="shared" si="53"/>
        <v>88349.005212266246</v>
      </c>
      <c r="J106" s="451">
        <f t="shared" si="53"/>
        <v>117798.67361635499</v>
      </c>
      <c r="K106" s="451">
        <f t="shared" si="53"/>
        <v>117798.67361635499</v>
      </c>
      <c r="L106" s="451">
        <f t="shared" si="53"/>
        <v>117798.67361635499</v>
      </c>
      <c r="M106" s="451">
        <f t="shared" si="53"/>
        <v>117798.67361635499</v>
      </c>
      <c r="N106" s="451">
        <f t="shared" si="53"/>
        <v>117798.67361635499</v>
      </c>
      <c r="O106" s="451">
        <f t="shared" si="53"/>
        <v>117798.67361635499</v>
      </c>
      <c r="P106" s="451">
        <f t="shared" si="53"/>
        <v>117798.67361635499</v>
      </c>
      <c r="Q106" s="451">
        <f t="shared" si="53"/>
        <v>117798.67361635499</v>
      </c>
      <c r="R106" s="451">
        <f t="shared" si="53"/>
        <v>117798.67361635499</v>
      </c>
      <c r="S106" s="451">
        <f t="shared" si="53"/>
        <v>117798.67361635499</v>
      </c>
      <c r="T106" s="451">
        <f t="shared" si="53"/>
        <v>117798.67361635499</v>
      </c>
      <c r="U106" s="451">
        <f t="shared" si="53"/>
        <v>117798.67361635499</v>
      </c>
      <c r="V106" s="451">
        <f t="shared" ref="V106:Y106" si="54">V91*$T$54</f>
        <v>117798.67361635499</v>
      </c>
      <c r="W106" s="451">
        <f t="shared" si="54"/>
        <v>117798.67361635499</v>
      </c>
      <c r="X106" s="451">
        <f t="shared" si="54"/>
        <v>117798.67361635499</v>
      </c>
      <c r="Y106" s="451">
        <f t="shared" si="54"/>
        <v>117798.67361635499</v>
      </c>
      <c r="Z106" s="452">
        <f t="shared" si="32"/>
        <v>2071293.3444209094</v>
      </c>
    </row>
    <row r="107" spans="1:26" ht="12.75" x14ac:dyDescent="0.2">
      <c r="A107" s="372" t="s">
        <v>2815</v>
      </c>
      <c r="B107" s="451">
        <f>B92*$T$55</f>
        <v>0</v>
      </c>
      <c r="C107" s="451">
        <f t="shared" ref="C107:U107" si="55">C92*$T$55</f>
        <v>0</v>
      </c>
      <c r="D107" s="451">
        <f t="shared" si="55"/>
        <v>0</v>
      </c>
      <c r="E107" s="451">
        <f t="shared" si="55"/>
        <v>0</v>
      </c>
      <c r="F107" s="451">
        <f t="shared" si="55"/>
        <v>0</v>
      </c>
      <c r="G107" s="451">
        <f t="shared" si="55"/>
        <v>92286.196934277716</v>
      </c>
      <c r="H107" s="451">
        <f t="shared" si="55"/>
        <v>158204.90903019038</v>
      </c>
      <c r="I107" s="451">
        <f t="shared" si="55"/>
        <v>237307.36354528554</v>
      </c>
      <c r="J107" s="451">
        <f t="shared" si="55"/>
        <v>316409.81806038076</v>
      </c>
      <c r="K107" s="451">
        <f t="shared" si="55"/>
        <v>316409.81806038076</v>
      </c>
      <c r="L107" s="451">
        <f t="shared" si="55"/>
        <v>316409.81806038076</v>
      </c>
      <c r="M107" s="451">
        <f t="shared" si="55"/>
        <v>316409.81806038076</v>
      </c>
      <c r="N107" s="451">
        <f t="shared" si="55"/>
        <v>316409.81806038076</v>
      </c>
      <c r="O107" s="451">
        <f t="shared" si="55"/>
        <v>316409.81806038076</v>
      </c>
      <c r="P107" s="451">
        <f t="shared" si="55"/>
        <v>316409.81806038076</v>
      </c>
      <c r="Q107" s="451">
        <f t="shared" si="55"/>
        <v>316409.81806038076</v>
      </c>
      <c r="R107" s="451">
        <f t="shared" si="55"/>
        <v>316409.81806038076</v>
      </c>
      <c r="S107" s="451">
        <f t="shared" si="55"/>
        <v>316409.81806038076</v>
      </c>
      <c r="T107" s="451">
        <f t="shared" si="55"/>
        <v>316409.81806038076</v>
      </c>
      <c r="U107" s="451">
        <f t="shared" si="55"/>
        <v>316409.81806038076</v>
      </c>
      <c r="V107" s="451">
        <f t="shared" ref="V107:Y107" si="56">V92*$T$55</f>
        <v>316409.81806038076</v>
      </c>
      <c r="W107" s="451">
        <f t="shared" si="56"/>
        <v>316409.81806038076</v>
      </c>
      <c r="X107" s="451">
        <f t="shared" si="56"/>
        <v>316409.81806038076</v>
      </c>
      <c r="Y107" s="451">
        <f t="shared" si="56"/>
        <v>316409.81806038076</v>
      </c>
      <c r="Z107" s="452">
        <f t="shared" si="32"/>
        <v>5550355.5584758455</v>
      </c>
    </row>
    <row r="108" spans="1:26" ht="13.5" thickBot="1" x14ac:dyDescent="0.25">
      <c r="A108" s="374" t="s">
        <v>2923</v>
      </c>
      <c r="B108" s="453">
        <f>SUM(B94:B107)</f>
        <v>0</v>
      </c>
      <c r="C108" s="453">
        <f t="shared" ref="C108:U108" si="57">SUM(C94:C107)</f>
        <v>0</v>
      </c>
      <c r="D108" s="453">
        <f t="shared" si="57"/>
        <v>0</v>
      </c>
      <c r="E108" s="453">
        <f t="shared" si="57"/>
        <v>0</v>
      </c>
      <c r="F108" s="453">
        <f t="shared" si="57"/>
        <v>0</v>
      </c>
      <c r="G108" s="453">
        <f t="shared" si="57"/>
        <v>581991.28181252675</v>
      </c>
      <c r="H108" s="453">
        <f t="shared" si="57"/>
        <v>943107.77186565567</v>
      </c>
      <c r="I108" s="453">
        <f t="shared" si="57"/>
        <v>1406201.3581718123</v>
      </c>
      <c r="J108" s="453">
        <f>SUM(J94:J107)</f>
        <v>1866770.5874004061</v>
      </c>
      <c r="K108" s="453">
        <f t="shared" si="57"/>
        <v>1866770.5874004061</v>
      </c>
      <c r="L108" s="453">
        <f t="shared" si="57"/>
        <v>1866770.5874004061</v>
      </c>
      <c r="M108" s="453">
        <f t="shared" si="57"/>
        <v>1866770.5874004061</v>
      </c>
      <c r="N108" s="453">
        <f t="shared" si="57"/>
        <v>1866770.5874004061</v>
      </c>
      <c r="O108" s="453">
        <f t="shared" si="57"/>
        <v>1866770.5874004061</v>
      </c>
      <c r="P108" s="453">
        <f t="shared" si="57"/>
        <v>1866770.5874004061</v>
      </c>
      <c r="Q108" s="453">
        <f t="shared" si="57"/>
        <v>1866770.5874004061</v>
      </c>
      <c r="R108" s="453">
        <f t="shared" si="57"/>
        <v>1866770.5874004061</v>
      </c>
      <c r="S108" s="453">
        <f t="shared" si="57"/>
        <v>1866770.5874004061</v>
      </c>
      <c r="T108" s="453">
        <f t="shared" si="57"/>
        <v>1866770.5874004061</v>
      </c>
      <c r="U108" s="453">
        <f t="shared" si="57"/>
        <v>1866770.5874004061</v>
      </c>
      <c r="V108" s="453">
        <f t="shared" ref="V108:Y108" si="58">SUM(V94:V107)</f>
        <v>1866770.5874004061</v>
      </c>
      <c r="W108" s="453">
        <f t="shared" si="58"/>
        <v>1866770.5874004061</v>
      </c>
      <c r="X108" s="453">
        <f t="shared" si="58"/>
        <v>1866770.5874004061</v>
      </c>
      <c r="Y108" s="453">
        <f t="shared" si="58"/>
        <v>1866770.5874004061</v>
      </c>
      <c r="Z108" s="453">
        <f>SUM(Z94:Z107)</f>
        <v>32799629.810256492</v>
      </c>
    </row>
    <row r="109" spans="1:26" ht="12.75" x14ac:dyDescent="0.2">
      <c r="A109" s="525" t="s">
        <v>2919</v>
      </c>
      <c r="B109" s="526"/>
      <c r="C109" s="526"/>
      <c r="D109" s="526"/>
      <c r="E109" s="526"/>
      <c r="F109" s="526"/>
      <c r="G109" s="526"/>
      <c r="H109" s="526"/>
      <c r="I109" s="526"/>
      <c r="J109" s="526"/>
      <c r="K109" s="526"/>
      <c r="L109" s="526"/>
      <c r="M109" s="526"/>
      <c r="N109" s="526"/>
      <c r="O109" s="526"/>
      <c r="P109" s="526"/>
      <c r="Q109" s="526"/>
      <c r="R109" s="526"/>
      <c r="S109" s="526"/>
      <c r="T109" s="526"/>
      <c r="U109" s="526"/>
      <c r="V109" s="526"/>
      <c r="W109" s="526"/>
      <c r="X109" s="526"/>
      <c r="Y109" s="526"/>
      <c r="Z109" s="527"/>
    </row>
    <row r="110" spans="1:26" ht="12.75" x14ac:dyDescent="0.2">
      <c r="A110" s="373" t="s">
        <v>2880</v>
      </c>
      <c r="B110" s="375"/>
      <c r="C110" s="375"/>
      <c r="D110" s="375"/>
      <c r="E110" s="375"/>
      <c r="F110" s="375"/>
      <c r="G110" s="375"/>
      <c r="H110" s="375"/>
      <c r="I110" s="375"/>
      <c r="J110" s="375"/>
      <c r="K110" s="375"/>
      <c r="L110" s="375"/>
      <c r="M110" s="375"/>
      <c r="N110" s="375"/>
      <c r="O110" s="375"/>
      <c r="P110" s="375"/>
      <c r="Q110" s="375"/>
      <c r="R110" s="375"/>
      <c r="S110" s="375"/>
      <c r="T110" s="375"/>
      <c r="U110" s="375"/>
      <c r="V110" s="375"/>
      <c r="W110" s="375"/>
      <c r="X110" s="375"/>
      <c r="Y110" s="375"/>
      <c r="Z110" s="376"/>
    </row>
    <row r="111" spans="1:26" ht="12.75" x14ac:dyDescent="0.2">
      <c r="A111" s="372">
        <f>'Продажи 2'!A62</f>
        <v>54</v>
      </c>
      <c r="B111" s="366">
        <f>'Продажи 2'!B62</f>
        <v>0</v>
      </c>
      <c r="C111" s="366">
        <f>'Продажи 2'!C62</f>
        <v>0</v>
      </c>
      <c r="D111" s="366">
        <f>'Продажи 2'!D62</f>
        <v>0</v>
      </c>
      <c r="E111" s="366">
        <f>'Продажи 2'!E62</f>
        <v>0</v>
      </c>
      <c r="F111" s="366">
        <f>'Продажи 2'!F62</f>
        <v>0</v>
      </c>
      <c r="G111" s="366">
        <f>'Продажи 2'!G62</f>
        <v>0</v>
      </c>
      <c r="H111" s="366">
        <f>'Продажи 2'!H62</f>
        <v>2</v>
      </c>
      <c r="I111" s="366">
        <f>'Продажи 2'!I62</f>
        <v>3</v>
      </c>
      <c r="J111" s="366">
        <f>'Продажи 2'!J62</f>
        <v>5</v>
      </c>
      <c r="K111" s="366">
        <f>'Продажи 2'!K62</f>
        <v>6</v>
      </c>
      <c r="L111" s="366">
        <f>'Продажи 2'!L62</f>
        <v>6</v>
      </c>
      <c r="M111" s="366">
        <f>'Продажи 2'!M62</f>
        <v>6</v>
      </c>
      <c r="N111" s="366">
        <f>'Продажи 2'!N62</f>
        <v>6</v>
      </c>
      <c r="O111" s="366">
        <f>'Продажи 2'!O62</f>
        <v>6</v>
      </c>
      <c r="P111" s="366">
        <f>'Продажи 2'!P62</f>
        <v>6</v>
      </c>
      <c r="Q111" s="366">
        <f>'Продажи 2'!Q62</f>
        <v>6</v>
      </c>
      <c r="R111" s="366">
        <f>'Продажи 2'!R62</f>
        <v>6</v>
      </c>
      <c r="S111" s="366">
        <f>'Продажи 2'!S62</f>
        <v>6</v>
      </c>
      <c r="T111" s="366">
        <f>'Продажи 2'!T62</f>
        <v>6</v>
      </c>
      <c r="U111" s="366">
        <f>'Продажи 2'!U62</f>
        <v>6</v>
      </c>
      <c r="V111" s="366">
        <f>'Продажи 2'!V62</f>
        <v>6</v>
      </c>
      <c r="W111" s="366">
        <f>'Продажи 2'!W62</f>
        <v>6</v>
      </c>
      <c r="X111" s="366">
        <f>'Продажи 2'!X62</f>
        <v>6</v>
      </c>
      <c r="Y111" s="366">
        <f>'Продажи 2'!Y62</f>
        <v>6</v>
      </c>
      <c r="Z111" s="371"/>
    </row>
    <row r="112" spans="1:26" ht="12.75" x14ac:dyDescent="0.2">
      <c r="A112" s="372">
        <f>'Продажи 2'!A63</f>
        <v>76</v>
      </c>
      <c r="B112" s="366">
        <f>'Продажи 2'!B63</f>
        <v>0</v>
      </c>
      <c r="C112" s="366">
        <f>'Продажи 2'!C63</f>
        <v>0</v>
      </c>
      <c r="D112" s="366">
        <f>'Продажи 2'!D63</f>
        <v>0</v>
      </c>
      <c r="E112" s="366">
        <f>'Продажи 2'!E63</f>
        <v>0</v>
      </c>
      <c r="F112" s="366">
        <f>'Продажи 2'!F63</f>
        <v>0</v>
      </c>
      <c r="G112" s="366">
        <f>'Продажи 2'!G63</f>
        <v>0</v>
      </c>
      <c r="H112" s="366">
        <f>'Продажи 2'!H63</f>
        <v>3</v>
      </c>
      <c r="I112" s="366">
        <f>'Продажи 2'!I63</f>
        <v>5</v>
      </c>
      <c r="J112" s="366">
        <f>'Продажи 2'!J63</f>
        <v>7</v>
      </c>
      <c r="K112" s="366">
        <f>'Продажи 2'!K63</f>
        <v>9</v>
      </c>
      <c r="L112" s="366">
        <f>'Продажи 2'!L63</f>
        <v>9</v>
      </c>
      <c r="M112" s="366">
        <f>'Продажи 2'!M63</f>
        <v>9</v>
      </c>
      <c r="N112" s="366">
        <f>'Продажи 2'!N63</f>
        <v>9</v>
      </c>
      <c r="O112" s="366">
        <f>'Продажи 2'!O63</f>
        <v>9</v>
      </c>
      <c r="P112" s="366">
        <f>'Продажи 2'!P63</f>
        <v>9</v>
      </c>
      <c r="Q112" s="366">
        <f>'Продажи 2'!Q63</f>
        <v>9</v>
      </c>
      <c r="R112" s="366">
        <f>'Продажи 2'!R63</f>
        <v>9</v>
      </c>
      <c r="S112" s="366">
        <f>'Продажи 2'!S63</f>
        <v>9</v>
      </c>
      <c r="T112" s="366">
        <f>'Продажи 2'!T63</f>
        <v>9</v>
      </c>
      <c r="U112" s="366">
        <f>'Продажи 2'!U63</f>
        <v>9</v>
      </c>
      <c r="V112" s="366">
        <f>'Продажи 2'!V63</f>
        <v>9</v>
      </c>
      <c r="W112" s="366">
        <f>'Продажи 2'!W63</f>
        <v>9</v>
      </c>
      <c r="X112" s="366">
        <f>'Продажи 2'!X63</f>
        <v>9</v>
      </c>
      <c r="Y112" s="366">
        <f>'Продажи 2'!Y63</f>
        <v>9</v>
      </c>
      <c r="Z112" s="371"/>
    </row>
    <row r="113" spans="1:26" ht="12.75" x14ac:dyDescent="0.2">
      <c r="A113" s="372">
        <f>'Продажи 2'!A64</f>
        <v>95</v>
      </c>
      <c r="B113" s="366">
        <f>'Продажи 2'!B64</f>
        <v>0</v>
      </c>
      <c r="C113" s="366">
        <f>'Продажи 2'!C64</f>
        <v>0</v>
      </c>
      <c r="D113" s="366">
        <f>'Продажи 2'!D64</f>
        <v>0</v>
      </c>
      <c r="E113" s="366">
        <f>'Продажи 2'!E64</f>
        <v>0</v>
      </c>
      <c r="F113" s="366">
        <f>'Продажи 2'!F64</f>
        <v>0</v>
      </c>
      <c r="G113" s="366">
        <f>'Продажи 2'!G64</f>
        <v>0</v>
      </c>
      <c r="H113" s="366">
        <f>'Продажи 2'!H64</f>
        <v>5</v>
      </c>
      <c r="I113" s="366">
        <f>'Продажи 2'!I64</f>
        <v>8</v>
      </c>
      <c r="J113" s="366">
        <f>'Продажи 2'!J64</f>
        <v>11</v>
      </c>
      <c r="K113" s="366">
        <f>'Продажи 2'!K64</f>
        <v>15</v>
      </c>
      <c r="L113" s="366">
        <f>'Продажи 2'!L64</f>
        <v>15</v>
      </c>
      <c r="M113" s="366">
        <f>'Продажи 2'!M64</f>
        <v>15</v>
      </c>
      <c r="N113" s="366">
        <f>'Продажи 2'!N64</f>
        <v>15</v>
      </c>
      <c r="O113" s="366">
        <f>'Продажи 2'!O64</f>
        <v>15</v>
      </c>
      <c r="P113" s="366">
        <f>'Продажи 2'!P64</f>
        <v>15</v>
      </c>
      <c r="Q113" s="366">
        <f>'Продажи 2'!Q64</f>
        <v>15</v>
      </c>
      <c r="R113" s="366">
        <f>'Продажи 2'!R64</f>
        <v>15</v>
      </c>
      <c r="S113" s="366">
        <f>'Продажи 2'!S64</f>
        <v>15</v>
      </c>
      <c r="T113" s="366">
        <f>'Продажи 2'!T64</f>
        <v>15</v>
      </c>
      <c r="U113" s="366">
        <f>'Продажи 2'!U64</f>
        <v>15</v>
      </c>
      <c r="V113" s="366">
        <f>'Продажи 2'!V64</f>
        <v>15</v>
      </c>
      <c r="W113" s="366">
        <f>'Продажи 2'!W64</f>
        <v>15</v>
      </c>
      <c r="X113" s="366">
        <f>'Продажи 2'!X64</f>
        <v>15</v>
      </c>
      <c r="Y113" s="366">
        <f>'Продажи 2'!Y64</f>
        <v>15</v>
      </c>
      <c r="Z113" s="371"/>
    </row>
    <row r="114" spans="1:26" ht="12.75" x14ac:dyDescent="0.2">
      <c r="A114" s="372">
        <f>'Продажи 2'!A65</f>
        <v>106</v>
      </c>
      <c r="B114" s="366">
        <f>'Продажи 2'!B65</f>
        <v>0</v>
      </c>
      <c r="C114" s="366">
        <f>'Продажи 2'!C65</f>
        <v>0</v>
      </c>
      <c r="D114" s="366">
        <f>'Продажи 2'!D65</f>
        <v>0</v>
      </c>
      <c r="E114" s="366">
        <f>'Продажи 2'!E65</f>
        <v>0</v>
      </c>
      <c r="F114" s="366">
        <f>'Продажи 2'!F65</f>
        <v>0</v>
      </c>
      <c r="G114" s="366">
        <f>'Продажи 2'!G65</f>
        <v>0</v>
      </c>
      <c r="H114" s="366">
        <f>'Продажи 2'!H65</f>
        <v>9</v>
      </c>
      <c r="I114" s="366">
        <f>'Продажи 2'!I65</f>
        <v>15</v>
      </c>
      <c r="J114" s="366">
        <f>'Продажи 2'!J65</f>
        <v>23</v>
      </c>
      <c r="K114" s="366">
        <f>'Продажи 2'!K65</f>
        <v>30</v>
      </c>
      <c r="L114" s="366">
        <f>'Продажи 2'!L65</f>
        <v>30</v>
      </c>
      <c r="M114" s="366">
        <f>'Продажи 2'!M65</f>
        <v>30</v>
      </c>
      <c r="N114" s="366">
        <f>'Продажи 2'!N65</f>
        <v>30</v>
      </c>
      <c r="O114" s="366">
        <f>'Продажи 2'!O65</f>
        <v>30</v>
      </c>
      <c r="P114" s="366">
        <f>'Продажи 2'!P65</f>
        <v>30</v>
      </c>
      <c r="Q114" s="366">
        <f>'Продажи 2'!Q65</f>
        <v>30</v>
      </c>
      <c r="R114" s="366">
        <f>'Продажи 2'!R65</f>
        <v>30</v>
      </c>
      <c r="S114" s="366">
        <f>'Продажи 2'!S65</f>
        <v>30</v>
      </c>
      <c r="T114" s="366">
        <f>'Продажи 2'!T65</f>
        <v>30</v>
      </c>
      <c r="U114" s="366">
        <f>'Продажи 2'!U65</f>
        <v>30</v>
      </c>
      <c r="V114" s="366">
        <f>'Продажи 2'!V65</f>
        <v>30</v>
      </c>
      <c r="W114" s="366">
        <f>'Продажи 2'!W65</f>
        <v>30</v>
      </c>
      <c r="X114" s="366">
        <f>'Продажи 2'!X65</f>
        <v>30</v>
      </c>
      <c r="Y114" s="366">
        <f>'Продажи 2'!Y65</f>
        <v>30</v>
      </c>
      <c r="Z114" s="371"/>
    </row>
    <row r="115" spans="1:26" ht="12.75" x14ac:dyDescent="0.2">
      <c r="A115" s="372">
        <f>'Продажи 2'!A66</f>
        <v>120</v>
      </c>
      <c r="B115" s="366">
        <f>'Продажи 2'!B66</f>
        <v>0</v>
      </c>
      <c r="C115" s="366">
        <f>'Продажи 2'!C66</f>
        <v>0</v>
      </c>
      <c r="D115" s="366">
        <f>'Продажи 2'!D66</f>
        <v>0</v>
      </c>
      <c r="E115" s="366">
        <f>'Продажи 2'!E66</f>
        <v>0</v>
      </c>
      <c r="F115" s="366">
        <f>'Продажи 2'!F66</f>
        <v>0</v>
      </c>
      <c r="G115" s="366">
        <f>'Продажи 2'!G66</f>
        <v>0</v>
      </c>
      <c r="H115" s="366">
        <f>'Продажи 2'!H66</f>
        <v>9</v>
      </c>
      <c r="I115" s="366">
        <f>'Продажи 2'!I66</f>
        <v>15</v>
      </c>
      <c r="J115" s="366">
        <f>'Продажи 2'!J66</f>
        <v>23</v>
      </c>
      <c r="K115" s="366">
        <f>'Продажи 2'!K66</f>
        <v>30</v>
      </c>
      <c r="L115" s="366">
        <f>'Продажи 2'!L66</f>
        <v>30</v>
      </c>
      <c r="M115" s="366">
        <f>'Продажи 2'!M66</f>
        <v>30</v>
      </c>
      <c r="N115" s="366">
        <f>'Продажи 2'!N66</f>
        <v>30</v>
      </c>
      <c r="O115" s="366">
        <f>'Продажи 2'!O66</f>
        <v>30</v>
      </c>
      <c r="P115" s="366">
        <f>'Продажи 2'!P66</f>
        <v>30</v>
      </c>
      <c r="Q115" s="366">
        <f>'Продажи 2'!Q66</f>
        <v>30</v>
      </c>
      <c r="R115" s="366">
        <f>'Продажи 2'!R66</f>
        <v>30</v>
      </c>
      <c r="S115" s="366">
        <f>'Продажи 2'!S66</f>
        <v>30</v>
      </c>
      <c r="T115" s="366">
        <f>'Продажи 2'!T66</f>
        <v>30</v>
      </c>
      <c r="U115" s="366">
        <f>'Продажи 2'!U66</f>
        <v>30</v>
      </c>
      <c r="V115" s="366">
        <f>'Продажи 2'!V66</f>
        <v>30</v>
      </c>
      <c r="W115" s="366">
        <f>'Продажи 2'!W66</f>
        <v>30</v>
      </c>
      <c r="X115" s="366">
        <f>'Продажи 2'!X66</f>
        <v>30</v>
      </c>
      <c r="Y115" s="366">
        <f>'Продажи 2'!Y66</f>
        <v>30</v>
      </c>
      <c r="Z115" s="371"/>
    </row>
    <row r="116" spans="1:26" ht="12.75" x14ac:dyDescent="0.2">
      <c r="A116" s="372">
        <f>'Продажи 2'!A67</f>
        <v>165</v>
      </c>
      <c r="B116" s="366">
        <f>'Продажи 2'!B67</f>
        <v>0</v>
      </c>
      <c r="C116" s="366">
        <f>'Продажи 2'!C67</f>
        <v>0</v>
      </c>
      <c r="D116" s="366">
        <f>'Продажи 2'!D67</f>
        <v>0</v>
      </c>
      <c r="E116" s="366">
        <f>'Продажи 2'!E67</f>
        <v>0</v>
      </c>
      <c r="F116" s="366">
        <f>'Продажи 2'!F67</f>
        <v>0</v>
      </c>
      <c r="G116" s="366">
        <f>'Продажи 2'!G67</f>
        <v>0</v>
      </c>
      <c r="H116" s="366">
        <f>'Продажи 2'!H67</f>
        <v>7</v>
      </c>
      <c r="I116" s="366">
        <f>'Продажи 2'!I67</f>
        <v>12</v>
      </c>
      <c r="J116" s="366">
        <f>'Продажи 2'!J67</f>
        <v>18</v>
      </c>
      <c r="K116" s="366">
        <f>'Продажи 2'!K67</f>
        <v>24</v>
      </c>
      <c r="L116" s="366">
        <f>'Продажи 2'!L67</f>
        <v>24</v>
      </c>
      <c r="M116" s="366">
        <f>'Продажи 2'!M67</f>
        <v>24</v>
      </c>
      <c r="N116" s="366">
        <f>'Продажи 2'!N67</f>
        <v>24</v>
      </c>
      <c r="O116" s="366">
        <f>'Продажи 2'!O67</f>
        <v>24</v>
      </c>
      <c r="P116" s="366">
        <f>'Продажи 2'!P67</f>
        <v>24</v>
      </c>
      <c r="Q116" s="366">
        <f>'Продажи 2'!Q67</f>
        <v>24</v>
      </c>
      <c r="R116" s="366">
        <f>'Продажи 2'!R67</f>
        <v>24</v>
      </c>
      <c r="S116" s="366">
        <f>'Продажи 2'!S67</f>
        <v>24</v>
      </c>
      <c r="T116" s="366">
        <f>'Продажи 2'!T67</f>
        <v>24</v>
      </c>
      <c r="U116" s="366">
        <f>'Продажи 2'!U67</f>
        <v>24</v>
      </c>
      <c r="V116" s="366">
        <f>'Продажи 2'!V67</f>
        <v>24</v>
      </c>
      <c r="W116" s="366">
        <f>'Продажи 2'!W67</f>
        <v>24</v>
      </c>
      <c r="X116" s="366">
        <f>'Продажи 2'!X67</f>
        <v>24</v>
      </c>
      <c r="Y116" s="366">
        <f>'Продажи 2'!Y67</f>
        <v>24</v>
      </c>
      <c r="Z116" s="371"/>
    </row>
    <row r="117" spans="1:26" ht="12.75" x14ac:dyDescent="0.2">
      <c r="A117" s="372">
        <f>'Продажи 2'!A68</f>
        <v>172</v>
      </c>
      <c r="B117" s="366">
        <f>'Продажи 2'!B68</f>
        <v>0</v>
      </c>
      <c r="C117" s="366">
        <f>'Продажи 2'!C68</f>
        <v>0</v>
      </c>
      <c r="D117" s="366">
        <f>'Продажи 2'!D68</f>
        <v>0</v>
      </c>
      <c r="E117" s="366">
        <f>'Продажи 2'!E68</f>
        <v>0</v>
      </c>
      <c r="F117" s="366">
        <f>'Продажи 2'!F68</f>
        <v>0</v>
      </c>
      <c r="G117" s="366">
        <f>'Продажи 2'!G68</f>
        <v>0</v>
      </c>
      <c r="H117" s="366">
        <f>'Продажи 2'!H68</f>
        <v>23</v>
      </c>
      <c r="I117" s="366">
        <f>'Продажи 2'!I68</f>
        <v>38</v>
      </c>
      <c r="J117" s="366">
        <f>'Продажи 2'!J68</f>
        <v>56</v>
      </c>
      <c r="K117" s="366">
        <f>'Продажи 2'!K68</f>
        <v>75</v>
      </c>
      <c r="L117" s="366">
        <f>'Продажи 2'!L68</f>
        <v>75</v>
      </c>
      <c r="M117" s="366">
        <f>'Продажи 2'!M68</f>
        <v>75</v>
      </c>
      <c r="N117" s="366">
        <f>'Продажи 2'!N68</f>
        <v>75</v>
      </c>
      <c r="O117" s="366">
        <f>'Продажи 2'!O68</f>
        <v>75</v>
      </c>
      <c r="P117" s="366">
        <f>'Продажи 2'!P68</f>
        <v>75</v>
      </c>
      <c r="Q117" s="366">
        <f>'Продажи 2'!Q68</f>
        <v>75</v>
      </c>
      <c r="R117" s="366">
        <f>'Продажи 2'!R68</f>
        <v>75</v>
      </c>
      <c r="S117" s="366">
        <f>'Продажи 2'!S68</f>
        <v>75</v>
      </c>
      <c r="T117" s="366">
        <f>'Продажи 2'!T68</f>
        <v>75</v>
      </c>
      <c r="U117" s="366">
        <f>'Продажи 2'!U68</f>
        <v>75</v>
      </c>
      <c r="V117" s="366">
        <f>'Продажи 2'!V68</f>
        <v>75</v>
      </c>
      <c r="W117" s="366">
        <f>'Продажи 2'!W68</f>
        <v>75</v>
      </c>
      <c r="X117" s="366">
        <f>'Продажи 2'!X68</f>
        <v>75</v>
      </c>
      <c r="Y117" s="366">
        <f>'Продажи 2'!Y68</f>
        <v>75</v>
      </c>
      <c r="Z117" s="371"/>
    </row>
    <row r="118" spans="1:26" ht="12.75" x14ac:dyDescent="0.2">
      <c r="A118" s="372">
        <f>'Продажи 2'!A69</f>
        <v>195</v>
      </c>
      <c r="B118" s="366">
        <f>'Продажи 2'!B69</f>
        <v>0</v>
      </c>
      <c r="C118" s="366">
        <f>'Продажи 2'!C69</f>
        <v>0</v>
      </c>
      <c r="D118" s="366">
        <f>'Продажи 2'!D69</f>
        <v>0</v>
      </c>
      <c r="E118" s="366">
        <f>'Продажи 2'!E69</f>
        <v>0</v>
      </c>
      <c r="F118" s="366">
        <f>'Продажи 2'!F69</f>
        <v>0</v>
      </c>
      <c r="G118" s="366">
        <f>'Продажи 2'!G69</f>
        <v>0</v>
      </c>
      <c r="H118" s="366">
        <f>'Продажи 2'!H69</f>
        <v>6</v>
      </c>
      <c r="I118" s="366">
        <f>'Продажи 2'!I69</f>
        <v>11</v>
      </c>
      <c r="J118" s="366">
        <f>'Продажи 2'!J69</f>
        <v>16</v>
      </c>
      <c r="K118" s="366">
        <f>'Продажи 2'!K69</f>
        <v>21</v>
      </c>
      <c r="L118" s="366">
        <f>'Продажи 2'!L69</f>
        <v>21</v>
      </c>
      <c r="M118" s="366">
        <f>'Продажи 2'!M69</f>
        <v>21</v>
      </c>
      <c r="N118" s="366">
        <f>'Продажи 2'!N69</f>
        <v>21</v>
      </c>
      <c r="O118" s="366">
        <f>'Продажи 2'!O69</f>
        <v>21</v>
      </c>
      <c r="P118" s="366">
        <f>'Продажи 2'!P69</f>
        <v>21</v>
      </c>
      <c r="Q118" s="366">
        <f>'Продажи 2'!Q69</f>
        <v>21</v>
      </c>
      <c r="R118" s="366">
        <f>'Продажи 2'!R69</f>
        <v>21</v>
      </c>
      <c r="S118" s="366">
        <f>'Продажи 2'!S69</f>
        <v>21</v>
      </c>
      <c r="T118" s="366">
        <f>'Продажи 2'!T69</f>
        <v>21</v>
      </c>
      <c r="U118" s="366">
        <f>'Продажи 2'!U69</f>
        <v>21</v>
      </c>
      <c r="V118" s="366">
        <f>'Продажи 2'!V69</f>
        <v>21</v>
      </c>
      <c r="W118" s="366">
        <f>'Продажи 2'!W69</f>
        <v>21</v>
      </c>
      <c r="X118" s="366">
        <f>'Продажи 2'!X69</f>
        <v>21</v>
      </c>
      <c r="Y118" s="366">
        <f>'Продажи 2'!Y69</f>
        <v>21</v>
      </c>
      <c r="Z118" s="371"/>
    </row>
    <row r="119" spans="1:26" ht="12.75" x14ac:dyDescent="0.2">
      <c r="A119" s="372">
        <f>'Продажи 2'!A70</f>
        <v>215</v>
      </c>
      <c r="B119" s="366">
        <f>'Продажи 2'!B70</f>
        <v>0</v>
      </c>
      <c r="C119" s="366">
        <f>'Продажи 2'!C70</f>
        <v>0</v>
      </c>
      <c r="D119" s="366">
        <f>'Продажи 2'!D70</f>
        <v>0</v>
      </c>
      <c r="E119" s="366">
        <f>'Продажи 2'!E70</f>
        <v>0</v>
      </c>
      <c r="F119" s="366">
        <f>'Продажи 2'!F70</f>
        <v>0</v>
      </c>
      <c r="G119" s="366">
        <f>'Продажи 2'!G70</f>
        <v>0</v>
      </c>
      <c r="H119" s="366">
        <f>'Продажи 2'!H70</f>
        <v>4</v>
      </c>
      <c r="I119" s="366">
        <f>'Продажи 2'!I70</f>
        <v>6</v>
      </c>
      <c r="J119" s="366">
        <f>'Продажи 2'!J70</f>
        <v>9</v>
      </c>
      <c r="K119" s="366">
        <f>'Продажи 2'!K70</f>
        <v>12</v>
      </c>
      <c r="L119" s="366">
        <f>'Продажи 2'!L70</f>
        <v>12</v>
      </c>
      <c r="M119" s="366">
        <f>'Продажи 2'!M70</f>
        <v>12</v>
      </c>
      <c r="N119" s="366">
        <f>'Продажи 2'!N70</f>
        <v>12</v>
      </c>
      <c r="O119" s="366">
        <f>'Продажи 2'!O70</f>
        <v>12</v>
      </c>
      <c r="P119" s="366">
        <f>'Продажи 2'!P70</f>
        <v>12</v>
      </c>
      <c r="Q119" s="366">
        <f>'Продажи 2'!Q70</f>
        <v>12</v>
      </c>
      <c r="R119" s="366">
        <f>'Продажи 2'!R70</f>
        <v>12</v>
      </c>
      <c r="S119" s="366">
        <f>'Продажи 2'!S70</f>
        <v>12</v>
      </c>
      <c r="T119" s="366">
        <f>'Продажи 2'!T70</f>
        <v>12</v>
      </c>
      <c r="U119" s="366">
        <f>'Продажи 2'!U70</f>
        <v>12</v>
      </c>
      <c r="V119" s="366">
        <f>'Продажи 2'!V70</f>
        <v>12</v>
      </c>
      <c r="W119" s="366">
        <f>'Продажи 2'!W70</f>
        <v>12</v>
      </c>
      <c r="X119" s="366">
        <f>'Продажи 2'!X70</f>
        <v>12</v>
      </c>
      <c r="Y119" s="366">
        <f>'Продажи 2'!Y70</f>
        <v>12</v>
      </c>
      <c r="Z119" s="371"/>
    </row>
    <row r="120" spans="1:26" ht="12.75" x14ac:dyDescent="0.2">
      <c r="A120" s="372">
        <f>'Продажи 2'!A71</f>
        <v>240</v>
      </c>
      <c r="B120" s="366">
        <f>'Продажи 2'!B71</f>
        <v>0</v>
      </c>
      <c r="C120" s="366">
        <f>'Продажи 2'!C71</f>
        <v>0</v>
      </c>
      <c r="D120" s="366">
        <f>'Продажи 2'!D71</f>
        <v>0</v>
      </c>
      <c r="E120" s="366">
        <f>'Продажи 2'!E71</f>
        <v>0</v>
      </c>
      <c r="F120" s="366">
        <f>'Продажи 2'!F71</f>
        <v>0</v>
      </c>
      <c r="G120" s="366">
        <f>'Продажи 2'!G71</f>
        <v>0</v>
      </c>
      <c r="H120" s="366">
        <f>'Продажи 2'!H71</f>
        <v>5</v>
      </c>
      <c r="I120" s="366">
        <f>'Продажи 2'!I71</f>
        <v>9</v>
      </c>
      <c r="J120" s="366">
        <f>'Продажи 2'!J71</f>
        <v>14</v>
      </c>
      <c r="K120" s="366">
        <f>'Продажи 2'!K71</f>
        <v>18</v>
      </c>
      <c r="L120" s="366">
        <f>'Продажи 2'!L71</f>
        <v>18</v>
      </c>
      <c r="M120" s="366">
        <f>'Продажи 2'!M71</f>
        <v>18</v>
      </c>
      <c r="N120" s="366">
        <f>'Продажи 2'!N71</f>
        <v>18</v>
      </c>
      <c r="O120" s="366">
        <f>'Продажи 2'!O71</f>
        <v>18</v>
      </c>
      <c r="P120" s="366">
        <f>'Продажи 2'!P71</f>
        <v>18</v>
      </c>
      <c r="Q120" s="366">
        <f>'Продажи 2'!Q71</f>
        <v>18</v>
      </c>
      <c r="R120" s="366">
        <f>'Продажи 2'!R71</f>
        <v>18</v>
      </c>
      <c r="S120" s="366">
        <f>'Продажи 2'!S71</f>
        <v>18</v>
      </c>
      <c r="T120" s="366">
        <f>'Продажи 2'!T71</f>
        <v>18</v>
      </c>
      <c r="U120" s="366">
        <f>'Продажи 2'!U71</f>
        <v>18</v>
      </c>
      <c r="V120" s="366">
        <f>'Продажи 2'!V71</f>
        <v>18</v>
      </c>
      <c r="W120" s="366">
        <f>'Продажи 2'!W71</f>
        <v>18</v>
      </c>
      <c r="X120" s="366">
        <f>'Продажи 2'!X71</f>
        <v>18</v>
      </c>
      <c r="Y120" s="366">
        <f>'Продажи 2'!Y71</f>
        <v>18</v>
      </c>
      <c r="Z120" s="371"/>
    </row>
    <row r="121" spans="1:26" ht="12.75" x14ac:dyDescent="0.2">
      <c r="A121" s="373" t="s">
        <v>2841</v>
      </c>
      <c r="B121" s="375"/>
      <c r="C121" s="375"/>
      <c r="D121" s="375"/>
      <c r="E121" s="375"/>
      <c r="F121" s="375"/>
      <c r="G121" s="375"/>
      <c r="H121" s="375"/>
      <c r="I121" s="375"/>
      <c r="J121" s="375"/>
      <c r="K121" s="375"/>
      <c r="L121" s="375"/>
      <c r="M121" s="375"/>
      <c r="N121" s="375"/>
      <c r="O121" s="375"/>
      <c r="P121" s="375"/>
      <c r="Q121" s="375"/>
      <c r="R121" s="375"/>
      <c r="S121" s="375"/>
      <c r="T121" s="375"/>
      <c r="U121" s="375"/>
      <c r="V121" s="375"/>
      <c r="W121" s="375"/>
      <c r="X121" s="375"/>
      <c r="Y121" s="375"/>
      <c r="Z121" s="376"/>
    </row>
    <row r="122" spans="1:26" ht="12.75" x14ac:dyDescent="0.2">
      <c r="A122" s="372">
        <f>A111</f>
        <v>54</v>
      </c>
      <c r="B122" s="451">
        <f>B111*$M$61</f>
        <v>0</v>
      </c>
      <c r="C122" s="451">
        <f t="shared" ref="C122:Y122" si="59">C111*$M$61</f>
        <v>0</v>
      </c>
      <c r="D122" s="451">
        <f t="shared" si="59"/>
        <v>0</v>
      </c>
      <c r="E122" s="451">
        <f t="shared" si="59"/>
        <v>0</v>
      </c>
      <c r="F122" s="451">
        <f t="shared" si="59"/>
        <v>0</v>
      </c>
      <c r="G122" s="451">
        <f t="shared" si="59"/>
        <v>0</v>
      </c>
      <c r="H122" s="451">
        <f t="shared" si="59"/>
        <v>1441</v>
      </c>
      <c r="I122" s="451">
        <f t="shared" si="59"/>
        <v>2161.5</v>
      </c>
      <c r="J122" s="451">
        <f t="shared" si="59"/>
        <v>3602.5</v>
      </c>
      <c r="K122" s="451">
        <f t="shared" si="59"/>
        <v>4323</v>
      </c>
      <c r="L122" s="451">
        <f t="shared" si="59"/>
        <v>4323</v>
      </c>
      <c r="M122" s="451">
        <f t="shared" si="59"/>
        <v>4323</v>
      </c>
      <c r="N122" s="451">
        <f t="shared" si="59"/>
        <v>4323</v>
      </c>
      <c r="O122" s="451">
        <f t="shared" si="59"/>
        <v>4323</v>
      </c>
      <c r="P122" s="451">
        <f t="shared" si="59"/>
        <v>4323</v>
      </c>
      <c r="Q122" s="451">
        <f t="shared" si="59"/>
        <v>4323</v>
      </c>
      <c r="R122" s="451">
        <f t="shared" si="59"/>
        <v>4323</v>
      </c>
      <c r="S122" s="451">
        <f t="shared" si="59"/>
        <v>4323</v>
      </c>
      <c r="T122" s="451">
        <f t="shared" si="59"/>
        <v>4323</v>
      </c>
      <c r="U122" s="451">
        <f t="shared" si="59"/>
        <v>4323</v>
      </c>
      <c r="V122" s="451">
        <f t="shared" si="59"/>
        <v>4323</v>
      </c>
      <c r="W122" s="451">
        <f t="shared" si="59"/>
        <v>4323</v>
      </c>
      <c r="X122" s="451">
        <f t="shared" si="59"/>
        <v>4323</v>
      </c>
      <c r="Y122" s="451">
        <f t="shared" si="59"/>
        <v>4323</v>
      </c>
      <c r="Z122" s="452">
        <f>SUM(B122:Y122)</f>
        <v>72050</v>
      </c>
    </row>
    <row r="123" spans="1:26" ht="12.75" x14ac:dyDescent="0.2">
      <c r="A123" s="372">
        <f t="shared" ref="A123:A131" si="60">A112</f>
        <v>76</v>
      </c>
      <c r="B123" s="451">
        <f>B112*$M$62</f>
        <v>0</v>
      </c>
      <c r="C123" s="451">
        <f t="shared" ref="C123:Y123" si="61">C112*$M$62</f>
        <v>0</v>
      </c>
      <c r="D123" s="451">
        <f t="shared" si="61"/>
        <v>0</v>
      </c>
      <c r="E123" s="451">
        <f t="shared" si="61"/>
        <v>0</v>
      </c>
      <c r="F123" s="451">
        <f t="shared" si="61"/>
        <v>0</v>
      </c>
      <c r="G123" s="451">
        <f t="shared" si="61"/>
        <v>0</v>
      </c>
      <c r="H123" s="451">
        <f t="shared" si="61"/>
        <v>10233.932432432433</v>
      </c>
      <c r="I123" s="451">
        <f t="shared" si="61"/>
        <v>17056.554054054053</v>
      </c>
      <c r="J123" s="451">
        <f t="shared" si="61"/>
        <v>23879.175675675677</v>
      </c>
      <c r="K123" s="451">
        <f t="shared" si="61"/>
        <v>30701.797297297297</v>
      </c>
      <c r="L123" s="451">
        <f t="shared" si="61"/>
        <v>30701.797297297297</v>
      </c>
      <c r="M123" s="451">
        <f t="shared" si="61"/>
        <v>30701.797297297297</v>
      </c>
      <c r="N123" s="451">
        <f t="shared" si="61"/>
        <v>30701.797297297297</v>
      </c>
      <c r="O123" s="451">
        <f t="shared" si="61"/>
        <v>30701.797297297297</v>
      </c>
      <c r="P123" s="451">
        <f t="shared" si="61"/>
        <v>30701.797297297297</v>
      </c>
      <c r="Q123" s="451">
        <f t="shared" si="61"/>
        <v>30701.797297297297</v>
      </c>
      <c r="R123" s="451">
        <f t="shared" si="61"/>
        <v>30701.797297297297</v>
      </c>
      <c r="S123" s="451">
        <f t="shared" si="61"/>
        <v>30701.797297297297</v>
      </c>
      <c r="T123" s="451">
        <f t="shared" si="61"/>
        <v>30701.797297297297</v>
      </c>
      <c r="U123" s="451">
        <f t="shared" si="61"/>
        <v>30701.797297297297</v>
      </c>
      <c r="V123" s="451">
        <f t="shared" si="61"/>
        <v>30701.797297297297</v>
      </c>
      <c r="W123" s="451">
        <f t="shared" si="61"/>
        <v>30701.797297297297</v>
      </c>
      <c r="X123" s="451">
        <f t="shared" si="61"/>
        <v>30701.797297297297</v>
      </c>
      <c r="Y123" s="451">
        <f t="shared" si="61"/>
        <v>30701.797297297297</v>
      </c>
      <c r="Z123" s="452">
        <f t="shared" ref="Z123:Z131" si="62">SUM(B123:Y123)</f>
        <v>511696.62162162148</v>
      </c>
    </row>
    <row r="124" spans="1:26" ht="12.75" x14ac:dyDescent="0.2">
      <c r="A124" s="372">
        <f t="shared" si="60"/>
        <v>95</v>
      </c>
      <c r="B124" s="451">
        <f>B113*$M$63</f>
        <v>0</v>
      </c>
      <c r="C124" s="451">
        <f t="shared" ref="C124:Y124" si="63">C113*$M$63</f>
        <v>0</v>
      </c>
      <c r="D124" s="451">
        <f t="shared" si="63"/>
        <v>0</v>
      </c>
      <c r="E124" s="451">
        <f t="shared" si="63"/>
        <v>0</v>
      </c>
      <c r="F124" s="451">
        <f t="shared" si="63"/>
        <v>0</v>
      </c>
      <c r="G124" s="451">
        <f t="shared" si="63"/>
        <v>0</v>
      </c>
      <c r="H124" s="451">
        <f t="shared" si="63"/>
        <v>28403.78208068684</v>
      </c>
      <c r="I124" s="451">
        <f t="shared" si="63"/>
        <v>45446.051329098947</v>
      </c>
      <c r="J124" s="451">
        <f t="shared" si="63"/>
        <v>62488.320577511055</v>
      </c>
      <c r="K124" s="451">
        <f t="shared" si="63"/>
        <v>85211.346242060521</v>
      </c>
      <c r="L124" s="451">
        <f t="shared" si="63"/>
        <v>85211.346242060521</v>
      </c>
      <c r="M124" s="451">
        <f t="shared" si="63"/>
        <v>85211.346242060521</v>
      </c>
      <c r="N124" s="451">
        <f t="shared" si="63"/>
        <v>85211.346242060521</v>
      </c>
      <c r="O124" s="451">
        <f t="shared" si="63"/>
        <v>85211.346242060521</v>
      </c>
      <c r="P124" s="451">
        <f t="shared" si="63"/>
        <v>85211.346242060521</v>
      </c>
      <c r="Q124" s="451">
        <f t="shared" si="63"/>
        <v>85211.346242060521</v>
      </c>
      <c r="R124" s="451">
        <f t="shared" si="63"/>
        <v>85211.346242060521</v>
      </c>
      <c r="S124" s="451">
        <f t="shared" si="63"/>
        <v>85211.346242060521</v>
      </c>
      <c r="T124" s="451">
        <f t="shared" si="63"/>
        <v>85211.346242060521</v>
      </c>
      <c r="U124" s="451">
        <f t="shared" si="63"/>
        <v>85211.346242060521</v>
      </c>
      <c r="V124" s="451">
        <f t="shared" si="63"/>
        <v>85211.346242060521</v>
      </c>
      <c r="W124" s="451">
        <f t="shared" si="63"/>
        <v>85211.346242060521</v>
      </c>
      <c r="X124" s="451">
        <f t="shared" si="63"/>
        <v>85211.346242060521</v>
      </c>
      <c r="Y124" s="451">
        <f t="shared" si="63"/>
        <v>85211.346242060521</v>
      </c>
      <c r="Z124" s="452">
        <f t="shared" si="62"/>
        <v>1414508.3476182043</v>
      </c>
    </row>
    <row r="125" spans="1:26" ht="12.75" x14ac:dyDescent="0.2">
      <c r="A125" s="372">
        <f t="shared" si="60"/>
        <v>106</v>
      </c>
      <c r="B125" s="451">
        <f>B114*$M$64</f>
        <v>0</v>
      </c>
      <c r="C125" s="451">
        <f t="shared" ref="C125:Y125" si="64">C114*$M$64</f>
        <v>0</v>
      </c>
      <c r="D125" s="451">
        <f t="shared" si="64"/>
        <v>0</v>
      </c>
      <c r="E125" s="451">
        <f t="shared" si="64"/>
        <v>0</v>
      </c>
      <c r="F125" s="451">
        <f t="shared" si="64"/>
        <v>0</v>
      </c>
      <c r="G125" s="451">
        <f t="shared" si="64"/>
        <v>0</v>
      </c>
      <c r="H125" s="451">
        <f t="shared" si="64"/>
        <v>68498.163243243238</v>
      </c>
      <c r="I125" s="451">
        <f t="shared" si="64"/>
        <v>114163.6054054054</v>
      </c>
      <c r="J125" s="451">
        <f t="shared" si="64"/>
        <v>175050.86162162162</v>
      </c>
      <c r="K125" s="451">
        <f t="shared" si="64"/>
        <v>228327.21081081079</v>
      </c>
      <c r="L125" s="451">
        <f t="shared" si="64"/>
        <v>228327.21081081079</v>
      </c>
      <c r="M125" s="451">
        <f t="shared" si="64"/>
        <v>228327.21081081079</v>
      </c>
      <c r="N125" s="451">
        <f t="shared" si="64"/>
        <v>228327.21081081079</v>
      </c>
      <c r="O125" s="451">
        <f t="shared" si="64"/>
        <v>228327.21081081079</v>
      </c>
      <c r="P125" s="451">
        <f t="shared" si="64"/>
        <v>228327.21081081079</v>
      </c>
      <c r="Q125" s="451">
        <f t="shared" si="64"/>
        <v>228327.21081081079</v>
      </c>
      <c r="R125" s="451">
        <f t="shared" si="64"/>
        <v>228327.21081081079</v>
      </c>
      <c r="S125" s="451">
        <f t="shared" si="64"/>
        <v>228327.21081081079</v>
      </c>
      <c r="T125" s="451">
        <f t="shared" si="64"/>
        <v>228327.21081081079</v>
      </c>
      <c r="U125" s="451">
        <f t="shared" si="64"/>
        <v>228327.21081081079</v>
      </c>
      <c r="V125" s="451">
        <f t="shared" si="64"/>
        <v>228327.21081081079</v>
      </c>
      <c r="W125" s="451">
        <f t="shared" si="64"/>
        <v>228327.21081081079</v>
      </c>
      <c r="X125" s="451">
        <f t="shared" si="64"/>
        <v>228327.21081081079</v>
      </c>
      <c r="Y125" s="451">
        <f t="shared" si="64"/>
        <v>228327.21081081079</v>
      </c>
      <c r="Z125" s="452">
        <f t="shared" si="62"/>
        <v>3782620.7924324321</v>
      </c>
    </row>
    <row r="126" spans="1:26" ht="12.75" x14ac:dyDescent="0.2">
      <c r="A126" s="372">
        <f t="shared" si="60"/>
        <v>120</v>
      </c>
      <c r="B126" s="451">
        <f>B115*$M$65</f>
        <v>0</v>
      </c>
      <c r="C126" s="451">
        <f t="shared" ref="C126:Y126" si="65">C115*$M$65</f>
        <v>0</v>
      </c>
      <c r="D126" s="451">
        <f t="shared" si="65"/>
        <v>0</v>
      </c>
      <c r="E126" s="451">
        <f t="shared" si="65"/>
        <v>0</v>
      </c>
      <c r="F126" s="451">
        <f t="shared" si="65"/>
        <v>0</v>
      </c>
      <c r="G126" s="451">
        <f t="shared" si="65"/>
        <v>0</v>
      </c>
      <c r="H126" s="451">
        <f t="shared" si="65"/>
        <v>87179.487567567558</v>
      </c>
      <c r="I126" s="451">
        <f t="shared" si="65"/>
        <v>145299.14594594593</v>
      </c>
      <c r="J126" s="451">
        <f t="shared" si="65"/>
        <v>222792.02378378378</v>
      </c>
      <c r="K126" s="451">
        <f t="shared" si="65"/>
        <v>290598.29189189186</v>
      </c>
      <c r="L126" s="451">
        <f t="shared" si="65"/>
        <v>290598.29189189186</v>
      </c>
      <c r="M126" s="451">
        <f t="shared" si="65"/>
        <v>290598.29189189186</v>
      </c>
      <c r="N126" s="451">
        <f t="shared" si="65"/>
        <v>290598.29189189186</v>
      </c>
      <c r="O126" s="451">
        <f t="shared" si="65"/>
        <v>290598.29189189186</v>
      </c>
      <c r="P126" s="451">
        <f t="shared" si="65"/>
        <v>290598.29189189186</v>
      </c>
      <c r="Q126" s="451">
        <f t="shared" si="65"/>
        <v>290598.29189189186</v>
      </c>
      <c r="R126" s="451">
        <f t="shared" si="65"/>
        <v>290598.29189189186</v>
      </c>
      <c r="S126" s="451">
        <f t="shared" si="65"/>
        <v>290598.29189189186</v>
      </c>
      <c r="T126" s="451">
        <f t="shared" si="65"/>
        <v>290598.29189189186</v>
      </c>
      <c r="U126" s="451">
        <f t="shared" si="65"/>
        <v>290598.29189189186</v>
      </c>
      <c r="V126" s="451">
        <f t="shared" si="65"/>
        <v>290598.29189189186</v>
      </c>
      <c r="W126" s="451">
        <f t="shared" si="65"/>
        <v>290598.29189189186</v>
      </c>
      <c r="X126" s="451">
        <f t="shared" si="65"/>
        <v>290598.29189189186</v>
      </c>
      <c r="Y126" s="451">
        <f t="shared" si="65"/>
        <v>290598.29189189186</v>
      </c>
      <c r="Z126" s="452">
        <f t="shared" si="62"/>
        <v>4814245.0356756756</v>
      </c>
    </row>
    <row r="127" spans="1:26" ht="12.75" x14ac:dyDescent="0.2">
      <c r="A127" s="372">
        <f t="shared" si="60"/>
        <v>165</v>
      </c>
      <c r="B127" s="451">
        <f>B116*$M$66</f>
        <v>0</v>
      </c>
      <c r="C127" s="451">
        <f t="shared" ref="C127:Y127" si="66">C116*$M$66</f>
        <v>0</v>
      </c>
      <c r="D127" s="451">
        <f t="shared" si="66"/>
        <v>0</v>
      </c>
      <c r="E127" s="451">
        <f t="shared" si="66"/>
        <v>0</v>
      </c>
      <c r="F127" s="451">
        <f t="shared" si="66"/>
        <v>0</v>
      </c>
      <c r="G127" s="451">
        <f t="shared" si="66"/>
        <v>0</v>
      </c>
      <c r="H127" s="451">
        <f t="shared" si="66"/>
        <v>142467.08194279205</v>
      </c>
      <c r="I127" s="451">
        <f t="shared" si="66"/>
        <v>244229.28333050065</v>
      </c>
      <c r="J127" s="451">
        <f t="shared" si="66"/>
        <v>366343.924995751</v>
      </c>
      <c r="K127" s="451">
        <f t="shared" si="66"/>
        <v>488458.5666610013</v>
      </c>
      <c r="L127" s="451">
        <f t="shared" si="66"/>
        <v>488458.5666610013</v>
      </c>
      <c r="M127" s="451">
        <f t="shared" si="66"/>
        <v>488458.5666610013</v>
      </c>
      <c r="N127" s="451">
        <f t="shared" si="66"/>
        <v>488458.5666610013</v>
      </c>
      <c r="O127" s="451">
        <f t="shared" si="66"/>
        <v>488458.5666610013</v>
      </c>
      <c r="P127" s="451">
        <f t="shared" si="66"/>
        <v>488458.5666610013</v>
      </c>
      <c r="Q127" s="451">
        <f t="shared" si="66"/>
        <v>488458.5666610013</v>
      </c>
      <c r="R127" s="451">
        <f t="shared" si="66"/>
        <v>488458.5666610013</v>
      </c>
      <c r="S127" s="451">
        <f t="shared" si="66"/>
        <v>488458.5666610013</v>
      </c>
      <c r="T127" s="451">
        <f t="shared" si="66"/>
        <v>488458.5666610013</v>
      </c>
      <c r="U127" s="451">
        <f t="shared" si="66"/>
        <v>488458.5666610013</v>
      </c>
      <c r="V127" s="451">
        <f t="shared" si="66"/>
        <v>488458.5666610013</v>
      </c>
      <c r="W127" s="451">
        <f t="shared" si="66"/>
        <v>488458.5666610013</v>
      </c>
      <c r="X127" s="451">
        <f t="shared" si="66"/>
        <v>488458.5666610013</v>
      </c>
      <c r="Y127" s="451">
        <f t="shared" si="66"/>
        <v>488458.5666610013</v>
      </c>
      <c r="Z127" s="452">
        <f t="shared" si="62"/>
        <v>8079918.790184062</v>
      </c>
    </row>
    <row r="128" spans="1:26" ht="12.75" x14ac:dyDescent="0.2">
      <c r="A128" s="372">
        <f t="shared" si="60"/>
        <v>172</v>
      </c>
      <c r="B128" s="451">
        <f>B117*$M$67</f>
        <v>0</v>
      </c>
      <c r="C128" s="451">
        <f t="shared" ref="C128:Y128" si="67">C117*$M$67</f>
        <v>0</v>
      </c>
      <c r="D128" s="451">
        <f t="shared" si="67"/>
        <v>0</v>
      </c>
      <c r="E128" s="451">
        <f t="shared" si="67"/>
        <v>0</v>
      </c>
      <c r="F128" s="451">
        <f t="shared" si="67"/>
        <v>0</v>
      </c>
      <c r="G128" s="451">
        <f t="shared" si="67"/>
        <v>0</v>
      </c>
      <c r="H128" s="451">
        <f t="shared" si="67"/>
        <v>520853.20746454067</v>
      </c>
      <c r="I128" s="451">
        <f t="shared" si="67"/>
        <v>860540.08189793676</v>
      </c>
      <c r="J128" s="451">
        <f t="shared" si="67"/>
        <v>1268164.3312180121</v>
      </c>
      <c r="K128" s="451">
        <f t="shared" si="67"/>
        <v>1698434.3721669803</v>
      </c>
      <c r="L128" s="451">
        <f t="shared" si="67"/>
        <v>1698434.3721669803</v>
      </c>
      <c r="M128" s="451">
        <f t="shared" si="67"/>
        <v>1698434.3721669803</v>
      </c>
      <c r="N128" s="451">
        <f t="shared" si="67"/>
        <v>1698434.3721669803</v>
      </c>
      <c r="O128" s="451">
        <f t="shared" si="67"/>
        <v>1698434.3721669803</v>
      </c>
      <c r="P128" s="451">
        <f t="shared" si="67"/>
        <v>1698434.3721669803</v>
      </c>
      <c r="Q128" s="451">
        <f t="shared" si="67"/>
        <v>1698434.3721669803</v>
      </c>
      <c r="R128" s="451">
        <f t="shared" si="67"/>
        <v>1698434.3721669803</v>
      </c>
      <c r="S128" s="451">
        <f t="shared" si="67"/>
        <v>1698434.3721669803</v>
      </c>
      <c r="T128" s="451">
        <f t="shared" si="67"/>
        <v>1698434.3721669803</v>
      </c>
      <c r="U128" s="451">
        <f t="shared" si="67"/>
        <v>1698434.3721669803</v>
      </c>
      <c r="V128" s="451">
        <f t="shared" si="67"/>
        <v>1698434.3721669803</v>
      </c>
      <c r="W128" s="451">
        <f t="shared" si="67"/>
        <v>1698434.3721669803</v>
      </c>
      <c r="X128" s="451">
        <f t="shared" si="67"/>
        <v>1698434.3721669803</v>
      </c>
      <c r="Y128" s="451">
        <f t="shared" si="67"/>
        <v>1698434.3721669803</v>
      </c>
      <c r="Z128" s="452">
        <f t="shared" si="62"/>
        <v>28126073.203085192</v>
      </c>
    </row>
    <row r="129" spans="1:26" ht="12.75" x14ac:dyDescent="0.2">
      <c r="A129" s="372">
        <f t="shared" si="60"/>
        <v>195</v>
      </c>
      <c r="B129" s="451">
        <f>B118*$M$68</f>
        <v>0</v>
      </c>
      <c r="C129" s="451">
        <f t="shared" ref="C129:Y129" si="68">C118*$M$68</f>
        <v>0</v>
      </c>
      <c r="D129" s="451">
        <f t="shared" si="68"/>
        <v>0</v>
      </c>
      <c r="E129" s="451">
        <f t="shared" si="68"/>
        <v>0</v>
      </c>
      <c r="F129" s="451">
        <f t="shared" si="68"/>
        <v>0</v>
      </c>
      <c r="G129" s="451">
        <f t="shared" si="68"/>
        <v>0</v>
      </c>
      <c r="H129" s="451">
        <f t="shared" si="68"/>
        <v>189180.77370852861</v>
      </c>
      <c r="I129" s="451">
        <f t="shared" si="68"/>
        <v>346831.4184656358</v>
      </c>
      <c r="J129" s="451">
        <f t="shared" si="68"/>
        <v>504482.06322274299</v>
      </c>
      <c r="K129" s="451">
        <f t="shared" si="68"/>
        <v>662132.70797985012</v>
      </c>
      <c r="L129" s="451">
        <f t="shared" si="68"/>
        <v>662132.70797985012</v>
      </c>
      <c r="M129" s="451">
        <f t="shared" si="68"/>
        <v>662132.70797985012</v>
      </c>
      <c r="N129" s="451">
        <f t="shared" si="68"/>
        <v>662132.70797985012</v>
      </c>
      <c r="O129" s="451">
        <f t="shared" si="68"/>
        <v>662132.70797985012</v>
      </c>
      <c r="P129" s="451">
        <f t="shared" si="68"/>
        <v>662132.70797985012</v>
      </c>
      <c r="Q129" s="451">
        <f t="shared" si="68"/>
        <v>662132.70797985012</v>
      </c>
      <c r="R129" s="451">
        <f t="shared" si="68"/>
        <v>662132.70797985012</v>
      </c>
      <c r="S129" s="451">
        <f t="shared" si="68"/>
        <v>662132.70797985012</v>
      </c>
      <c r="T129" s="451">
        <f t="shared" si="68"/>
        <v>662132.70797985012</v>
      </c>
      <c r="U129" s="451">
        <f t="shared" si="68"/>
        <v>662132.70797985012</v>
      </c>
      <c r="V129" s="451">
        <f t="shared" si="68"/>
        <v>662132.70797985012</v>
      </c>
      <c r="W129" s="451">
        <f t="shared" si="68"/>
        <v>662132.70797985012</v>
      </c>
      <c r="X129" s="451">
        <f t="shared" si="68"/>
        <v>662132.70797985012</v>
      </c>
      <c r="Y129" s="451">
        <f t="shared" si="68"/>
        <v>662132.70797985012</v>
      </c>
      <c r="Z129" s="452">
        <f t="shared" si="62"/>
        <v>10972484.875094661</v>
      </c>
    </row>
    <row r="130" spans="1:26" ht="12.75" x14ac:dyDescent="0.2">
      <c r="A130" s="372">
        <f t="shared" si="60"/>
        <v>215</v>
      </c>
      <c r="B130" s="451">
        <f>B119*$M$69</f>
        <v>0</v>
      </c>
      <c r="C130" s="451">
        <f t="shared" ref="C130:Y130" si="69">C119*$M$69</f>
        <v>0</v>
      </c>
      <c r="D130" s="451">
        <f t="shared" si="69"/>
        <v>0</v>
      </c>
      <c r="E130" s="451">
        <f t="shared" si="69"/>
        <v>0</v>
      </c>
      <c r="F130" s="451">
        <f t="shared" si="69"/>
        <v>0</v>
      </c>
      <c r="G130" s="451">
        <f t="shared" si="69"/>
        <v>0</v>
      </c>
      <c r="H130" s="451">
        <f t="shared" si="69"/>
        <v>125068.51580568575</v>
      </c>
      <c r="I130" s="451">
        <f t="shared" si="69"/>
        <v>187602.77370852861</v>
      </c>
      <c r="J130" s="451">
        <f t="shared" si="69"/>
        <v>281404.16056279291</v>
      </c>
      <c r="K130" s="451">
        <f t="shared" si="69"/>
        <v>375205.54741705721</v>
      </c>
      <c r="L130" s="451">
        <f t="shared" si="69"/>
        <v>375205.54741705721</v>
      </c>
      <c r="M130" s="451">
        <f t="shared" si="69"/>
        <v>375205.54741705721</v>
      </c>
      <c r="N130" s="451">
        <f t="shared" si="69"/>
        <v>375205.54741705721</v>
      </c>
      <c r="O130" s="451">
        <f t="shared" si="69"/>
        <v>375205.54741705721</v>
      </c>
      <c r="P130" s="451">
        <f t="shared" si="69"/>
        <v>375205.54741705721</v>
      </c>
      <c r="Q130" s="451">
        <f t="shared" si="69"/>
        <v>375205.54741705721</v>
      </c>
      <c r="R130" s="451">
        <f t="shared" si="69"/>
        <v>375205.54741705721</v>
      </c>
      <c r="S130" s="451">
        <f t="shared" si="69"/>
        <v>375205.54741705721</v>
      </c>
      <c r="T130" s="451">
        <f t="shared" si="69"/>
        <v>375205.54741705721</v>
      </c>
      <c r="U130" s="451">
        <f t="shared" si="69"/>
        <v>375205.54741705721</v>
      </c>
      <c r="V130" s="451">
        <f t="shared" si="69"/>
        <v>375205.54741705721</v>
      </c>
      <c r="W130" s="451">
        <f t="shared" si="69"/>
        <v>375205.54741705721</v>
      </c>
      <c r="X130" s="451">
        <f t="shared" si="69"/>
        <v>375205.54741705721</v>
      </c>
      <c r="Y130" s="451">
        <f t="shared" si="69"/>
        <v>375205.54741705721</v>
      </c>
      <c r="Z130" s="452">
        <f t="shared" si="62"/>
        <v>6222158.661332868</v>
      </c>
    </row>
    <row r="131" spans="1:26" ht="12.75" x14ac:dyDescent="0.2">
      <c r="A131" s="372">
        <f t="shared" si="60"/>
        <v>240</v>
      </c>
      <c r="B131" s="451">
        <f>B120*$M$70</f>
        <v>0</v>
      </c>
      <c r="C131" s="451">
        <f t="shared" ref="C131:Y131" si="70">C120*$M$70</f>
        <v>0</v>
      </c>
      <c r="D131" s="451">
        <f t="shared" si="70"/>
        <v>0</v>
      </c>
      <c r="E131" s="451">
        <f t="shared" si="70"/>
        <v>0</v>
      </c>
      <c r="F131" s="451">
        <f t="shared" si="70"/>
        <v>0</v>
      </c>
      <c r="G131" s="451">
        <f t="shared" si="70"/>
        <v>0</v>
      </c>
      <c r="H131" s="451">
        <f t="shared" si="70"/>
        <v>155480.70459503261</v>
      </c>
      <c r="I131" s="451">
        <f t="shared" si="70"/>
        <v>279865.26827105874</v>
      </c>
      <c r="J131" s="451">
        <f t="shared" si="70"/>
        <v>435345.97286609135</v>
      </c>
      <c r="K131" s="451">
        <f t="shared" si="70"/>
        <v>559730.53654211748</v>
      </c>
      <c r="L131" s="451">
        <f t="shared" si="70"/>
        <v>559730.53654211748</v>
      </c>
      <c r="M131" s="451">
        <f t="shared" si="70"/>
        <v>559730.53654211748</v>
      </c>
      <c r="N131" s="451">
        <f t="shared" si="70"/>
        <v>559730.53654211748</v>
      </c>
      <c r="O131" s="451">
        <f t="shared" si="70"/>
        <v>559730.53654211748</v>
      </c>
      <c r="P131" s="451">
        <f t="shared" si="70"/>
        <v>559730.53654211748</v>
      </c>
      <c r="Q131" s="451">
        <f t="shared" si="70"/>
        <v>559730.53654211748</v>
      </c>
      <c r="R131" s="451">
        <f t="shared" si="70"/>
        <v>559730.53654211748</v>
      </c>
      <c r="S131" s="451">
        <f t="shared" si="70"/>
        <v>559730.53654211748</v>
      </c>
      <c r="T131" s="451">
        <f t="shared" si="70"/>
        <v>559730.53654211748</v>
      </c>
      <c r="U131" s="451">
        <f t="shared" si="70"/>
        <v>559730.53654211748</v>
      </c>
      <c r="V131" s="451">
        <f t="shared" si="70"/>
        <v>559730.53654211748</v>
      </c>
      <c r="W131" s="451">
        <f t="shared" si="70"/>
        <v>559730.53654211748</v>
      </c>
      <c r="X131" s="451">
        <f t="shared" si="70"/>
        <v>559730.53654211748</v>
      </c>
      <c r="Y131" s="451">
        <f t="shared" si="70"/>
        <v>559730.53654211748</v>
      </c>
      <c r="Z131" s="452">
        <f t="shared" si="62"/>
        <v>9266649.9938639458</v>
      </c>
    </row>
    <row r="132" spans="1:26" ht="14.25" customHeight="1" thickBot="1" x14ac:dyDescent="0.25">
      <c r="A132" s="374" t="s">
        <v>2924</v>
      </c>
      <c r="B132" s="453">
        <f t="shared" ref="B132:Z132" si="71">SUM(B122:B131)</f>
        <v>0</v>
      </c>
      <c r="C132" s="453">
        <f t="shared" si="71"/>
        <v>0</v>
      </c>
      <c r="D132" s="453">
        <f t="shared" si="71"/>
        <v>0</v>
      </c>
      <c r="E132" s="453">
        <f t="shared" si="71"/>
        <v>0</v>
      </c>
      <c r="F132" s="453">
        <f t="shared" si="71"/>
        <v>0</v>
      </c>
      <c r="G132" s="453">
        <f t="shared" si="71"/>
        <v>0</v>
      </c>
      <c r="H132" s="453">
        <f t="shared" si="71"/>
        <v>1328806.6488405096</v>
      </c>
      <c r="I132" s="453">
        <f t="shared" si="71"/>
        <v>2243195.6824081647</v>
      </c>
      <c r="J132" s="453">
        <f t="shared" si="71"/>
        <v>3343553.3345239824</v>
      </c>
      <c r="K132" s="453">
        <f t="shared" si="71"/>
        <v>4423123.3770090668</v>
      </c>
      <c r="L132" s="453">
        <f t="shared" si="71"/>
        <v>4423123.3770090668</v>
      </c>
      <c r="M132" s="453">
        <f t="shared" si="71"/>
        <v>4423123.3770090668</v>
      </c>
      <c r="N132" s="453">
        <f t="shared" si="71"/>
        <v>4423123.3770090668</v>
      </c>
      <c r="O132" s="453">
        <f t="shared" si="71"/>
        <v>4423123.3770090668</v>
      </c>
      <c r="P132" s="453">
        <f t="shared" si="71"/>
        <v>4423123.3770090668</v>
      </c>
      <c r="Q132" s="453">
        <f t="shared" si="71"/>
        <v>4423123.3770090668</v>
      </c>
      <c r="R132" s="453">
        <f t="shared" si="71"/>
        <v>4423123.3770090668</v>
      </c>
      <c r="S132" s="453">
        <f t="shared" si="71"/>
        <v>4423123.3770090668</v>
      </c>
      <c r="T132" s="453">
        <f t="shared" si="71"/>
        <v>4423123.3770090668</v>
      </c>
      <c r="U132" s="453">
        <f t="shared" si="71"/>
        <v>4423123.3770090668</v>
      </c>
      <c r="V132" s="453">
        <f t="shared" si="71"/>
        <v>4423123.3770090668</v>
      </c>
      <c r="W132" s="453">
        <f t="shared" si="71"/>
        <v>4423123.3770090668</v>
      </c>
      <c r="X132" s="453">
        <f t="shared" si="71"/>
        <v>4423123.3770090668</v>
      </c>
      <c r="Y132" s="453">
        <f t="shared" si="71"/>
        <v>4423123.3770090668</v>
      </c>
      <c r="Z132" s="453">
        <f t="shared" si="71"/>
        <v>73262406.320908651</v>
      </c>
    </row>
    <row r="133" spans="1:26" s="462" customFormat="1" ht="14.25" customHeight="1" thickBot="1" x14ac:dyDescent="0.25">
      <c r="A133" s="460" t="s">
        <v>2916</v>
      </c>
      <c r="B133" s="461">
        <f>B132+B108</f>
        <v>0</v>
      </c>
      <c r="C133" s="461">
        <f t="shared" ref="C133:Z133" si="72">C132+C108</f>
        <v>0</v>
      </c>
      <c r="D133" s="461">
        <f t="shared" si="72"/>
        <v>0</v>
      </c>
      <c r="E133" s="461">
        <f t="shared" si="72"/>
        <v>0</v>
      </c>
      <c r="F133" s="461">
        <f t="shared" si="72"/>
        <v>0</v>
      </c>
      <c r="G133" s="461">
        <f t="shared" si="72"/>
        <v>581991.28181252675</v>
      </c>
      <c r="H133" s="461">
        <f t="shared" si="72"/>
        <v>2271914.420706165</v>
      </c>
      <c r="I133" s="461">
        <f t="shared" si="72"/>
        <v>3649397.040579977</v>
      </c>
      <c r="J133" s="461">
        <f t="shared" si="72"/>
        <v>5210323.921924388</v>
      </c>
      <c r="K133" s="461">
        <f t="shared" si="72"/>
        <v>6289893.9644094724</v>
      </c>
      <c r="L133" s="461">
        <f t="shared" si="72"/>
        <v>6289893.9644094724</v>
      </c>
      <c r="M133" s="461">
        <f t="shared" si="72"/>
        <v>6289893.9644094724</v>
      </c>
      <c r="N133" s="461">
        <f t="shared" si="72"/>
        <v>6289893.9644094724</v>
      </c>
      <c r="O133" s="461">
        <f t="shared" si="72"/>
        <v>6289893.9644094724</v>
      </c>
      <c r="P133" s="461">
        <f t="shared" si="72"/>
        <v>6289893.9644094724</v>
      </c>
      <c r="Q133" s="461">
        <f t="shared" si="72"/>
        <v>6289893.9644094724</v>
      </c>
      <c r="R133" s="461">
        <f t="shared" si="72"/>
        <v>6289893.9644094724</v>
      </c>
      <c r="S133" s="461">
        <f t="shared" si="72"/>
        <v>6289893.9644094724</v>
      </c>
      <c r="T133" s="461">
        <f t="shared" si="72"/>
        <v>6289893.9644094724</v>
      </c>
      <c r="U133" s="461">
        <f t="shared" si="72"/>
        <v>6289893.9644094724</v>
      </c>
      <c r="V133" s="461">
        <f t="shared" si="72"/>
        <v>6289893.9644094724</v>
      </c>
      <c r="W133" s="461">
        <f t="shared" si="72"/>
        <v>6289893.9644094724</v>
      </c>
      <c r="X133" s="461">
        <f t="shared" si="72"/>
        <v>6289893.9644094724</v>
      </c>
      <c r="Y133" s="461">
        <f t="shared" si="72"/>
        <v>6289893.9644094724</v>
      </c>
      <c r="Z133" s="461">
        <f t="shared" si="72"/>
        <v>106062036.13116515</v>
      </c>
    </row>
  </sheetData>
  <mergeCells count="47">
    <mergeCell ref="L59:L60"/>
    <mergeCell ref="M59:M60"/>
    <mergeCell ref="G59:G60"/>
    <mergeCell ref="H59:H60"/>
    <mergeCell ref="I59:I60"/>
    <mergeCell ref="J59:J60"/>
    <mergeCell ref="K59:K60"/>
    <mergeCell ref="R40:S40"/>
    <mergeCell ref="E9:E12"/>
    <mergeCell ref="E13:E16"/>
    <mergeCell ref="U40:U41"/>
    <mergeCell ref="R2:S2"/>
    <mergeCell ref="G2:M2"/>
    <mergeCell ref="Q2:Q3"/>
    <mergeCell ref="F2:F3"/>
    <mergeCell ref="N2:P2"/>
    <mergeCell ref="T40:T41"/>
    <mergeCell ref="G22:M22"/>
    <mergeCell ref="N22:P22"/>
    <mergeCell ref="Q22:Q23"/>
    <mergeCell ref="R22:S22"/>
    <mergeCell ref="G40:M40"/>
    <mergeCell ref="N40:P40"/>
    <mergeCell ref="Q40:Q41"/>
    <mergeCell ref="B1:F1"/>
    <mergeCell ref="F21:J21"/>
    <mergeCell ref="F29:J29"/>
    <mergeCell ref="B39:F39"/>
    <mergeCell ref="F40:F41"/>
    <mergeCell ref="E2:E3"/>
    <mergeCell ref="F22:F23"/>
    <mergeCell ref="D2:D3"/>
    <mergeCell ref="C2:C3"/>
    <mergeCell ref="B2:B3"/>
    <mergeCell ref="E5:E8"/>
    <mergeCell ref="E22:E23"/>
    <mergeCell ref="A75:E75"/>
    <mergeCell ref="B40:B41"/>
    <mergeCell ref="C40:C41"/>
    <mergeCell ref="D40:D41"/>
    <mergeCell ref="E40:E41"/>
    <mergeCell ref="B58:F58"/>
    <mergeCell ref="B59:B60"/>
    <mergeCell ref="C59:C60"/>
    <mergeCell ref="D59:D60"/>
    <mergeCell ref="E59:E60"/>
    <mergeCell ref="F59:F60"/>
  </mergeCells>
  <pageMargins left="0.7" right="0.7" top="0.75" bottom="0.75" header="0.3" footer="0.3"/>
  <pageSetup paperSize="9" scale="22" orientation="portrait" r:id="rId1"/>
  <colBreaks count="1" manualBreakCount="1">
    <brk id="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AQ29"/>
  <sheetViews>
    <sheetView zoomScale="90" zoomScaleNormal="90" workbookViewId="0">
      <selection activeCell="F17" sqref="F17"/>
    </sheetView>
  </sheetViews>
  <sheetFormatPr defaultColWidth="9.33203125" defaultRowHeight="15" x14ac:dyDescent="0.2"/>
  <cols>
    <col min="1" max="4" width="9.33203125" style="485"/>
    <col min="5" max="5" width="19.6640625" style="485" customWidth="1"/>
    <col min="6" max="6" width="13.6640625" style="485" customWidth="1"/>
    <col min="7" max="7" width="11.6640625" style="485" bestFit="1" customWidth="1"/>
    <col min="8" max="8" width="9.33203125" style="485"/>
    <col min="9" max="9" width="19.6640625" style="485" customWidth="1"/>
    <col min="10" max="10" width="14.83203125" style="485" bestFit="1" customWidth="1"/>
    <col min="11" max="11" width="18" style="485" bestFit="1" customWidth="1"/>
    <col min="12" max="12" width="9.33203125" style="485"/>
    <col min="13" max="13" width="19.6640625" style="485" customWidth="1"/>
    <col min="14" max="14" width="14.83203125" style="485" bestFit="1" customWidth="1"/>
    <col min="15" max="15" width="18" style="485" bestFit="1" customWidth="1"/>
    <col min="16" max="16" width="9.33203125" style="485"/>
    <col min="17" max="17" width="19.6640625" style="485" customWidth="1"/>
    <col min="18" max="18" width="14.83203125" style="485" bestFit="1" customWidth="1"/>
    <col min="19" max="19" width="18" style="485" bestFit="1" customWidth="1"/>
    <col min="20" max="20" width="9.33203125" style="485"/>
    <col min="21" max="21" width="19.6640625" style="485" customWidth="1"/>
    <col min="22" max="22" width="14.83203125" style="485" bestFit="1" customWidth="1"/>
    <col min="23" max="23" width="18" style="485" bestFit="1" customWidth="1"/>
    <col min="24" max="24" width="9.33203125" style="485"/>
    <col min="25" max="25" width="19.6640625" style="485" customWidth="1"/>
    <col min="26" max="26" width="14.83203125" style="485" bestFit="1" customWidth="1"/>
    <col min="27" max="27" width="18" style="485" bestFit="1" customWidth="1"/>
    <col min="28" max="28" width="9.33203125" style="485"/>
    <col min="29" max="29" width="19.6640625" style="485" customWidth="1"/>
    <col min="30" max="30" width="14.83203125" style="485" bestFit="1" customWidth="1"/>
    <col min="31" max="31" width="18" style="485" bestFit="1" customWidth="1"/>
    <col min="32" max="32" width="9.33203125" style="485"/>
    <col min="33" max="33" width="19.6640625" style="485" customWidth="1"/>
    <col min="34" max="34" width="14.83203125" style="485" bestFit="1" customWidth="1"/>
    <col min="35" max="35" width="18" style="485" bestFit="1" customWidth="1"/>
    <col min="36" max="36" width="9.33203125" style="485"/>
    <col min="37" max="37" width="19.6640625" style="485" customWidth="1"/>
    <col min="38" max="38" width="14.83203125" style="485" bestFit="1" customWidth="1"/>
    <col min="39" max="39" width="18" style="485" bestFit="1" customWidth="1"/>
    <col min="40" max="40" width="9.33203125" style="485"/>
    <col min="41" max="41" width="19.6640625" style="485" customWidth="1"/>
    <col min="42" max="42" width="14.83203125" style="485" bestFit="1" customWidth="1"/>
    <col min="43" max="43" width="18" style="485" bestFit="1" customWidth="1"/>
    <col min="44" max="16384" width="9.33203125" style="485"/>
  </cols>
  <sheetData>
    <row r="2" spans="2:43" ht="15.75" thickBot="1" x14ac:dyDescent="0.25"/>
    <row r="3" spans="2:43" ht="15.75" thickBot="1" x14ac:dyDescent="0.25">
      <c r="B3" s="486" t="s">
        <v>2917</v>
      </c>
      <c r="C3" s="487" t="s">
        <v>2757</v>
      </c>
      <c r="E3" s="707" t="s">
        <v>2941</v>
      </c>
      <c r="F3" s="708"/>
      <c r="G3" s="709"/>
      <c r="H3" s="488"/>
      <c r="I3" s="707" t="s">
        <v>2942</v>
      </c>
      <c r="J3" s="708"/>
      <c r="K3" s="709"/>
      <c r="L3" s="489"/>
      <c r="M3" s="707" t="s">
        <v>2943</v>
      </c>
      <c r="N3" s="708"/>
      <c r="O3" s="709"/>
      <c r="Q3" s="707" t="s">
        <v>2944</v>
      </c>
      <c r="R3" s="708"/>
      <c r="S3" s="709"/>
      <c r="U3" s="707" t="s">
        <v>2945</v>
      </c>
      <c r="V3" s="708"/>
      <c r="W3" s="709"/>
      <c r="Y3" s="707" t="s">
        <v>2946</v>
      </c>
      <c r="Z3" s="708"/>
      <c r="AA3" s="709"/>
      <c r="AC3" s="707" t="s">
        <v>2947</v>
      </c>
      <c r="AD3" s="708"/>
      <c r="AE3" s="709"/>
      <c r="AG3" s="707" t="s">
        <v>2948</v>
      </c>
      <c r="AH3" s="708"/>
      <c r="AI3" s="709"/>
      <c r="AK3" s="707" t="s">
        <v>2949</v>
      </c>
      <c r="AL3" s="708"/>
      <c r="AM3" s="709"/>
      <c r="AO3" s="707" t="s">
        <v>2950</v>
      </c>
      <c r="AP3" s="708"/>
      <c r="AQ3" s="709"/>
    </row>
    <row r="4" spans="2:43" x14ac:dyDescent="0.2">
      <c r="B4" s="490">
        <v>54</v>
      </c>
      <c r="C4" s="491">
        <v>2</v>
      </c>
      <c r="E4" s="492" t="s">
        <v>2840</v>
      </c>
      <c r="F4" s="493" t="s">
        <v>2951</v>
      </c>
      <c r="G4" s="494" t="s">
        <v>2952</v>
      </c>
      <c r="H4" s="495"/>
      <c r="I4" s="492" t="s">
        <v>2840</v>
      </c>
      <c r="J4" s="493" t="s">
        <v>2951</v>
      </c>
      <c r="K4" s="494" t="s">
        <v>2952</v>
      </c>
      <c r="L4" s="496"/>
      <c r="M4" s="492" t="s">
        <v>2840</v>
      </c>
      <c r="N4" s="493" t="s">
        <v>2951</v>
      </c>
      <c r="O4" s="494" t="s">
        <v>2952</v>
      </c>
      <c r="Q4" s="492" t="s">
        <v>2840</v>
      </c>
      <c r="R4" s="493" t="s">
        <v>2951</v>
      </c>
      <c r="S4" s="494" t="s">
        <v>2952</v>
      </c>
      <c r="U4" s="492" t="s">
        <v>2840</v>
      </c>
      <c r="V4" s="493" t="s">
        <v>2951</v>
      </c>
      <c r="W4" s="494" t="s">
        <v>2952</v>
      </c>
      <c r="Y4" s="492" t="s">
        <v>2840</v>
      </c>
      <c r="Z4" s="493" t="s">
        <v>2951</v>
      </c>
      <c r="AA4" s="494" t="s">
        <v>2952</v>
      </c>
      <c r="AC4" s="492" t="s">
        <v>2840</v>
      </c>
      <c r="AD4" s="493" t="s">
        <v>2951</v>
      </c>
      <c r="AE4" s="494" t="s">
        <v>2952</v>
      </c>
      <c r="AG4" s="492" t="s">
        <v>2840</v>
      </c>
      <c r="AH4" s="493" t="s">
        <v>2951</v>
      </c>
      <c r="AI4" s="494" t="s">
        <v>2952</v>
      </c>
      <c r="AK4" s="492" t="s">
        <v>2840</v>
      </c>
      <c r="AL4" s="493" t="s">
        <v>2951</v>
      </c>
      <c r="AM4" s="494" t="s">
        <v>2952</v>
      </c>
      <c r="AO4" s="492" t="s">
        <v>2840</v>
      </c>
      <c r="AP4" s="493" t="s">
        <v>2951</v>
      </c>
      <c r="AQ4" s="494" t="s">
        <v>2952</v>
      </c>
    </row>
    <row r="5" spans="2:43" x14ac:dyDescent="0.2">
      <c r="B5" s="497">
        <v>76</v>
      </c>
      <c r="C5" s="498">
        <v>3</v>
      </c>
      <c r="E5" s="499">
        <v>30</v>
      </c>
      <c r="F5" s="500">
        <v>250</v>
      </c>
      <c r="G5" s="501">
        <v>6</v>
      </c>
      <c r="H5" s="495"/>
      <c r="I5" s="499">
        <v>40</v>
      </c>
      <c r="J5" s="500">
        <v>1750</v>
      </c>
      <c r="K5" s="501">
        <v>69</v>
      </c>
      <c r="L5" s="496"/>
      <c r="M5" s="502">
        <v>55</v>
      </c>
      <c r="N5" s="503">
        <v>1100</v>
      </c>
      <c r="O5" s="501">
        <v>82</v>
      </c>
      <c r="Q5" s="502">
        <v>55</v>
      </c>
      <c r="R5" s="503">
        <v>700</v>
      </c>
      <c r="S5" s="501">
        <v>52</v>
      </c>
      <c r="U5" s="502">
        <v>65</v>
      </c>
      <c r="V5" s="503">
        <v>1350</v>
      </c>
      <c r="W5" s="501">
        <v>140</v>
      </c>
      <c r="Y5" s="502">
        <v>90</v>
      </c>
      <c r="Z5" s="503">
        <v>950</v>
      </c>
      <c r="AA5" s="501">
        <v>189</v>
      </c>
      <c r="AC5" s="502">
        <v>90</v>
      </c>
      <c r="AD5" s="503">
        <v>950</v>
      </c>
      <c r="AE5" s="501">
        <v>189</v>
      </c>
      <c r="AG5" s="502">
        <v>105</v>
      </c>
      <c r="AH5" s="503">
        <v>1400</v>
      </c>
      <c r="AI5" s="501">
        <v>379</v>
      </c>
      <c r="AK5" s="502">
        <v>105</v>
      </c>
      <c r="AL5" s="503">
        <v>1400</v>
      </c>
      <c r="AM5" s="501">
        <v>379</v>
      </c>
      <c r="AO5" s="502">
        <v>105</v>
      </c>
      <c r="AP5" s="503">
        <v>1400</v>
      </c>
      <c r="AQ5" s="501">
        <v>379</v>
      </c>
    </row>
    <row r="6" spans="2:43" x14ac:dyDescent="0.2">
      <c r="B6" s="497">
        <v>95</v>
      </c>
      <c r="C6" s="498">
        <v>5</v>
      </c>
      <c r="E6" s="499">
        <v>35</v>
      </c>
      <c r="F6" s="500">
        <v>600</v>
      </c>
      <c r="G6" s="501">
        <v>19</v>
      </c>
      <c r="H6" s="495"/>
      <c r="I6" s="499">
        <v>55</v>
      </c>
      <c r="J6" s="500">
        <v>2400</v>
      </c>
      <c r="K6" s="501">
        <v>178</v>
      </c>
      <c r="L6" s="496"/>
      <c r="M6" s="502">
        <v>70</v>
      </c>
      <c r="N6" s="503">
        <v>4200</v>
      </c>
      <c r="O6" s="501">
        <v>505</v>
      </c>
      <c r="Q6" s="502">
        <v>65</v>
      </c>
      <c r="R6" s="504">
        <v>500</v>
      </c>
      <c r="S6" s="501">
        <v>52</v>
      </c>
      <c r="U6" s="502">
        <v>90</v>
      </c>
      <c r="V6" s="504">
        <v>5350</v>
      </c>
      <c r="W6" s="501">
        <v>1062</v>
      </c>
      <c r="Y6" s="502">
        <v>125</v>
      </c>
      <c r="Z6" s="504">
        <v>7350</v>
      </c>
      <c r="AA6" s="501">
        <v>2815</v>
      </c>
      <c r="AC6" s="502">
        <v>125</v>
      </c>
      <c r="AD6" s="504">
        <v>650</v>
      </c>
      <c r="AE6" s="501">
        <v>249</v>
      </c>
      <c r="AG6" s="502">
        <v>145</v>
      </c>
      <c r="AH6" s="504">
        <v>6750</v>
      </c>
      <c r="AI6" s="501">
        <v>3478</v>
      </c>
      <c r="AK6" s="502">
        <v>150</v>
      </c>
      <c r="AL6" s="504">
        <v>6350</v>
      </c>
      <c r="AM6" s="501">
        <v>3502</v>
      </c>
      <c r="AO6" s="502">
        <v>145</v>
      </c>
      <c r="AP6" s="504">
        <v>700</v>
      </c>
      <c r="AQ6" s="501">
        <v>361</v>
      </c>
    </row>
    <row r="7" spans="2:43" x14ac:dyDescent="0.2">
      <c r="B7" s="497">
        <v>106</v>
      </c>
      <c r="C7" s="498">
        <v>10</v>
      </c>
      <c r="E7" s="499">
        <v>40</v>
      </c>
      <c r="F7" s="500">
        <v>800</v>
      </c>
      <c r="G7" s="501">
        <v>32</v>
      </c>
      <c r="H7" s="495"/>
      <c r="I7" s="499">
        <v>70</v>
      </c>
      <c r="J7" s="500">
        <v>400</v>
      </c>
      <c r="K7" s="501">
        <v>49</v>
      </c>
      <c r="L7" s="496"/>
      <c r="M7" s="502">
        <v>90</v>
      </c>
      <c r="N7" s="503">
        <v>1400</v>
      </c>
      <c r="O7" s="501">
        <v>278</v>
      </c>
      <c r="P7" s="505"/>
      <c r="Q7" s="502">
        <v>80</v>
      </c>
      <c r="R7" s="504">
        <v>4850</v>
      </c>
      <c r="S7" s="501">
        <v>761</v>
      </c>
      <c r="U7" s="502">
        <v>125</v>
      </c>
      <c r="V7" s="504">
        <v>3350</v>
      </c>
      <c r="W7" s="501">
        <v>1283</v>
      </c>
      <c r="Y7" s="502">
        <v>135</v>
      </c>
      <c r="Z7" s="504">
        <v>800</v>
      </c>
      <c r="AA7" s="501">
        <v>358</v>
      </c>
      <c r="AC7" s="502">
        <v>135</v>
      </c>
      <c r="AD7" s="504">
        <v>5300</v>
      </c>
      <c r="AE7" s="501">
        <v>2367</v>
      </c>
      <c r="AG7" s="502">
        <v>160</v>
      </c>
      <c r="AH7" s="504">
        <v>3000</v>
      </c>
      <c r="AI7" s="501">
        <v>1882</v>
      </c>
      <c r="AK7" s="502">
        <v>160</v>
      </c>
      <c r="AL7" s="504">
        <v>3000</v>
      </c>
      <c r="AM7" s="501">
        <v>1882</v>
      </c>
      <c r="AO7" s="502">
        <v>160</v>
      </c>
      <c r="AP7" s="504">
        <v>3700</v>
      </c>
      <c r="AQ7" s="501">
        <v>2322</v>
      </c>
    </row>
    <row r="8" spans="2:43" ht="15.75" thickBot="1" x14ac:dyDescent="0.25">
      <c r="B8" s="497">
        <v>120</v>
      </c>
      <c r="C8" s="498">
        <v>10</v>
      </c>
      <c r="E8" s="506">
        <v>50</v>
      </c>
      <c r="F8" s="503">
        <v>700</v>
      </c>
      <c r="G8" s="501">
        <v>43</v>
      </c>
      <c r="H8" s="495"/>
      <c r="I8" s="506">
        <v>80</v>
      </c>
      <c r="J8" s="503">
        <v>400</v>
      </c>
      <c r="K8" s="501">
        <v>63</v>
      </c>
      <c r="L8" s="496"/>
      <c r="M8" s="507">
        <v>115</v>
      </c>
      <c r="N8" s="508">
        <v>3000</v>
      </c>
      <c r="O8" s="509">
        <v>973</v>
      </c>
      <c r="P8" s="505"/>
      <c r="Q8" s="502">
        <v>90</v>
      </c>
      <c r="R8" s="504">
        <v>1400</v>
      </c>
      <c r="S8" s="501">
        <v>278</v>
      </c>
      <c r="U8" s="510">
        <v>140</v>
      </c>
      <c r="V8" s="511">
        <v>1100</v>
      </c>
      <c r="W8" s="512">
        <v>529</v>
      </c>
      <c r="Y8" s="502">
        <v>175</v>
      </c>
      <c r="Z8" s="504">
        <v>450</v>
      </c>
      <c r="AA8" s="501">
        <v>338</v>
      </c>
      <c r="AC8" s="502">
        <v>160</v>
      </c>
      <c r="AD8" s="504">
        <v>2500</v>
      </c>
      <c r="AE8" s="501">
        <v>1569</v>
      </c>
      <c r="AG8" s="502">
        <v>190</v>
      </c>
      <c r="AH8" s="504">
        <v>1150</v>
      </c>
      <c r="AI8" s="501">
        <v>1018</v>
      </c>
      <c r="AK8" s="502">
        <v>190</v>
      </c>
      <c r="AL8" s="504">
        <v>1150</v>
      </c>
      <c r="AM8" s="501">
        <v>1018</v>
      </c>
      <c r="AO8" s="502">
        <v>170</v>
      </c>
      <c r="AP8" s="504">
        <v>3600</v>
      </c>
      <c r="AQ8" s="501">
        <v>2550</v>
      </c>
    </row>
    <row r="9" spans="2:43" ht="15.75" thickBot="1" x14ac:dyDescent="0.25">
      <c r="B9" s="497">
        <v>165</v>
      </c>
      <c r="C9" s="498">
        <v>8</v>
      </c>
      <c r="E9" s="513">
        <v>70</v>
      </c>
      <c r="F9" s="508">
        <v>900</v>
      </c>
      <c r="G9" s="509">
        <v>109</v>
      </c>
      <c r="H9" s="495"/>
      <c r="I9" s="506">
        <v>90</v>
      </c>
      <c r="J9" s="503">
        <v>2600</v>
      </c>
      <c r="K9" s="501">
        <v>517</v>
      </c>
      <c r="L9" s="496"/>
      <c r="M9" s="710" t="s">
        <v>2953</v>
      </c>
      <c r="N9" s="712" t="s">
        <v>2951</v>
      </c>
      <c r="O9" s="714" t="s">
        <v>2952</v>
      </c>
      <c r="P9" s="505"/>
      <c r="Q9" s="502">
        <v>115</v>
      </c>
      <c r="R9" s="504">
        <v>2050</v>
      </c>
      <c r="S9" s="501">
        <v>665</v>
      </c>
      <c r="U9" s="710" t="s">
        <v>2953</v>
      </c>
      <c r="V9" s="712" t="s">
        <v>2951</v>
      </c>
      <c r="W9" s="714" t="s">
        <v>2952</v>
      </c>
      <c r="Y9" s="510">
        <v>185</v>
      </c>
      <c r="Z9" s="511">
        <v>1500</v>
      </c>
      <c r="AA9" s="512">
        <v>1258</v>
      </c>
      <c r="AC9" s="502">
        <v>185</v>
      </c>
      <c r="AD9" s="504">
        <v>1150</v>
      </c>
      <c r="AE9" s="501">
        <v>965</v>
      </c>
      <c r="AG9" s="510">
        <v>220</v>
      </c>
      <c r="AH9" s="511">
        <v>2500</v>
      </c>
      <c r="AI9" s="512">
        <v>2966</v>
      </c>
      <c r="AK9" s="510">
        <v>220</v>
      </c>
      <c r="AL9" s="511">
        <v>2500</v>
      </c>
      <c r="AM9" s="512">
        <v>2966</v>
      </c>
      <c r="AO9" s="502">
        <v>190</v>
      </c>
      <c r="AP9" s="504">
        <v>450</v>
      </c>
      <c r="AQ9" s="501">
        <v>399</v>
      </c>
    </row>
    <row r="10" spans="2:43" ht="15.75" thickBot="1" x14ac:dyDescent="0.25">
      <c r="B10" s="497">
        <v>172</v>
      </c>
      <c r="C10" s="498">
        <v>25</v>
      </c>
      <c r="E10" s="710" t="s">
        <v>2953</v>
      </c>
      <c r="F10" s="712" t="s">
        <v>2951</v>
      </c>
      <c r="G10" s="724" t="s">
        <v>2952</v>
      </c>
      <c r="H10" s="495"/>
      <c r="I10" s="513">
        <v>95</v>
      </c>
      <c r="J10" s="508">
        <v>500</v>
      </c>
      <c r="K10" s="509">
        <v>111</v>
      </c>
      <c r="L10" s="496"/>
      <c r="M10" s="711"/>
      <c r="N10" s="713"/>
      <c r="O10" s="715"/>
      <c r="P10" s="505"/>
      <c r="Q10" s="507">
        <v>125</v>
      </c>
      <c r="R10" s="514">
        <v>1000</v>
      </c>
      <c r="S10" s="509">
        <v>383</v>
      </c>
      <c r="U10" s="711"/>
      <c r="V10" s="713"/>
      <c r="W10" s="715"/>
      <c r="Y10" s="710" t="s">
        <v>2953</v>
      </c>
      <c r="Z10" s="712" t="s">
        <v>2951</v>
      </c>
      <c r="AA10" s="714" t="s">
        <v>2952</v>
      </c>
      <c r="AC10" s="510">
        <v>195</v>
      </c>
      <c r="AD10" s="511">
        <v>1500</v>
      </c>
      <c r="AE10" s="512">
        <v>1398</v>
      </c>
      <c r="AG10" s="710" t="s">
        <v>2953</v>
      </c>
      <c r="AH10" s="712" t="s">
        <v>2951</v>
      </c>
      <c r="AI10" s="714" t="s">
        <v>2952</v>
      </c>
      <c r="AK10" s="710" t="s">
        <v>2953</v>
      </c>
      <c r="AL10" s="712" t="s">
        <v>2951</v>
      </c>
      <c r="AM10" s="714" t="s">
        <v>2952</v>
      </c>
      <c r="AO10" s="510">
        <v>250</v>
      </c>
      <c r="AP10" s="511">
        <v>1500</v>
      </c>
      <c r="AQ10" s="512">
        <v>2298</v>
      </c>
    </row>
    <row r="11" spans="2:43" x14ac:dyDescent="0.2">
      <c r="B11" s="497">
        <v>195</v>
      </c>
      <c r="C11" s="498">
        <v>7</v>
      </c>
      <c r="E11" s="711"/>
      <c r="F11" s="713"/>
      <c r="G11" s="725"/>
      <c r="H11" s="495"/>
      <c r="I11" s="710" t="s">
        <v>2953</v>
      </c>
      <c r="J11" s="712" t="s">
        <v>2951</v>
      </c>
      <c r="K11" s="714" t="s">
        <v>2952</v>
      </c>
      <c r="L11" s="496"/>
      <c r="M11" s="502" t="s">
        <v>2954</v>
      </c>
      <c r="N11" s="503">
        <v>400</v>
      </c>
      <c r="O11" s="501">
        <v>67</v>
      </c>
      <c r="P11" s="505"/>
      <c r="Q11" s="710" t="s">
        <v>2953</v>
      </c>
      <c r="R11" s="712" t="s">
        <v>2951</v>
      </c>
      <c r="S11" s="714" t="s">
        <v>2952</v>
      </c>
      <c r="U11" s="502" t="s">
        <v>2955</v>
      </c>
      <c r="V11" s="504">
        <v>500</v>
      </c>
      <c r="W11" s="501">
        <v>124</v>
      </c>
      <c r="Y11" s="711"/>
      <c r="Z11" s="713"/>
      <c r="AA11" s="715"/>
      <c r="AC11" s="710" t="s">
        <v>2953</v>
      </c>
      <c r="AD11" s="712" t="s">
        <v>2951</v>
      </c>
      <c r="AE11" s="714" t="s">
        <v>2952</v>
      </c>
      <c r="AG11" s="711"/>
      <c r="AH11" s="713"/>
      <c r="AI11" s="715"/>
      <c r="AK11" s="711"/>
      <c r="AL11" s="713"/>
      <c r="AM11" s="715"/>
      <c r="AO11" s="710" t="s">
        <v>2953</v>
      </c>
      <c r="AP11" s="712" t="s">
        <v>2951</v>
      </c>
      <c r="AQ11" s="714" t="s">
        <v>2952</v>
      </c>
    </row>
    <row r="12" spans="2:43" x14ac:dyDescent="0.2">
      <c r="B12" s="497">
        <v>215</v>
      </c>
      <c r="C12" s="498">
        <v>4</v>
      </c>
      <c r="E12" s="515" t="s">
        <v>2956</v>
      </c>
      <c r="F12" s="500">
        <v>1600</v>
      </c>
      <c r="G12" s="501">
        <v>79</v>
      </c>
      <c r="H12" s="495"/>
      <c r="I12" s="711"/>
      <c r="J12" s="713"/>
      <c r="K12" s="715"/>
      <c r="L12" s="496"/>
      <c r="M12" s="502" t="s">
        <v>2957</v>
      </c>
      <c r="N12" s="503">
        <v>5100</v>
      </c>
      <c r="O12" s="501">
        <v>616</v>
      </c>
      <c r="P12" s="505"/>
      <c r="Q12" s="711"/>
      <c r="R12" s="713"/>
      <c r="S12" s="715"/>
      <c r="U12" s="502" t="s">
        <v>2958</v>
      </c>
      <c r="V12" s="503">
        <v>1650</v>
      </c>
      <c r="W12" s="501">
        <v>422</v>
      </c>
      <c r="Y12" s="502" t="s">
        <v>2959</v>
      </c>
      <c r="Z12" s="504">
        <v>550</v>
      </c>
      <c r="AA12" s="501">
        <v>209</v>
      </c>
      <c r="AC12" s="711"/>
      <c r="AD12" s="713"/>
      <c r="AE12" s="715"/>
      <c r="AG12" s="502" t="s">
        <v>2960</v>
      </c>
      <c r="AH12" s="504">
        <v>550</v>
      </c>
      <c r="AI12" s="501">
        <v>280</v>
      </c>
      <c r="AK12" s="502" t="s">
        <v>2960</v>
      </c>
      <c r="AL12" s="504">
        <v>550</v>
      </c>
      <c r="AM12" s="501">
        <v>280</v>
      </c>
      <c r="AO12" s="711"/>
      <c r="AP12" s="713"/>
      <c r="AQ12" s="715"/>
    </row>
    <row r="13" spans="2:43" ht="15.75" thickBot="1" x14ac:dyDescent="0.25">
      <c r="B13" s="516">
        <v>240</v>
      </c>
      <c r="C13" s="517">
        <v>6</v>
      </c>
      <c r="E13" s="518" t="s">
        <v>2961</v>
      </c>
      <c r="F13" s="508">
        <v>800</v>
      </c>
      <c r="G13" s="509">
        <v>46</v>
      </c>
      <c r="H13" s="495"/>
      <c r="I13" s="502" t="s">
        <v>2962</v>
      </c>
      <c r="J13" s="503">
        <v>3800</v>
      </c>
      <c r="K13" s="501">
        <v>436</v>
      </c>
      <c r="L13" s="496"/>
      <c r="M13" s="502" t="s">
        <v>2963</v>
      </c>
      <c r="N13" s="503">
        <v>1000</v>
      </c>
      <c r="O13" s="501">
        <v>204</v>
      </c>
      <c r="Q13" s="502" t="s">
        <v>2954</v>
      </c>
      <c r="R13" s="503">
        <v>850</v>
      </c>
      <c r="S13" s="501">
        <v>142</v>
      </c>
      <c r="U13" s="502" t="s">
        <v>2964</v>
      </c>
      <c r="V13" s="503">
        <v>6350</v>
      </c>
      <c r="W13" s="501">
        <v>1106</v>
      </c>
      <c r="Y13" s="502" t="s">
        <v>2965</v>
      </c>
      <c r="Z13" s="504">
        <v>650</v>
      </c>
      <c r="AA13" s="501">
        <v>277</v>
      </c>
      <c r="AC13" s="502" t="s">
        <v>2959</v>
      </c>
      <c r="AD13" s="504">
        <v>550</v>
      </c>
      <c r="AE13" s="501">
        <v>209</v>
      </c>
      <c r="AG13" s="502" t="s">
        <v>2966</v>
      </c>
      <c r="AH13" s="504">
        <v>650</v>
      </c>
      <c r="AI13" s="501">
        <v>388</v>
      </c>
      <c r="AK13" s="502" t="s">
        <v>2966</v>
      </c>
      <c r="AL13" s="504">
        <v>650</v>
      </c>
      <c r="AM13" s="501">
        <v>388</v>
      </c>
      <c r="AO13" s="502" t="s">
        <v>2967</v>
      </c>
      <c r="AP13" s="504">
        <v>600</v>
      </c>
      <c r="AQ13" s="501">
        <v>388</v>
      </c>
    </row>
    <row r="14" spans="2:43" ht="15.75" thickBot="1" x14ac:dyDescent="0.25">
      <c r="B14" s="486" t="s">
        <v>2918</v>
      </c>
      <c r="C14" s="487">
        <v>80</v>
      </c>
      <c r="E14" s="726" t="s">
        <v>2968</v>
      </c>
      <c r="F14" s="727"/>
      <c r="G14" s="728"/>
      <c r="H14" s="495"/>
      <c r="I14" s="510" t="s">
        <v>2954</v>
      </c>
      <c r="J14" s="519">
        <v>1500</v>
      </c>
      <c r="K14" s="512">
        <v>251</v>
      </c>
      <c r="L14" s="496"/>
      <c r="M14" s="510" t="s">
        <v>2958</v>
      </c>
      <c r="N14" s="519">
        <v>200</v>
      </c>
      <c r="O14" s="512">
        <v>52</v>
      </c>
      <c r="Q14" s="502" t="s">
        <v>2969</v>
      </c>
      <c r="R14" s="503">
        <v>5750</v>
      </c>
      <c r="S14" s="501">
        <v>1045</v>
      </c>
      <c r="U14" s="510" t="s">
        <v>2970</v>
      </c>
      <c r="V14" s="519">
        <v>200</v>
      </c>
      <c r="W14" s="512">
        <v>65</v>
      </c>
      <c r="Y14" s="502" t="s">
        <v>2971</v>
      </c>
      <c r="Z14" s="504">
        <v>6850</v>
      </c>
      <c r="AA14" s="501">
        <v>2149</v>
      </c>
      <c r="AC14" s="502" t="s">
        <v>2965</v>
      </c>
      <c r="AD14" s="504">
        <v>650</v>
      </c>
      <c r="AE14" s="501">
        <v>277</v>
      </c>
      <c r="AG14" s="502" t="s">
        <v>2972</v>
      </c>
      <c r="AH14" s="504">
        <v>5500</v>
      </c>
      <c r="AI14" s="501">
        <v>1974</v>
      </c>
      <c r="AK14" s="502" t="s">
        <v>2973</v>
      </c>
      <c r="AL14" s="504">
        <v>5000</v>
      </c>
      <c r="AM14" s="501">
        <v>1794</v>
      </c>
      <c r="AO14" s="502" t="s">
        <v>2974</v>
      </c>
      <c r="AP14" s="504">
        <v>650</v>
      </c>
      <c r="AQ14" s="501">
        <v>499</v>
      </c>
    </row>
    <row r="15" spans="2:43" ht="15.75" thickBot="1" x14ac:dyDescent="0.25">
      <c r="E15" s="716">
        <v>7.5</v>
      </c>
      <c r="F15" s="717"/>
      <c r="G15" s="718"/>
      <c r="H15" s="495"/>
      <c r="I15" s="719" t="s">
        <v>2968</v>
      </c>
      <c r="J15" s="712"/>
      <c r="K15" s="720"/>
      <c r="L15" s="496"/>
      <c r="M15" s="721" t="s">
        <v>2968</v>
      </c>
      <c r="N15" s="722"/>
      <c r="O15" s="723"/>
      <c r="Q15" s="510" t="s">
        <v>2958</v>
      </c>
      <c r="R15" s="519">
        <v>1300</v>
      </c>
      <c r="S15" s="512">
        <v>332</v>
      </c>
      <c r="U15" s="719" t="s">
        <v>2968</v>
      </c>
      <c r="V15" s="712"/>
      <c r="W15" s="720"/>
      <c r="Y15" s="502" t="s">
        <v>2960</v>
      </c>
      <c r="Z15" s="504">
        <v>1500</v>
      </c>
      <c r="AA15" s="501">
        <v>763</v>
      </c>
      <c r="AC15" s="502" t="s">
        <v>2975</v>
      </c>
      <c r="AD15" s="504">
        <v>6950</v>
      </c>
      <c r="AE15" s="501">
        <v>1888</v>
      </c>
      <c r="AG15" s="502" t="s">
        <v>2967</v>
      </c>
      <c r="AH15" s="504">
        <v>3150</v>
      </c>
      <c r="AI15" s="501">
        <v>2035</v>
      </c>
      <c r="AK15" s="502" t="s">
        <v>2967</v>
      </c>
      <c r="AL15" s="504">
        <v>3150</v>
      </c>
      <c r="AM15" s="501">
        <v>2035</v>
      </c>
      <c r="AO15" s="502" t="s">
        <v>2976</v>
      </c>
      <c r="AP15" s="504">
        <v>1700</v>
      </c>
      <c r="AQ15" s="501">
        <v>1409</v>
      </c>
    </row>
    <row r="16" spans="2:43" ht="15.75" thickBot="1" x14ac:dyDescent="0.25">
      <c r="H16" s="495"/>
      <c r="I16" s="729">
        <v>7.5</v>
      </c>
      <c r="J16" s="730"/>
      <c r="K16" s="731"/>
      <c r="L16" s="496"/>
      <c r="M16" s="732">
        <v>10</v>
      </c>
      <c r="N16" s="733"/>
      <c r="O16" s="734"/>
      <c r="Q16" s="719" t="s">
        <v>2968</v>
      </c>
      <c r="R16" s="712"/>
      <c r="S16" s="720"/>
      <c r="U16" s="729">
        <v>18</v>
      </c>
      <c r="V16" s="730"/>
      <c r="W16" s="731"/>
      <c r="Y16" s="502" t="s">
        <v>2966</v>
      </c>
      <c r="Z16" s="504">
        <v>2300</v>
      </c>
      <c r="AA16" s="501">
        <v>1370</v>
      </c>
      <c r="AC16" s="502" t="s">
        <v>2960</v>
      </c>
      <c r="AD16" s="504">
        <v>1500</v>
      </c>
      <c r="AE16" s="501">
        <v>763</v>
      </c>
      <c r="AG16" s="510" t="s">
        <v>2974</v>
      </c>
      <c r="AH16" s="511">
        <v>1300</v>
      </c>
      <c r="AI16" s="512">
        <v>998</v>
      </c>
      <c r="AK16" s="510" t="s">
        <v>2974</v>
      </c>
      <c r="AL16" s="511">
        <v>1300</v>
      </c>
      <c r="AM16" s="512">
        <v>998</v>
      </c>
      <c r="AO16" s="502" t="s">
        <v>2977</v>
      </c>
      <c r="AP16" s="504">
        <v>3700</v>
      </c>
      <c r="AQ16" s="501">
        <v>1632</v>
      </c>
    </row>
    <row r="17" spans="8:43" ht="15.75" thickBot="1" x14ac:dyDescent="0.25">
      <c r="H17" s="495"/>
      <c r="I17" s="721" t="s">
        <v>2978</v>
      </c>
      <c r="J17" s="722"/>
      <c r="K17" s="723"/>
      <c r="L17" s="496"/>
      <c r="M17" s="719" t="s">
        <v>2979</v>
      </c>
      <c r="N17" s="712"/>
      <c r="O17" s="720"/>
      <c r="Q17" s="729">
        <v>15</v>
      </c>
      <c r="R17" s="730"/>
      <c r="S17" s="731"/>
      <c r="U17" s="719" t="s">
        <v>2980</v>
      </c>
      <c r="V17" s="712"/>
      <c r="W17" s="720"/>
      <c r="Y17" s="510" t="s">
        <v>2981</v>
      </c>
      <c r="Z17" s="511">
        <v>300</v>
      </c>
      <c r="AA17" s="512">
        <v>218</v>
      </c>
      <c r="AC17" s="502" t="s">
        <v>2966</v>
      </c>
      <c r="AD17" s="504">
        <v>1600</v>
      </c>
      <c r="AE17" s="501">
        <v>953</v>
      </c>
      <c r="AG17" s="719" t="s">
        <v>2968</v>
      </c>
      <c r="AH17" s="712"/>
      <c r="AI17" s="720"/>
      <c r="AK17" s="719" t="s">
        <v>2968</v>
      </c>
      <c r="AL17" s="712"/>
      <c r="AM17" s="720"/>
      <c r="AO17" s="502" t="s">
        <v>2982</v>
      </c>
      <c r="AP17" s="504">
        <v>2300</v>
      </c>
      <c r="AQ17" s="501">
        <v>1240</v>
      </c>
    </row>
    <row r="18" spans="8:43" ht="15.75" thickBot="1" x14ac:dyDescent="0.25">
      <c r="H18" s="495"/>
      <c r="I18" s="735" t="s">
        <v>2757</v>
      </c>
      <c r="J18" s="713" t="s">
        <v>2983</v>
      </c>
      <c r="K18" s="736" t="s">
        <v>2984</v>
      </c>
      <c r="L18" s="496"/>
      <c r="M18" s="735" t="s">
        <v>2757</v>
      </c>
      <c r="N18" s="713" t="s">
        <v>2983</v>
      </c>
      <c r="O18" s="736" t="s">
        <v>2984</v>
      </c>
      <c r="Q18" s="719" t="s">
        <v>2979</v>
      </c>
      <c r="R18" s="712"/>
      <c r="S18" s="720"/>
      <c r="U18" s="735" t="s">
        <v>2757</v>
      </c>
      <c r="V18" s="713" t="s">
        <v>2983</v>
      </c>
      <c r="W18" s="736" t="s">
        <v>2984</v>
      </c>
      <c r="Y18" s="719" t="s">
        <v>2968</v>
      </c>
      <c r="Z18" s="712"/>
      <c r="AA18" s="720"/>
      <c r="AC18" s="502" t="s">
        <v>2974</v>
      </c>
      <c r="AD18" s="504">
        <v>300</v>
      </c>
      <c r="AE18" s="501">
        <v>231</v>
      </c>
      <c r="AG18" s="729">
        <v>67</v>
      </c>
      <c r="AH18" s="730"/>
      <c r="AI18" s="731"/>
      <c r="AK18" s="729">
        <v>74</v>
      </c>
      <c r="AL18" s="730"/>
      <c r="AM18" s="731"/>
      <c r="AO18" s="502" t="s">
        <v>2985</v>
      </c>
      <c r="AP18" s="504">
        <v>350</v>
      </c>
      <c r="AQ18" s="501">
        <v>259</v>
      </c>
    </row>
    <row r="19" spans="8:43" ht="15.75" thickBot="1" x14ac:dyDescent="0.25">
      <c r="H19" s="495"/>
      <c r="I19" s="735"/>
      <c r="J19" s="713"/>
      <c r="K19" s="736"/>
      <c r="L19" s="496"/>
      <c r="M19" s="735"/>
      <c r="N19" s="713"/>
      <c r="O19" s="736"/>
      <c r="Q19" s="735" t="s">
        <v>2757</v>
      </c>
      <c r="R19" s="713" t="s">
        <v>2983</v>
      </c>
      <c r="S19" s="736" t="s">
        <v>2984</v>
      </c>
      <c r="U19" s="735"/>
      <c r="V19" s="713"/>
      <c r="W19" s="736"/>
      <c r="Y19" s="729">
        <v>38</v>
      </c>
      <c r="Z19" s="730"/>
      <c r="AA19" s="731"/>
      <c r="AC19" s="719" t="s">
        <v>2968</v>
      </c>
      <c r="AD19" s="712"/>
      <c r="AE19" s="720"/>
      <c r="AG19" s="719" t="s">
        <v>2986</v>
      </c>
      <c r="AH19" s="712"/>
      <c r="AI19" s="720"/>
      <c r="AK19" s="719" t="s">
        <v>2986</v>
      </c>
      <c r="AL19" s="712"/>
      <c r="AM19" s="720"/>
      <c r="AO19" s="502" t="s">
        <v>2987</v>
      </c>
      <c r="AP19" s="504">
        <v>1300</v>
      </c>
      <c r="AQ19" s="501">
        <v>1045</v>
      </c>
    </row>
    <row r="20" spans="8:43" ht="15.75" thickBot="1" x14ac:dyDescent="0.25">
      <c r="H20" s="495"/>
      <c r="I20" s="520">
        <v>8</v>
      </c>
      <c r="J20" s="521">
        <v>100</v>
      </c>
      <c r="K20" s="512">
        <v>800</v>
      </c>
      <c r="L20" s="496"/>
      <c r="M20" s="520">
        <v>10</v>
      </c>
      <c r="N20" s="521">
        <v>150</v>
      </c>
      <c r="O20" s="512">
        <v>1500</v>
      </c>
      <c r="Q20" s="735"/>
      <c r="R20" s="713"/>
      <c r="S20" s="736"/>
      <c r="U20" s="520">
        <v>10</v>
      </c>
      <c r="V20" s="521">
        <v>220</v>
      </c>
      <c r="W20" s="512">
        <v>2200</v>
      </c>
      <c r="Y20" s="719" t="s">
        <v>2980</v>
      </c>
      <c r="Z20" s="712"/>
      <c r="AA20" s="720"/>
      <c r="AC20" s="729">
        <v>40</v>
      </c>
      <c r="AD20" s="730"/>
      <c r="AE20" s="731"/>
      <c r="AG20" s="735" t="s">
        <v>2757</v>
      </c>
      <c r="AH20" s="713" t="s">
        <v>2983</v>
      </c>
      <c r="AI20" s="736" t="s">
        <v>2984</v>
      </c>
      <c r="AK20" s="735" t="s">
        <v>2757</v>
      </c>
      <c r="AL20" s="713" t="s">
        <v>2983</v>
      </c>
      <c r="AM20" s="736" t="s">
        <v>2984</v>
      </c>
      <c r="AO20" s="510" t="s">
        <v>2988</v>
      </c>
      <c r="AP20" s="511">
        <v>300</v>
      </c>
      <c r="AQ20" s="512">
        <v>328</v>
      </c>
    </row>
    <row r="21" spans="8:43" ht="15.75" thickBot="1" x14ac:dyDescent="0.25">
      <c r="H21" s="495"/>
      <c r="I21" s="495"/>
      <c r="L21" s="496"/>
      <c r="M21" s="721" t="s">
        <v>2989</v>
      </c>
      <c r="N21" s="722"/>
      <c r="O21" s="723"/>
      <c r="Q21" s="520">
        <v>7</v>
      </c>
      <c r="R21" s="521">
        <v>180</v>
      </c>
      <c r="S21" s="512">
        <v>1260</v>
      </c>
      <c r="U21" s="721" t="s">
        <v>2989</v>
      </c>
      <c r="V21" s="722"/>
      <c r="W21" s="723"/>
      <c r="Y21" s="735" t="s">
        <v>2757</v>
      </c>
      <c r="Z21" s="713" t="s">
        <v>2983</v>
      </c>
      <c r="AA21" s="736" t="s">
        <v>2984</v>
      </c>
      <c r="AC21" s="719" t="s">
        <v>2986</v>
      </c>
      <c r="AD21" s="712"/>
      <c r="AE21" s="720"/>
      <c r="AG21" s="735"/>
      <c r="AH21" s="713"/>
      <c r="AI21" s="736"/>
      <c r="AK21" s="735"/>
      <c r="AL21" s="713"/>
      <c r="AM21" s="736"/>
      <c r="AO21" s="719" t="s">
        <v>2968</v>
      </c>
      <c r="AP21" s="712"/>
      <c r="AQ21" s="720"/>
    </row>
    <row r="22" spans="8:43" ht="15.75" thickBot="1" x14ac:dyDescent="0.25">
      <c r="H22" s="495"/>
      <c r="I22" s="495"/>
      <c r="L22" s="496"/>
      <c r="M22" s="737" t="s">
        <v>2438</v>
      </c>
      <c r="N22" s="738"/>
      <c r="O22" s="522" t="s">
        <v>2757</v>
      </c>
      <c r="Q22" s="721" t="s">
        <v>2989</v>
      </c>
      <c r="R22" s="722"/>
      <c r="S22" s="723"/>
      <c r="U22" s="737" t="s">
        <v>2438</v>
      </c>
      <c r="V22" s="738"/>
      <c r="W22" s="522" t="s">
        <v>2757</v>
      </c>
      <c r="Y22" s="735"/>
      <c r="Z22" s="713"/>
      <c r="AA22" s="736"/>
      <c r="AC22" s="735" t="s">
        <v>2757</v>
      </c>
      <c r="AD22" s="713" t="s">
        <v>2983</v>
      </c>
      <c r="AE22" s="736" t="s">
        <v>2984</v>
      </c>
      <c r="AG22" s="520">
        <v>15</v>
      </c>
      <c r="AH22" s="521">
        <v>400</v>
      </c>
      <c r="AI22" s="512">
        <v>6000</v>
      </c>
      <c r="AK22" s="520">
        <v>15</v>
      </c>
      <c r="AL22" s="521">
        <v>400</v>
      </c>
      <c r="AM22" s="512">
        <v>6000</v>
      </c>
      <c r="AO22" s="729">
        <v>81</v>
      </c>
      <c r="AP22" s="730"/>
      <c r="AQ22" s="731"/>
    </row>
    <row r="23" spans="8:43" ht="15.75" thickBot="1" x14ac:dyDescent="0.25">
      <c r="H23" s="495"/>
      <c r="I23" s="495"/>
      <c r="L23" s="496"/>
      <c r="M23" s="739" t="s">
        <v>2990</v>
      </c>
      <c r="N23" s="740"/>
      <c r="O23" s="512">
        <v>45</v>
      </c>
      <c r="Q23" s="737" t="s">
        <v>2438</v>
      </c>
      <c r="R23" s="738"/>
      <c r="S23" s="522" t="s">
        <v>2757</v>
      </c>
      <c r="U23" s="739" t="s">
        <v>2991</v>
      </c>
      <c r="V23" s="740"/>
      <c r="W23" s="512">
        <v>50</v>
      </c>
      <c r="Y23" s="520">
        <v>10</v>
      </c>
      <c r="Z23" s="521">
        <v>220</v>
      </c>
      <c r="AA23" s="512">
        <v>2200</v>
      </c>
      <c r="AC23" s="735"/>
      <c r="AD23" s="713"/>
      <c r="AE23" s="736"/>
      <c r="AG23" s="721" t="s">
        <v>2989</v>
      </c>
      <c r="AH23" s="722"/>
      <c r="AI23" s="723"/>
      <c r="AK23" s="721" t="s">
        <v>2989</v>
      </c>
      <c r="AL23" s="722"/>
      <c r="AM23" s="723"/>
      <c r="AO23" s="719" t="s">
        <v>2992</v>
      </c>
      <c r="AP23" s="712"/>
      <c r="AQ23" s="720"/>
    </row>
    <row r="24" spans="8:43" ht="15.75" thickBot="1" x14ac:dyDescent="0.25">
      <c r="H24" s="495"/>
      <c r="I24" s="495"/>
      <c r="L24" s="496"/>
      <c r="M24" s="496"/>
      <c r="Q24" s="739" t="s">
        <v>2991</v>
      </c>
      <c r="R24" s="740"/>
      <c r="S24" s="512">
        <v>50</v>
      </c>
      <c r="U24" s="496"/>
      <c r="V24" s="496"/>
      <c r="Y24" s="721" t="s">
        <v>2989</v>
      </c>
      <c r="Z24" s="722"/>
      <c r="AA24" s="723"/>
      <c r="AC24" s="520">
        <v>15</v>
      </c>
      <c r="AD24" s="521">
        <v>400</v>
      </c>
      <c r="AE24" s="512">
        <v>6000</v>
      </c>
      <c r="AG24" s="737" t="s">
        <v>2438</v>
      </c>
      <c r="AH24" s="738"/>
      <c r="AI24" s="522" t="s">
        <v>2757</v>
      </c>
      <c r="AK24" s="737" t="s">
        <v>2438</v>
      </c>
      <c r="AL24" s="738"/>
      <c r="AM24" s="522" t="s">
        <v>2757</v>
      </c>
      <c r="AO24" s="735" t="s">
        <v>2757</v>
      </c>
      <c r="AP24" s="713" t="s">
        <v>2983</v>
      </c>
      <c r="AQ24" s="736" t="s">
        <v>2984</v>
      </c>
    </row>
    <row r="25" spans="8:43" ht="15.75" thickBot="1" x14ac:dyDescent="0.25">
      <c r="H25" s="495"/>
      <c r="I25" s="495"/>
      <c r="L25" s="496"/>
      <c r="M25" s="523"/>
      <c r="N25" s="523"/>
      <c r="Q25" s="496"/>
      <c r="R25" s="496"/>
      <c r="U25" s="496"/>
      <c r="V25" s="496"/>
      <c r="Y25" s="737" t="s">
        <v>2438</v>
      </c>
      <c r="Z25" s="738"/>
      <c r="AA25" s="522" t="s">
        <v>2757</v>
      </c>
      <c r="AC25" s="721" t="s">
        <v>2989</v>
      </c>
      <c r="AD25" s="722"/>
      <c r="AE25" s="723"/>
      <c r="AG25" s="739" t="s">
        <v>2993</v>
      </c>
      <c r="AH25" s="740"/>
      <c r="AI25" s="512">
        <v>60</v>
      </c>
      <c r="AK25" s="739" t="s">
        <v>2993</v>
      </c>
      <c r="AL25" s="740"/>
      <c r="AM25" s="512">
        <v>60</v>
      </c>
      <c r="AO25" s="735"/>
      <c r="AP25" s="713"/>
      <c r="AQ25" s="736"/>
    </row>
    <row r="26" spans="8:43" ht="15.75" thickBot="1" x14ac:dyDescent="0.25">
      <c r="L26" s="496"/>
      <c r="M26" s="523"/>
      <c r="N26" s="523"/>
      <c r="Q26" s="496"/>
      <c r="R26" s="496"/>
      <c r="U26" s="496"/>
      <c r="V26" s="496"/>
      <c r="Y26" s="739" t="s">
        <v>2993</v>
      </c>
      <c r="Z26" s="740"/>
      <c r="AA26" s="512">
        <v>55</v>
      </c>
      <c r="AC26" s="737" t="s">
        <v>2438</v>
      </c>
      <c r="AD26" s="738"/>
      <c r="AE26" s="522" t="s">
        <v>2757</v>
      </c>
      <c r="AG26" s="496"/>
      <c r="AH26" s="496"/>
      <c r="AK26" s="496"/>
      <c r="AL26" s="496"/>
      <c r="AO26" s="520">
        <v>10</v>
      </c>
      <c r="AP26" s="521">
        <v>600</v>
      </c>
      <c r="AQ26" s="512">
        <v>6000</v>
      </c>
    </row>
    <row r="27" spans="8:43" ht="15.75" thickBot="1" x14ac:dyDescent="0.25">
      <c r="L27" s="496"/>
      <c r="M27" s="523"/>
      <c r="N27" s="523"/>
      <c r="Q27" s="496"/>
      <c r="R27" s="496"/>
      <c r="U27" s="496"/>
      <c r="V27" s="496"/>
      <c r="Y27" s="496"/>
      <c r="Z27" s="496"/>
      <c r="AC27" s="739" t="s">
        <v>2993</v>
      </c>
      <c r="AD27" s="740"/>
      <c r="AE27" s="512">
        <v>55</v>
      </c>
      <c r="AG27" s="496"/>
      <c r="AH27" s="496"/>
      <c r="AK27" s="496"/>
      <c r="AL27" s="496"/>
      <c r="AO27" s="721" t="s">
        <v>2989</v>
      </c>
      <c r="AP27" s="722"/>
      <c r="AQ27" s="723"/>
    </row>
    <row r="28" spans="8:43" x14ac:dyDescent="0.2">
      <c r="L28" s="496"/>
      <c r="M28" s="523"/>
      <c r="N28" s="523"/>
      <c r="Q28" s="496"/>
      <c r="R28" s="496"/>
      <c r="U28" s="496"/>
      <c r="V28" s="496"/>
      <c r="Y28" s="496"/>
      <c r="Z28" s="496"/>
      <c r="AC28" s="496"/>
      <c r="AD28" s="496"/>
      <c r="AG28" s="496"/>
      <c r="AH28" s="496"/>
      <c r="AK28" s="496"/>
      <c r="AL28" s="496"/>
      <c r="AO28" s="737" t="s">
        <v>2438</v>
      </c>
      <c r="AP28" s="738"/>
      <c r="AQ28" s="522" t="s">
        <v>2757</v>
      </c>
    </row>
    <row r="29" spans="8:43" ht="15.75" thickBot="1" x14ac:dyDescent="0.25">
      <c r="L29" s="496"/>
      <c r="M29" s="496"/>
      <c r="Q29" s="496"/>
      <c r="R29" s="496"/>
      <c r="U29" s="496"/>
      <c r="V29" s="496"/>
      <c r="Y29" s="496"/>
      <c r="Z29" s="496"/>
      <c r="AC29" s="496"/>
      <c r="AD29" s="496"/>
      <c r="AG29" s="496"/>
      <c r="AH29" s="496"/>
      <c r="AK29" s="496"/>
      <c r="AL29" s="496"/>
      <c r="AO29" s="739" t="s">
        <v>2993</v>
      </c>
      <c r="AP29" s="740"/>
      <c r="AQ29" s="512">
        <v>75</v>
      </c>
    </row>
  </sheetData>
  <mergeCells count="120">
    <mergeCell ref="AO29:AP29"/>
    <mergeCell ref="AQ24:AQ25"/>
    <mergeCell ref="Y25:Z25"/>
    <mergeCell ref="AC25:AE25"/>
    <mergeCell ref="AG25:AH25"/>
    <mergeCell ref="AK25:AL25"/>
    <mergeCell ref="Y26:Z26"/>
    <mergeCell ref="AC26:AD26"/>
    <mergeCell ref="Q24:R24"/>
    <mergeCell ref="Y24:AA24"/>
    <mergeCell ref="AG24:AH24"/>
    <mergeCell ref="AK24:AL24"/>
    <mergeCell ref="AO24:AO25"/>
    <mergeCell ref="AP24:AP25"/>
    <mergeCell ref="AC27:AD27"/>
    <mergeCell ref="AO27:AQ27"/>
    <mergeCell ref="AO28:AP28"/>
    <mergeCell ref="AO21:AQ21"/>
    <mergeCell ref="M22:N22"/>
    <mergeCell ref="Q22:S22"/>
    <mergeCell ref="U22:V22"/>
    <mergeCell ref="AC22:AC23"/>
    <mergeCell ref="AD22:AD23"/>
    <mergeCell ref="AE22:AE23"/>
    <mergeCell ref="AO22:AQ22"/>
    <mergeCell ref="M23:N23"/>
    <mergeCell ref="Q23:R23"/>
    <mergeCell ref="M21:O21"/>
    <mergeCell ref="U21:W21"/>
    <mergeCell ref="Y21:Y22"/>
    <mergeCell ref="Z21:Z22"/>
    <mergeCell ref="AA21:AA22"/>
    <mergeCell ref="AC21:AE21"/>
    <mergeCell ref="U23:V23"/>
    <mergeCell ref="AG23:AI23"/>
    <mergeCell ref="AK23:AM23"/>
    <mergeCell ref="AO23:AQ23"/>
    <mergeCell ref="W18:W19"/>
    <mergeCell ref="Y18:AA18"/>
    <mergeCell ref="AG18:AI18"/>
    <mergeCell ref="AK18:AM18"/>
    <mergeCell ref="Q19:Q20"/>
    <mergeCell ref="R19:R20"/>
    <mergeCell ref="S19:S20"/>
    <mergeCell ref="Y19:AA19"/>
    <mergeCell ref="AC19:AE19"/>
    <mergeCell ref="AG19:AI19"/>
    <mergeCell ref="AK19:AM19"/>
    <mergeCell ref="Y20:AA20"/>
    <mergeCell ref="AC20:AE20"/>
    <mergeCell ref="AG20:AG21"/>
    <mergeCell ref="AH20:AH21"/>
    <mergeCell ref="AI20:AI21"/>
    <mergeCell ref="AK20:AK21"/>
    <mergeCell ref="AL20:AL21"/>
    <mergeCell ref="AM20:AM21"/>
    <mergeCell ref="I18:I19"/>
    <mergeCell ref="J18:J19"/>
    <mergeCell ref="K18:K19"/>
    <mergeCell ref="M18:M19"/>
    <mergeCell ref="N18:N19"/>
    <mergeCell ref="O18:O19"/>
    <mergeCell ref="Q18:S18"/>
    <mergeCell ref="U18:U19"/>
    <mergeCell ref="V18:V19"/>
    <mergeCell ref="I16:K16"/>
    <mergeCell ref="M16:O16"/>
    <mergeCell ref="Q16:S16"/>
    <mergeCell ref="U16:W16"/>
    <mergeCell ref="I17:K17"/>
    <mergeCell ref="M17:O17"/>
    <mergeCell ref="Q17:S17"/>
    <mergeCell ref="U17:W17"/>
    <mergeCell ref="AP11:AP12"/>
    <mergeCell ref="I11:I12"/>
    <mergeCell ref="J11:J12"/>
    <mergeCell ref="K11:K12"/>
    <mergeCell ref="Q11:Q12"/>
    <mergeCell ref="AG17:AI17"/>
    <mergeCell ref="AK17:AM17"/>
    <mergeCell ref="AO11:AO12"/>
    <mergeCell ref="AG10:AG11"/>
    <mergeCell ref="AH10:AH11"/>
    <mergeCell ref="AI10:AI11"/>
    <mergeCell ref="AK10:AK11"/>
    <mergeCell ref="AL10:AL11"/>
    <mergeCell ref="AM10:AM11"/>
    <mergeCell ref="E15:G15"/>
    <mergeCell ref="I15:K15"/>
    <mergeCell ref="M15:O15"/>
    <mergeCell ref="U15:W15"/>
    <mergeCell ref="R11:R12"/>
    <mergeCell ref="S11:S12"/>
    <mergeCell ref="AC11:AC12"/>
    <mergeCell ref="AD11:AD12"/>
    <mergeCell ref="AE11:AE12"/>
    <mergeCell ref="E10:E11"/>
    <mergeCell ref="F10:F11"/>
    <mergeCell ref="G10:G11"/>
    <mergeCell ref="Y10:Y11"/>
    <mergeCell ref="Z10:Z11"/>
    <mergeCell ref="AA10:AA11"/>
    <mergeCell ref="E14:G14"/>
    <mergeCell ref="AO3:AQ3"/>
    <mergeCell ref="M9:M10"/>
    <mergeCell ref="N9:N10"/>
    <mergeCell ref="O9:O10"/>
    <mergeCell ref="U9:U10"/>
    <mergeCell ref="V9:V10"/>
    <mergeCell ref="W9:W10"/>
    <mergeCell ref="AQ11:AQ12"/>
    <mergeCell ref="E3:G3"/>
    <mergeCell ref="I3:K3"/>
    <mergeCell ref="M3:O3"/>
    <mergeCell ref="Q3:S3"/>
    <mergeCell ref="U3:W3"/>
    <mergeCell ref="Y3:AA3"/>
    <mergeCell ref="AC3:AE3"/>
    <mergeCell ref="AG3:AI3"/>
    <mergeCell ref="AK3:AM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20"/>
  <sheetViews>
    <sheetView view="pageBreakPreview" zoomScale="90" zoomScaleNormal="100" zoomScaleSheetLayoutView="90" workbookViewId="0">
      <selection activeCell="A2" sqref="A2:E2"/>
    </sheetView>
  </sheetViews>
  <sheetFormatPr defaultRowHeight="11.25" x14ac:dyDescent="0.2"/>
  <cols>
    <col min="4" max="4" width="12" customWidth="1"/>
    <col min="5" max="6" width="13.5" customWidth="1"/>
    <col min="7" max="7" width="12.6640625" bestFit="1" customWidth="1"/>
    <col min="8" max="8" width="11.83203125" customWidth="1"/>
    <col min="9" max="9" width="18.6640625" customWidth="1"/>
    <col min="10" max="10" width="9.83203125" bestFit="1" customWidth="1"/>
    <col min="11" max="11" width="11" customWidth="1"/>
    <col min="12" max="12" width="14.6640625" customWidth="1"/>
    <col min="13" max="13" width="16" customWidth="1"/>
  </cols>
  <sheetData>
    <row r="1" spans="1:13" ht="12" thickBot="1" x14ac:dyDescent="0.25"/>
    <row r="2" spans="1:13" ht="15.75" thickBot="1" x14ac:dyDescent="0.35">
      <c r="A2" s="686"/>
      <c r="B2" s="687"/>
      <c r="C2" s="687"/>
      <c r="D2" s="687"/>
      <c r="E2" s="688"/>
    </row>
    <row r="3" spans="1:13" ht="11.25" customHeight="1" x14ac:dyDescent="0.2">
      <c r="A3" s="695" t="s">
        <v>2719</v>
      </c>
      <c r="B3" s="691" t="s">
        <v>2720</v>
      </c>
      <c r="C3" s="691" t="s">
        <v>2757</v>
      </c>
      <c r="D3" s="691" t="s">
        <v>2840</v>
      </c>
      <c r="E3" s="691" t="s">
        <v>2756</v>
      </c>
      <c r="F3" s="691" t="s">
        <v>2891</v>
      </c>
      <c r="G3" s="691" t="s">
        <v>2904</v>
      </c>
      <c r="H3" s="691" t="s">
        <v>2893</v>
      </c>
      <c r="I3" s="691" t="s">
        <v>2895</v>
      </c>
      <c r="J3" s="691" t="s">
        <v>2896</v>
      </c>
      <c r="K3" s="691" t="s">
        <v>2892</v>
      </c>
      <c r="L3" s="691" t="s">
        <v>2897</v>
      </c>
      <c r="M3" s="691" t="s">
        <v>2898</v>
      </c>
    </row>
    <row r="4" spans="1:13" ht="45" customHeight="1" x14ac:dyDescent="0.2">
      <c r="A4" s="696"/>
      <c r="B4" s="692"/>
      <c r="C4" s="692"/>
      <c r="D4" s="692"/>
      <c r="E4" s="692"/>
      <c r="F4" s="692"/>
      <c r="G4" s="692"/>
      <c r="H4" s="692"/>
      <c r="I4" s="692"/>
      <c r="J4" s="692"/>
      <c r="K4" s="692"/>
      <c r="L4" s="692"/>
      <c r="M4" s="692"/>
    </row>
    <row r="5" spans="1:13" ht="15" x14ac:dyDescent="0.3">
      <c r="A5" s="377">
        <v>1</v>
      </c>
      <c r="B5" s="378" t="s">
        <v>2722</v>
      </c>
      <c r="C5" s="384">
        <v>1</v>
      </c>
      <c r="D5" s="438">
        <v>200</v>
      </c>
      <c r="E5" s="438">
        <f>390*C5</f>
        <v>390</v>
      </c>
      <c r="F5" s="438">
        <f>D5/2</f>
        <v>100</v>
      </c>
      <c r="G5" s="444">
        <f>3.14*F5*F5*E5</f>
        <v>12246000</v>
      </c>
      <c r="H5" s="439">
        <f>G5/1000000000</f>
        <v>1.2246E-2</v>
      </c>
      <c r="I5" s="443">
        <v>7780</v>
      </c>
      <c r="J5" s="442">
        <f>I5*H5</f>
        <v>95.273880000000005</v>
      </c>
      <c r="K5" s="441">
        <f>J5/1000</f>
        <v>9.5273880000000005E-2</v>
      </c>
      <c r="L5" s="467">
        <v>2000</v>
      </c>
      <c r="M5" s="467">
        <f t="shared" ref="M5:M18" si="0">L5*K5</f>
        <v>190.54776000000001</v>
      </c>
    </row>
    <row r="6" spans="1:13" ht="15" x14ac:dyDescent="0.3">
      <c r="A6" s="377">
        <v>2</v>
      </c>
      <c r="B6" s="378" t="s">
        <v>2723</v>
      </c>
      <c r="C6" s="384">
        <v>1</v>
      </c>
      <c r="D6" s="697">
        <v>230</v>
      </c>
      <c r="E6" s="388">
        <f>420*C6</f>
        <v>420</v>
      </c>
      <c r="F6" s="388">
        <f t="shared" ref="F6:F18" si="1">D6/2</f>
        <v>115</v>
      </c>
      <c r="G6" s="444">
        <f t="shared" ref="G6:G18" si="2">3.14*F6*F6*E6</f>
        <v>17441130</v>
      </c>
      <c r="H6" s="440">
        <f t="shared" ref="H6:H18" si="3">G6/1000000000</f>
        <v>1.7441129999999999E-2</v>
      </c>
      <c r="I6" s="443">
        <v>7780</v>
      </c>
      <c r="J6" s="442">
        <f t="shared" ref="J6:J18" si="4">I6*H6</f>
        <v>135.69199140000001</v>
      </c>
      <c r="K6" s="441">
        <f t="shared" ref="K6:K18" si="5">J6/1000</f>
        <v>0.13569199140000002</v>
      </c>
      <c r="L6" s="467">
        <v>2000</v>
      </c>
      <c r="M6" s="467">
        <f t="shared" si="0"/>
        <v>271.38398280000001</v>
      </c>
    </row>
    <row r="7" spans="1:13" ht="15" x14ac:dyDescent="0.3">
      <c r="A7" s="377">
        <v>3</v>
      </c>
      <c r="B7" s="378" t="s">
        <v>2724</v>
      </c>
      <c r="C7" s="384">
        <v>1</v>
      </c>
      <c r="D7" s="697"/>
      <c r="E7" s="388">
        <f t="shared" ref="E7:E13" si="6">420*C7</f>
        <v>420</v>
      </c>
      <c r="F7" s="388">
        <f>F6</f>
        <v>115</v>
      </c>
      <c r="G7" s="444">
        <f t="shared" si="2"/>
        <v>17441130</v>
      </c>
      <c r="H7" s="440">
        <f t="shared" si="3"/>
        <v>1.7441129999999999E-2</v>
      </c>
      <c r="I7" s="443">
        <v>7780</v>
      </c>
      <c r="J7" s="442">
        <f t="shared" si="4"/>
        <v>135.69199140000001</v>
      </c>
      <c r="K7" s="441">
        <f t="shared" si="5"/>
        <v>0.13569199140000002</v>
      </c>
      <c r="L7" s="467">
        <v>2000</v>
      </c>
      <c r="M7" s="467">
        <f t="shared" si="0"/>
        <v>271.38398280000001</v>
      </c>
    </row>
    <row r="8" spans="1:13" ht="15" x14ac:dyDescent="0.3">
      <c r="A8" s="377">
        <v>4</v>
      </c>
      <c r="B8" s="378" t="s">
        <v>2725</v>
      </c>
      <c r="C8" s="384">
        <v>1</v>
      </c>
      <c r="D8" s="697"/>
      <c r="E8" s="388">
        <f t="shared" si="6"/>
        <v>420</v>
      </c>
      <c r="F8" s="388">
        <f>F7</f>
        <v>115</v>
      </c>
      <c r="G8" s="444">
        <f t="shared" si="2"/>
        <v>17441130</v>
      </c>
      <c r="H8" s="440">
        <f t="shared" si="3"/>
        <v>1.7441129999999999E-2</v>
      </c>
      <c r="I8" s="443">
        <v>7780</v>
      </c>
      <c r="J8" s="442">
        <f t="shared" si="4"/>
        <v>135.69199140000001</v>
      </c>
      <c r="K8" s="441">
        <f t="shared" si="5"/>
        <v>0.13569199140000002</v>
      </c>
      <c r="L8" s="467">
        <v>2000</v>
      </c>
      <c r="M8" s="467">
        <f t="shared" si="0"/>
        <v>271.38398280000001</v>
      </c>
    </row>
    <row r="9" spans="1:13" ht="15" x14ac:dyDescent="0.3">
      <c r="A9" s="377">
        <v>5</v>
      </c>
      <c r="B9" s="378" t="s">
        <v>2726</v>
      </c>
      <c r="C9" s="384">
        <v>1</v>
      </c>
      <c r="D9" s="697"/>
      <c r="E9" s="388">
        <f t="shared" si="6"/>
        <v>420</v>
      </c>
      <c r="F9" s="388">
        <f>F8</f>
        <v>115</v>
      </c>
      <c r="G9" s="444">
        <f t="shared" si="2"/>
        <v>17441130</v>
      </c>
      <c r="H9" s="440">
        <f t="shared" si="3"/>
        <v>1.7441129999999999E-2</v>
      </c>
      <c r="I9" s="443">
        <v>7780</v>
      </c>
      <c r="J9" s="442">
        <f t="shared" si="4"/>
        <v>135.69199140000001</v>
      </c>
      <c r="K9" s="441">
        <f t="shared" si="5"/>
        <v>0.13569199140000002</v>
      </c>
      <c r="L9" s="467">
        <v>2000</v>
      </c>
      <c r="M9" s="467">
        <f t="shared" si="0"/>
        <v>271.38398280000001</v>
      </c>
    </row>
    <row r="10" spans="1:13" ht="15" x14ac:dyDescent="0.3">
      <c r="A10" s="377">
        <v>6</v>
      </c>
      <c r="B10" s="378" t="s">
        <v>2727</v>
      </c>
      <c r="C10" s="384">
        <v>1</v>
      </c>
      <c r="D10" s="697">
        <v>230</v>
      </c>
      <c r="E10" s="388">
        <f t="shared" si="6"/>
        <v>420</v>
      </c>
      <c r="F10" s="388">
        <f t="shared" si="1"/>
        <v>115</v>
      </c>
      <c r="G10" s="444">
        <f t="shared" si="2"/>
        <v>17441130</v>
      </c>
      <c r="H10" s="440">
        <f t="shared" si="3"/>
        <v>1.7441129999999999E-2</v>
      </c>
      <c r="I10" s="443">
        <v>7780</v>
      </c>
      <c r="J10" s="442">
        <f t="shared" si="4"/>
        <v>135.69199140000001</v>
      </c>
      <c r="K10" s="441">
        <f t="shared" si="5"/>
        <v>0.13569199140000002</v>
      </c>
      <c r="L10" s="467">
        <v>2000</v>
      </c>
      <c r="M10" s="467">
        <f t="shared" si="0"/>
        <v>271.38398280000001</v>
      </c>
    </row>
    <row r="11" spans="1:13" ht="15" x14ac:dyDescent="0.3">
      <c r="A11" s="377">
        <v>7</v>
      </c>
      <c r="B11" s="378" t="s">
        <v>2728</v>
      </c>
      <c r="C11" s="384">
        <v>1</v>
      </c>
      <c r="D11" s="697"/>
      <c r="E11" s="388">
        <f t="shared" si="6"/>
        <v>420</v>
      </c>
      <c r="F11" s="388">
        <f>F10</f>
        <v>115</v>
      </c>
      <c r="G11" s="444">
        <f t="shared" si="2"/>
        <v>17441130</v>
      </c>
      <c r="H11" s="440">
        <f t="shared" si="3"/>
        <v>1.7441129999999999E-2</v>
      </c>
      <c r="I11" s="443">
        <v>7780</v>
      </c>
      <c r="J11" s="442">
        <f t="shared" si="4"/>
        <v>135.69199140000001</v>
      </c>
      <c r="K11" s="441">
        <f t="shared" si="5"/>
        <v>0.13569199140000002</v>
      </c>
      <c r="L11" s="467">
        <v>2000</v>
      </c>
      <c r="M11" s="467">
        <f t="shared" si="0"/>
        <v>271.38398280000001</v>
      </c>
    </row>
    <row r="12" spans="1:13" ht="15" x14ac:dyDescent="0.3">
      <c r="A12" s="377">
        <v>8</v>
      </c>
      <c r="B12" s="378" t="s">
        <v>2729</v>
      </c>
      <c r="C12" s="384">
        <v>1</v>
      </c>
      <c r="D12" s="697"/>
      <c r="E12" s="388">
        <f t="shared" si="6"/>
        <v>420</v>
      </c>
      <c r="F12" s="388">
        <f>F11</f>
        <v>115</v>
      </c>
      <c r="G12" s="444">
        <f t="shared" si="2"/>
        <v>17441130</v>
      </c>
      <c r="H12" s="440">
        <f t="shared" si="3"/>
        <v>1.7441129999999999E-2</v>
      </c>
      <c r="I12" s="443">
        <v>7780</v>
      </c>
      <c r="J12" s="442">
        <f t="shared" si="4"/>
        <v>135.69199140000001</v>
      </c>
      <c r="K12" s="441">
        <f t="shared" si="5"/>
        <v>0.13569199140000002</v>
      </c>
      <c r="L12" s="467">
        <v>2000</v>
      </c>
      <c r="M12" s="467">
        <f t="shared" si="0"/>
        <v>271.38398280000001</v>
      </c>
    </row>
    <row r="13" spans="1:13" ht="15" x14ac:dyDescent="0.3">
      <c r="A13" s="377">
        <v>9</v>
      </c>
      <c r="B13" s="378" t="s">
        <v>2730</v>
      </c>
      <c r="C13" s="384">
        <v>1</v>
      </c>
      <c r="D13" s="697"/>
      <c r="E13" s="388">
        <f t="shared" si="6"/>
        <v>420</v>
      </c>
      <c r="F13" s="388">
        <f>F12</f>
        <v>115</v>
      </c>
      <c r="G13" s="444">
        <f t="shared" si="2"/>
        <v>17441130</v>
      </c>
      <c r="H13" s="440">
        <f t="shared" si="3"/>
        <v>1.7441129999999999E-2</v>
      </c>
      <c r="I13" s="443">
        <v>7780</v>
      </c>
      <c r="J13" s="442">
        <f t="shared" si="4"/>
        <v>135.69199140000001</v>
      </c>
      <c r="K13" s="441">
        <f t="shared" si="5"/>
        <v>0.13569199140000002</v>
      </c>
      <c r="L13" s="467">
        <v>2000</v>
      </c>
      <c r="M13" s="467">
        <f t="shared" si="0"/>
        <v>271.38398280000001</v>
      </c>
    </row>
    <row r="14" spans="1:13" ht="15" x14ac:dyDescent="0.3">
      <c r="A14" s="377">
        <v>10</v>
      </c>
      <c r="B14" s="378" t="s">
        <v>2731</v>
      </c>
      <c r="C14" s="384">
        <v>1</v>
      </c>
      <c r="D14" s="697">
        <v>310</v>
      </c>
      <c r="E14" s="388">
        <f>540*C14</f>
        <v>540</v>
      </c>
      <c r="F14" s="388">
        <f t="shared" si="1"/>
        <v>155</v>
      </c>
      <c r="G14" s="444">
        <f t="shared" si="2"/>
        <v>40736790</v>
      </c>
      <c r="H14" s="440">
        <f t="shared" si="3"/>
        <v>4.0736790000000002E-2</v>
      </c>
      <c r="I14" s="443">
        <v>7780</v>
      </c>
      <c r="J14" s="442">
        <f t="shared" si="4"/>
        <v>316.9322262</v>
      </c>
      <c r="K14" s="441">
        <f t="shared" si="5"/>
        <v>0.3169322262</v>
      </c>
      <c r="L14" s="467">
        <v>2000</v>
      </c>
      <c r="M14" s="467">
        <f t="shared" si="0"/>
        <v>633.8644524</v>
      </c>
    </row>
    <row r="15" spans="1:13" ht="15" x14ac:dyDescent="0.3">
      <c r="A15" s="377">
        <v>11</v>
      </c>
      <c r="B15" s="378" t="s">
        <v>2732</v>
      </c>
      <c r="C15" s="384">
        <v>1</v>
      </c>
      <c r="D15" s="697"/>
      <c r="E15" s="388">
        <f t="shared" ref="E15:E17" si="7">540*C15</f>
        <v>540</v>
      </c>
      <c r="F15" s="388">
        <f>F14</f>
        <v>155</v>
      </c>
      <c r="G15" s="444">
        <f t="shared" si="2"/>
        <v>40736790</v>
      </c>
      <c r="H15" s="440">
        <f t="shared" si="3"/>
        <v>4.0736790000000002E-2</v>
      </c>
      <c r="I15" s="443">
        <v>7780</v>
      </c>
      <c r="J15" s="442">
        <f t="shared" si="4"/>
        <v>316.9322262</v>
      </c>
      <c r="K15" s="441">
        <f t="shared" si="5"/>
        <v>0.3169322262</v>
      </c>
      <c r="L15" s="467">
        <v>2000</v>
      </c>
      <c r="M15" s="467">
        <f t="shared" si="0"/>
        <v>633.8644524</v>
      </c>
    </row>
    <row r="16" spans="1:13" ht="15" x14ac:dyDescent="0.3">
      <c r="A16" s="377">
        <v>12</v>
      </c>
      <c r="B16" s="378" t="s">
        <v>2733</v>
      </c>
      <c r="C16" s="384">
        <v>1</v>
      </c>
      <c r="D16" s="697"/>
      <c r="E16" s="388">
        <f t="shared" si="7"/>
        <v>540</v>
      </c>
      <c r="F16" s="388">
        <f>F15</f>
        <v>155</v>
      </c>
      <c r="G16" s="444">
        <f t="shared" si="2"/>
        <v>40736790</v>
      </c>
      <c r="H16" s="440">
        <f t="shared" si="3"/>
        <v>4.0736790000000002E-2</v>
      </c>
      <c r="I16" s="443">
        <v>7780</v>
      </c>
      <c r="J16" s="442">
        <f t="shared" si="4"/>
        <v>316.9322262</v>
      </c>
      <c r="K16" s="441">
        <f t="shared" si="5"/>
        <v>0.3169322262</v>
      </c>
      <c r="L16" s="467">
        <v>2000</v>
      </c>
      <c r="M16" s="467">
        <f t="shared" si="0"/>
        <v>633.8644524</v>
      </c>
    </row>
    <row r="17" spans="1:13" ht="15" x14ac:dyDescent="0.3">
      <c r="A17" s="377">
        <v>13</v>
      </c>
      <c r="B17" s="378" t="s">
        <v>2734</v>
      </c>
      <c r="C17" s="384">
        <v>1</v>
      </c>
      <c r="D17" s="697"/>
      <c r="E17" s="388">
        <f t="shared" si="7"/>
        <v>540</v>
      </c>
      <c r="F17" s="388">
        <f>F16</f>
        <v>155</v>
      </c>
      <c r="G17" s="444">
        <f t="shared" si="2"/>
        <v>40736790</v>
      </c>
      <c r="H17" s="440">
        <f t="shared" si="3"/>
        <v>4.0736790000000002E-2</v>
      </c>
      <c r="I17" s="443">
        <v>7780</v>
      </c>
      <c r="J17" s="442">
        <f t="shared" si="4"/>
        <v>316.9322262</v>
      </c>
      <c r="K17" s="441">
        <f t="shared" si="5"/>
        <v>0.3169322262</v>
      </c>
      <c r="L17" s="467">
        <v>2000</v>
      </c>
      <c r="M17" s="467">
        <f t="shared" si="0"/>
        <v>633.8644524</v>
      </c>
    </row>
    <row r="18" spans="1:13" ht="15" x14ac:dyDescent="0.3">
      <c r="A18" s="377">
        <v>14</v>
      </c>
      <c r="B18" s="378" t="s">
        <v>2735</v>
      </c>
      <c r="C18" s="384">
        <v>1</v>
      </c>
      <c r="D18" s="438">
        <v>410</v>
      </c>
      <c r="E18" s="438">
        <f>590*C18</f>
        <v>590</v>
      </c>
      <c r="F18" s="438">
        <f t="shared" si="1"/>
        <v>205</v>
      </c>
      <c r="G18" s="444">
        <f t="shared" si="2"/>
        <v>77855515</v>
      </c>
      <c r="H18" s="439">
        <f t="shared" si="3"/>
        <v>7.7855515E-2</v>
      </c>
      <c r="I18" s="443">
        <v>7780</v>
      </c>
      <c r="J18" s="442">
        <f t="shared" si="4"/>
        <v>605.71590670000001</v>
      </c>
      <c r="K18" s="441">
        <f t="shared" si="5"/>
        <v>0.60571590669999997</v>
      </c>
      <c r="L18" s="467">
        <v>2000</v>
      </c>
      <c r="M18" s="467">
        <f t="shared" si="0"/>
        <v>1211.4318134</v>
      </c>
    </row>
    <row r="19" spans="1:13" ht="15" x14ac:dyDescent="0.3">
      <c r="A19" s="377"/>
      <c r="B19" s="384"/>
      <c r="C19" s="384"/>
      <c r="D19" s="384"/>
      <c r="E19" s="384"/>
    </row>
    <row r="20" spans="1:13" ht="15.75" thickBot="1" x14ac:dyDescent="0.35">
      <c r="A20" s="381" t="s">
        <v>2847</v>
      </c>
      <c r="B20" s="385"/>
      <c r="C20" s="385"/>
      <c r="D20" s="385"/>
      <c r="E20" s="385"/>
    </row>
  </sheetData>
  <mergeCells count="17">
    <mergeCell ref="A2:E2"/>
    <mergeCell ref="A3:A4"/>
    <mergeCell ref="B3:B4"/>
    <mergeCell ref="C3:C4"/>
    <mergeCell ref="D3:D4"/>
    <mergeCell ref="E3:E4"/>
    <mergeCell ref="M3:M4"/>
    <mergeCell ref="H3:H4"/>
    <mergeCell ref="I3:I4"/>
    <mergeCell ref="J3:J4"/>
    <mergeCell ref="K3:K4"/>
    <mergeCell ref="L3:L4"/>
    <mergeCell ref="D6:D9"/>
    <mergeCell ref="D10:D13"/>
    <mergeCell ref="D14:D17"/>
    <mergeCell ref="F3:F4"/>
    <mergeCell ref="G3:G4"/>
  </mergeCells>
  <pageMargins left="0.7" right="0.7" top="0.75" bottom="0.75" header="0.3" footer="0.3"/>
  <pageSetup paperSize="9" scale="5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R71"/>
  <sheetViews>
    <sheetView view="pageBreakPreview" topLeftCell="H1" zoomScale="80" zoomScaleNormal="100" zoomScaleSheetLayoutView="80" workbookViewId="0">
      <selection activeCell="N1" sqref="N1"/>
    </sheetView>
  </sheetViews>
  <sheetFormatPr defaultRowHeight="15" x14ac:dyDescent="0.3"/>
  <cols>
    <col min="1" max="1" width="49" style="346" hidden="1" customWidth="1"/>
    <col min="2" max="2" width="15.5" style="333" hidden="1" customWidth="1"/>
    <col min="3" max="3" width="15.1640625" style="333" hidden="1" customWidth="1"/>
    <col min="4" max="4" width="13.5" style="333" hidden="1" customWidth="1"/>
    <col min="5" max="7" width="9.33203125" style="333" hidden="1" customWidth="1"/>
    <col min="8" max="8" width="55.33203125" style="346" bestFit="1" customWidth="1"/>
    <col min="9" max="9" width="15.1640625" style="333" bestFit="1" customWidth="1"/>
    <col min="10" max="10" width="18.5" style="333" hidden="1" customWidth="1"/>
    <col min="11" max="11" width="13.5" style="333" hidden="1" customWidth="1"/>
    <col min="12" max="12" width="0" hidden="1" customWidth="1"/>
    <col min="13" max="13" width="15.1640625" hidden="1" customWidth="1"/>
    <col min="14" max="14" width="15.1640625" customWidth="1"/>
    <col min="15" max="15" width="21" customWidth="1"/>
  </cols>
  <sheetData>
    <row r="1" spans="1:15" ht="55.5" customHeight="1" thickBot="1" x14ac:dyDescent="0.35">
      <c r="A1" s="741" t="s">
        <v>2717</v>
      </c>
      <c r="B1" s="741"/>
      <c r="C1" s="741"/>
      <c r="D1" s="741"/>
      <c r="H1" s="742" t="s">
        <v>2718</v>
      </c>
      <c r="I1" s="742"/>
      <c r="J1" s="742"/>
      <c r="K1" s="742"/>
    </row>
    <row r="2" spans="1:15" ht="45" x14ac:dyDescent="0.3">
      <c r="A2" s="365" t="s">
        <v>2801</v>
      </c>
      <c r="B2" s="364" t="s">
        <v>2800</v>
      </c>
      <c r="C2" s="363" t="s">
        <v>2799</v>
      </c>
      <c r="D2" s="362" t="s">
        <v>2798</v>
      </c>
      <c r="H2" s="365" t="s">
        <v>2801</v>
      </c>
      <c r="I2" s="364" t="s">
        <v>2800</v>
      </c>
      <c r="J2" s="363" t="s">
        <v>2799</v>
      </c>
      <c r="K2" s="362" t="s">
        <v>2798</v>
      </c>
      <c r="M2" s="363" t="s">
        <v>2927</v>
      </c>
      <c r="N2" s="363" t="s">
        <v>2927</v>
      </c>
      <c r="O2" s="362" t="s">
        <v>2939</v>
      </c>
    </row>
    <row r="3" spans="1:15" x14ac:dyDescent="0.3">
      <c r="A3" s="357" t="s">
        <v>2797</v>
      </c>
      <c r="B3" s="361"/>
      <c r="C3" s="360"/>
      <c r="D3" s="350"/>
      <c r="H3" s="357" t="s">
        <v>2797</v>
      </c>
      <c r="I3" s="361"/>
      <c r="J3" s="360"/>
      <c r="K3" s="350"/>
      <c r="M3" s="475"/>
      <c r="N3" s="476"/>
      <c r="O3" s="477"/>
    </row>
    <row r="4" spans="1:15" x14ac:dyDescent="0.3">
      <c r="A4" s="359" t="s">
        <v>2796</v>
      </c>
      <c r="B4" s="355">
        <v>1</v>
      </c>
      <c r="C4" s="358">
        <v>100000</v>
      </c>
      <c r="D4" s="350">
        <f t="shared" ref="D4:D24" si="0">C4*B4</f>
        <v>100000</v>
      </c>
      <c r="H4" s="359" t="s">
        <v>2796</v>
      </c>
      <c r="I4" s="355">
        <v>1</v>
      </c>
      <c r="J4" s="358">
        <v>125000</v>
      </c>
      <c r="K4" s="350">
        <f t="shared" ref="K4:K67" si="1">J4*I4</f>
        <v>125000</v>
      </c>
      <c r="M4" s="478">
        <f>J4/Расходы!$B$5</f>
        <v>1689.1891891891892</v>
      </c>
      <c r="N4" s="479">
        <v>2700</v>
      </c>
      <c r="O4" s="477">
        <f>N4*I4</f>
        <v>2700</v>
      </c>
    </row>
    <row r="5" spans="1:15" x14ac:dyDescent="0.3">
      <c r="A5" s="354" t="s">
        <v>2795</v>
      </c>
      <c r="B5" s="355">
        <v>1</v>
      </c>
      <c r="C5" s="358">
        <v>70000</v>
      </c>
      <c r="D5" s="350">
        <f t="shared" si="0"/>
        <v>70000</v>
      </c>
      <c r="H5" s="354" t="s">
        <v>2795</v>
      </c>
      <c r="I5" s="355">
        <v>1</v>
      </c>
      <c r="J5" s="358">
        <v>90000</v>
      </c>
      <c r="K5" s="350">
        <f t="shared" si="1"/>
        <v>90000</v>
      </c>
      <c r="M5" s="478">
        <f>J5/Расходы!$B$5</f>
        <v>1216.2162162162163</v>
      </c>
      <c r="N5" s="479">
        <v>1900</v>
      </c>
      <c r="O5" s="477">
        <f t="shared" ref="O5:O67" si="2">N5*I5</f>
        <v>1900</v>
      </c>
    </row>
    <row r="6" spans="1:15" ht="35.25" customHeight="1" x14ac:dyDescent="0.3">
      <c r="A6" s="354" t="s">
        <v>2794</v>
      </c>
      <c r="B6" s="355">
        <v>1</v>
      </c>
      <c r="C6" s="358">
        <v>60000</v>
      </c>
      <c r="D6" s="350">
        <f t="shared" si="0"/>
        <v>60000</v>
      </c>
      <c r="H6" s="354" t="s">
        <v>2928</v>
      </c>
      <c r="I6" s="355">
        <v>1</v>
      </c>
      <c r="J6" s="358">
        <v>80000</v>
      </c>
      <c r="K6" s="350">
        <f t="shared" si="1"/>
        <v>80000</v>
      </c>
      <c r="M6" s="478">
        <f>J6/Расходы!$B$5</f>
        <v>1081.081081081081</v>
      </c>
      <c r="N6" s="479">
        <v>1650</v>
      </c>
      <c r="O6" s="477">
        <f t="shared" si="2"/>
        <v>1650</v>
      </c>
    </row>
    <row r="7" spans="1:15" ht="30" x14ac:dyDescent="0.3">
      <c r="A7" s="354" t="s">
        <v>2793</v>
      </c>
      <c r="B7" s="355">
        <v>1</v>
      </c>
      <c r="C7" s="358">
        <v>60000</v>
      </c>
      <c r="D7" s="350">
        <f t="shared" si="0"/>
        <v>60000</v>
      </c>
      <c r="H7" s="354" t="s">
        <v>2794</v>
      </c>
      <c r="I7" s="355">
        <v>1</v>
      </c>
      <c r="J7" s="358">
        <v>80000</v>
      </c>
      <c r="K7" s="350">
        <f t="shared" si="1"/>
        <v>80000</v>
      </c>
      <c r="M7" s="478">
        <f>J7/Расходы!$B$5</f>
        <v>1081.081081081081</v>
      </c>
      <c r="N7" s="479">
        <v>1650</v>
      </c>
      <c r="O7" s="477">
        <f t="shared" si="2"/>
        <v>1650</v>
      </c>
    </row>
    <row r="8" spans="1:15" x14ac:dyDescent="0.3">
      <c r="A8" s="354" t="s">
        <v>2792</v>
      </c>
      <c r="B8" s="355">
        <v>1</v>
      </c>
      <c r="C8" s="358">
        <v>30000</v>
      </c>
      <c r="D8" s="350">
        <f t="shared" si="0"/>
        <v>30000</v>
      </c>
      <c r="H8" s="354" t="s">
        <v>2793</v>
      </c>
      <c r="I8" s="355">
        <v>1</v>
      </c>
      <c r="J8" s="358">
        <v>80000</v>
      </c>
      <c r="K8" s="350">
        <f t="shared" si="1"/>
        <v>80000</v>
      </c>
      <c r="M8" s="478">
        <f>J8/Расходы!$B$5</f>
        <v>1081.081081081081</v>
      </c>
      <c r="N8" s="479">
        <v>1650</v>
      </c>
      <c r="O8" s="477">
        <f t="shared" si="2"/>
        <v>1650</v>
      </c>
    </row>
    <row r="9" spans="1:15" x14ac:dyDescent="0.3">
      <c r="A9" s="354" t="s">
        <v>2791</v>
      </c>
      <c r="B9" s="355">
        <v>1</v>
      </c>
      <c r="C9" s="358">
        <v>50000</v>
      </c>
      <c r="D9" s="350">
        <f t="shared" si="0"/>
        <v>50000</v>
      </c>
      <c r="H9" s="354" t="s">
        <v>2792</v>
      </c>
      <c r="I9" s="355">
        <v>1</v>
      </c>
      <c r="J9" s="358">
        <v>40000</v>
      </c>
      <c r="K9" s="350">
        <f t="shared" si="1"/>
        <v>40000</v>
      </c>
      <c r="M9" s="478">
        <f>J9/Расходы!$B$5</f>
        <v>540.54054054054052</v>
      </c>
      <c r="N9" s="479">
        <v>870</v>
      </c>
      <c r="O9" s="477">
        <f t="shared" si="2"/>
        <v>870</v>
      </c>
    </row>
    <row r="10" spans="1:15" x14ac:dyDescent="0.3">
      <c r="A10" s="354" t="s">
        <v>2790</v>
      </c>
      <c r="B10" s="355">
        <v>1</v>
      </c>
      <c r="C10" s="358">
        <v>30000</v>
      </c>
      <c r="D10" s="350">
        <f t="shared" si="0"/>
        <v>30000</v>
      </c>
      <c r="H10" s="354" t="s">
        <v>2792</v>
      </c>
      <c r="I10" s="355">
        <v>1</v>
      </c>
      <c r="J10" s="358">
        <v>40000</v>
      </c>
      <c r="K10" s="350">
        <f t="shared" si="1"/>
        <v>40000</v>
      </c>
      <c r="M10" s="478">
        <f>J10/Расходы!$B$5</f>
        <v>540.54054054054052</v>
      </c>
      <c r="N10" s="479">
        <v>870</v>
      </c>
      <c r="O10" s="477">
        <f t="shared" si="2"/>
        <v>870</v>
      </c>
    </row>
    <row r="11" spans="1:15" x14ac:dyDescent="0.3">
      <c r="A11" s="354" t="s">
        <v>2789</v>
      </c>
      <c r="B11" s="355">
        <v>1</v>
      </c>
      <c r="C11" s="358">
        <v>60000</v>
      </c>
      <c r="D11" s="350">
        <f t="shared" si="0"/>
        <v>60000</v>
      </c>
      <c r="H11" s="354" t="s">
        <v>2791</v>
      </c>
      <c r="I11" s="355">
        <v>1</v>
      </c>
      <c r="J11" s="358">
        <v>70000</v>
      </c>
      <c r="K11" s="350">
        <f t="shared" si="1"/>
        <v>70000</v>
      </c>
      <c r="M11" s="478">
        <f>J11/Расходы!$B$5</f>
        <v>945.94594594594594</v>
      </c>
      <c r="N11" s="479">
        <v>1430</v>
      </c>
      <c r="O11" s="477">
        <f t="shared" si="2"/>
        <v>1430</v>
      </c>
    </row>
    <row r="12" spans="1:15" x14ac:dyDescent="0.3">
      <c r="A12" s="354" t="s">
        <v>2788</v>
      </c>
      <c r="B12" s="355">
        <v>1</v>
      </c>
      <c r="C12" s="358">
        <v>30000</v>
      </c>
      <c r="D12" s="350">
        <f t="shared" si="0"/>
        <v>30000</v>
      </c>
      <c r="H12" s="354" t="s">
        <v>2790</v>
      </c>
      <c r="I12" s="355">
        <v>1</v>
      </c>
      <c r="J12" s="358">
        <v>40000</v>
      </c>
      <c r="K12" s="350">
        <f t="shared" si="1"/>
        <v>40000</v>
      </c>
      <c r="M12" s="478">
        <f>J12/Расходы!$B$5</f>
        <v>540.54054054054052</v>
      </c>
      <c r="N12" s="479">
        <v>840</v>
      </c>
      <c r="O12" s="477">
        <f t="shared" si="2"/>
        <v>840</v>
      </c>
    </row>
    <row r="13" spans="1:15" x14ac:dyDescent="0.3">
      <c r="A13" s="354" t="s">
        <v>2787</v>
      </c>
      <c r="B13" s="355">
        <v>1</v>
      </c>
      <c r="C13" s="358">
        <v>60000</v>
      </c>
      <c r="D13" s="350">
        <f t="shared" si="0"/>
        <v>60000</v>
      </c>
      <c r="H13" s="354" t="s">
        <v>2789</v>
      </c>
      <c r="I13" s="355">
        <v>1</v>
      </c>
      <c r="J13" s="358">
        <v>60000</v>
      </c>
      <c r="K13" s="350">
        <f t="shared" si="1"/>
        <v>60000</v>
      </c>
      <c r="M13" s="478">
        <f>J13/Расходы!$B$5</f>
        <v>810.81081081081084</v>
      </c>
      <c r="N13" s="479">
        <v>1230</v>
      </c>
      <c r="O13" s="477">
        <f t="shared" si="2"/>
        <v>1230</v>
      </c>
    </row>
    <row r="14" spans="1:15" x14ac:dyDescent="0.3">
      <c r="A14" s="354" t="s">
        <v>2786</v>
      </c>
      <c r="B14" s="355">
        <v>1</v>
      </c>
      <c r="C14" s="358">
        <v>30000</v>
      </c>
      <c r="D14" s="350">
        <f t="shared" si="0"/>
        <v>30000</v>
      </c>
      <c r="H14" s="354" t="s">
        <v>2788</v>
      </c>
      <c r="I14" s="355">
        <v>1</v>
      </c>
      <c r="J14" s="358">
        <v>40000</v>
      </c>
      <c r="K14" s="350">
        <f t="shared" si="1"/>
        <v>40000</v>
      </c>
      <c r="M14" s="478">
        <f>J14/Расходы!$B$5</f>
        <v>540.54054054054052</v>
      </c>
      <c r="N14" s="479">
        <v>820</v>
      </c>
      <c r="O14" s="477">
        <f t="shared" si="2"/>
        <v>820</v>
      </c>
    </row>
    <row r="15" spans="1:15" x14ac:dyDescent="0.3">
      <c r="A15" s="354" t="s">
        <v>2785</v>
      </c>
      <c r="B15" s="355">
        <v>1</v>
      </c>
      <c r="C15" s="358">
        <v>50000</v>
      </c>
      <c r="D15" s="350">
        <f t="shared" si="0"/>
        <v>50000</v>
      </c>
      <c r="H15" s="354" t="s">
        <v>2787</v>
      </c>
      <c r="I15" s="355">
        <v>1</v>
      </c>
      <c r="J15" s="358">
        <v>60000</v>
      </c>
      <c r="K15" s="350">
        <f t="shared" si="1"/>
        <v>60000</v>
      </c>
      <c r="M15" s="478">
        <f>J15/Расходы!$B$5</f>
        <v>810.81081081081084</v>
      </c>
      <c r="N15" s="479">
        <v>1230</v>
      </c>
      <c r="O15" s="477">
        <f t="shared" si="2"/>
        <v>1230</v>
      </c>
    </row>
    <row r="16" spans="1:15" ht="30" x14ac:dyDescent="0.3">
      <c r="A16" s="354" t="s">
        <v>2784</v>
      </c>
      <c r="B16" s="355">
        <v>1</v>
      </c>
      <c r="C16" s="358">
        <v>70000</v>
      </c>
      <c r="D16" s="350">
        <f t="shared" si="0"/>
        <v>70000</v>
      </c>
      <c r="H16" s="354" t="s">
        <v>2786</v>
      </c>
      <c r="I16" s="355">
        <v>1</v>
      </c>
      <c r="J16" s="358">
        <v>40000</v>
      </c>
      <c r="K16" s="350">
        <f t="shared" si="1"/>
        <v>40000</v>
      </c>
      <c r="M16" s="478">
        <f>J16/Расходы!$B$5</f>
        <v>540.54054054054052</v>
      </c>
      <c r="N16" s="479">
        <v>820</v>
      </c>
      <c r="O16" s="477">
        <f t="shared" si="2"/>
        <v>820</v>
      </c>
    </row>
    <row r="17" spans="1:15" x14ac:dyDescent="0.3">
      <c r="A17" s="354" t="s">
        <v>2783</v>
      </c>
      <c r="B17" s="355">
        <v>1</v>
      </c>
      <c r="C17" s="358">
        <v>50000</v>
      </c>
      <c r="D17" s="350">
        <f t="shared" si="0"/>
        <v>50000</v>
      </c>
      <c r="H17" s="354" t="s">
        <v>2785</v>
      </c>
      <c r="I17" s="355">
        <v>1</v>
      </c>
      <c r="J17" s="358">
        <v>50000</v>
      </c>
      <c r="K17" s="350">
        <f t="shared" si="1"/>
        <v>50000</v>
      </c>
      <c r="M17" s="478">
        <f>J17/Расходы!$B$5</f>
        <v>675.67567567567562</v>
      </c>
      <c r="N17" s="479">
        <v>1020</v>
      </c>
      <c r="O17" s="477">
        <f t="shared" si="2"/>
        <v>1020</v>
      </c>
    </row>
    <row r="18" spans="1:15" ht="30" x14ac:dyDescent="0.3">
      <c r="A18" s="354" t="s">
        <v>2782</v>
      </c>
      <c r="B18" s="355">
        <v>1</v>
      </c>
      <c r="C18" s="358">
        <v>50000</v>
      </c>
      <c r="D18" s="350">
        <f t="shared" si="0"/>
        <v>50000</v>
      </c>
      <c r="H18" s="354" t="s">
        <v>2784</v>
      </c>
      <c r="I18" s="355">
        <v>1</v>
      </c>
      <c r="J18" s="358">
        <v>70000</v>
      </c>
      <c r="K18" s="350">
        <f t="shared" si="1"/>
        <v>70000</v>
      </c>
      <c r="M18" s="478">
        <f>J18/Расходы!$B$5</f>
        <v>945.94594594594594</v>
      </c>
      <c r="N18" s="479">
        <v>1340</v>
      </c>
      <c r="O18" s="477">
        <f t="shared" si="2"/>
        <v>1340</v>
      </c>
    </row>
    <row r="19" spans="1:15" x14ac:dyDescent="0.3">
      <c r="A19" s="354" t="s">
        <v>2781</v>
      </c>
      <c r="B19" s="355">
        <v>1</v>
      </c>
      <c r="C19" s="358">
        <v>50000</v>
      </c>
      <c r="D19" s="350">
        <f t="shared" si="0"/>
        <v>50000</v>
      </c>
      <c r="H19" s="354" t="s">
        <v>2783</v>
      </c>
      <c r="I19" s="355">
        <v>2</v>
      </c>
      <c r="J19" s="358">
        <v>50000</v>
      </c>
      <c r="K19" s="350">
        <f t="shared" si="1"/>
        <v>100000</v>
      </c>
      <c r="M19" s="478">
        <f>J19/Расходы!$B$5</f>
        <v>675.67567567567562</v>
      </c>
      <c r="N19" s="479">
        <v>980</v>
      </c>
      <c r="O19" s="477">
        <f t="shared" si="2"/>
        <v>1960</v>
      </c>
    </row>
    <row r="20" spans="1:15" x14ac:dyDescent="0.3">
      <c r="A20" s="354" t="s">
        <v>2780</v>
      </c>
      <c r="B20" s="355">
        <v>1</v>
      </c>
      <c r="C20" s="358">
        <v>30000</v>
      </c>
      <c r="D20" s="350">
        <f t="shared" si="0"/>
        <v>30000</v>
      </c>
      <c r="H20" s="354" t="s">
        <v>2782</v>
      </c>
      <c r="I20" s="355">
        <v>2</v>
      </c>
      <c r="J20" s="358">
        <v>50000</v>
      </c>
      <c r="K20" s="350">
        <f t="shared" si="1"/>
        <v>100000</v>
      </c>
      <c r="M20" s="478">
        <f>J20/Расходы!$B$5</f>
        <v>675.67567567567562</v>
      </c>
      <c r="N20" s="479">
        <v>980</v>
      </c>
      <c r="O20" s="477">
        <f t="shared" si="2"/>
        <v>1960</v>
      </c>
    </row>
    <row r="21" spans="1:15" x14ac:dyDescent="0.3">
      <c r="A21" s="354" t="s">
        <v>2779</v>
      </c>
      <c r="B21" s="355">
        <v>2</v>
      </c>
      <c r="C21" s="358">
        <v>17000</v>
      </c>
      <c r="D21" s="350">
        <f t="shared" si="0"/>
        <v>34000</v>
      </c>
      <c r="H21" s="354" t="s">
        <v>2929</v>
      </c>
      <c r="I21" s="355">
        <v>1</v>
      </c>
      <c r="J21" s="358">
        <v>70000</v>
      </c>
      <c r="K21" s="350">
        <f t="shared" si="1"/>
        <v>70000</v>
      </c>
      <c r="M21" s="478">
        <f>J21/Расходы!$B$5</f>
        <v>945.94594594594594</v>
      </c>
      <c r="N21" s="479">
        <v>1330</v>
      </c>
      <c r="O21" s="477">
        <f t="shared" si="2"/>
        <v>1330</v>
      </c>
    </row>
    <row r="22" spans="1:15" x14ac:dyDescent="0.3">
      <c r="A22" s="354" t="s">
        <v>2778</v>
      </c>
      <c r="B22" s="355">
        <v>1</v>
      </c>
      <c r="C22" s="358">
        <v>30000</v>
      </c>
      <c r="D22" s="350">
        <f t="shared" si="0"/>
        <v>30000</v>
      </c>
      <c r="H22" s="354" t="s">
        <v>2930</v>
      </c>
      <c r="I22" s="355">
        <v>2</v>
      </c>
      <c r="J22" s="358">
        <v>55000</v>
      </c>
      <c r="K22" s="350">
        <f t="shared" si="1"/>
        <v>110000</v>
      </c>
      <c r="M22" s="478">
        <f>J22/Расходы!$B$5</f>
        <v>743.24324324324323</v>
      </c>
      <c r="N22" s="479">
        <v>1070</v>
      </c>
      <c r="O22" s="477">
        <f t="shared" si="2"/>
        <v>2140</v>
      </c>
    </row>
    <row r="23" spans="1:15" x14ac:dyDescent="0.3">
      <c r="A23" s="354" t="s">
        <v>2777</v>
      </c>
      <c r="B23" s="355">
        <v>1</v>
      </c>
      <c r="C23" s="358">
        <v>30000</v>
      </c>
      <c r="D23" s="350">
        <f t="shared" si="0"/>
        <v>30000</v>
      </c>
      <c r="H23" s="354" t="s">
        <v>2780</v>
      </c>
      <c r="I23" s="355">
        <v>2</v>
      </c>
      <c r="J23" s="358">
        <v>30000</v>
      </c>
      <c r="K23" s="350">
        <f t="shared" si="1"/>
        <v>60000</v>
      </c>
      <c r="M23" s="478">
        <f>J23/Расходы!$B$5</f>
        <v>405.40540540540542</v>
      </c>
      <c r="N23" s="479">
        <v>620</v>
      </c>
      <c r="O23" s="477">
        <f t="shared" si="2"/>
        <v>1240</v>
      </c>
    </row>
    <row r="24" spans="1:15" x14ac:dyDescent="0.3">
      <c r="A24" s="354" t="s">
        <v>2776</v>
      </c>
      <c r="B24" s="355">
        <v>1</v>
      </c>
      <c r="C24" s="358">
        <v>30000</v>
      </c>
      <c r="D24" s="350">
        <f t="shared" si="0"/>
        <v>30000</v>
      </c>
      <c r="H24" s="354" t="s">
        <v>2779</v>
      </c>
      <c r="I24" s="355">
        <v>2</v>
      </c>
      <c r="J24" s="358">
        <v>20000</v>
      </c>
      <c r="K24" s="350">
        <f t="shared" si="1"/>
        <v>40000</v>
      </c>
      <c r="M24" s="478">
        <f>J24/Расходы!$B$5</f>
        <v>270.27027027027026</v>
      </c>
      <c r="N24" s="479">
        <v>460</v>
      </c>
      <c r="O24" s="477">
        <f t="shared" si="2"/>
        <v>920</v>
      </c>
    </row>
    <row r="25" spans="1:15" x14ac:dyDescent="0.3">
      <c r="A25" s="357" t="s">
        <v>2775</v>
      </c>
      <c r="B25" s="356"/>
      <c r="C25" s="351"/>
      <c r="D25" s="350"/>
      <c r="H25" s="354" t="s">
        <v>2931</v>
      </c>
      <c r="I25" s="355">
        <v>1</v>
      </c>
      <c r="J25" s="358">
        <v>30000</v>
      </c>
      <c r="K25" s="350">
        <f t="shared" si="1"/>
        <v>30000</v>
      </c>
      <c r="M25" s="478">
        <f>J25/Расходы!$B$5</f>
        <v>405.40540540540542</v>
      </c>
      <c r="N25" s="480">
        <v>610</v>
      </c>
      <c r="O25" s="477">
        <f t="shared" si="2"/>
        <v>610</v>
      </c>
    </row>
    <row r="26" spans="1:15" x14ac:dyDescent="0.3">
      <c r="A26" s="354" t="s">
        <v>2770</v>
      </c>
      <c r="B26" s="355">
        <v>1</v>
      </c>
      <c r="C26" s="358">
        <v>40000</v>
      </c>
      <c r="D26" s="350">
        <f t="shared" ref="D26:D31" si="3">C26*B26</f>
        <v>40000</v>
      </c>
      <c r="H26" s="354" t="s">
        <v>2778</v>
      </c>
      <c r="I26" s="355">
        <v>1</v>
      </c>
      <c r="J26" s="358">
        <v>30000</v>
      </c>
      <c r="K26" s="350">
        <f t="shared" si="1"/>
        <v>30000</v>
      </c>
      <c r="M26" s="478">
        <f>J26/Расходы!$B$5</f>
        <v>405.40540540540542</v>
      </c>
      <c r="N26" s="479">
        <v>610</v>
      </c>
      <c r="O26" s="477">
        <f t="shared" si="2"/>
        <v>610</v>
      </c>
    </row>
    <row r="27" spans="1:15" x14ac:dyDescent="0.3">
      <c r="A27" s="354" t="s">
        <v>2769</v>
      </c>
      <c r="B27" s="355">
        <v>1</v>
      </c>
      <c r="C27" s="358">
        <v>30000</v>
      </c>
      <c r="D27" s="350">
        <f t="shared" si="3"/>
        <v>30000</v>
      </c>
      <c r="H27" s="354" t="s">
        <v>2777</v>
      </c>
      <c r="I27" s="355">
        <v>1</v>
      </c>
      <c r="J27" s="358">
        <v>30000</v>
      </c>
      <c r="K27" s="350">
        <f t="shared" si="1"/>
        <v>30000</v>
      </c>
      <c r="M27" s="478">
        <f>J27/Расходы!$B$5</f>
        <v>405.40540540540542</v>
      </c>
      <c r="N27" s="479">
        <v>610</v>
      </c>
      <c r="O27" s="477">
        <f t="shared" si="2"/>
        <v>610</v>
      </c>
    </row>
    <row r="28" spans="1:15" x14ac:dyDescent="0.3">
      <c r="A28" s="354" t="s">
        <v>2768</v>
      </c>
      <c r="B28" s="352">
        <v>4</v>
      </c>
      <c r="C28" s="358">
        <v>30000</v>
      </c>
      <c r="D28" s="350">
        <f t="shared" si="3"/>
        <v>120000</v>
      </c>
      <c r="H28" s="354" t="s">
        <v>2776</v>
      </c>
      <c r="I28" s="352">
        <v>2</v>
      </c>
      <c r="J28" s="358">
        <v>30000</v>
      </c>
      <c r="K28" s="350">
        <f t="shared" si="1"/>
        <v>60000</v>
      </c>
      <c r="M28" s="478">
        <f>J28/Расходы!$B$5</f>
        <v>405.40540540540542</v>
      </c>
      <c r="N28" s="479">
        <v>610</v>
      </c>
      <c r="O28" s="477">
        <f t="shared" si="2"/>
        <v>1220</v>
      </c>
    </row>
    <row r="29" spans="1:15" x14ac:dyDescent="0.3">
      <c r="A29" s="354" t="s">
        <v>2767</v>
      </c>
      <c r="B29" s="352">
        <v>2</v>
      </c>
      <c r="C29" s="358">
        <v>25000</v>
      </c>
      <c r="D29" s="350">
        <f t="shared" si="3"/>
        <v>50000</v>
      </c>
      <c r="H29" s="474" t="s">
        <v>2774</v>
      </c>
      <c r="I29" s="352"/>
      <c r="J29" s="358"/>
      <c r="K29" s="350"/>
      <c r="M29" s="478"/>
      <c r="N29" s="479"/>
      <c r="O29" s="477"/>
    </row>
    <row r="30" spans="1:15" x14ac:dyDescent="0.3">
      <c r="A30" s="354" t="s">
        <v>2766</v>
      </c>
      <c r="B30" s="352">
        <v>2</v>
      </c>
      <c r="C30" s="358">
        <v>17000</v>
      </c>
      <c r="D30" s="350">
        <f t="shared" si="3"/>
        <v>34000</v>
      </c>
      <c r="H30" s="354" t="s">
        <v>2770</v>
      </c>
      <c r="I30" s="352">
        <v>3</v>
      </c>
      <c r="J30" s="358">
        <v>50000</v>
      </c>
      <c r="K30" s="350">
        <f t="shared" si="1"/>
        <v>150000</v>
      </c>
      <c r="M30" s="478">
        <f>J30/Расходы!$B$5</f>
        <v>675.67567567567562</v>
      </c>
      <c r="N30" s="479">
        <v>980</v>
      </c>
      <c r="O30" s="477">
        <f t="shared" si="2"/>
        <v>2940</v>
      </c>
    </row>
    <row r="31" spans="1:15" x14ac:dyDescent="0.3">
      <c r="A31" s="354" t="s">
        <v>2765</v>
      </c>
      <c r="B31" s="352">
        <v>1</v>
      </c>
      <c r="C31" s="358">
        <v>25000</v>
      </c>
      <c r="D31" s="350">
        <f t="shared" si="3"/>
        <v>25000</v>
      </c>
      <c r="H31" s="354" t="s">
        <v>2769</v>
      </c>
      <c r="I31" s="352">
        <v>3</v>
      </c>
      <c r="J31" s="358">
        <v>45000</v>
      </c>
      <c r="K31" s="350">
        <f t="shared" si="1"/>
        <v>135000</v>
      </c>
      <c r="M31" s="478">
        <f>J31/Расходы!$B$5</f>
        <v>608.10810810810813</v>
      </c>
      <c r="N31" s="479">
        <v>910</v>
      </c>
      <c r="O31" s="477">
        <f t="shared" si="2"/>
        <v>2730</v>
      </c>
    </row>
    <row r="32" spans="1:15" x14ac:dyDescent="0.3">
      <c r="A32" s="357" t="s">
        <v>2773</v>
      </c>
      <c r="B32" s="356"/>
      <c r="C32" s="351"/>
      <c r="D32" s="350"/>
      <c r="H32" s="353" t="s">
        <v>2768</v>
      </c>
      <c r="I32" s="352">
        <v>11</v>
      </c>
      <c r="J32" s="358">
        <v>40000</v>
      </c>
      <c r="K32" s="350">
        <f t="shared" si="1"/>
        <v>440000</v>
      </c>
      <c r="M32" s="478">
        <f>J32/Расходы!$B$5</f>
        <v>540.54054054054052</v>
      </c>
      <c r="N32" s="479">
        <v>830</v>
      </c>
      <c r="O32" s="477">
        <f t="shared" si="2"/>
        <v>9130</v>
      </c>
    </row>
    <row r="33" spans="1:15" x14ac:dyDescent="0.3">
      <c r="A33" s="354" t="s">
        <v>2770</v>
      </c>
      <c r="B33" s="355">
        <v>1</v>
      </c>
      <c r="C33" s="358">
        <v>40000</v>
      </c>
      <c r="D33" s="350">
        <f t="shared" ref="D33:D38" si="4">C33*B33</f>
        <v>40000</v>
      </c>
      <c r="H33" s="353" t="s">
        <v>2767</v>
      </c>
      <c r="I33" s="352">
        <v>2</v>
      </c>
      <c r="J33" s="358">
        <v>40000</v>
      </c>
      <c r="K33" s="350">
        <f t="shared" si="1"/>
        <v>80000</v>
      </c>
      <c r="M33" s="478">
        <f>J33/Расходы!$B$5</f>
        <v>540.54054054054052</v>
      </c>
      <c r="N33" s="479">
        <v>810</v>
      </c>
      <c r="O33" s="477">
        <f t="shared" si="2"/>
        <v>1620</v>
      </c>
    </row>
    <row r="34" spans="1:15" x14ac:dyDescent="0.3">
      <c r="A34" s="354" t="s">
        <v>2769</v>
      </c>
      <c r="B34" s="355">
        <v>1</v>
      </c>
      <c r="C34" s="358">
        <v>30000</v>
      </c>
      <c r="D34" s="350">
        <f t="shared" si="4"/>
        <v>30000</v>
      </c>
      <c r="H34" s="472" t="s">
        <v>2766</v>
      </c>
      <c r="I34" s="356">
        <v>2</v>
      </c>
      <c r="J34" s="351">
        <v>25000</v>
      </c>
      <c r="K34" s="350">
        <f t="shared" si="1"/>
        <v>50000</v>
      </c>
      <c r="M34" s="478">
        <f>J34/Расходы!$B$5</f>
        <v>337.83783783783781</v>
      </c>
      <c r="N34" s="480">
        <v>520</v>
      </c>
      <c r="O34" s="477">
        <f t="shared" si="2"/>
        <v>1040</v>
      </c>
    </row>
    <row r="35" spans="1:15" x14ac:dyDescent="0.3">
      <c r="A35" s="354" t="s">
        <v>2768</v>
      </c>
      <c r="B35" s="352">
        <v>4</v>
      </c>
      <c r="C35" s="358">
        <v>30000</v>
      </c>
      <c r="D35" s="350">
        <f t="shared" si="4"/>
        <v>120000</v>
      </c>
      <c r="H35" s="354" t="s">
        <v>2932</v>
      </c>
      <c r="I35" s="355">
        <v>1</v>
      </c>
      <c r="J35" s="358">
        <v>30000</v>
      </c>
      <c r="K35" s="350">
        <f t="shared" si="1"/>
        <v>30000</v>
      </c>
      <c r="M35" s="478">
        <f>J35/Расходы!$B$5</f>
        <v>405.40540540540542</v>
      </c>
      <c r="N35" s="479">
        <v>670</v>
      </c>
      <c r="O35" s="477">
        <f t="shared" si="2"/>
        <v>670</v>
      </c>
    </row>
    <row r="36" spans="1:15" x14ac:dyDescent="0.3">
      <c r="A36" s="354" t="s">
        <v>2767</v>
      </c>
      <c r="B36" s="352">
        <v>2</v>
      </c>
      <c r="C36" s="358">
        <v>25000</v>
      </c>
      <c r="D36" s="350">
        <f t="shared" si="4"/>
        <v>50000</v>
      </c>
      <c r="H36" s="354" t="s">
        <v>2933</v>
      </c>
      <c r="I36" s="355">
        <v>2</v>
      </c>
      <c r="J36" s="358">
        <v>35000</v>
      </c>
      <c r="K36" s="350">
        <f t="shared" si="1"/>
        <v>70000</v>
      </c>
      <c r="M36" s="478">
        <f>J36/Расходы!$B$5</f>
        <v>472.97297297297297</v>
      </c>
      <c r="N36" s="479">
        <v>720</v>
      </c>
      <c r="O36" s="477">
        <f t="shared" si="2"/>
        <v>1440</v>
      </c>
    </row>
    <row r="37" spans="1:15" x14ac:dyDescent="0.3">
      <c r="A37" s="354" t="s">
        <v>2766</v>
      </c>
      <c r="B37" s="352">
        <v>2</v>
      </c>
      <c r="C37" s="358">
        <v>17000</v>
      </c>
      <c r="D37" s="350">
        <f t="shared" si="4"/>
        <v>34000</v>
      </c>
      <c r="H37" s="354" t="s">
        <v>2934</v>
      </c>
      <c r="I37" s="352">
        <v>1</v>
      </c>
      <c r="J37" s="358">
        <v>35000</v>
      </c>
      <c r="K37" s="350">
        <f t="shared" si="1"/>
        <v>35000</v>
      </c>
      <c r="M37" s="478">
        <f>J37/Расходы!$B$5</f>
        <v>472.97297297297297</v>
      </c>
      <c r="N37" s="479">
        <v>720</v>
      </c>
      <c r="O37" s="477">
        <f t="shared" si="2"/>
        <v>720</v>
      </c>
    </row>
    <row r="38" spans="1:15" x14ac:dyDescent="0.3">
      <c r="A38" s="354" t="s">
        <v>2765</v>
      </c>
      <c r="B38" s="352">
        <v>1</v>
      </c>
      <c r="C38" s="358">
        <v>25000</v>
      </c>
      <c r="D38" s="350">
        <f t="shared" si="4"/>
        <v>25000</v>
      </c>
      <c r="H38" s="354" t="s">
        <v>2935</v>
      </c>
      <c r="I38" s="352">
        <v>4</v>
      </c>
      <c r="J38" s="358">
        <v>35000</v>
      </c>
      <c r="K38" s="350">
        <f t="shared" si="1"/>
        <v>140000</v>
      </c>
      <c r="M38" s="478">
        <f>J38/Расходы!$B$5</f>
        <v>472.97297297297297</v>
      </c>
      <c r="N38" s="479">
        <v>720</v>
      </c>
      <c r="O38" s="477">
        <f t="shared" si="2"/>
        <v>2880</v>
      </c>
    </row>
    <row r="39" spans="1:15" ht="30.75" thickBot="1" x14ac:dyDescent="0.35">
      <c r="A39" s="349" t="s">
        <v>2440</v>
      </c>
      <c r="B39" s="348">
        <f>SUM(B3:B38)</f>
        <v>44</v>
      </c>
      <c r="C39" s="347"/>
      <c r="D39" s="347">
        <f>SUM(D3:D38)</f>
        <v>1602000</v>
      </c>
      <c r="H39" s="354" t="s">
        <v>2936</v>
      </c>
      <c r="I39" s="352">
        <v>8</v>
      </c>
      <c r="J39" s="358">
        <v>25000</v>
      </c>
      <c r="K39" s="350">
        <f t="shared" si="1"/>
        <v>200000</v>
      </c>
      <c r="M39" s="478">
        <f>J39/Расходы!$B$5</f>
        <v>337.83783783783781</v>
      </c>
      <c r="N39" s="479">
        <v>520</v>
      </c>
      <c r="O39" s="477">
        <f t="shared" si="2"/>
        <v>4160</v>
      </c>
    </row>
    <row r="40" spans="1:15" x14ac:dyDescent="0.3">
      <c r="H40" s="354" t="s">
        <v>2937</v>
      </c>
      <c r="I40" s="352">
        <v>2</v>
      </c>
      <c r="J40" s="358">
        <v>35000</v>
      </c>
      <c r="K40" s="350">
        <f t="shared" si="1"/>
        <v>70000</v>
      </c>
      <c r="M40" s="478">
        <f>J40/Расходы!$B$5</f>
        <v>472.97297297297297</v>
      </c>
      <c r="N40" s="479">
        <v>720</v>
      </c>
      <c r="O40" s="477">
        <f t="shared" si="2"/>
        <v>1440</v>
      </c>
    </row>
    <row r="41" spans="1:15" x14ac:dyDescent="0.3">
      <c r="A41" s="346" t="s">
        <v>2872</v>
      </c>
      <c r="B41" s="333">
        <f>SUM(B4:B24)</f>
        <v>22</v>
      </c>
      <c r="D41" s="333">
        <f>SUM(D4:D24)</f>
        <v>1004000</v>
      </c>
      <c r="H41" s="353" t="s">
        <v>2938</v>
      </c>
      <c r="I41" s="352">
        <v>2</v>
      </c>
      <c r="J41" s="358">
        <v>25000</v>
      </c>
      <c r="K41" s="350">
        <f t="shared" si="1"/>
        <v>50000</v>
      </c>
      <c r="M41" s="478">
        <f>J41/Расходы!$B$5</f>
        <v>337.83783783783781</v>
      </c>
      <c r="N41" s="479">
        <v>520</v>
      </c>
      <c r="O41" s="477">
        <f t="shared" si="2"/>
        <v>1040</v>
      </c>
    </row>
    <row r="42" spans="1:15" x14ac:dyDescent="0.3">
      <c r="A42" s="346" t="s">
        <v>2873</v>
      </c>
      <c r="B42" s="333">
        <f>SUM(B26:B38)</f>
        <v>22</v>
      </c>
      <c r="D42" s="333">
        <f>SUM(D26:D38)</f>
        <v>598000</v>
      </c>
      <c r="H42" s="473" t="s">
        <v>2772</v>
      </c>
      <c r="I42" s="352"/>
      <c r="J42" s="358"/>
      <c r="K42" s="350"/>
      <c r="M42" s="478"/>
      <c r="N42" s="479"/>
      <c r="O42" s="477"/>
    </row>
    <row r="43" spans="1:15" x14ac:dyDescent="0.3">
      <c r="H43" s="472" t="s">
        <v>2770</v>
      </c>
      <c r="I43" s="356">
        <v>3</v>
      </c>
      <c r="J43" s="351">
        <v>50000</v>
      </c>
      <c r="K43" s="350">
        <f t="shared" si="1"/>
        <v>150000</v>
      </c>
      <c r="M43" s="478">
        <f>J43/Расходы!$B$5</f>
        <v>675.67567567567562</v>
      </c>
      <c r="N43" s="480">
        <v>980</v>
      </c>
      <c r="O43" s="477">
        <f t="shared" si="2"/>
        <v>2940</v>
      </c>
    </row>
    <row r="44" spans="1:15" x14ac:dyDescent="0.3">
      <c r="H44" s="354" t="s">
        <v>2769</v>
      </c>
      <c r="I44" s="355">
        <v>3</v>
      </c>
      <c r="J44" s="358">
        <v>45000</v>
      </c>
      <c r="K44" s="350">
        <f t="shared" si="1"/>
        <v>135000</v>
      </c>
      <c r="M44" s="478">
        <f>J44/Расходы!$B$5</f>
        <v>608.10810810810813</v>
      </c>
      <c r="N44" s="479">
        <v>910</v>
      </c>
      <c r="O44" s="477">
        <f t="shared" si="2"/>
        <v>2730</v>
      </c>
    </row>
    <row r="45" spans="1:15" x14ac:dyDescent="0.3">
      <c r="H45" s="354" t="s">
        <v>2768</v>
      </c>
      <c r="I45" s="355">
        <v>11</v>
      </c>
      <c r="J45" s="358">
        <v>40000</v>
      </c>
      <c r="K45" s="350">
        <f t="shared" si="1"/>
        <v>440000</v>
      </c>
      <c r="M45" s="478">
        <f>J45/Расходы!$B$5</f>
        <v>540.54054054054052</v>
      </c>
      <c r="N45" s="479">
        <v>830</v>
      </c>
      <c r="O45" s="477">
        <f t="shared" si="2"/>
        <v>9130</v>
      </c>
    </row>
    <row r="46" spans="1:15" x14ac:dyDescent="0.3">
      <c r="H46" s="354" t="s">
        <v>2767</v>
      </c>
      <c r="I46" s="352">
        <v>2</v>
      </c>
      <c r="J46" s="358">
        <v>40000</v>
      </c>
      <c r="K46" s="350">
        <f t="shared" si="1"/>
        <v>80000</v>
      </c>
      <c r="M46" s="478">
        <f>J46/Расходы!$B$5</f>
        <v>540.54054054054052</v>
      </c>
      <c r="N46" s="479">
        <v>810</v>
      </c>
      <c r="O46" s="477">
        <f t="shared" si="2"/>
        <v>1620</v>
      </c>
    </row>
    <row r="47" spans="1:15" x14ac:dyDescent="0.3">
      <c r="H47" s="354" t="s">
        <v>2766</v>
      </c>
      <c r="I47" s="352">
        <v>2</v>
      </c>
      <c r="J47" s="358">
        <v>25000</v>
      </c>
      <c r="K47" s="350">
        <f t="shared" si="1"/>
        <v>50000</v>
      </c>
      <c r="M47" s="478">
        <f>J47/Расходы!$B$5</f>
        <v>337.83783783783781</v>
      </c>
      <c r="N47" s="479">
        <v>520</v>
      </c>
      <c r="O47" s="477">
        <f t="shared" si="2"/>
        <v>1040</v>
      </c>
    </row>
    <row r="48" spans="1:15" x14ac:dyDescent="0.3">
      <c r="H48" s="354" t="s">
        <v>2932</v>
      </c>
      <c r="I48" s="352">
        <v>1</v>
      </c>
      <c r="J48" s="358">
        <v>30000</v>
      </c>
      <c r="K48" s="350">
        <f t="shared" si="1"/>
        <v>30000</v>
      </c>
      <c r="M48" s="478">
        <f>J48/Расходы!$B$5</f>
        <v>405.40540540540542</v>
      </c>
      <c r="N48" s="479">
        <v>670</v>
      </c>
      <c r="O48" s="477">
        <f t="shared" si="2"/>
        <v>670</v>
      </c>
    </row>
    <row r="49" spans="8:15" x14ac:dyDescent="0.3">
      <c r="H49" s="354" t="s">
        <v>2933</v>
      </c>
      <c r="I49" s="352">
        <v>2</v>
      </c>
      <c r="J49" s="358">
        <v>35000</v>
      </c>
      <c r="K49" s="350">
        <f t="shared" si="1"/>
        <v>70000</v>
      </c>
      <c r="M49" s="478">
        <f>J49/Расходы!$B$5</f>
        <v>472.97297297297297</v>
      </c>
      <c r="N49" s="479">
        <v>720</v>
      </c>
      <c r="O49" s="477">
        <f t="shared" si="2"/>
        <v>1440</v>
      </c>
    </row>
    <row r="50" spans="8:15" x14ac:dyDescent="0.3">
      <c r="H50" s="353" t="s">
        <v>2934</v>
      </c>
      <c r="I50" s="352">
        <v>1</v>
      </c>
      <c r="J50" s="358">
        <v>35000</v>
      </c>
      <c r="K50" s="350">
        <f t="shared" si="1"/>
        <v>35000</v>
      </c>
      <c r="M50" s="478">
        <f>J50/Расходы!$B$5</f>
        <v>472.97297297297297</v>
      </c>
      <c r="N50" s="479">
        <v>720</v>
      </c>
      <c r="O50" s="477">
        <f t="shared" si="2"/>
        <v>720</v>
      </c>
    </row>
    <row r="51" spans="8:15" x14ac:dyDescent="0.3">
      <c r="H51" s="353" t="s">
        <v>2935</v>
      </c>
      <c r="I51" s="352">
        <v>4</v>
      </c>
      <c r="J51" s="358">
        <v>35000</v>
      </c>
      <c r="K51" s="350">
        <f t="shared" si="1"/>
        <v>140000</v>
      </c>
      <c r="M51" s="478">
        <f>J51/Расходы!$B$5</f>
        <v>472.97297297297297</v>
      </c>
      <c r="N51" s="479">
        <v>720</v>
      </c>
      <c r="O51" s="477">
        <f t="shared" si="2"/>
        <v>2880</v>
      </c>
    </row>
    <row r="52" spans="8:15" ht="30" x14ac:dyDescent="0.3">
      <c r="H52" s="468" t="s">
        <v>2936</v>
      </c>
      <c r="I52" s="469">
        <v>8</v>
      </c>
      <c r="J52" s="470">
        <v>25000</v>
      </c>
      <c r="K52" s="350">
        <f t="shared" si="1"/>
        <v>200000</v>
      </c>
      <c r="M52" s="478">
        <f>J52/Расходы!$B$5</f>
        <v>337.83783783783781</v>
      </c>
      <c r="N52" s="481">
        <v>520</v>
      </c>
      <c r="O52" s="477">
        <f t="shared" si="2"/>
        <v>4160</v>
      </c>
    </row>
    <row r="53" spans="8:15" x14ac:dyDescent="0.3">
      <c r="H53" s="468" t="s">
        <v>2937</v>
      </c>
      <c r="I53" s="469">
        <v>2</v>
      </c>
      <c r="J53" s="470">
        <v>35000</v>
      </c>
      <c r="K53" s="350">
        <f t="shared" si="1"/>
        <v>70000</v>
      </c>
      <c r="M53" s="478">
        <f>J53/Расходы!$B$5</f>
        <v>472.97297297297297</v>
      </c>
      <c r="N53" s="481">
        <v>720</v>
      </c>
      <c r="O53" s="477">
        <f t="shared" si="2"/>
        <v>1440</v>
      </c>
    </row>
    <row r="54" spans="8:15" x14ac:dyDescent="0.3">
      <c r="H54" s="468" t="s">
        <v>2938</v>
      </c>
      <c r="I54" s="469">
        <v>2</v>
      </c>
      <c r="J54" s="470">
        <v>25000</v>
      </c>
      <c r="K54" s="350">
        <f t="shared" si="1"/>
        <v>50000</v>
      </c>
      <c r="M54" s="478">
        <f>J54/Расходы!$B$5</f>
        <v>337.83783783783781</v>
      </c>
      <c r="N54" s="481">
        <v>520</v>
      </c>
      <c r="O54" s="477">
        <f t="shared" si="2"/>
        <v>1040</v>
      </c>
    </row>
    <row r="55" spans="8:15" x14ac:dyDescent="0.3">
      <c r="H55" s="471" t="s">
        <v>2771</v>
      </c>
      <c r="I55" s="469"/>
      <c r="J55" s="470"/>
      <c r="K55" s="350"/>
      <c r="M55" s="478"/>
      <c r="N55" s="481"/>
      <c r="O55" s="477"/>
    </row>
    <row r="56" spans="8:15" x14ac:dyDescent="0.3">
      <c r="H56" s="468" t="s">
        <v>2770</v>
      </c>
      <c r="I56" s="469">
        <v>3</v>
      </c>
      <c r="J56" s="470">
        <v>50000</v>
      </c>
      <c r="K56" s="350">
        <f t="shared" si="1"/>
        <v>150000</v>
      </c>
      <c r="M56" s="478">
        <f>J56/Расходы!$B$5</f>
        <v>675.67567567567562</v>
      </c>
      <c r="N56" s="481">
        <v>980</v>
      </c>
      <c r="O56" s="477">
        <f t="shared" si="2"/>
        <v>2940</v>
      </c>
    </row>
    <row r="57" spans="8:15" x14ac:dyDescent="0.3">
      <c r="H57" s="468" t="s">
        <v>2769</v>
      </c>
      <c r="I57" s="469">
        <v>3</v>
      </c>
      <c r="J57" s="470">
        <v>45000</v>
      </c>
      <c r="K57" s="350">
        <f t="shared" si="1"/>
        <v>135000</v>
      </c>
      <c r="M57" s="478">
        <f>J57/Расходы!$B$5</f>
        <v>608.10810810810813</v>
      </c>
      <c r="N57" s="481">
        <v>910</v>
      </c>
      <c r="O57" s="477">
        <f t="shared" si="2"/>
        <v>2730</v>
      </c>
    </row>
    <row r="58" spans="8:15" x14ac:dyDescent="0.3">
      <c r="H58" s="468" t="s">
        <v>2768</v>
      </c>
      <c r="I58" s="469">
        <v>11</v>
      </c>
      <c r="J58" s="470">
        <v>40000</v>
      </c>
      <c r="K58" s="350">
        <f t="shared" si="1"/>
        <v>440000</v>
      </c>
      <c r="M58" s="478">
        <f>J58/Расходы!$B$5</f>
        <v>540.54054054054052</v>
      </c>
      <c r="N58" s="481">
        <v>830</v>
      </c>
      <c r="O58" s="477">
        <f t="shared" si="2"/>
        <v>9130</v>
      </c>
    </row>
    <row r="59" spans="8:15" x14ac:dyDescent="0.3">
      <c r="H59" s="468" t="s">
        <v>2767</v>
      </c>
      <c r="I59" s="469">
        <v>2</v>
      </c>
      <c r="J59" s="470">
        <v>40000</v>
      </c>
      <c r="K59" s="350">
        <f t="shared" si="1"/>
        <v>80000</v>
      </c>
      <c r="M59" s="478">
        <f>J59/Расходы!$B$5</f>
        <v>540.54054054054052</v>
      </c>
      <c r="N59" s="481">
        <v>810</v>
      </c>
      <c r="O59" s="477">
        <f t="shared" si="2"/>
        <v>1620</v>
      </c>
    </row>
    <row r="60" spans="8:15" x14ac:dyDescent="0.3">
      <c r="H60" s="468" t="s">
        <v>2766</v>
      </c>
      <c r="I60" s="469">
        <v>2</v>
      </c>
      <c r="J60" s="470">
        <v>25000</v>
      </c>
      <c r="K60" s="350">
        <f t="shared" si="1"/>
        <v>50000</v>
      </c>
      <c r="M60" s="478">
        <f>J60/Расходы!$B$5</f>
        <v>337.83783783783781</v>
      </c>
      <c r="N60" s="481">
        <v>520</v>
      </c>
      <c r="O60" s="477">
        <f t="shared" si="2"/>
        <v>1040</v>
      </c>
    </row>
    <row r="61" spans="8:15" x14ac:dyDescent="0.3">
      <c r="H61" s="468" t="s">
        <v>2932</v>
      </c>
      <c r="I61" s="469">
        <v>1</v>
      </c>
      <c r="J61" s="470">
        <v>30000</v>
      </c>
      <c r="K61" s="350">
        <f t="shared" si="1"/>
        <v>30000</v>
      </c>
      <c r="M61" s="478">
        <f>J61/Расходы!$B$5</f>
        <v>405.40540540540542</v>
      </c>
      <c r="N61" s="481">
        <v>670</v>
      </c>
      <c r="O61" s="477">
        <f t="shared" si="2"/>
        <v>670</v>
      </c>
    </row>
    <row r="62" spans="8:15" x14ac:dyDescent="0.3">
      <c r="H62" s="468" t="s">
        <v>2933</v>
      </c>
      <c r="I62" s="469">
        <v>2</v>
      </c>
      <c r="J62" s="470">
        <v>35000</v>
      </c>
      <c r="K62" s="350">
        <f t="shared" si="1"/>
        <v>70000</v>
      </c>
      <c r="M62" s="478">
        <f>J62/Расходы!$B$5</f>
        <v>472.97297297297297</v>
      </c>
      <c r="N62" s="481">
        <v>720</v>
      </c>
      <c r="O62" s="477">
        <f t="shared" si="2"/>
        <v>1440</v>
      </c>
    </row>
    <row r="63" spans="8:15" x14ac:dyDescent="0.3">
      <c r="H63" s="468" t="s">
        <v>2934</v>
      </c>
      <c r="I63" s="469">
        <v>1</v>
      </c>
      <c r="J63" s="470">
        <v>35000</v>
      </c>
      <c r="K63" s="350">
        <f t="shared" si="1"/>
        <v>35000</v>
      </c>
      <c r="M63" s="478">
        <f>J63/Расходы!$B$5</f>
        <v>472.97297297297297</v>
      </c>
      <c r="N63" s="481">
        <v>720</v>
      </c>
      <c r="O63" s="477">
        <f t="shared" si="2"/>
        <v>720</v>
      </c>
    </row>
    <row r="64" spans="8:15" x14ac:dyDescent="0.3">
      <c r="H64" s="468" t="s">
        <v>2935</v>
      </c>
      <c r="I64" s="469">
        <v>4</v>
      </c>
      <c r="J64" s="470">
        <v>35000</v>
      </c>
      <c r="K64" s="350">
        <f t="shared" si="1"/>
        <v>140000</v>
      </c>
      <c r="M64" s="478">
        <f>J64/Расходы!$B$5</f>
        <v>472.97297297297297</v>
      </c>
      <c r="N64" s="481">
        <v>720</v>
      </c>
      <c r="O64" s="477">
        <f t="shared" si="2"/>
        <v>2880</v>
      </c>
    </row>
    <row r="65" spans="8:18" ht="30" x14ac:dyDescent="0.3">
      <c r="H65" s="468" t="s">
        <v>2936</v>
      </c>
      <c r="I65" s="469">
        <v>8</v>
      </c>
      <c r="J65" s="470">
        <v>25000</v>
      </c>
      <c r="K65" s="350">
        <f t="shared" si="1"/>
        <v>200000</v>
      </c>
      <c r="M65" s="478">
        <f>J65/Расходы!$B$5</f>
        <v>337.83783783783781</v>
      </c>
      <c r="N65" s="481">
        <v>520</v>
      </c>
      <c r="O65" s="477">
        <f t="shared" si="2"/>
        <v>4160</v>
      </c>
    </row>
    <row r="66" spans="8:18" x14ac:dyDescent="0.3">
      <c r="H66" s="468" t="s">
        <v>2937</v>
      </c>
      <c r="I66" s="469">
        <v>2</v>
      </c>
      <c r="J66" s="470">
        <v>35000</v>
      </c>
      <c r="K66" s="350">
        <f t="shared" si="1"/>
        <v>70000</v>
      </c>
      <c r="M66" s="478">
        <f>J66/Расходы!$B$5</f>
        <v>472.97297297297297</v>
      </c>
      <c r="N66" s="481">
        <v>720</v>
      </c>
      <c r="O66" s="477">
        <f t="shared" si="2"/>
        <v>1440</v>
      </c>
    </row>
    <row r="67" spans="8:18" x14ac:dyDescent="0.3">
      <c r="H67" s="468" t="s">
        <v>2938</v>
      </c>
      <c r="I67" s="469">
        <v>2</v>
      </c>
      <c r="J67" s="470">
        <v>25000</v>
      </c>
      <c r="K67" s="350">
        <f t="shared" si="1"/>
        <v>50000</v>
      </c>
      <c r="M67" s="478">
        <f>J67/Расходы!$B$5</f>
        <v>337.83783783783781</v>
      </c>
      <c r="N67" s="481">
        <v>520</v>
      </c>
      <c r="O67" s="477">
        <f t="shared" si="2"/>
        <v>1040</v>
      </c>
    </row>
    <row r="68" spans="8:18" ht="15.75" thickBot="1" x14ac:dyDescent="0.35">
      <c r="H68" s="349" t="s">
        <v>2440</v>
      </c>
      <c r="I68" s="348">
        <f>SUM(I3:I67)</f>
        <v>154</v>
      </c>
      <c r="J68" s="347"/>
      <c r="K68" s="347">
        <f>SUM(K3:K67)</f>
        <v>5945000</v>
      </c>
      <c r="M68" s="482"/>
      <c r="N68" s="482"/>
      <c r="O68" s="482">
        <f>SUM(O3:O67)</f>
        <v>122050</v>
      </c>
      <c r="Q68" s="411"/>
      <c r="R68">
        <f>O68*3</f>
        <v>366150</v>
      </c>
    </row>
    <row r="70" spans="8:18" x14ac:dyDescent="0.3">
      <c r="H70" s="346" t="s">
        <v>2872</v>
      </c>
      <c r="I70" s="333">
        <f>SUM(I4:I28)</f>
        <v>31</v>
      </c>
      <c r="O70" s="483">
        <f>SUM(O4:O28)</f>
        <v>32620</v>
      </c>
    </row>
    <row r="71" spans="8:18" x14ac:dyDescent="0.3">
      <c r="H71" s="346" t="s">
        <v>2873</v>
      </c>
      <c r="I71" s="333">
        <f>SUM(I30:I67)</f>
        <v>123</v>
      </c>
      <c r="O71" s="483">
        <f>SUM(O30:O67)</f>
        <v>89430</v>
      </c>
    </row>
  </sheetData>
  <mergeCells count="2">
    <mergeCell ref="A1:D1"/>
    <mergeCell ref="H1:K1"/>
  </mergeCells>
  <pageMargins left="0.7" right="0.7" top="0.75" bottom="0.75" header="0.3" footer="0.3"/>
  <pageSetup paperSize="9" scale="6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O50"/>
  <sheetViews>
    <sheetView view="pageBreakPreview" topLeftCell="A36" zoomScale="80" zoomScaleNormal="100" zoomScaleSheetLayoutView="80" workbookViewId="0">
      <selection activeCell="C25" sqref="C25"/>
    </sheetView>
  </sheetViews>
  <sheetFormatPr defaultRowHeight="15" x14ac:dyDescent="0.3"/>
  <cols>
    <col min="1" max="1" width="39.1640625" style="333" bestFit="1" customWidth="1"/>
    <col min="2" max="2" width="15" style="333" bestFit="1" customWidth="1"/>
    <col min="3" max="4" width="13.5" style="333" bestFit="1" customWidth="1"/>
    <col min="5" max="6" width="15" style="333" bestFit="1" customWidth="1"/>
    <col min="7" max="13" width="13.5" style="333" bestFit="1" customWidth="1"/>
    <col min="14" max="15" width="15" style="333" bestFit="1" customWidth="1"/>
    <col min="16" max="16" width="17.33203125" customWidth="1"/>
  </cols>
  <sheetData>
    <row r="1" spans="1:15" x14ac:dyDescent="0.3">
      <c r="A1" s="743" t="s">
        <v>2921</v>
      </c>
      <c r="B1" s="743"/>
      <c r="C1" s="743"/>
      <c r="D1" s="743"/>
      <c r="E1" s="743"/>
      <c r="F1" s="743"/>
      <c r="G1" s="743"/>
      <c r="H1" s="743"/>
      <c r="I1" s="743"/>
      <c r="J1" s="743"/>
      <c r="K1" s="743"/>
      <c r="L1" s="743"/>
      <c r="M1" s="743"/>
      <c r="N1" s="743"/>
      <c r="O1" s="743"/>
    </row>
    <row r="2" spans="1:15" x14ac:dyDescent="0.3">
      <c r="A2" s="407"/>
      <c r="B2" s="410" t="s">
        <v>2722</v>
      </c>
      <c r="C2" s="410" t="s">
        <v>2723</v>
      </c>
      <c r="D2" s="410" t="s">
        <v>2724</v>
      </c>
      <c r="E2" s="410" t="s">
        <v>2725</v>
      </c>
      <c r="F2" s="410" t="s">
        <v>2726</v>
      </c>
      <c r="G2" s="410" t="s">
        <v>2727</v>
      </c>
      <c r="H2" s="410" t="s">
        <v>2728</v>
      </c>
      <c r="I2" s="410" t="s">
        <v>2729</v>
      </c>
      <c r="J2" s="410" t="s">
        <v>2730</v>
      </c>
      <c r="K2" s="410" t="s">
        <v>2731</v>
      </c>
      <c r="L2" s="410" t="s">
        <v>2732</v>
      </c>
      <c r="M2" s="410" t="s">
        <v>2733</v>
      </c>
      <c r="N2" s="410" t="s">
        <v>2734</v>
      </c>
      <c r="O2" s="410" t="s">
        <v>2735</v>
      </c>
    </row>
    <row r="3" spans="1:15" x14ac:dyDescent="0.3">
      <c r="A3" s="407" t="s">
        <v>2854</v>
      </c>
      <c r="B3" s="407"/>
      <c r="C3" s="407"/>
      <c r="D3" s="407"/>
      <c r="E3" s="407"/>
      <c r="F3" s="407"/>
      <c r="G3" s="407"/>
      <c r="H3" s="407"/>
      <c r="I3" s="407"/>
      <c r="J3" s="407"/>
      <c r="K3" s="407"/>
      <c r="L3" s="407"/>
      <c r="M3" s="407"/>
      <c r="N3" s="407"/>
      <c r="O3" s="407"/>
    </row>
    <row r="4" spans="1:15" x14ac:dyDescent="0.3">
      <c r="A4" s="356" t="s">
        <v>2894</v>
      </c>
      <c r="B4" s="464">
        <f>Расходники!F42</f>
        <v>190.54776000000001</v>
      </c>
      <c r="C4" s="464">
        <f>Расходники!F43</f>
        <v>271.38398280000001</v>
      </c>
      <c r="D4" s="464">
        <f>Расходники!F44</f>
        <v>271.38398280000001</v>
      </c>
      <c r="E4" s="464">
        <f>Расходники!F45</f>
        <v>271.38398280000001</v>
      </c>
      <c r="F4" s="464">
        <f>Расходники!F46</f>
        <v>271.38398280000001</v>
      </c>
      <c r="G4" s="464">
        <f>Расходники!$F$47</f>
        <v>271.38398280000001</v>
      </c>
      <c r="H4" s="464">
        <f>Расходники!$F$48</f>
        <v>271.38398280000001</v>
      </c>
      <c r="I4" s="464">
        <f>Расходники!$F$49</f>
        <v>271.38398280000001</v>
      </c>
      <c r="J4" s="464">
        <f>Расходники!$F$50</f>
        <v>271.38398280000001</v>
      </c>
      <c r="K4" s="464">
        <f>Расходники!$F$51</f>
        <v>633.8644524</v>
      </c>
      <c r="L4" s="464">
        <f>Расходники!$F$52</f>
        <v>633.8644524</v>
      </c>
      <c r="M4" s="464">
        <f>Расходники!$F$53</f>
        <v>633.8644524</v>
      </c>
      <c r="N4" s="464">
        <f>Расходники!$F$54</f>
        <v>633.8644524</v>
      </c>
      <c r="O4" s="464">
        <f>Расходники!$F$55</f>
        <v>1211.4318134</v>
      </c>
    </row>
    <row r="5" spans="1:15" x14ac:dyDescent="0.3">
      <c r="A5" s="356" t="s">
        <v>2849</v>
      </c>
      <c r="B5" s="464">
        <f>SUM(Расходники!$G$42:$M$42)</f>
        <v>4537.0232558139542</v>
      </c>
      <c r="C5" s="464">
        <f>SUM(Расходники!$G$43:$M$43)</f>
        <v>3663.9069767441861</v>
      </c>
      <c r="D5" s="464">
        <f>SUM(Расходники!$G$44:$M$44)</f>
        <v>4421.2558139534885</v>
      </c>
      <c r="E5" s="464">
        <f>SUM(Расходники!$G$45:$M$45)</f>
        <v>5118.5116279069771</v>
      </c>
      <c r="F5" s="464">
        <f>SUM(Расходники!$G$46:$M$46)</f>
        <v>6023.4418604651164</v>
      </c>
      <c r="G5" s="464">
        <f>SUM(Расходники!$G$47:$M$47)</f>
        <v>3663.9069767441861</v>
      </c>
      <c r="H5" s="464">
        <f>SUM(Расходники!$G$48:$M$48)</f>
        <v>4421.2558139534885</v>
      </c>
      <c r="I5" s="464">
        <f>SUM(Расходники!$G$49:$M$49)</f>
        <v>5118.5116279069771</v>
      </c>
      <c r="J5" s="464">
        <f>SUM(Расходники!$G$50:$M$50)</f>
        <v>6023.4418604651164</v>
      </c>
      <c r="K5" s="464">
        <f>SUM(Расходники!$G$51:$M$51)</f>
        <v>6908.9302325581402</v>
      </c>
      <c r="L5" s="464">
        <f>SUM(Расходники!$G$52:$M$52)</f>
        <v>8470.4651162790706</v>
      </c>
      <c r="M5" s="464">
        <f>SUM(Расходники!$G$53:$M$53)</f>
        <v>8770.0465116279083</v>
      </c>
      <c r="N5" s="464">
        <f>SUM(Расходники!$G$54:$M$54)</f>
        <v>8646.3255813953474</v>
      </c>
      <c r="O5" s="464">
        <f>SUM(Расходники!$G$55:$M$55)</f>
        <v>11378.79069767442</v>
      </c>
    </row>
    <row r="6" spans="1:15" x14ac:dyDescent="0.3">
      <c r="A6" s="356" t="s">
        <v>2850</v>
      </c>
      <c r="B6" s="464">
        <f>SUM(Расходники!$N$42:$P$42)</f>
        <v>29.446200000000001</v>
      </c>
      <c r="C6" s="464">
        <f>SUM(Расходники!$N$43:$P$43)</f>
        <v>50.626800000000003</v>
      </c>
      <c r="D6" s="464">
        <f>SUM(Расходники!$N$44:$P$44)</f>
        <v>45.202500000000001</v>
      </c>
      <c r="E6" s="464">
        <f>SUM(Расходники!$N$45:$P$45)</f>
        <v>54.243000000000009</v>
      </c>
      <c r="F6" s="464">
        <f>SUM(Расходники!$N$46:$P$46)</f>
        <v>63.283500000000004</v>
      </c>
      <c r="G6" s="464">
        <f>SUM(Расходники!$N$47:$P$47)</f>
        <v>50.626800000000003</v>
      </c>
      <c r="H6" s="464">
        <f>SUM(Расходники!$N$48:$P$48)</f>
        <v>45.202500000000001</v>
      </c>
      <c r="I6" s="464">
        <f>SUM(Расходники!$N$49:$P$49)</f>
        <v>54.243000000000009</v>
      </c>
      <c r="J6" s="464">
        <f>SUM(Расходники!$N$50:$P$50)</f>
        <v>63.283500000000004</v>
      </c>
      <c r="K6" s="464">
        <f>SUM(Расходники!$N$51:$P$51)</f>
        <v>36.530999999999999</v>
      </c>
      <c r="L6" s="464">
        <f>SUM(Расходники!$N$52:$P$52)</f>
        <v>36.530999999999999</v>
      </c>
      <c r="M6" s="464">
        <f>SUM(Расходники!$N$53:$P$53)</f>
        <v>51.1434</v>
      </c>
      <c r="N6" s="464">
        <f>SUM(Расходники!$N$54:$P$54)</f>
        <v>39.261600000000001</v>
      </c>
      <c r="O6" s="464">
        <f>SUM(Расходники!$N$55:$P$55)</f>
        <v>75.497399999999999</v>
      </c>
    </row>
    <row r="7" spans="1:15" x14ac:dyDescent="0.3">
      <c r="A7" s="356" t="s">
        <v>2753</v>
      </c>
      <c r="B7" s="464">
        <f>Расходники!$Q$42</f>
        <v>295.2</v>
      </c>
      <c r="C7" s="464">
        <f>Расходники!$Q$43</f>
        <v>221.39999999999998</v>
      </c>
      <c r="D7" s="464">
        <f>Расходники!$Q$44</f>
        <v>258.3</v>
      </c>
      <c r="E7" s="464">
        <f>Расходники!$Q$45</f>
        <v>295.2</v>
      </c>
      <c r="F7" s="464">
        <f>Расходники!$Q$46</f>
        <v>369</v>
      </c>
      <c r="G7" s="464">
        <f>Расходники!$Q$47</f>
        <v>221.39999999999998</v>
      </c>
      <c r="H7" s="464">
        <f>Расходники!$Q$48</f>
        <v>258.3</v>
      </c>
      <c r="I7" s="464">
        <f>Расходники!$Q$49</f>
        <v>295.2</v>
      </c>
      <c r="J7" s="464">
        <f>Расходники!$Q$50</f>
        <v>369</v>
      </c>
      <c r="K7" s="464">
        <f>Расходники!$Q$51</f>
        <v>221.39999999999998</v>
      </c>
      <c r="L7" s="464">
        <f>Расходники!$Q$52</f>
        <v>258.3</v>
      </c>
      <c r="M7" s="464">
        <f>Расходники!$Q$53</f>
        <v>295.2</v>
      </c>
      <c r="N7" s="464">
        <f>Расходники!$Q$54</f>
        <v>369</v>
      </c>
      <c r="O7" s="464">
        <f>Расходники!$Q$55</f>
        <v>295.2</v>
      </c>
    </row>
    <row r="8" spans="1:15" x14ac:dyDescent="0.3">
      <c r="A8" s="356" t="s">
        <v>2851</v>
      </c>
      <c r="B8" s="464">
        <f>Расходники!$R$42</f>
        <v>55.247610810810805</v>
      </c>
      <c r="C8" s="464">
        <f>Расходники!$R$43</f>
        <v>67.524857657657662</v>
      </c>
      <c r="D8" s="464">
        <f>Расходники!$R$44</f>
        <v>69.059513513513522</v>
      </c>
      <c r="E8" s="464">
        <f>Расходники!$R$45</f>
        <v>73.663481081081102</v>
      </c>
      <c r="F8" s="464">
        <f>Расходники!$R$46</f>
        <v>64.455545945945957</v>
      </c>
      <c r="G8" s="464">
        <f>Расходники!$R$47</f>
        <v>67.524857657657662</v>
      </c>
      <c r="H8" s="464">
        <f>Расходники!$R$48</f>
        <v>69.059513513513522</v>
      </c>
      <c r="I8" s="464">
        <f>Расходники!$R$49</f>
        <v>73.663481081081102</v>
      </c>
      <c r="J8" s="464">
        <f>Расходники!$R$50</f>
        <v>64.455545945945957</v>
      </c>
      <c r="K8" s="464">
        <f>Расходники!$R$51</f>
        <v>147.32696216216218</v>
      </c>
      <c r="L8" s="464">
        <f>Расходники!$R$52</f>
        <v>145.7923063063063</v>
      </c>
      <c r="M8" s="464">
        <f>Расходники!$R$53</f>
        <v>128.91109189189189</v>
      </c>
      <c r="N8" s="464">
        <f>Расходники!$R$54</f>
        <v>118.16850090090092</v>
      </c>
      <c r="O8" s="464">
        <f>Расходники!$R$55</f>
        <v>211.78250810810809</v>
      </c>
    </row>
    <row r="9" spans="1:15" x14ac:dyDescent="0.3">
      <c r="A9" s="356" t="s">
        <v>2740</v>
      </c>
      <c r="B9" s="464">
        <f>Расходники!$S$42</f>
        <v>5.0600000000000005</v>
      </c>
      <c r="C9" s="464">
        <f>Расходники!$S$43</f>
        <v>5.8880000000000008</v>
      </c>
      <c r="D9" s="464">
        <f>Расходники!$S$44</f>
        <v>6.992</v>
      </c>
      <c r="E9" s="464">
        <f>Расходники!$S$45</f>
        <v>6.7619999999999996</v>
      </c>
      <c r="F9" s="464">
        <f>Расходники!$S$46</f>
        <v>5.0600000000000005</v>
      </c>
      <c r="G9" s="464">
        <f>Расходники!$S$47</f>
        <v>5.8880000000000008</v>
      </c>
      <c r="H9" s="464">
        <f>Расходники!$S$48</f>
        <v>6.992</v>
      </c>
      <c r="I9" s="464">
        <f>Расходники!$S$49</f>
        <v>6.7619999999999996</v>
      </c>
      <c r="J9" s="464">
        <f>Расходники!$S$50</f>
        <v>5.0600000000000005</v>
      </c>
      <c r="K9" s="464">
        <f>Расходники!$S$51</f>
        <v>8.2800000000000011</v>
      </c>
      <c r="L9" s="464">
        <f>Расходники!$S$52</f>
        <v>9.798</v>
      </c>
      <c r="M9" s="464">
        <f>Расходники!$S$53</f>
        <v>11.040000000000001</v>
      </c>
      <c r="N9" s="464">
        <f>Расходники!$S$54</f>
        <v>9.9360000000000017</v>
      </c>
      <c r="O9" s="464">
        <f>Расходники!$S$55</f>
        <v>11.040000000000001</v>
      </c>
    </row>
    <row r="10" spans="1:15" x14ac:dyDescent="0.3">
      <c r="A10" s="408" t="s">
        <v>2852</v>
      </c>
      <c r="B10" s="484">
        <f>SUM(B4:B9)</f>
        <v>5112.5248266247663</v>
      </c>
      <c r="C10" s="484">
        <f t="shared" ref="C10:O10" si="0">SUM(C4:C9)</f>
        <v>4280.7306172018434</v>
      </c>
      <c r="D10" s="484">
        <f t="shared" si="0"/>
        <v>5072.1938102670028</v>
      </c>
      <c r="E10" s="484">
        <f t="shared" si="0"/>
        <v>5819.7640917880581</v>
      </c>
      <c r="F10" s="484">
        <f t="shared" si="0"/>
        <v>6796.6248892110625</v>
      </c>
      <c r="G10" s="484">
        <f t="shared" si="0"/>
        <v>4280.7306172018434</v>
      </c>
      <c r="H10" s="484">
        <f t="shared" si="0"/>
        <v>5072.1938102670028</v>
      </c>
      <c r="I10" s="484">
        <f t="shared" si="0"/>
        <v>5819.7640917880581</v>
      </c>
      <c r="J10" s="484">
        <f t="shared" si="0"/>
        <v>6796.6248892110625</v>
      </c>
      <c r="K10" s="484">
        <f t="shared" si="0"/>
        <v>7956.3326471203018</v>
      </c>
      <c r="L10" s="484">
        <f t="shared" si="0"/>
        <v>9554.7508749853769</v>
      </c>
      <c r="M10" s="484">
        <f t="shared" si="0"/>
        <v>9890.2054559198023</v>
      </c>
      <c r="N10" s="484">
        <f t="shared" si="0"/>
        <v>9816.5561346962477</v>
      </c>
      <c r="O10" s="484">
        <f t="shared" si="0"/>
        <v>13183.74241918253</v>
      </c>
    </row>
    <row r="11" spans="1:15" x14ac:dyDescent="0.3">
      <c r="A11" s="408" t="s">
        <v>2853</v>
      </c>
      <c r="B11" s="484">
        <f>B10/1.23</f>
        <v>4156.5242492884281</v>
      </c>
      <c r="C11" s="484">
        <f t="shared" ref="C11:O11" si="1">C10/1.23</f>
        <v>3480.2687944730433</v>
      </c>
      <c r="D11" s="484">
        <f t="shared" si="1"/>
        <v>4123.7348050951241</v>
      </c>
      <c r="E11" s="484">
        <f t="shared" si="1"/>
        <v>4731.5155217789088</v>
      </c>
      <c r="F11" s="484">
        <f t="shared" si="1"/>
        <v>5525.7112920415148</v>
      </c>
      <c r="G11" s="484">
        <f t="shared" si="1"/>
        <v>3480.2687944730433</v>
      </c>
      <c r="H11" s="484">
        <f t="shared" si="1"/>
        <v>4123.7348050951241</v>
      </c>
      <c r="I11" s="484">
        <f t="shared" si="1"/>
        <v>4731.5155217789088</v>
      </c>
      <c r="J11" s="484">
        <f t="shared" si="1"/>
        <v>5525.7112920415148</v>
      </c>
      <c r="K11" s="484">
        <f t="shared" si="1"/>
        <v>6468.5631277400826</v>
      </c>
      <c r="L11" s="484">
        <f t="shared" si="1"/>
        <v>7768.0901422645338</v>
      </c>
      <c r="M11" s="484">
        <f t="shared" si="1"/>
        <v>8040.817443837238</v>
      </c>
      <c r="N11" s="484">
        <f t="shared" si="1"/>
        <v>7980.9399469075188</v>
      </c>
      <c r="O11" s="484">
        <f t="shared" si="1"/>
        <v>10718.489771693114</v>
      </c>
    </row>
    <row r="12" spans="1:15" x14ac:dyDescent="0.3">
      <c r="A12" s="409" t="s">
        <v>2855</v>
      </c>
      <c r="B12" s="464">
        <f>Персонал!$O$68*0.4/продажи!$C$19</f>
        <v>542.44444444444446</v>
      </c>
      <c r="C12" s="464">
        <f>Персонал!$O$68*0.4/продажи!$C$19</f>
        <v>542.44444444444446</v>
      </c>
      <c r="D12" s="464">
        <f>Персонал!$O$68*0.4/продажи!$C$19</f>
        <v>542.44444444444446</v>
      </c>
      <c r="E12" s="464">
        <f>Персонал!$O$68*0.4/продажи!$C$19</f>
        <v>542.44444444444446</v>
      </c>
      <c r="F12" s="464">
        <f>Персонал!$O$68*0.4/продажи!$C$19</f>
        <v>542.44444444444446</v>
      </c>
      <c r="G12" s="464">
        <f>Персонал!$O$68*0.4/продажи!$C$19</f>
        <v>542.44444444444446</v>
      </c>
      <c r="H12" s="464">
        <f>Персонал!$O$68*0.4/продажи!$C$19</f>
        <v>542.44444444444446</v>
      </c>
      <c r="I12" s="464">
        <f>Персонал!$O$68*0.4/продажи!$C$19</f>
        <v>542.44444444444446</v>
      </c>
      <c r="J12" s="464">
        <f>Персонал!$O$68*0.4/продажи!$C$19</f>
        <v>542.44444444444446</v>
      </c>
      <c r="K12" s="464">
        <f>Персонал!$O$68*0.4/продажи!$C$19</f>
        <v>542.44444444444446</v>
      </c>
      <c r="L12" s="464">
        <f>Персонал!$O$68*0.4/продажи!$C$19</f>
        <v>542.44444444444446</v>
      </c>
      <c r="M12" s="464">
        <f>Персонал!$O$68*0.4/продажи!$C$19</f>
        <v>542.44444444444446</v>
      </c>
      <c r="N12" s="464">
        <f>Персонал!$O$68*0.4/продажи!$C$19</f>
        <v>542.44444444444446</v>
      </c>
      <c r="O12" s="464">
        <f>Персонал!$O$68*0.4/продажи!$C$19</f>
        <v>542.44444444444446</v>
      </c>
    </row>
    <row r="13" spans="1:15" x14ac:dyDescent="0.3">
      <c r="A13" s="409" t="s">
        <v>2856</v>
      </c>
      <c r="B13" s="464">
        <f>B12*Проект!$B$136</f>
        <v>109.13982222222222</v>
      </c>
      <c r="C13" s="464">
        <f>C12*Проект!$B$136</f>
        <v>109.13982222222222</v>
      </c>
      <c r="D13" s="464">
        <f>D12*Проект!$B$136</f>
        <v>109.13982222222222</v>
      </c>
      <c r="E13" s="464">
        <f>E12*Проект!$B$136</f>
        <v>109.13982222222222</v>
      </c>
      <c r="F13" s="464">
        <f>F12*Проект!$B$136</f>
        <v>109.13982222222222</v>
      </c>
      <c r="G13" s="464">
        <f>G12*Проект!$B$136</f>
        <v>109.13982222222222</v>
      </c>
      <c r="H13" s="464">
        <f>H12*Проект!$B$136</f>
        <v>109.13982222222222</v>
      </c>
      <c r="I13" s="464">
        <f>I12*Проект!$B$136</f>
        <v>109.13982222222222</v>
      </c>
      <c r="J13" s="464">
        <f>J12*Проект!$B$136</f>
        <v>109.13982222222222</v>
      </c>
      <c r="K13" s="464">
        <f>K12*Проект!$B$136</f>
        <v>109.13982222222222</v>
      </c>
      <c r="L13" s="464">
        <f>L12*Проект!$B$136</f>
        <v>109.13982222222222</v>
      </c>
      <c r="M13" s="464">
        <f>M12*Проект!$B$136</f>
        <v>109.13982222222222</v>
      </c>
      <c r="N13" s="464">
        <f>N12*Проект!$B$136</f>
        <v>109.13982222222222</v>
      </c>
      <c r="O13" s="464">
        <f>O12*Проект!$B$136</f>
        <v>109.13982222222222</v>
      </c>
    </row>
    <row r="14" spans="1:15" x14ac:dyDescent="0.3">
      <c r="A14" s="409" t="s">
        <v>2868</v>
      </c>
      <c r="B14" s="464">
        <f>B11*Расходы!$B$10</f>
        <v>8.3130484985768565</v>
      </c>
      <c r="C14" s="464">
        <f>C11*Расходы!$B$10</f>
        <v>6.960537588946087</v>
      </c>
      <c r="D14" s="464">
        <f>D11*Расходы!$B$10</f>
        <v>8.2474696101902492</v>
      </c>
      <c r="E14" s="464">
        <f>E11*Расходы!$B$10</f>
        <v>9.4630310435578178</v>
      </c>
      <c r="F14" s="464">
        <f>F11*Расходы!$B$10</f>
        <v>11.05142258408303</v>
      </c>
      <c r="G14" s="464">
        <f>G11*Расходы!$B$10</f>
        <v>6.960537588946087</v>
      </c>
      <c r="H14" s="464">
        <f>H11*Расходы!$B$10</f>
        <v>8.2474696101902492</v>
      </c>
      <c r="I14" s="464">
        <f>I11*Расходы!$B$10</f>
        <v>9.4630310435578178</v>
      </c>
      <c r="J14" s="464">
        <f>J11*Расходы!$B$10</f>
        <v>11.05142258408303</v>
      </c>
      <c r="K14" s="464">
        <f>K11*Расходы!$B$10</f>
        <v>12.937126255480166</v>
      </c>
      <c r="L14" s="464">
        <f>L11*Расходы!$B$10</f>
        <v>15.536180284529069</v>
      </c>
      <c r="M14" s="464">
        <f>M11*Расходы!$B$10</f>
        <v>16.081634887674475</v>
      </c>
      <c r="N14" s="464">
        <f>N11*Расходы!$B$10</f>
        <v>15.961879893815038</v>
      </c>
      <c r="O14" s="464">
        <f>O11*Расходы!$B$10</f>
        <v>21.436979543386229</v>
      </c>
    </row>
    <row r="15" spans="1:15" x14ac:dyDescent="0.3">
      <c r="A15" s="409" t="s">
        <v>2863</v>
      </c>
      <c r="B15" s="464">
        <f>B11*Расходы!$B$14</f>
        <v>103.91310623221071</v>
      </c>
      <c r="C15" s="464">
        <f>C11*Расходы!$B$14</f>
        <v>87.006719861826085</v>
      </c>
      <c r="D15" s="464">
        <f>D11*Расходы!$B$14</f>
        <v>103.09337012737811</v>
      </c>
      <c r="E15" s="464">
        <f>E11*Расходы!$B$14</f>
        <v>118.28788804447272</v>
      </c>
      <c r="F15" s="464">
        <f>F11*Расходы!$B$14</f>
        <v>138.14278230103787</v>
      </c>
      <c r="G15" s="464">
        <f>G11*Расходы!$B$14</f>
        <v>87.006719861826085</v>
      </c>
      <c r="H15" s="464">
        <f>H11*Расходы!$B$14</f>
        <v>103.09337012737811</v>
      </c>
      <c r="I15" s="464">
        <f>I11*Расходы!$B$14</f>
        <v>118.28788804447272</v>
      </c>
      <c r="J15" s="464">
        <f>J11*Расходы!$B$14</f>
        <v>138.14278230103787</v>
      </c>
      <c r="K15" s="464">
        <f>K11*Расходы!$B$14</f>
        <v>161.71407819350208</v>
      </c>
      <c r="L15" s="464">
        <f>L11*Расходы!$B$14</f>
        <v>194.20225355661336</v>
      </c>
      <c r="M15" s="464">
        <f>M11*Расходы!$B$14</f>
        <v>201.02043609593096</v>
      </c>
      <c r="N15" s="464">
        <f>N11*Расходы!$B$14</f>
        <v>199.52349867268799</v>
      </c>
      <c r="O15" s="464">
        <f>O11*Расходы!$B$14</f>
        <v>267.96224429232785</v>
      </c>
    </row>
    <row r="16" spans="1:15" x14ac:dyDescent="0.3">
      <c r="A16" s="409" t="s">
        <v>2857</v>
      </c>
      <c r="B16" s="464">
        <f>B11*Расходы!$B$13</f>
        <v>41.565242492884281</v>
      </c>
      <c r="C16" s="464">
        <f>C11*Расходы!$B$13</f>
        <v>34.802687944730437</v>
      </c>
      <c r="D16" s="464">
        <f>D11*Расходы!$B$13</f>
        <v>41.23734805095124</v>
      </c>
      <c r="E16" s="464">
        <f>E11*Расходы!$B$13</f>
        <v>47.315155217789091</v>
      </c>
      <c r="F16" s="464">
        <f>F11*Расходы!$B$13</f>
        <v>55.257112920415146</v>
      </c>
      <c r="G16" s="464">
        <f>G11*Расходы!$B$13</f>
        <v>34.802687944730437</v>
      </c>
      <c r="H16" s="464">
        <f>H11*Расходы!$B$13</f>
        <v>41.23734805095124</v>
      </c>
      <c r="I16" s="464">
        <f>I11*Расходы!$B$13</f>
        <v>47.315155217789091</v>
      </c>
      <c r="J16" s="464">
        <f>J11*Расходы!$B$13</f>
        <v>55.257112920415146</v>
      </c>
      <c r="K16" s="464">
        <f>K11*Расходы!$B$13</f>
        <v>64.68563127740083</v>
      </c>
      <c r="L16" s="464">
        <f>L11*Расходы!$B$13</f>
        <v>77.680901422645334</v>
      </c>
      <c r="M16" s="464">
        <f>M11*Расходы!$B$13</f>
        <v>80.408174438372384</v>
      </c>
      <c r="N16" s="464">
        <f>N11*Расходы!$B$13</f>
        <v>79.809399469075188</v>
      </c>
      <c r="O16" s="464">
        <f>O11*Расходы!$B$13</f>
        <v>107.18489771693113</v>
      </c>
    </row>
    <row r="17" spans="1:15" ht="30" x14ac:dyDescent="0.3">
      <c r="A17" s="409" t="s">
        <v>2858</v>
      </c>
      <c r="B17" s="464">
        <f>B11*Расходы!$B$12</f>
        <v>20.78262124644214</v>
      </c>
      <c r="C17" s="464">
        <f>C11*Расходы!$B$12</f>
        <v>17.401343972365218</v>
      </c>
      <c r="D17" s="464">
        <f>D11*Расходы!$B$12</f>
        <v>20.61867402547562</v>
      </c>
      <c r="E17" s="464">
        <f>E11*Расходы!$B$12</f>
        <v>23.657577608894545</v>
      </c>
      <c r="F17" s="464">
        <f>F11*Расходы!$B$12</f>
        <v>27.628556460207573</v>
      </c>
      <c r="G17" s="464">
        <f>G11*Расходы!$B$12</f>
        <v>17.401343972365218</v>
      </c>
      <c r="H17" s="464">
        <f>H11*Расходы!$B$12</f>
        <v>20.61867402547562</v>
      </c>
      <c r="I17" s="464">
        <f>I11*Расходы!$B$12</f>
        <v>23.657577608894545</v>
      </c>
      <c r="J17" s="464">
        <f>J11*Расходы!$B$12</f>
        <v>27.628556460207573</v>
      </c>
      <c r="K17" s="464">
        <f>K11*Расходы!$B$12</f>
        <v>32.342815638700415</v>
      </c>
      <c r="L17" s="464">
        <f>L11*Расходы!$B$12</f>
        <v>38.840450711322667</v>
      </c>
      <c r="M17" s="464">
        <f>M11*Расходы!$B$12</f>
        <v>40.204087219186192</v>
      </c>
      <c r="N17" s="464">
        <f>N11*Расходы!$B$12</f>
        <v>39.904699734537594</v>
      </c>
      <c r="O17" s="464">
        <f>O11*Расходы!$B$12</f>
        <v>53.592448858465566</v>
      </c>
    </row>
    <row r="18" spans="1:15" ht="18" customHeight="1" x14ac:dyDescent="0.3">
      <c r="A18" s="409" t="s">
        <v>2864</v>
      </c>
      <c r="B18" s="464">
        <f>B11*Расходы!$B$11</f>
        <v>16.626096997153713</v>
      </c>
      <c r="C18" s="464">
        <f>C11*Расходы!$B$11</f>
        <v>13.921075177892174</v>
      </c>
      <c r="D18" s="464">
        <f>D11*Расходы!$B$11</f>
        <v>16.494939220380498</v>
      </c>
      <c r="E18" s="464">
        <f>E11*Расходы!$B$11</f>
        <v>18.926062087115636</v>
      </c>
      <c r="F18" s="464">
        <f>F11*Расходы!$B$11</f>
        <v>22.102845168166059</v>
      </c>
      <c r="G18" s="464">
        <f>G11*Расходы!$B$11</f>
        <v>13.921075177892174</v>
      </c>
      <c r="H18" s="464">
        <f>H11*Расходы!$B$11</f>
        <v>16.494939220380498</v>
      </c>
      <c r="I18" s="464">
        <f>I11*Расходы!$B$11</f>
        <v>18.926062087115636</v>
      </c>
      <c r="J18" s="464">
        <f>J11*Расходы!$B$11</f>
        <v>22.102845168166059</v>
      </c>
      <c r="K18" s="464">
        <f>K11*Расходы!$B$11</f>
        <v>25.874252510960332</v>
      </c>
      <c r="L18" s="464">
        <f>L11*Расходы!$B$11</f>
        <v>31.072360569058137</v>
      </c>
      <c r="M18" s="464">
        <f>M11*Расходы!$B$11</f>
        <v>32.163269775348951</v>
      </c>
      <c r="N18" s="464">
        <f>N11*Расходы!$B$11</f>
        <v>31.923759787630075</v>
      </c>
      <c r="O18" s="464">
        <f>O11*Расходы!$B$11</f>
        <v>42.873959086772459</v>
      </c>
    </row>
    <row r="19" spans="1:15" x14ac:dyDescent="0.3">
      <c r="A19" s="408" t="s">
        <v>2862</v>
      </c>
      <c r="B19" s="484">
        <f t="shared" ref="B19:O19" si="2">SUM(B11:B18)</f>
        <v>4999.3086314223619</v>
      </c>
      <c r="C19" s="484">
        <f t="shared" si="2"/>
        <v>4291.9454256854697</v>
      </c>
      <c r="D19" s="484">
        <f t="shared" si="2"/>
        <v>4965.010872796166</v>
      </c>
      <c r="E19" s="484">
        <f t="shared" si="2"/>
        <v>5600.7495024474047</v>
      </c>
      <c r="F19" s="484">
        <f t="shared" si="2"/>
        <v>6431.4782781420918</v>
      </c>
      <c r="G19" s="484">
        <f t="shared" si="2"/>
        <v>4291.9454256854697</v>
      </c>
      <c r="H19" s="484">
        <f t="shared" si="2"/>
        <v>4965.010872796166</v>
      </c>
      <c r="I19" s="484">
        <f t="shared" si="2"/>
        <v>5600.7495024474047</v>
      </c>
      <c r="J19" s="484">
        <f t="shared" si="2"/>
        <v>6431.4782781420918</v>
      </c>
      <c r="K19" s="484">
        <f t="shared" si="2"/>
        <v>7417.7012982827937</v>
      </c>
      <c r="L19" s="484">
        <f t="shared" si="2"/>
        <v>8777.0065554753692</v>
      </c>
      <c r="M19" s="484">
        <f t="shared" si="2"/>
        <v>9062.2793129204165</v>
      </c>
      <c r="N19" s="484">
        <f t="shared" si="2"/>
        <v>8999.647451131932</v>
      </c>
      <c r="O19" s="484">
        <f t="shared" si="2"/>
        <v>11863.124567857665</v>
      </c>
    </row>
    <row r="20" spans="1:15" x14ac:dyDescent="0.3">
      <c r="A20" s="409" t="s">
        <v>2859</v>
      </c>
      <c r="B20" s="423">
        <v>0.3</v>
      </c>
      <c r="C20" s="423">
        <f>B20</f>
        <v>0.3</v>
      </c>
      <c r="D20" s="423">
        <f t="shared" ref="D20:O20" si="3">C20</f>
        <v>0.3</v>
      </c>
      <c r="E20" s="423">
        <f t="shared" si="3"/>
        <v>0.3</v>
      </c>
      <c r="F20" s="423">
        <f t="shared" si="3"/>
        <v>0.3</v>
      </c>
      <c r="G20" s="423">
        <f t="shared" si="3"/>
        <v>0.3</v>
      </c>
      <c r="H20" s="423">
        <f t="shared" si="3"/>
        <v>0.3</v>
      </c>
      <c r="I20" s="423">
        <f t="shared" si="3"/>
        <v>0.3</v>
      </c>
      <c r="J20" s="423">
        <f t="shared" si="3"/>
        <v>0.3</v>
      </c>
      <c r="K20" s="423">
        <f t="shared" si="3"/>
        <v>0.3</v>
      </c>
      <c r="L20" s="423">
        <f t="shared" si="3"/>
        <v>0.3</v>
      </c>
      <c r="M20" s="423">
        <f t="shared" si="3"/>
        <v>0.3</v>
      </c>
      <c r="N20" s="423">
        <f t="shared" si="3"/>
        <v>0.3</v>
      </c>
      <c r="O20" s="423">
        <f t="shared" si="3"/>
        <v>0.3</v>
      </c>
    </row>
    <row r="21" spans="1:15" x14ac:dyDescent="0.3">
      <c r="A21" s="409" t="s">
        <v>2860</v>
      </c>
      <c r="B21" s="464">
        <f>B22-B19</f>
        <v>1499.7925894267091</v>
      </c>
      <c r="C21" s="464">
        <f t="shared" ref="C21:O21" si="4">C22-C19</f>
        <v>1287.5836277056414</v>
      </c>
      <c r="D21" s="464">
        <f t="shared" si="4"/>
        <v>1489.5032618388504</v>
      </c>
      <c r="E21" s="464">
        <f t="shared" si="4"/>
        <v>1680.2248507342219</v>
      </c>
      <c r="F21" s="464">
        <f t="shared" si="4"/>
        <v>1929.4434834426274</v>
      </c>
      <c r="G21" s="464">
        <f t="shared" si="4"/>
        <v>1287.5836277056414</v>
      </c>
      <c r="H21" s="464">
        <f t="shared" si="4"/>
        <v>1489.5032618388504</v>
      </c>
      <c r="I21" s="464">
        <f t="shared" si="4"/>
        <v>1680.2248507342219</v>
      </c>
      <c r="J21" s="464">
        <f t="shared" si="4"/>
        <v>1929.4434834426274</v>
      </c>
      <c r="K21" s="464">
        <f t="shared" si="4"/>
        <v>2225.3103894848382</v>
      </c>
      <c r="L21" s="464">
        <f t="shared" si="4"/>
        <v>2633.1019666426109</v>
      </c>
      <c r="M21" s="464">
        <f t="shared" si="4"/>
        <v>2718.6837938761255</v>
      </c>
      <c r="N21" s="464">
        <f t="shared" si="4"/>
        <v>2699.8942353395796</v>
      </c>
      <c r="O21" s="464">
        <f t="shared" si="4"/>
        <v>3558.9373703573001</v>
      </c>
    </row>
    <row r="22" spans="1:15" x14ac:dyDescent="0.3">
      <c r="A22" s="409" t="s">
        <v>2861</v>
      </c>
      <c r="B22" s="464">
        <f>B19*(1+B20)</f>
        <v>6499.1012208490711</v>
      </c>
      <c r="C22" s="464">
        <f t="shared" ref="C22:O22" si="5">C19*(1+C20)</f>
        <v>5579.5290533911111</v>
      </c>
      <c r="D22" s="464">
        <f t="shared" si="5"/>
        <v>6454.5141346350165</v>
      </c>
      <c r="E22" s="464">
        <f t="shared" si="5"/>
        <v>7280.9743531816266</v>
      </c>
      <c r="F22" s="464">
        <f t="shared" si="5"/>
        <v>8360.9217615847192</v>
      </c>
      <c r="G22" s="464">
        <f t="shared" si="5"/>
        <v>5579.5290533911111</v>
      </c>
      <c r="H22" s="464">
        <f t="shared" si="5"/>
        <v>6454.5141346350165</v>
      </c>
      <c r="I22" s="464">
        <f t="shared" si="5"/>
        <v>7280.9743531816266</v>
      </c>
      <c r="J22" s="464">
        <f t="shared" si="5"/>
        <v>8360.9217615847192</v>
      </c>
      <c r="K22" s="464">
        <f t="shared" si="5"/>
        <v>9643.0116877676319</v>
      </c>
      <c r="L22" s="464">
        <f t="shared" si="5"/>
        <v>11410.10852211798</v>
      </c>
      <c r="M22" s="464">
        <f t="shared" si="5"/>
        <v>11780.963106796542</v>
      </c>
      <c r="N22" s="464">
        <f t="shared" si="5"/>
        <v>11699.541686471512</v>
      </c>
      <c r="O22" s="464">
        <f t="shared" si="5"/>
        <v>15422.061938214965</v>
      </c>
    </row>
    <row r="23" spans="1:15" x14ac:dyDescent="0.3">
      <c r="A23" s="409" t="s">
        <v>2940</v>
      </c>
      <c r="B23" s="464">
        <v>0</v>
      </c>
      <c r="C23" s="464">
        <v>0</v>
      </c>
      <c r="D23" s="464">
        <v>0</v>
      </c>
      <c r="E23" s="464">
        <v>0</v>
      </c>
      <c r="F23" s="464">
        <v>0</v>
      </c>
      <c r="G23" s="464">
        <v>0</v>
      </c>
      <c r="H23" s="464">
        <v>0</v>
      </c>
      <c r="I23" s="464">
        <v>0</v>
      </c>
      <c r="J23" s="464">
        <v>0</v>
      </c>
      <c r="K23" s="464">
        <v>0</v>
      </c>
      <c r="L23" s="464">
        <v>0</v>
      </c>
      <c r="M23" s="464">
        <v>0</v>
      </c>
      <c r="N23" s="464">
        <v>0</v>
      </c>
      <c r="O23" s="464">
        <v>0</v>
      </c>
    </row>
    <row r="24" spans="1:15" x14ac:dyDescent="0.3">
      <c r="A24" s="408" t="s">
        <v>2903</v>
      </c>
      <c r="B24" s="484">
        <f>SUM(B22:B23)</f>
        <v>6499.1012208490711</v>
      </c>
      <c r="C24" s="484">
        <f t="shared" ref="C24:O24" si="6">SUM(C22:C23)</f>
        <v>5579.5290533911111</v>
      </c>
      <c r="D24" s="484">
        <f t="shared" si="6"/>
        <v>6454.5141346350165</v>
      </c>
      <c r="E24" s="484">
        <f t="shared" si="6"/>
        <v>7280.9743531816266</v>
      </c>
      <c r="F24" s="484">
        <f t="shared" si="6"/>
        <v>8360.9217615847192</v>
      </c>
      <c r="G24" s="484">
        <f t="shared" si="6"/>
        <v>5579.5290533911111</v>
      </c>
      <c r="H24" s="484">
        <f t="shared" si="6"/>
        <v>6454.5141346350165</v>
      </c>
      <c r="I24" s="484">
        <f t="shared" si="6"/>
        <v>7280.9743531816266</v>
      </c>
      <c r="J24" s="484">
        <f t="shared" si="6"/>
        <v>8360.9217615847192</v>
      </c>
      <c r="K24" s="484">
        <f t="shared" si="6"/>
        <v>9643.0116877676319</v>
      </c>
      <c r="L24" s="484">
        <f t="shared" si="6"/>
        <v>11410.10852211798</v>
      </c>
      <c r="M24" s="484">
        <f t="shared" si="6"/>
        <v>11780.963106796542</v>
      </c>
      <c r="N24" s="484">
        <f t="shared" si="6"/>
        <v>11699.541686471512</v>
      </c>
      <c r="O24" s="484">
        <f t="shared" si="6"/>
        <v>15422.061938214965</v>
      </c>
    </row>
    <row r="26" spans="1:15" x14ac:dyDescent="0.3">
      <c r="A26" s="743" t="s">
        <v>2919</v>
      </c>
      <c r="B26" s="743"/>
      <c r="C26" s="743"/>
      <c r="D26" s="743"/>
      <c r="E26" s="743"/>
      <c r="F26" s="743"/>
      <c r="G26" s="743"/>
      <c r="H26" s="743"/>
      <c r="I26" s="743"/>
      <c r="J26" s="743"/>
      <c r="K26" s="743"/>
      <c r="L26"/>
      <c r="M26"/>
      <c r="N26"/>
      <c r="O26"/>
    </row>
    <row r="27" spans="1:15" x14ac:dyDescent="0.3">
      <c r="A27" s="407"/>
      <c r="B27" s="410">
        <v>54</v>
      </c>
      <c r="C27" s="410">
        <v>76</v>
      </c>
      <c r="D27" s="410">
        <v>95</v>
      </c>
      <c r="E27" s="410">
        <v>106</v>
      </c>
      <c r="F27" s="410">
        <v>120</v>
      </c>
      <c r="G27" s="410">
        <v>165</v>
      </c>
      <c r="H27" s="410">
        <v>172</v>
      </c>
      <c r="I27" s="410">
        <v>195</v>
      </c>
      <c r="J27" s="410">
        <v>215</v>
      </c>
      <c r="K27" s="410">
        <v>240</v>
      </c>
      <c r="L27"/>
      <c r="M27"/>
      <c r="N27"/>
      <c r="O27"/>
    </row>
    <row r="28" spans="1:15" x14ac:dyDescent="0.3">
      <c r="A28" s="407" t="s">
        <v>2854</v>
      </c>
      <c r="B28" s="407"/>
      <c r="C28" s="407"/>
      <c r="D28" s="407"/>
      <c r="E28" s="407"/>
      <c r="F28" s="407"/>
      <c r="G28" s="407"/>
      <c r="H28" s="407"/>
      <c r="I28" s="407"/>
      <c r="J28" s="407"/>
      <c r="K28" s="407"/>
      <c r="L28"/>
      <c r="M28"/>
      <c r="N28"/>
      <c r="O28"/>
    </row>
    <row r="29" spans="1:15" x14ac:dyDescent="0.3">
      <c r="A29" s="356" t="s">
        <v>2894</v>
      </c>
      <c r="B29" s="464">
        <f t="array" ref="B29:K29">TRANSPOSE(Расходники!F61:F70)</f>
        <v>668</v>
      </c>
      <c r="C29" s="464">
        <v>3348</v>
      </c>
      <c r="D29" s="464">
        <v>5554</v>
      </c>
      <c r="E29" s="464">
        <v>7420</v>
      </c>
      <c r="F29" s="464">
        <v>9462</v>
      </c>
      <c r="G29" s="464">
        <v>19888</v>
      </c>
      <c r="H29" s="464">
        <v>22116</v>
      </c>
      <c r="I29" s="464">
        <v>30796</v>
      </c>
      <c r="J29" s="464">
        <v>30484</v>
      </c>
      <c r="K29" s="464">
        <v>30218</v>
      </c>
      <c r="L29"/>
      <c r="M29"/>
      <c r="N29"/>
      <c r="O29"/>
    </row>
    <row r="30" spans="1:15" x14ac:dyDescent="0.3">
      <c r="A30" s="356" t="s">
        <v>2998</v>
      </c>
      <c r="B30" s="464">
        <f t="array" ref="B30:K30">TRANSPOSE(Расходники!H61:H70)</f>
        <v>52.5</v>
      </c>
      <c r="C30" s="464">
        <v>52.5</v>
      </c>
      <c r="D30" s="464">
        <v>70</v>
      </c>
      <c r="E30" s="464">
        <v>105</v>
      </c>
      <c r="F30" s="464">
        <v>126</v>
      </c>
      <c r="G30" s="464">
        <v>266</v>
      </c>
      <c r="H30" s="464">
        <v>280</v>
      </c>
      <c r="I30" s="464">
        <v>469</v>
      </c>
      <c r="J30" s="464">
        <v>518</v>
      </c>
      <c r="K30" s="464">
        <v>567</v>
      </c>
      <c r="L30"/>
      <c r="M30"/>
      <c r="N30"/>
      <c r="O30"/>
    </row>
    <row r="31" spans="1:15" x14ac:dyDescent="0.3">
      <c r="A31" s="356" t="s">
        <v>2996</v>
      </c>
      <c r="B31" s="464">
        <f t="array" ref="B31:K31">TRANSPOSE(Расходники!I61:I70)</f>
        <v>0</v>
      </c>
      <c r="C31" s="464">
        <v>10.810810810810811</v>
      </c>
      <c r="D31" s="464">
        <v>20.27027027027027</v>
      </c>
      <c r="E31" s="464">
        <v>17.027027027027028</v>
      </c>
      <c r="F31" s="464">
        <v>29.72972972972973</v>
      </c>
      <c r="G31" s="464">
        <v>29.72972972972973</v>
      </c>
      <c r="H31" s="464">
        <v>81.081081081081081</v>
      </c>
      <c r="I31" s="464">
        <v>81.081081081081081</v>
      </c>
      <c r="J31" s="464">
        <v>81.081081081081081</v>
      </c>
      <c r="K31" s="464">
        <v>81.081081081081081</v>
      </c>
      <c r="L31"/>
      <c r="M31"/>
      <c r="N31"/>
      <c r="O31"/>
    </row>
    <row r="32" spans="1:15" x14ac:dyDescent="0.3">
      <c r="A32" s="356" t="s">
        <v>2850</v>
      </c>
      <c r="B32" s="464">
        <f t="array" ref="B32:K32">TRANSPOSE(Расходники!L61:L70)</f>
        <v>0</v>
      </c>
      <c r="C32" s="464">
        <v>0</v>
      </c>
      <c r="D32" s="464">
        <v>36.486145867098877</v>
      </c>
      <c r="E32" s="464">
        <v>68.88000000000001</v>
      </c>
      <c r="F32" s="464">
        <v>68.88000000000001</v>
      </c>
      <c r="G32" s="464">
        <v>168.71054781199356</v>
      </c>
      <c r="H32" s="464">
        <v>168.71054781199356</v>
      </c>
      <c r="I32" s="464">
        <v>184.04787034035661</v>
      </c>
      <c r="J32" s="464">
        <v>184.04787034035661</v>
      </c>
      <c r="K32" s="464">
        <v>230.05983792544578</v>
      </c>
      <c r="L32"/>
      <c r="M32"/>
      <c r="N32"/>
      <c r="O32"/>
    </row>
    <row r="33" spans="1:15" hidden="1" x14ac:dyDescent="0.3">
      <c r="A33" s="356"/>
      <c r="B33" s="464"/>
      <c r="C33" s="464"/>
      <c r="D33" s="464"/>
      <c r="E33" s="464"/>
      <c r="F33" s="464"/>
      <c r="G33" s="464"/>
      <c r="H33" s="464"/>
      <c r="I33" s="464"/>
      <c r="J33" s="464"/>
      <c r="K33" s="464"/>
      <c r="L33"/>
      <c r="M33"/>
      <c r="N33"/>
      <c r="O33"/>
    </row>
    <row r="34" spans="1:15" hidden="1" x14ac:dyDescent="0.3">
      <c r="A34" s="356"/>
      <c r="B34" s="464"/>
      <c r="C34" s="464"/>
      <c r="D34" s="464"/>
      <c r="E34" s="464"/>
      <c r="F34" s="464"/>
      <c r="G34" s="464"/>
      <c r="H34" s="464"/>
      <c r="I34" s="464"/>
      <c r="J34" s="464"/>
      <c r="K34" s="464"/>
      <c r="L34"/>
      <c r="M34"/>
      <c r="N34"/>
      <c r="O34"/>
    </row>
    <row r="35" spans="1:15" hidden="1" x14ac:dyDescent="0.3">
      <c r="A35" s="356"/>
      <c r="B35" s="464"/>
      <c r="C35" s="464"/>
      <c r="D35" s="464"/>
      <c r="E35" s="464"/>
      <c r="F35" s="464"/>
      <c r="G35" s="464"/>
      <c r="H35" s="464"/>
      <c r="I35" s="464"/>
      <c r="J35" s="464"/>
      <c r="K35" s="464"/>
      <c r="L35"/>
      <c r="M35"/>
      <c r="N35"/>
      <c r="O35"/>
    </row>
    <row r="36" spans="1:15" x14ac:dyDescent="0.3">
      <c r="A36" s="408" t="s">
        <v>2852</v>
      </c>
      <c r="B36" s="484">
        <f t="shared" ref="B36:K36" si="7">SUM(B29:B35)</f>
        <v>720.5</v>
      </c>
      <c r="C36" s="484">
        <f t="shared" si="7"/>
        <v>3411.3108108108108</v>
      </c>
      <c r="D36" s="484">
        <f t="shared" si="7"/>
        <v>5680.7564161373684</v>
      </c>
      <c r="E36" s="484">
        <f t="shared" si="7"/>
        <v>7610.9070270270267</v>
      </c>
      <c r="F36" s="484">
        <f t="shared" si="7"/>
        <v>9686.6097297297292</v>
      </c>
      <c r="G36" s="484">
        <f t="shared" si="7"/>
        <v>20352.440277541722</v>
      </c>
      <c r="H36" s="484">
        <f t="shared" si="7"/>
        <v>22645.791628893072</v>
      </c>
      <c r="I36" s="484">
        <f t="shared" si="7"/>
        <v>31530.128951421437</v>
      </c>
      <c r="J36" s="484">
        <f t="shared" si="7"/>
        <v>31267.128951421437</v>
      </c>
      <c r="K36" s="484">
        <f t="shared" si="7"/>
        <v>31096.140919006524</v>
      </c>
      <c r="L36"/>
      <c r="M36"/>
      <c r="N36"/>
      <c r="O36"/>
    </row>
    <row r="37" spans="1:15" x14ac:dyDescent="0.3">
      <c r="A37" s="408" t="s">
        <v>2853</v>
      </c>
      <c r="B37" s="484">
        <f>B36/1.23</f>
        <v>585.77235772357722</v>
      </c>
      <c r="C37" s="484">
        <f t="shared" ref="C37" si="8">C36/1.23</f>
        <v>2773.4234234234236</v>
      </c>
      <c r="D37" s="484">
        <f t="shared" ref="D37" si="9">D36/1.23</f>
        <v>4618.5011513311938</v>
      </c>
      <c r="E37" s="484">
        <f t="shared" ref="E37" si="10">E36/1.23</f>
        <v>6187.7292902658755</v>
      </c>
      <c r="F37" s="484">
        <f t="shared" ref="F37" si="11">F36/1.23</f>
        <v>7875.2924631949018</v>
      </c>
      <c r="G37" s="484">
        <f t="shared" ref="G37" si="12">G36/1.23</f>
        <v>16546.699412635546</v>
      </c>
      <c r="H37" s="484">
        <f t="shared" ref="H37" si="13">H36/1.23</f>
        <v>18411.212706417133</v>
      </c>
      <c r="I37" s="484">
        <f t="shared" ref="I37" si="14">I36/1.23</f>
        <v>25634.251180017429</v>
      </c>
      <c r="J37" s="484">
        <f t="shared" ref="J37" si="15">J36/1.23</f>
        <v>25420.430041806045</v>
      </c>
      <c r="K37" s="484">
        <f t="shared" ref="K37" si="16">K36/1.23</f>
        <v>25281.415381306117</v>
      </c>
      <c r="L37"/>
      <c r="M37"/>
      <c r="N37"/>
      <c r="O37"/>
    </row>
    <row r="38" spans="1:15" x14ac:dyDescent="0.3">
      <c r="A38" s="409" t="s">
        <v>2855</v>
      </c>
      <c r="B38" s="464">
        <f>Персонал!$O$68*0.6/продажи!$C$34</f>
        <v>915.375</v>
      </c>
      <c r="C38" s="464">
        <f>Персонал!$O$68*0.6/продажи!$C$34</f>
        <v>915.375</v>
      </c>
      <c r="D38" s="464">
        <f>Персонал!$O$68*0.6/продажи!$C$34</f>
        <v>915.375</v>
      </c>
      <c r="E38" s="464">
        <f>Персонал!$O$68*0.6/продажи!$C$34</f>
        <v>915.375</v>
      </c>
      <c r="F38" s="464">
        <f>Персонал!$O$68*0.6/продажи!$C$34</f>
        <v>915.375</v>
      </c>
      <c r="G38" s="464">
        <f>Персонал!$O$68*0.6/продажи!$C$34</f>
        <v>915.375</v>
      </c>
      <c r="H38" s="464">
        <f>Персонал!$O$68*0.6/продажи!$C$34</f>
        <v>915.375</v>
      </c>
      <c r="I38" s="464">
        <f>Персонал!$O$68*0.6/продажи!$C$34</f>
        <v>915.375</v>
      </c>
      <c r="J38" s="464">
        <f>Персонал!$O$68*0.6/продажи!$C$34</f>
        <v>915.375</v>
      </c>
      <c r="K38" s="464">
        <f>Персонал!$O$68*0.6/продажи!$C$34</f>
        <v>915.375</v>
      </c>
      <c r="L38"/>
      <c r="M38"/>
      <c r="N38"/>
      <c r="O38"/>
    </row>
    <row r="39" spans="1:15" x14ac:dyDescent="0.3">
      <c r="A39" s="409" t="s">
        <v>2856</v>
      </c>
      <c r="B39" s="464">
        <f>B38*Проект!$B$136</f>
        <v>184.17345</v>
      </c>
      <c r="C39" s="464">
        <f>C38*Проект!$B$136</f>
        <v>184.17345</v>
      </c>
      <c r="D39" s="464">
        <f>D38*Проект!$B$136</f>
        <v>184.17345</v>
      </c>
      <c r="E39" s="464">
        <f>E38*Проект!$B$136</f>
        <v>184.17345</v>
      </c>
      <c r="F39" s="464">
        <f>F38*Проект!$B$136</f>
        <v>184.17345</v>
      </c>
      <c r="G39" s="464">
        <f>G38*Проект!$B$136</f>
        <v>184.17345</v>
      </c>
      <c r="H39" s="464">
        <f>H38*Проект!$B$136</f>
        <v>184.17345</v>
      </c>
      <c r="I39" s="464">
        <f>I38*Проект!$B$136</f>
        <v>184.17345</v>
      </c>
      <c r="J39" s="464">
        <f>J38*Проект!$B$136</f>
        <v>184.17345</v>
      </c>
      <c r="K39" s="464">
        <f>K38*Проект!$B$136</f>
        <v>184.17345</v>
      </c>
      <c r="L39"/>
      <c r="M39"/>
      <c r="N39"/>
      <c r="O39"/>
    </row>
    <row r="40" spans="1:15" x14ac:dyDescent="0.3">
      <c r="A40" s="409" t="s">
        <v>2868</v>
      </c>
      <c r="B40" s="464">
        <f>B37*Расходы!$B$10</f>
        <v>1.1715447154471545</v>
      </c>
      <c r="C40" s="464">
        <f>C37*Расходы!$B$10</f>
        <v>5.5468468468468473</v>
      </c>
      <c r="D40" s="464">
        <f>D37*Расходы!$B$10</f>
        <v>9.237002302662388</v>
      </c>
      <c r="E40" s="464">
        <f>E37*Расходы!$B$10</f>
        <v>12.375458580531751</v>
      </c>
      <c r="F40" s="464">
        <f>F37*Расходы!$B$10</f>
        <v>15.750584926389804</v>
      </c>
      <c r="G40" s="464">
        <f>G37*Расходы!$B$10</f>
        <v>33.093398825271095</v>
      </c>
      <c r="H40" s="464">
        <f>H37*Расходы!$B$10</f>
        <v>36.822425412834264</v>
      </c>
      <c r="I40" s="464">
        <f>I37*Расходы!$B$10</f>
        <v>51.268502360034859</v>
      </c>
      <c r="J40" s="464">
        <f>J37*Расходы!$B$10</f>
        <v>50.840860083612093</v>
      </c>
      <c r="K40" s="464">
        <f>K37*Расходы!$B$10</f>
        <v>50.562830762612236</v>
      </c>
      <c r="L40"/>
      <c r="M40"/>
      <c r="N40"/>
      <c r="O40"/>
    </row>
    <row r="41" spans="1:15" x14ac:dyDescent="0.3">
      <c r="A41" s="409" t="s">
        <v>2863</v>
      </c>
      <c r="B41" s="464">
        <f>B37*Расходы!$B$14</f>
        <v>14.644308943089431</v>
      </c>
      <c r="C41" s="464">
        <f>C37*Расходы!$B$14</f>
        <v>69.335585585585591</v>
      </c>
      <c r="D41" s="464">
        <f>D37*Расходы!$B$14</f>
        <v>115.46252878327985</v>
      </c>
      <c r="E41" s="464">
        <f>E37*Расходы!$B$14</f>
        <v>154.69323225664689</v>
      </c>
      <c r="F41" s="464">
        <f>F37*Расходы!$B$14</f>
        <v>196.88231157987255</v>
      </c>
      <c r="G41" s="464">
        <f>G37*Расходы!$B$14</f>
        <v>413.66748531588865</v>
      </c>
      <c r="H41" s="464">
        <f>H37*Расходы!$B$14</f>
        <v>460.28031766042835</v>
      </c>
      <c r="I41" s="464">
        <f>I37*Расходы!$B$14</f>
        <v>640.85627950043579</v>
      </c>
      <c r="J41" s="464">
        <f>J37*Расходы!$B$14</f>
        <v>635.51075104515121</v>
      </c>
      <c r="K41" s="464">
        <f>K37*Расходы!$B$14</f>
        <v>632.03538453265298</v>
      </c>
      <c r="L41"/>
      <c r="M41"/>
      <c r="N41"/>
      <c r="O41"/>
    </row>
    <row r="42" spans="1:15" x14ac:dyDescent="0.3">
      <c r="A42" s="409" t="s">
        <v>2857</v>
      </c>
      <c r="B42" s="464">
        <f>B37*Расходы!$B$13</f>
        <v>5.8577235772357721</v>
      </c>
      <c r="C42" s="464">
        <f>C37*Расходы!$B$13</f>
        <v>27.734234234234236</v>
      </c>
      <c r="D42" s="464">
        <f>D37*Расходы!$B$13</f>
        <v>46.185011513311942</v>
      </c>
      <c r="E42" s="464">
        <f>E37*Расходы!$B$13</f>
        <v>61.877292902658759</v>
      </c>
      <c r="F42" s="464">
        <f>F37*Расходы!$B$13</f>
        <v>78.752924631949014</v>
      </c>
      <c r="G42" s="464">
        <f>G37*Расходы!$B$13</f>
        <v>165.46699412635547</v>
      </c>
      <c r="H42" s="464">
        <f>H37*Расходы!$B$13</f>
        <v>184.11212706417132</v>
      </c>
      <c r="I42" s="464">
        <f>I37*Расходы!$B$13</f>
        <v>256.34251180017429</v>
      </c>
      <c r="J42" s="464">
        <f>J37*Расходы!$B$13</f>
        <v>254.20430041806046</v>
      </c>
      <c r="K42" s="464">
        <f>K37*Расходы!$B$13</f>
        <v>252.81415381306118</v>
      </c>
      <c r="L42"/>
      <c r="M42"/>
      <c r="N42"/>
      <c r="O42"/>
    </row>
    <row r="43" spans="1:15" ht="30" x14ac:dyDescent="0.3">
      <c r="A43" s="409" t="s">
        <v>2858</v>
      </c>
      <c r="B43" s="464">
        <f>B37*Расходы!$B$12</f>
        <v>2.928861788617886</v>
      </c>
      <c r="C43" s="464">
        <f>C37*Расходы!$B$12</f>
        <v>13.867117117117118</v>
      </c>
      <c r="D43" s="464">
        <f>D37*Расходы!$B$12</f>
        <v>23.092505756655971</v>
      </c>
      <c r="E43" s="464">
        <f>E37*Расходы!$B$12</f>
        <v>30.93864645132938</v>
      </c>
      <c r="F43" s="464">
        <f>F37*Расходы!$B$12</f>
        <v>39.376462315974507</v>
      </c>
      <c r="G43" s="464">
        <f>G37*Расходы!$B$12</f>
        <v>82.733497063177737</v>
      </c>
      <c r="H43" s="464">
        <f>H37*Расходы!$B$12</f>
        <v>92.056063532085659</v>
      </c>
      <c r="I43" s="464">
        <f>I37*Расходы!$B$12</f>
        <v>128.17125590008715</v>
      </c>
      <c r="J43" s="464">
        <f>J37*Расходы!$B$12</f>
        <v>127.10215020903023</v>
      </c>
      <c r="K43" s="464">
        <f>K37*Расходы!$B$12</f>
        <v>126.40707690653059</v>
      </c>
      <c r="L43"/>
      <c r="M43"/>
      <c r="N43"/>
      <c r="O43"/>
    </row>
    <row r="44" spans="1:15" x14ac:dyDescent="0.3">
      <c r="A44" s="409" t="s">
        <v>2864</v>
      </c>
      <c r="B44" s="464">
        <f>B37*Расходы!$B$11</f>
        <v>2.3430894308943091</v>
      </c>
      <c r="C44" s="464">
        <f>C37*Расходы!$B$11</f>
        <v>11.093693693693695</v>
      </c>
      <c r="D44" s="464">
        <f>D37*Расходы!$B$11</f>
        <v>18.474004605324776</v>
      </c>
      <c r="E44" s="464">
        <f>E37*Расходы!$B$11</f>
        <v>24.750917161063501</v>
      </c>
      <c r="F44" s="464">
        <f>F37*Расходы!$B$11</f>
        <v>31.501169852779608</v>
      </c>
      <c r="G44" s="464">
        <f>G37*Расходы!$B$11</f>
        <v>66.186797650542189</v>
      </c>
      <c r="H44" s="464">
        <f>H37*Расходы!$B$11</f>
        <v>73.644850825668527</v>
      </c>
      <c r="I44" s="464">
        <f>I37*Расходы!$B$11</f>
        <v>102.53700472006972</v>
      </c>
      <c r="J44" s="464">
        <f>J37*Расходы!$B$11</f>
        <v>101.68172016722419</v>
      </c>
      <c r="K44" s="464">
        <f>K37*Расходы!$B$11</f>
        <v>101.12566152522447</v>
      </c>
      <c r="L44"/>
      <c r="M44"/>
      <c r="N44"/>
      <c r="O44"/>
    </row>
    <row r="45" spans="1:15" x14ac:dyDescent="0.3">
      <c r="A45" s="408" t="s">
        <v>2862</v>
      </c>
      <c r="B45" s="484">
        <f t="shared" ref="B45:K45" si="17">SUM(B37:B44)</f>
        <v>1712.2663361788618</v>
      </c>
      <c r="C45" s="484">
        <f t="shared" si="17"/>
        <v>4000.5493509009016</v>
      </c>
      <c r="D45" s="484">
        <f t="shared" si="17"/>
        <v>5930.5006542924284</v>
      </c>
      <c r="E45" s="484">
        <f t="shared" si="17"/>
        <v>7571.9132876181066</v>
      </c>
      <c r="F45" s="484">
        <f t="shared" si="17"/>
        <v>9337.1043665018678</v>
      </c>
      <c r="G45" s="484">
        <f t="shared" si="17"/>
        <v>18407.396035616781</v>
      </c>
      <c r="H45" s="484">
        <f t="shared" si="17"/>
        <v>20357.676940912319</v>
      </c>
      <c r="I45" s="484">
        <f t="shared" si="17"/>
        <v>27912.975184298233</v>
      </c>
      <c r="J45" s="484">
        <f t="shared" si="17"/>
        <v>27689.318273729121</v>
      </c>
      <c r="K45" s="484">
        <f t="shared" si="17"/>
        <v>27543.908938846198</v>
      </c>
      <c r="L45"/>
      <c r="M45"/>
      <c r="N45"/>
      <c r="O45"/>
    </row>
    <row r="46" spans="1:15" x14ac:dyDescent="0.3">
      <c r="A46" s="409" t="s">
        <v>2859</v>
      </c>
      <c r="B46" s="423">
        <v>0.3</v>
      </c>
      <c r="C46" s="423">
        <f>B46</f>
        <v>0.3</v>
      </c>
      <c r="D46" s="423">
        <f t="shared" ref="D46" si="18">C46</f>
        <v>0.3</v>
      </c>
      <c r="E46" s="423">
        <f t="shared" ref="E46" si="19">D46</f>
        <v>0.3</v>
      </c>
      <c r="F46" s="423">
        <f t="shared" ref="F46" si="20">E46</f>
        <v>0.3</v>
      </c>
      <c r="G46" s="423">
        <f t="shared" ref="G46" si="21">F46</f>
        <v>0.3</v>
      </c>
      <c r="H46" s="423">
        <f t="shared" ref="H46" si="22">G46</f>
        <v>0.3</v>
      </c>
      <c r="I46" s="423">
        <f t="shared" ref="I46" si="23">H46</f>
        <v>0.3</v>
      </c>
      <c r="J46" s="423">
        <f t="shared" ref="J46" si="24">I46</f>
        <v>0.3</v>
      </c>
      <c r="K46" s="423">
        <f t="shared" ref="K46" si="25">J46</f>
        <v>0.3</v>
      </c>
      <c r="L46"/>
      <c r="M46"/>
      <c r="N46"/>
      <c r="O46"/>
    </row>
    <row r="47" spans="1:15" x14ac:dyDescent="0.3">
      <c r="A47" s="409" t="s">
        <v>2860</v>
      </c>
      <c r="B47" s="464">
        <f>B48-B45</f>
        <v>513.67990085365864</v>
      </c>
      <c r="C47" s="464">
        <f t="shared" ref="C47:K47" si="26">C48-C45</f>
        <v>1200.1648052702708</v>
      </c>
      <c r="D47" s="464">
        <f t="shared" si="26"/>
        <v>1779.1501962877292</v>
      </c>
      <c r="E47" s="464">
        <f t="shared" si="26"/>
        <v>2271.5739862854316</v>
      </c>
      <c r="F47" s="464">
        <f t="shared" si="26"/>
        <v>2801.1313099505605</v>
      </c>
      <c r="G47" s="464">
        <f t="shared" si="26"/>
        <v>5522.2188106850335</v>
      </c>
      <c r="H47" s="464">
        <f t="shared" si="26"/>
        <v>6107.3030822736982</v>
      </c>
      <c r="I47" s="464">
        <f t="shared" si="26"/>
        <v>8373.8925552894689</v>
      </c>
      <c r="J47" s="464">
        <f t="shared" si="26"/>
        <v>8306.7954821187377</v>
      </c>
      <c r="K47" s="464">
        <f t="shared" si="26"/>
        <v>8263.1726816538612</v>
      </c>
      <c r="L47"/>
      <c r="M47"/>
      <c r="N47"/>
      <c r="O47"/>
    </row>
    <row r="48" spans="1:15" x14ac:dyDescent="0.3">
      <c r="A48" s="409" t="s">
        <v>2861</v>
      </c>
      <c r="B48" s="464">
        <f>B45*(1+B46)</f>
        <v>2225.9462370325205</v>
      </c>
      <c r="C48" s="464">
        <f t="shared" ref="C48:K48" si="27">C45*(1+C46)</f>
        <v>5200.7141561711724</v>
      </c>
      <c r="D48" s="464">
        <f t="shared" si="27"/>
        <v>7709.6508505801576</v>
      </c>
      <c r="E48" s="464">
        <f t="shared" si="27"/>
        <v>9843.4872739035382</v>
      </c>
      <c r="F48" s="464">
        <f t="shared" si="27"/>
        <v>12138.235676452428</v>
      </c>
      <c r="G48" s="464">
        <f t="shared" si="27"/>
        <v>23929.614846301814</v>
      </c>
      <c r="H48" s="464">
        <f t="shared" si="27"/>
        <v>26464.980023186017</v>
      </c>
      <c r="I48" s="464">
        <f t="shared" si="27"/>
        <v>36286.867739587702</v>
      </c>
      <c r="J48" s="464">
        <f t="shared" si="27"/>
        <v>35996.113755847859</v>
      </c>
      <c r="K48" s="464">
        <f t="shared" si="27"/>
        <v>35807.081620500059</v>
      </c>
      <c r="L48"/>
      <c r="M48"/>
      <c r="N48"/>
      <c r="O48"/>
    </row>
    <row r="49" spans="1:15" x14ac:dyDescent="0.3">
      <c r="A49" s="409" t="s">
        <v>2940</v>
      </c>
      <c r="B49" s="464">
        <v>0</v>
      </c>
      <c r="C49" s="464">
        <v>0</v>
      </c>
      <c r="D49" s="464">
        <v>0</v>
      </c>
      <c r="E49" s="464">
        <v>0</v>
      </c>
      <c r="F49" s="464">
        <v>0</v>
      </c>
      <c r="G49" s="464">
        <v>0</v>
      </c>
      <c r="H49" s="464">
        <v>0</v>
      </c>
      <c r="I49" s="464">
        <v>0</v>
      </c>
      <c r="J49" s="464">
        <v>0</v>
      </c>
      <c r="K49" s="464">
        <v>0</v>
      </c>
      <c r="L49"/>
      <c r="M49"/>
      <c r="N49"/>
      <c r="O49"/>
    </row>
    <row r="50" spans="1:15" x14ac:dyDescent="0.3">
      <c r="A50" s="408" t="s">
        <v>2903</v>
      </c>
      <c r="B50" s="484">
        <f>SUM(B48:B49)</f>
        <v>2225.9462370325205</v>
      </c>
      <c r="C50" s="484">
        <f t="shared" ref="C50:K50" si="28">SUM(C48:C49)</f>
        <v>5200.7141561711724</v>
      </c>
      <c r="D50" s="484">
        <f t="shared" si="28"/>
        <v>7709.6508505801576</v>
      </c>
      <c r="E50" s="484">
        <f t="shared" si="28"/>
        <v>9843.4872739035382</v>
      </c>
      <c r="F50" s="484">
        <f t="shared" si="28"/>
        <v>12138.235676452428</v>
      </c>
      <c r="G50" s="484">
        <f t="shared" si="28"/>
        <v>23929.614846301814</v>
      </c>
      <c r="H50" s="484">
        <f t="shared" si="28"/>
        <v>26464.980023186017</v>
      </c>
      <c r="I50" s="484">
        <f t="shared" si="28"/>
        <v>36286.867739587702</v>
      </c>
      <c r="J50" s="484">
        <f t="shared" si="28"/>
        <v>35996.113755847859</v>
      </c>
      <c r="K50" s="484">
        <f t="shared" si="28"/>
        <v>35807.081620500059</v>
      </c>
      <c r="L50"/>
      <c r="M50"/>
      <c r="N50"/>
      <c r="O50"/>
    </row>
  </sheetData>
  <mergeCells count="2">
    <mergeCell ref="A1:O1"/>
    <mergeCell ref="A26:K26"/>
  </mergeCells>
  <pageMargins left="0.7" right="0.7" top="0.75" bottom="0.75" header="0.3" footer="0.3"/>
  <pageSetup paperSize="9" scale="47"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3">
    <outlinePr summaryBelow="0"/>
  </sheetPr>
  <dimension ref="A1:AF963"/>
  <sheetViews>
    <sheetView workbookViewId="0">
      <pane xSplit="5" topLeftCell="F1" activePane="topRight" state="frozen"/>
      <selection activeCell="A29" sqref="A29"/>
      <selection pane="topRight" activeCell="F513" sqref="F513"/>
    </sheetView>
  </sheetViews>
  <sheetFormatPr defaultRowHeight="11.25" outlineLevelRow="2" x14ac:dyDescent="0.2"/>
  <cols>
    <col min="1" max="1" width="51.83203125" customWidth="1"/>
    <col min="2" max="3" width="12.83203125" customWidth="1"/>
    <col min="4" max="4" width="5.1640625" hidden="1" customWidth="1"/>
    <col min="5" max="5" width="4.83203125" hidden="1" customWidth="1"/>
    <col min="6" max="25" width="11.83203125" customWidth="1"/>
    <col min="26" max="26" width="1.83203125" customWidth="1"/>
    <col min="27" max="27" width="12.83203125" style="180" customWidth="1"/>
  </cols>
  <sheetData>
    <row r="1" spans="1:27" ht="12.75" x14ac:dyDescent="0.2">
      <c r="A1" s="223" t="str">
        <f ca="1">Language!A3&amp;IF(IS_SUMM,Language!A4,"")&amp;AI_Version&amp;" "&amp;IF(IS_ESTATE,Language!A5,"")&amp;IF(IS_DEMO,Language!A6,"")&amp;IF(IS_TRIAL,Language!A7,"")</f>
        <v xml:space="preserve">АЛЬТ-Инвест™ Сумм 6.1 </v>
      </c>
      <c r="AA1" s="11"/>
    </row>
    <row r="2" spans="1:27" s="2" customFormat="1" ht="15.75" x14ac:dyDescent="0.25">
      <c r="A2" s="3" t="str">
        <f ca="1">Language!A944</f>
        <v>Портфель проектов компании</v>
      </c>
      <c r="AA2" s="37"/>
    </row>
    <row r="4" spans="1:27" s="4" customFormat="1" ht="15.95" customHeight="1" thickBot="1" x14ac:dyDescent="0.25">
      <c r="A4" s="165" t="str">
        <f ca="1">Language!A945</f>
        <v xml:space="preserve">         СОСТАВ ПОРТФЕЛЯ</v>
      </c>
      <c r="B4" s="165"/>
      <c r="C4" s="165"/>
      <c r="D4" s="165"/>
      <c r="E4" s="165"/>
      <c r="F4" s="165"/>
      <c r="G4" s="165"/>
      <c r="H4" s="165"/>
      <c r="I4" s="165"/>
      <c r="J4" s="165"/>
      <c r="K4" s="165"/>
      <c r="L4" s="165"/>
      <c r="M4" s="165"/>
      <c r="N4" s="165"/>
      <c r="O4" s="165"/>
      <c r="P4" s="165"/>
      <c r="Q4" s="165"/>
      <c r="R4" s="165"/>
      <c r="S4" s="165"/>
      <c r="T4" s="165"/>
      <c r="U4" s="165"/>
      <c r="V4" s="165"/>
      <c r="W4" s="165"/>
      <c r="X4" s="165"/>
      <c r="Y4" s="165"/>
      <c r="Z4" s="166"/>
      <c r="AA4" s="199"/>
    </row>
    <row r="5" spans="1:27" ht="12" outlineLevel="1" thickTop="1" x14ac:dyDescent="0.2"/>
    <row r="6" spans="1:27" outlineLevel="1" x14ac:dyDescent="0.2">
      <c r="A6" t="str">
        <f ca="1">Language!A946</f>
        <v>Название компании:</v>
      </c>
    </row>
    <row r="7" spans="1:27" outlineLevel="1" x14ac:dyDescent="0.2">
      <c r="A7" s="252" t="str">
        <f ca="1">Language!A947</f>
        <v>Компания без названия</v>
      </c>
      <c r="B7" s="252"/>
      <c r="C7" s="252"/>
    </row>
    <row r="8" spans="1:27" outlineLevel="1" x14ac:dyDescent="0.2">
      <c r="A8" s="48"/>
      <c r="B8" s="48"/>
      <c r="C8" s="48"/>
    </row>
    <row r="9" spans="1:27" ht="15.95" customHeight="1" outlineLevel="1" x14ac:dyDescent="0.2">
      <c r="A9" s="48"/>
      <c r="B9" s="48"/>
      <c r="C9" s="48"/>
    </row>
    <row r="10" spans="1:27" outlineLevel="1" x14ac:dyDescent="0.2">
      <c r="A10" s="48"/>
      <c r="B10" s="48"/>
      <c r="C10" s="48"/>
    </row>
    <row r="11" spans="1:27" ht="21" customHeight="1" outlineLevel="1" x14ac:dyDescent="0.2">
      <c r="A11" s="167" t="str">
        <f ca="1">Language!A948</f>
        <v>Список проектов</v>
      </c>
      <c r="B11" s="668" t="str">
        <f ca="1">Language!A949</f>
        <v>Учитывать?</v>
      </c>
      <c r="C11" s="668"/>
      <c r="D11" s="181">
        <v>1</v>
      </c>
      <c r="E11" s="181">
        <v>0</v>
      </c>
      <c r="F11" s="313" t="str">
        <f ca="1">Language!A950</f>
        <v>Источник</v>
      </c>
      <c r="G11" s="167"/>
      <c r="I11" s="168"/>
      <c r="J11" s="168"/>
      <c r="K11" s="168"/>
      <c r="L11" s="168"/>
      <c r="M11" s="168"/>
      <c r="N11" s="168"/>
      <c r="O11" s="168"/>
      <c r="P11" s="168"/>
      <c r="Q11" s="168"/>
      <c r="R11" s="168"/>
      <c r="S11" s="168"/>
      <c r="T11" s="168"/>
      <c r="U11" s="168"/>
      <c r="V11" s="168"/>
      <c r="W11" s="168"/>
      <c r="X11" s="168"/>
      <c r="Y11" s="168"/>
      <c r="Z11" s="168"/>
      <c r="AA11" s="200"/>
    </row>
    <row r="12" spans="1:27" outlineLevel="1" x14ac:dyDescent="0.2">
      <c r="A12" s="169" t="str">
        <f ca="1">Проект!PRJ_Name</f>
        <v>Проект 1</v>
      </c>
      <c r="B12" s="254">
        <v>1</v>
      </c>
      <c r="C12" s="196" t="str">
        <f ca="1">IF(B12=1,Language!A$1008,IF(B12=0,Language!A$1009,Language!A$1010))</f>
        <v>Учитывать</v>
      </c>
      <c r="D12" s="48"/>
      <c r="E12" s="48"/>
      <c r="F12" s="170" t="e">
        <f ca="1">ThisShtName(Проект!PRJ_Name)</f>
        <v>#NAME?</v>
      </c>
      <c r="G12" s="196"/>
      <c r="I12" s="45"/>
      <c r="J12" s="45"/>
      <c r="K12" s="45"/>
      <c r="L12" s="45"/>
      <c r="M12" s="45"/>
      <c r="N12" s="45"/>
      <c r="O12" s="45"/>
      <c r="P12" s="45"/>
      <c r="Q12" s="45"/>
      <c r="R12" s="45"/>
      <c r="S12" s="45"/>
      <c r="T12" s="45"/>
      <c r="U12" s="45"/>
      <c r="V12" s="45"/>
      <c r="W12" s="45"/>
      <c r="X12" s="45"/>
      <c r="Y12" s="45"/>
      <c r="Z12" s="45"/>
      <c r="AA12" s="170"/>
    </row>
    <row r="13" spans="1:27" outlineLevel="1" x14ac:dyDescent="0.2">
      <c r="A13" s="48"/>
      <c r="B13" s="48"/>
      <c r="C13" s="48"/>
      <c r="D13" s="48"/>
      <c r="E13" s="48"/>
      <c r="F13" s="45"/>
      <c r="G13" s="45"/>
      <c r="H13" s="45"/>
      <c r="I13" s="45"/>
      <c r="J13" s="45"/>
      <c r="K13" s="45"/>
      <c r="L13" s="45"/>
      <c r="M13" s="45"/>
      <c r="N13" s="45"/>
      <c r="O13" s="45"/>
      <c r="P13" s="45"/>
      <c r="Q13" s="45"/>
      <c r="R13" s="45"/>
      <c r="S13" s="45"/>
      <c r="T13" s="45"/>
      <c r="U13" s="45"/>
      <c r="V13" s="45"/>
      <c r="W13" s="45"/>
      <c r="X13" s="45"/>
      <c r="Y13" s="45"/>
      <c r="Z13" s="45"/>
      <c r="AA13" s="170"/>
    </row>
    <row r="14" spans="1:27" outlineLevel="1" x14ac:dyDescent="0.2">
      <c r="A14" s="314" t="str">
        <f ca="1">Language!A1021</f>
        <v>Не обнулять баланс проекта после его окончания</v>
      </c>
      <c r="B14" s="254">
        <v>1</v>
      </c>
      <c r="C14" s="197" t="str">
        <f ca="1">IF(B14=1, Language!A1022, Language!A1023)</f>
        <v>Да, не обнулять</v>
      </c>
      <c r="D14" s="48">
        <f ca="1">IF(MIN(OFFSET(PORT_PrjPeriods,1,2):OFFSET(PORT_PrjPeriods,1+PORT_IntPrjCount+PORT_ExtPrjCount,2))&lt;PRJ_Len,1,0)</f>
        <v>0</v>
      </c>
      <c r="E14" s="48"/>
      <c r="F14" s="45"/>
      <c r="G14" s="45"/>
      <c r="H14" s="45"/>
      <c r="I14" s="45"/>
      <c r="J14" s="45"/>
      <c r="K14" s="45"/>
      <c r="L14" s="45"/>
      <c r="M14" s="45"/>
      <c r="N14" s="45"/>
      <c r="O14" s="45"/>
      <c r="P14" s="45"/>
      <c r="Q14" s="45"/>
      <c r="R14" s="45"/>
      <c r="S14" s="45"/>
      <c r="T14" s="45"/>
      <c r="U14" s="45"/>
      <c r="V14" s="45"/>
      <c r="W14" s="45"/>
      <c r="X14" s="45"/>
      <c r="Y14" s="45"/>
      <c r="Z14" s="45"/>
      <c r="AA14" s="170"/>
    </row>
    <row r="15" spans="1:27" outlineLevel="1" x14ac:dyDescent="0.2">
      <c r="A15" s="48"/>
      <c r="B15" s="48"/>
      <c r="C15" s="48"/>
      <c r="D15" s="48"/>
      <c r="E15" s="48"/>
      <c r="F15" s="45"/>
      <c r="G15" s="45"/>
      <c r="H15" s="45"/>
      <c r="I15" s="45"/>
      <c r="J15" s="45"/>
      <c r="K15" s="45"/>
      <c r="L15" s="45"/>
      <c r="M15" s="45"/>
      <c r="N15" s="45"/>
      <c r="O15" s="45"/>
      <c r="P15" s="45"/>
      <c r="Q15" s="45"/>
      <c r="R15" s="45"/>
      <c r="S15" s="45"/>
      <c r="T15" s="45"/>
      <c r="U15" s="45"/>
      <c r="V15" s="45"/>
      <c r="W15" s="45"/>
      <c r="X15" s="45"/>
      <c r="Y15" s="45"/>
      <c r="Z15" s="45"/>
      <c r="AA15" s="170"/>
    </row>
    <row r="16" spans="1:27" outlineLevel="1" x14ac:dyDescent="0.2">
      <c r="A16" s="171" t="str">
        <f ca="1">Language!A951</f>
        <v>Последнее обновление проектов из внешних книг:</v>
      </c>
      <c r="B16" s="669">
        <v>39763.604166666664</v>
      </c>
      <c r="C16" s="670"/>
      <c r="D16" s="48"/>
      <c r="E16" s="48"/>
      <c r="F16" s="45"/>
      <c r="G16" s="45"/>
      <c r="H16" s="45"/>
      <c r="I16" s="45"/>
      <c r="J16" s="45"/>
      <c r="K16" s="45"/>
      <c r="L16" s="45"/>
      <c r="M16" s="45"/>
      <c r="N16" s="45"/>
      <c r="O16" s="45"/>
      <c r="P16" s="45"/>
      <c r="Q16" s="45"/>
      <c r="R16" s="45"/>
      <c r="S16" s="45"/>
      <c r="T16" s="45"/>
      <c r="U16" s="45"/>
      <c r="V16" s="45"/>
      <c r="W16" s="45"/>
      <c r="X16" s="45"/>
      <c r="Y16" s="45"/>
      <c r="Z16" s="45"/>
      <c r="AA16" s="170"/>
    </row>
    <row r="17" spans="1:27" ht="15.95" customHeight="1" outlineLevel="1" x14ac:dyDescent="0.2">
      <c r="A17" s="48"/>
      <c r="B17" s="48"/>
      <c r="C17" s="48"/>
      <c r="D17" s="48"/>
      <c r="E17" s="48"/>
      <c r="F17" s="45"/>
      <c r="G17" s="45"/>
      <c r="H17" s="45"/>
      <c r="I17" s="45"/>
      <c r="J17" s="45"/>
      <c r="K17" s="45"/>
      <c r="L17" s="45"/>
      <c r="M17" s="45"/>
      <c r="N17" s="45"/>
      <c r="O17" s="45"/>
      <c r="P17" s="45"/>
      <c r="Q17" s="45"/>
      <c r="R17" s="45"/>
      <c r="S17" s="45"/>
      <c r="T17" s="45"/>
      <c r="U17" s="45"/>
      <c r="V17" s="45"/>
      <c r="W17" s="45"/>
      <c r="X17" s="45"/>
      <c r="Y17" s="45"/>
      <c r="Z17" s="45"/>
      <c r="AA17" s="170"/>
    </row>
    <row r="18" spans="1:27" outlineLevel="1" x14ac:dyDescent="0.2">
      <c r="A18" s="172"/>
      <c r="B18" s="172"/>
      <c r="C18" s="172"/>
      <c r="D18" s="172"/>
      <c r="E18" s="172"/>
      <c r="F18" s="172"/>
      <c r="G18" s="172"/>
      <c r="H18" s="172"/>
      <c r="I18" s="45"/>
      <c r="J18" s="45"/>
      <c r="K18" s="45"/>
      <c r="L18" s="45"/>
      <c r="M18" s="45"/>
      <c r="N18" s="45"/>
      <c r="O18" s="45"/>
      <c r="P18" s="45"/>
      <c r="Q18" s="45"/>
      <c r="R18" s="45"/>
      <c r="S18" s="45"/>
      <c r="T18" s="45"/>
      <c r="U18" s="45"/>
      <c r="V18" s="45"/>
      <c r="W18" s="45"/>
      <c r="X18" s="45"/>
      <c r="Y18" s="45"/>
      <c r="Z18" s="45"/>
      <c r="AA18" s="170"/>
    </row>
    <row r="19" spans="1:27" outlineLevel="1" x14ac:dyDescent="0.2">
      <c r="F19" s="45"/>
      <c r="G19" s="45"/>
      <c r="H19" s="45"/>
      <c r="I19" s="45"/>
      <c r="J19" s="45"/>
      <c r="K19" s="45"/>
      <c r="L19" s="45"/>
      <c r="M19" s="45"/>
      <c r="N19" s="45"/>
      <c r="O19" s="45"/>
      <c r="P19" s="45"/>
      <c r="Q19" s="45"/>
      <c r="R19" s="45"/>
      <c r="S19" s="45"/>
      <c r="T19" s="45"/>
      <c r="U19" s="45"/>
      <c r="V19" s="45"/>
      <c r="W19" s="45"/>
      <c r="X19" s="45"/>
      <c r="Y19" s="45"/>
      <c r="Z19" s="45"/>
      <c r="AA19" s="170"/>
    </row>
    <row r="20" spans="1:27" s="4" customFormat="1" ht="15.95" customHeight="1" outlineLevel="1" x14ac:dyDescent="0.2">
      <c r="A20" s="167" t="str">
        <f ca="1">Language!A952</f>
        <v>Параметры бюджета портфеля проектов</v>
      </c>
      <c r="B20" s="14"/>
      <c r="C20" s="190"/>
      <c r="F20" s="173"/>
      <c r="AA20" s="201"/>
    </row>
    <row r="21" spans="1:27" outlineLevel="1" x14ac:dyDescent="0.2">
      <c r="A21" s="182"/>
      <c r="B21" s="183"/>
      <c r="C21" s="175"/>
      <c r="F21" s="19"/>
    </row>
    <row r="22" spans="1:27" outlineLevel="1" x14ac:dyDescent="0.2">
      <c r="A22" s="183" t="str">
        <f ca="1">Language!A953</f>
        <v>Дата начала первого периода</v>
      </c>
      <c r="B22" s="184">
        <f>DATE(PRJ_StartYear,PRJ_StartMon,1)</f>
        <v>42370</v>
      </c>
      <c r="C22" s="175"/>
      <c r="F22" s="19"/>
    </row>
    <row r="23" spans="1:27" outlineLevel="1" x14ac:dyDescent="0.2">
      <c r="A23" s="183" t="str">
        <f ca="1">Language!A954</f>
        <v>Длительность</v>
      </c>
      <c r="B23" s="185" t="str">
        <f ca="1">PRJ_Len &amp; " " &amp; OFFSET(Language!A30,PRJ_StepType-1,0)</f>
        <v>20 кв.</v>
      </c>
      <c r="C23" s="175"/>
      <c r="D23" s="5">
        <v>20</v>
      </c>
      <c r="E23" s="5" t="str">
        <f ca="1">OFFSET(Language!A30,PRJ_StepType-1,0)</f>
        <v>кв.</v>
      </c>
      <c r="F23" s="19"/>
    </row>
    <row r="24" spans="1:27" outlineLevel="1" x14ac:dyDescent="0.2">
      <c r="A24" s="183" t="str">
        <f ca="1">Language!A955</f>
        <v>Шаг планирования</v>
      </c>
      <c r="B24" s="186" t="str">
        <f ca="1">OFFSET(Language!A34,PRJ_StepType-1,0)</f>
        <v>квартал</v>
      </c>
      <c r="C24" s="175"/>
      <c r="D24" s="5">
        <v>2</v>
      </c>
      <c r="E24" s="5">
        <f>CHOOSE(PRJ_StepType,30,90,180,360)</f>
        <v>90</v>
      </c>
      <c r="F24" s="19"/>
    </row>
    <row r="25" spans="1:27" outlineLevel="1" x14ac:dyDescent="0.2">
      <c r="A25" s="183" t="str">
        <f ca="1">Language!A956</f>
        <v>Валюта для отображения результатов</v>
      </c>
      <c r="B25" s="186" t="str">
        <f ca="1">OFFSET(Language!A39,CUR_I_Report,0)</f>
        <v>тыс. EUR</v>
      </c>
      <c r="C25" s="175"/>
      <c r="D25" s="5">
        <v>10</v>
      </c>
      <c r="E25" s="5"/>
      <c r="F25" s="19"/>
    </row>
    <row r="26" spans="1:27" outlineLevel="1" x14ac:dyDescent="0.2">
      <c r="A26" s="183"/>
      <c r="B26" s="183"/>
      <c r="C26" s="175"/>
      <c r="F26" s="19"/>
    </row>
    <row r="27" spans="1:27" outlineLevel="1" x14ac:dyDescent="0.2">
      <c r="A27" s="182" t="str">
        <f ca="1">Language!A957</f>
        <v>Периоды осуществления проектов</v>
      </c>
      <c r="B27" s="186" t="str">
        <f ca="1">Language!A958</f>
        <v>с периода</v>
      </c>
      <c r="C27" s="191" t="str">
        <f ca="1">Language!A959</f>
        <v>по период</v>
      </c>
      <c r="F27" s="19"/>
    </row>
    <row r="28" spans="1:27" outlineLevel="1" x14ac:dyDescent="0.2">
      <c r="A28" s="188" t="str">
        <f ca="1">A12</f>
        <v>Проект 1</v>
      </c>
      <c r="B28" s="185">
        <v>1</v>
      </c>
      <c r="C28" s="192">
        <v>20</v>
      </c>
      <c r="F28" s="19"/>
    </row>
    <row r="29" spans="1:27" outlineLevel="1" collapsed="1" x14ac:dyDescent="0.2">
      <c r="A29" s="189"/>
      <c r="B29" s="189"/>
      <c r="C29" s="193"/>
      <c r="F29" s="19"/>
    </row>
    <row r="30" spans="1:27" hidden="1" outlineLevel="2" x14ac:dyDescent="0.2"/>
    <row r="31" spans="1:27" hidden="1" outlineLevel="2" x14ac:dyDescent="0.2">
      <c r="A31" t="str">
        <f ca="1">Language!A960</f>
        <v>Год начала бюджета</v>
      </c>
      <c r="D31" s="16" t="s">
        <v>2710</v>
      </c>
      <c r="F31" s="5">
        <v>2016</v>
      </c>
    </row>
    <row r="32" spans="1:27" hidden="1" outlineLevel="2" x14ac:dyDescent="0.2">
      <c r="A32" t="str">
        <f ca="1">Language!A961</f>
        <v>Месяц начала бюджета</v>
      </c>
      <c r="D32" s="16" t="s">
        <v>2710</v>
      </c>
      <c r="F32" s="5">
        <v>1</v>
      </c>
    </row>
    <row r="33" spans="1:27" hidden="1" outlineLevel="2" x14ac:dyDescent="0.2">
      <c r="A33" t="str">
        <f ca="1">Language!A962</f>
        <v>Номера периодов</v>
      </c>
      <c r="D33" s="16" t="s">
        <v>2710</v>
      </c>
      <c r="F33" s="5">
        <v>1</v>
      </c>
      <c r="G33" s="5">
        <f t="shared" ref="G33:Y33" si="0">F33+1</f>
        <v>2</v>
      </c>
      <c r="H33" s="5">
        <f t="shared" si="0"/>
        <v>3</v>
      </c>
      <c r="I33" s="5">
        <f t="shared" si="0"/>
        <v>4</v>
      </c>
      <c r="J33" s="5">
        <f t="shared" si="0"/>
        <v>5</v>
      </c>
      <c r="K33" s="5">
        <f t="shared" si="0"/>
        <v>6</v>
      </c>
      <c r="L33" s="5">
        <f t="shared" si="0"/>
        <v>7</v>
      </c>
      <c r="M33" s="5">
        <f t="shared" si="0"/>
        <v>8</v>
      </c>
      <c r="N33" s="5">
        <f t="shared" si="0"/>
        <v>9</v>
      </c>
      <c r="O33" s="5">
        <f t="shared" si="0"/>
        <v>10</v>
      </c>
      <c r="P33" s="5">
        <f t="shared" si="0"/>
        <v>11</v>
      </c>
      <c r="Q33" s="5">
        <f t="shared" si="0"/>
        <v>12</v>
      </c>
      <c r="R33" s="5">
        <f t="shared" si="0"/>
        <v>13</v>
      </c>
      <c r="S33" s="5">
        <f t="shared" si="0"/>
        <v>14</v>
      </c>
      <c r="T33" s="5">
        <f t="shared" si="0"/>
        <v>15</v>
      </c>
      <c r="U33" s="5">
        <f t="shared" si="0"/>
        <v>16</v>
      </c>
      <c r="V33" s="5">
        <f t="shared" si="0"/>
        <v>17</v>
      </c>
      <c r="W33" s="5">
        <f t="shared" si="0"/>
        <v>18</v>
      </c>
      <c r="X33" s="5">
        <f t="shared" si="0"/>
        <v>19</v>
      </c>
      <c r="Y33" s="5">
        <f t="shared" si="0"/>
        <v>20</v>
      </c>
    </row>
    <row r="34" spans="1:27" hidden="1" outlineLevel="2" x14ac:dyDescent="0.2">
      <c r="A34" t="str">
        <f ca="1">Language!A963</f>
        <v>Наименования периодов без учета дат</v>
      </c>
      <c r="D34" s="16" t="s">
        <v>2710</v>
      </c>
      <c r="F34" s="5" t="str">
        <f ca="1">TEXT(F33,"#") &amp; " " &amp; OFFSET(Language!$A68,PRJ_StepType-1,0)</f>
        <v>1 кв.</v>
      </c>
      <c r="G34" s="5" t="str">
        <f ca="1">TEXT(G33,"#") &amp; " " &amp; OFFSET(Language!$A68,PRJ_StepType-1,0)</f>
        <v>2 кв.</v>
      </c>
      <c r="H34" s="5" t="str">
        <f ca="1">TEXT(H33,"#") &amp; " " &amp; OFFSET(Language!$A68,PRJ_StepType-1,0)</f>
        <v>3 кв.</v>
      </c>
      <c r="I34" s="5" t="str">
        <f ca="1">TEXT(I33,"#") &amp; " " &amp; OFFSET(Language!$A68,PRJ_StepType-1,0)</f>
        <v>4 кв.</v>
      </c>
      <c r="J34" s="5" t="str">
        <f ca="1">TEXT(J33,"#") &amp; " " &amp; OFFSET(Language!$A68,PRJ_StepType-1,0)</f>
        <v>5 кв.</v>
      </c>
      <c r="K34" s="5" t="str">
        <f ca="1">TEXT(K33,"#") &amp; " " &amp; OFFSET(Language!$A68,PRJ_StepType-1,0)</f>
        <v>6 кв.</v>
      </c>
      <c r="L34" s="5" t="str">
        <f ca="1">TEXT(L33,"#") &amp; " " &amp; OFFSET(Language!$A68,PRJ_StepType-1,0)</f>
        <v>7 кв.</v>
      </c>
      <c r="M34" s="5" t="str">
        <f ca="1">TEXT(M33,"#") &amp; " " &amp; OFFSET(Language!$A68,PRJ_StepType-1,0)</f>
        <v>8 кв.</v>
      </c>
      <c r="N34" s="5" t="str">
        <f ca="1">TEXT(N33,"#") &amp; " " &amp; OFFSET(Language!$A68,PRJ_StepType-1,0)</f>
        <v>9 кв.</v>
      </c>
      <c r="O34" s="5" t="str">
        <f ca="1">TEXT(O33,"#") &amp; " " &amp; OFFSET(Language!$A68,PRJ_StepType-1,0)</f>
        <v>10 кв.</v>
      </c>
      <c r="P34" s="5" t="str">
        <f ca="1">TEXT(P33,"#") &amp; " " &amp; OFFSET(Language!$A68,PRJ_StepType-1,0)</f>
        <v>11 кв.</v>
      </c>
      <c r="Q34" s="5" t="str">
        <f ca="1">TEXT(Q33,"#") &amp; " " &amp; OFFSET(Language!$A68,PRJ_StepType-1,0)</f>
        <v>12 кв.</v>
      </c>
      <c r="R34" s="5" t="str">
        <f ca="1">TEXT(R33,"#") &amp; " " &amp; OFFSET(Language!$A68,PRJ_StepType-1,0)</f>
        <v>13 кв.</v>
      </c>
      <c r="S34" s="5" t="str">
        <f ca="1">TEXT(S33,"#") &amp; " " &amp; OFFSET(Language!$A68,PRJ_StepType-1,0)</f>
        <v>14 кв.</v>
      </c>
      <c r="T34" s="5" t="str">
        <f ca="1">TEXT(T33,"#") &amp; " " &amp; OFFSET(Language!$A68,PRJ_StepType-1,0)</f>
        <v>15 кв.</v>
      </c>
      <c r="U34" s="5" t="str">
        <f ca="1">TEXT(U33,"#") &amp; " " &amp; OFFSET(Language!$A68,PRJ_StepType-1,0)</f>
        <v>16 кв.</v>
      </c>
      <c r="V34" s="5" t="str">
        <f ca="1">TEXT(V33,"#") &amp; " " &amp; OFFSET(Language!$A68,PRJ_StepType-1,0)</f>
        <v>17 кв.</v>
      </c>
      <c r="W34" s="5" t="str">
        <f ca="1">TEXT(W33,"#") &amp; " " &amp; OFFSET(Language!$A68,PRJ_StepType-1,0)</f>
        <v>18 кв.</v>
      </c>
      <c r="X34" s="5" t="str">
        <f ca="1">TEXT(X33,"#") &amp; " " &amp; OFFSET(Language!$A68,PRJ_StepType-1,0)</f>
        <v>19 кв.</v>
      </c>
      <c r="Y34" s="5" t="str">
        <f ca="1">TEXT(Y33,"#") &amp; " " &amp; OFFSET(Language!$A68,PRJ_StepType-1,0)</f>
        <v>20 кв.</v>
      </c>
    </row>
    <row r="35" spans="1:27" hidden="1" outlineLevel="2" x14ac:dyDescent="0.2">
      <c r="A35" t="str">
        <f ca="1">Language!A964</f>
        <v>Дата начала периода</v>
      </c>
      <c r="D35" s="16" t="s">
        <v>2710</v>
      </c>
      <c r="F35" s="6">
        <f>DATE(PRJ_StartYear,PRJ_StartMon,1)</f>
        <v>42370</v>
      </c>
      <c r="G35" s="6">
        <f t="shared" ref="G35:Y35" si="1">DATE(YEAR(F35),MONTH(F35)+PRJ_Step/30,1)</f>
        <v>42461</v>
      </c>
      <c r="H35" s="6">
        <f t="shared" si="1"/>
        <v>42552</v>
      </c>
      <c r="I35" s="6">
        <f t="shared" si="1"/>
        <v>42644</v>
      </c>
      <c r="J35" s="6">
        <f t="shared" si="1"/>
        <v>42736</v>
      </c>
      <c r="K35" s="6">
        <f t="shared" si="1"/>
        <v>42826</v>
      </c>
      <c r="L35" s="6">
        <f t="shared" si="1"/>
        <v>42917</v>
      </c>
      <c r="M35" s="6">
        <f t="shared" si="1"/>
        <v>43009</v>
      </c>
      <c r="N35" s="6">
        <f t="shared" si="1"/>
        <v>43101</v>
      </c>
      <c r="O35" s="6">
        <f t="shared" si="1"/>
        <v>43191</v>
      </c>
      <c r="P35" s="6">
        <f t="shared" si="1"/>
        <v>43282</v>
      </c>
      <c r="Q35" s="6">
        <f t="shared" si="1"/>
        <v>43374</v>
      </c>
      <c r="R35" s="6">
        <f t="shared" si="1"/>
        <v>43466</v>
      </c>
      <c r="S35" s="6">
        <f t="shared" si="1"/>
        <v>43556</v>
      </c>
      <c r="T35" s="6">
        <f t="shared" si="1"/>
        <v>43647</v>
      </c>
      <c r="U35" s="6">
        <f t="shared" si="1"/>
        <v>43739</v>
      </c>
      <c r="V35" s="6">
        <f t="shared" si="1"/>
        <v>43831</v>
      </c>
      <c r="W35" s="6">
        <f t="shared" si="1"/>
        <v>43922</v>
      </c>
      <c r="X35" s="6">
        <f t="shared" si="1"/>
        <v>44013</v>
      </c>
      <c r="Y35" s="6">
        <f t="shared" si="1"/>
        <v>44105</v>
      </c>
    </row>
    <row r="36" spans="1:27" hidden="1" outlineLevel="2" x14ac:dyDescent="0.2">
      <c r="A36" t="str">
        <f ca="1">Language!A965</f>
        <v>Наименования периодов с учетом дат</v>
      </c>
      <c r="D36" s="16" t="s">
        <v>2710</v>
      </c>
      <c r="F36" s="5" t="str">
        <f ca="1">CHOOSE(PRJ_StepType,MONTH(F35) &amp; "/",ROUNDUP(MONTH(F35)/3,0) &amp; " " &amp; Language!$A69,ROUNDUP(MONTH(F35)/6,0) &amp; "/","") &amp; " " &amp; YEAR(F35)</f>
        <v>1 кв. 2016</v>
      </c>
      <c r="G36" s="5" t="str">
        <f ca="1">CHOOSE(PRJ_StepType,MONTH(G35) &amp; "/",ROUNDUP(MONTH(G35)/3,0) &amp; " " &amp; Language!$A69,ROUNDUP(MONTH(G35)/6,0) &amp; "/","") &amp; " " &amp; YEAR(G35)</f>
        <v>2 кв. 2016</v>
      </c>
      <c r="H36" s="5" t="str">
        <f ca="1">CHOOSE(PRJ_StepType,MONTH(H35) &amp; "/",ROUNDUP(MONTH(H35)/3,0) &amp; " " &amp; Language!$A69,ROUNDUP(MONTH(H35)/6,0) &amp; "/","") &amp; " " &amp; YEAR(H35)</f>
        <v>3 кв. 2016</v>
      </c>
      <c r="I36" s="5" t="str">
        <f ca="1">CHOOSE(PRJ_StepType,MONTH(I35) &amp; "/",ROUNDUP(MONTH(I35)/3,0) &amp; " " &amp; Language!$A69,ROUNDUP(MONTH(I35)/6,0) &amp; "/","") &amp; " " &amp; YEAR(I35)</f>
        <v>4 кв. 2016</v>
      </c>
      <c r="J36" s="5" t="str">
        <f ca="1">CHOOSE(PRJ_StepType,MONTH(J35) &amp; "/",ROUNDUP(MONTH(J35)/3,0) &amp; " " &amp; Language!$A69,ROUNDUP(MONTH(J35)/6,0) &amp; "/","") &amp; " " &amp; YEAR(J35)</f>
        <v>1 кв. 2017</v>
      </c>
      <c r="K36" s="5" t="str">
        <f ca="1">CHOOSE(PRJ_StepType,MONTH(K35) &amp; "/",ROUNDUP(MONTH(K35)/3,0) &amp; " " &amp; Language!$A69,ROUNDUP(MONTH(K35)/6,0) &amp; "/","") &amp; " " &amp; YEAR(K35)</f>
        <v>2 кв. 2017</v>
      </c>
      <c r="L36" s="5" t="str">
        <f ca="1">CHOOSE(PRJ_StepType,MONTH(L35) &amp; "/",ROUNDUP(MONTH(L35)/3,0) &amp; " " &amp; Language!$A69,ROUNDUP(MONTH(L35)/6,0) &amp; "/","") &amp; " " &amp; YEAR(L35)</f>
        <v>3 кв. 2017</v>
      </c>
      <c r="M36" s="5" t="str">
        <f ca="1">CHOOSE(PRJ_StepType,MONTH(M35) &amp; "/",ROUNDUP(MONTH(M35)/3,0) &amp; " " &amp; Language!$A69,ROUNDUP(MONTH(M35)/6,0) &amp; "/","") &amp; " " &amp; YEAR(M35)</f>
        <v>4 кв. 2017</v>
      </c>
      <c r="N36" s="5" t="str">
        <f ca="1">CHOOSE(PRJ_StepType,MONTH(N35) &amp; "/",ROUNDUP(MONTH(N35)/3,0) &amp; " " &amp; Language!$A69,ROUNDUP(MONTH(N35)/6,0) &amp; "/","") &amp; " " &amp; YEAR(N35)</f>
        <v>1 кв. 2018</v>
      </c>
      <c r="O36" s="5" t="str">
        <f ca="1">CHOOSE(PRJ_StepType,MONTH(O35) &amp; "/",ROUNDUP(MONTH(O35)/3,0) &amp; " " &amp; Language!$A69,ROUNDUP(MONTH(O35)/6,0) &amp; "/","") &amp; " " &amp; YEAR(O35)</f>
        <v>2 кв. 2018</v>
      </c>
      <c r="P36" s="5" t="str">
        <f ca="1">CHOOSE(PRJ_StepType,MONTH(P35) &amp; "/",ROUNDUP(MONTH(P35)/3,0) &amp; " " &amp; Language!$A69,ROUNDUP(MONTH(P35)/6,0) &amp; "/","") &amp; " " &amp; YEAR(P35)</f>
        <v>3 кв. 2018</v>
      </c>
      <c r="Q36" s="5" t="str">
        <f ca="1">CHOOSE(PRJ_StepType,MONTH(Q35) &amp; "/",ROUNDUP(MONTH(Q35)/3,0) &amp; " " &amp; Language!$A69,ROUNDUP(MONTH(Q35)/6,0) &amp; "/","") &amp; " " &amp; YEAR(Q35)</f>
        <v>4 кв. 2018</v>
      </c>
      <c r="R36" s="5" t="str">
        <f ca="1">CHOOSE(PRJ_StepType,MONTH(R35) &amp; "/",ROUNDUP(MONTH(R35)/3,0) &amp; " " &amp; Language!$A69,ROUNDUP(MONTH(R35)/6,0) &amp; "/","") &amp; " " &amp; YEAR(R35)</f>
        <v>1 кв. 2019</v>
      </c>
      <c r="S36" s="5" t="str">
        <f ca="1">CHOOSE(PRJ_StepType,MONTH(S35) &amp; "/",ROUNDUP(MONTH(S35)/3,0) &amp; " " &amp; Language!$A69,ROUNDUP(MONTH(S35)/6,0) &amp; "/","") &amp; " " &amp; YEAR(S35)</f>
        <v>2 кв. 2019</v>
      </c>
      <c r="T36" s="5" t="str">
        <f ca="1">CHOOSE(PRJ_StepType,MONTH(T35) &amp; "/",ROUNDUP(MONTH(T35)/3,0) &amp; " " &amp; Language!$A69,ROUNDUP(MONTH(T35)/6,0) &amp; "/","") &amp; " " &amp; YEAR(T35)</f>
        <v>3 кв. 2019</v>
      </c>
      <c r="U36" s="5" t="str">
        <f ca="1">CHOOSE(PRJ_StepType,MONTH(U35) &amp; "/",ROUNDUP(MONTH(U35)/3,0) &amp; " " &amp; Language!$A69,ROUNDUP(MONTH(U35)/6,0) &amp; "/","") &amp; " " &amp; YEAR(U35)</f>
        <v>4 кв. 2019</v>
      </c>
      <c r="V36" s="5" t="str">
        <f ca="1">CHOOSE(PRJ_StepType,MONTH(V35) &amp; "/",ROUNDUP(MONTH(V35)/3,0) &amp; " " &amp; Language!$A69,ROUNDUP(MONTH(V35)/6,0) &amp; "/","") &amp; " " &amp; YEAR(V35)</f>
        <v>1 кв. 2020</v>
      </c>
      <c r="W36" s="5" t="str">
        <f ca="1">CHOOSE(PRJ_StepType,MONTH(W35) &amp; "/",ROUNDUP(MONTH(W35)/3,0) &amp; " " &amp; Language!$A69,ROUNDUP(MONTH(W35)/6,0) &amp; "/","") &amp; " " &amp; YEAR(W35)</f>
        <v>2 кв. 2020</v>
      </c>
      <c r="X36" s="5" t="str">
        <f ca="1">CHOOSE(PRJ_StepType,MONTH(X35) &amp; "/",ROUNDUP(MONTH(X35)/3,0) &amp; " " &amp; Language!$A69,ROUNDUP(MONTH(X35)/6,0) &amp; "/","") &amp; " " &amp; YEAR(X35)</f>
        <v>3 кв. 2020</v>
      </c>
      <c r="Y36" s="5" t="str">
        <f ca="1">CHOOSE(PRJ_StepType,MONTH(Y35) &amp; "/",ROUNDUP(MONTH(Y35)/3,0) &amp; " " &amp; Language!$A69,ROUNDUP(MONTH(Y35)/6,0) &amp; "/","") &amp; " " &amp; YEAR(Y35)</f>
        <v>4 кв. 2020</v>
      </c>
    </row>
    <row r="37" spans="1:27" outlineLevel="1" x14ac:dyDescent="0.2"/>
    <row r="38" spans="1:27" outlineLevel="1" x14ac:dyDescent="0.2"/>
    <row r="39" spans="1:27" s="4" customFormat="1" ht="15.95" customHeight="1" thickBot="1" x14ac:dyDescent="0.25">
      <c r="A39" s="165" t="str">
        <f ca="1">Language!A966</f>
        <v xml:space="preserve">         ПЕРЕСЧЕТ НАЛОГА НА ПРИБЫЛЬ</v>
      </c>
      <c r="B39" s="165"/>
      <c r="C39" s="165"/>
      <c r="D39" s="165"/>
      <c r="E39" s="165"/>
      <c r="F39" s="177" t="str">
        <f ca="1">IF(Проект!ShowRealDates,F36,F34)</f>
        <v>1 кв. 2016</v>
      </c>
      <c r="G39" s="177" t="str">
        <f ca="1">IF(Проект!ShowRealDates,G36,G34)</f>
        <v>2 кв. 2016</v>
      </c>
      <c r="H39" s="177" t="str">
        <f ca="1">IF(Проект!ShowRealDates,H36,H34)</f>
        <v>3 кв. 2016</v>
      </c>
      <c r="I39" s="177" t="str">
        <f ca="1">IF(Проект!ShowRealDates,I36,I34)</f>
        <v>4 кв. 2016</v>
      </c>
      <c r="J39" s="177" t="str">
        <f ca="1">IF(Проект!ShowRealDates,J36,J34)</f>
        <v>1 кв. 2017</v>
      </c>
      <c r="K39" s="177" t="str">
        <f ca="1">IF(Проект!ShowRealDates,K36,K34)</f>
        <v>2 кв. 2017</v>
      </c>
      <c r="L39" s="177" t="str">
        <f ca="1">IF(Проект!ShowRealDates,L36,L34)</f>
        <v>3 кв. 2017</v>
      </c>
      <c r="M39" s="177" t="str">
        <f ca="1">IF(Проект!ShowRealDates,M36,M34)</f>
        <v>4 кв. 2017</v>
      </c>
      <c r="N39" s="177" t="str">
        <f ca="1">IF(Проект!ShowRealDates,N36,N34)</f>
        <v>1 кв. 2018</v>
      </c>
      <c r="O39" s="177" t="str">
        <f ca="1">IF(Проект!ShowRealDates,O36,O34)</f>
        <v>2 кв. 2018</v>
      </c>
      <c r="P39" s="177" t="str">
        <f ca="1">IF(Проект!ShowRealDates,P36,P34)</f>
        <v>3 кв. 2018</v>
      </c>
      <c r="Q39" s="177" t="str">
        <f ca="1">IF(Проект!ShowRealDates,Q36,Q34)</f>
        <v>4 кв. 2018</v>
      </c>
      <c r="R39" s="177" t="str">
        <f ca="1">IF(Проект!ShowRealDates,R36,R34)</f>
        <v>1 кв. 2019</v>
      </c>
      <c r="S39" s="177" t="str">
        <f ca="1">IF(Проект!ShowRealDates,S36,S34)</f>
        <v>2 кв. 2019</v>
      </c>
      <c r="T39" s="177" t="str">
        <f ca="1">IF(Проект!ShowRealDates,T36,T34)</f>
        <v>3 кв. 2019</v>
      </c>
      <c r="U39" s="177" t="str">
        <f ca="1">IF(Проект!ShowRealDates,U36,U34)</f>
        <v>4 кв. 2019</v>
      </c>
      <c r="V39" s="177" t="str">
        <f ca="1">IF(Проект!ShowRealDates,V36,V34)</f>
        <v>1 кв. 2020</v>
      </c>
      <c r="W39" s="177" t="str">
        <f ca="1">IF(Проект!ShowRealDates,W36,W34)</f>
        <v>2 кв. 2020</v>
      </c>
      <c r="X39" s="177" t="str">
        <f ca="1">IF(Проект!ShowRealDates,X36,X34)</f>
        <v>3 кв. 2020</v>
      </c>
      <c r="Y39" s="177" t="str">
        <f ca="1">IF(Проект!ShowRealDates,Y36,Y34)</f>
        <v>4 кв. 2020</v>
      </c>
      <c r="Z39" s="166"/>
      <c r="AA39" s="194" t="str">
        <f ca="1">Language!A$372</f>
        <v>ИТОГО</v>
      </c>
    </row>
    <row r="40" spans="1:27" ht="12" outlineLevel="1" thickTop="1" x14ac:dyDescent="0.2"/>
    <row r="41" spans="1:27" outlineLevel="1" x14ac:dyDescent="0.2">
      <c r="A41" t="str">
        <f ca="1">Language!A971</f>
        <v>Налог на прибыль по консолидированной отчетности</v>
      </c>
      <c r="B41" s="254">
        <v>1</v>
      </c>
      <c r="C41" s="197" t="str">
        <f ca="1">CHOOSE(B41,Language!A$967,Language!A$968)</f>
        <v>Пересчитать налог</v>
      </c>
    </row>
    <row r="42" spans="1:27" outlineLevel="1" x14ac:dyDescent="0.2">
      <c r="A42" t="str">
        <f ca="1">Language!A972</f>
        <v>Ставка налога на прибыль</v>
      </c>
      <c r="B42" s="272">
        <f>Проект!ProfitTax</f>
        <v>0.19</v>
      </c>
      <c r="C42" s="197"/>
      <c r="F42" s="107">
        <f>B42</f>
        <v>0.19</v>
      </c>
      <c r="G42" s="107">
        <f t="shared" ref="G42:Y42" si="2">F42</f>
        <v>0.19</v>
      </c>
      <c r="H42" s="107">
        <f t="shared" si="2"/>
        <v>0.19</v>
      </c>
      <c r="I42" s="107">
        <f t="shared" si="2"/>
        <v>0.19</v>
      </c>
      <c r="J42" s="107">
        <f t="shared" si="2"/>
        <v>0.19</v>
      </c>
      <c r="K42" s="107">
        <f t="shared" si="2"/>
        <v>0.19</v>
      </c>
      <c r="L42" s="107">
        <f t="shared" si="2"/>
        <v>0.19</v>
      </c>
      <c r="M42" s="107">
        <f t="shared" si="2"/>
        <v>0.19</v>
      </c>
      <c r="N42" s="107">
        <f t="shared" si="2"/>
        <v>0.19</v>
      </c>
      <c r="O42" s="107">
        <f t="shared" si="2"/>
        <v>0.19</v>
      </c>
      <c r="P42" s="107">
        <f t="shared" si="2"/>
        <v>0.19</v>
      </c>
      <c r="Q42" s="107">
        <f t="shared" si="2"/>
        <v>0.19</v>
      </c>
      <c r="R42" s="107">
        <f t="shared" si="2"/>
        <v>0.19</v>
      </c>
      <c r="S42" s="107">
        <f t="shared" si="2"/>
        <v>0.19</v>
      </c>
      <c r="T42" s="107">
        <f t="shared" si="2"/>
        <v>0.19</v>
      </c>
      <c r="U42" s="107">
        <f t="shared" si="2"/>
        <v>0.19</v>
      </c>
      <c r="V42" s="107">
        <f t="shared" si="2"/>
        <v>0.19</v>
      </c>
      <c r="W42" s="107">
        <f t="shared" si="2"/>
        <v>0.19</v>
      </c>
      <c r="X42" s="107">
        <f t="shared" si="2"/>
        <v>0.19</v>
      </c>
      <c r="Y42" s="107">
        <f t="shared" si="2"/>
        <v>0.19</v>
      </c>
    </row>
    <row r="43" spans="1:27" outlineLevel="1" x14ac:dyDescent="0.2"/>
    <row r="44" spans="1:27" outlineLevel="1" collapsed="1" x14ac:dyDescent="0.2">
      <c r="A44" s="178" t="str">
        <f ca="1">Language!A187</f>
        <v>Начисленный налог на прибыль</v>
      </c>
      <c r="C44" s="26" t="str">
        <f t="shared" ref="C44:C59" ca="1" si="3">CUR_Report</f>
        <v>тыс. EUR</v>
      </c>
      <c r="D44" s="204" t="s">
        <v>2615</v>
      </c>
      <c r="E44">
        <v>8</v>
      </c>
      <c r="F44" s="58">
        <f ca="1">IF($B41=2,SUMPRODUCT($B12:OFFSET($B13,-1,0),F45:OFFSET(F46,-1,0)),F58*F42)</f>
        <v>0</v>
      </c>
      <c r="G44" s="58">
        <f ca="1">IF($B41=2,SUMPRODUCT($B12:OFFSET($B13,-1,0),G45:OFFSET(G46,-1,0)),G58*G42)</f>
        <v>0</v>
      </c>
      <c r="H44" s="58">
        <f ca="1">IF($B41=2,SUMPRODUCT($B12:OFFSET($B13,-1,0),H45:OFFSET(H46,-1,0)),H58*H42)</f>
        <v>0</v>
      </c>
      <c r="I44" s="58">
        <f ca="1">IF($B41=2,SUMPRODUCT($B12:OFFSET($B13,-1,0),I45:OFFSET(I46,-1,0)),I58*I42)</f>
        <v>0</v>
      </c>
      <c r="J44" s="58">
        <f ca="1">IF($B41=2,SUMPRODUCT($B12:OFFSET($B13,-1,0),J45:OFFSET(J46,-1,0)),J58*J42)</f>
        <v>0</v>
      </c>
      <c r="K44" s="58">
        <f ca="1">IF($B41=2,SUMPRODUCT($B12:OFFSET($B13,-1,0),K45:OFFSET(K46,-1,0)),K58*K42)</f>
        <v>0</v>
      </c>
      <c r="L44" s="58">
        <f ca="1">IF($B41=2,SUMPRODUCT($B12:OFFSET($B13,-1,0),L45:OFFSET(L46,-1,0)),L58*L42)</f>
        <v>0</v>
      </c>
      <c r="M44" s="58">
        <f ca="1">IF($B41=2,SUMPRODUCT($B12:OFFSET($B13,-1,0),M45:OFFSET(M46,-1,0)),M58*M42)</f>
        <v>0</v>
      </c>
      <c r="N44" s="58">
        <f ca="1">IF($B41=2,SUMPRODUCT($B12:OFFSET($B13,-1,0),N45:OFFSET(N46,-1,0)),N58*N42)</f>
        <v>143.71291226357724</v>
      </c>
      <c r="O44" s="58">
        <f ca="1">IF($B41=2,SUMPRODUCT($B12:OFFSET($B13,-1,0),O45:OFFSET(O46,-1,0)),O58*O42)</f>
        <v>268.67927601067663</v>
      </c>
      <c r="P44" s="58">
        <f ca="1">IF($B41=2,SUMPRODUCT($B12:OFFSET($B13,-1,0),P45:OFFSET(P46,-1,0)),P58*P42)</f>
        <v>268.67927601067663</v>
      </c>
      <c r="Q44" s="58">
        <f ca="1">IF($B41=2,SUMPRODUCT($B12:OFFSET($B13,-1,0),Q45:OFFSET(Q46,-1,0)),Q58*Q42)</f>
        <v>268.67927601067663</v>
      </c>
      <c r="R44" s="58">
        <f ca="1">IF($B41=2,SUMPRODUCT($B12:OFFSET($B13,-1,0),R45:OFFSET(R46,-1,0)),R58*R42)</f>
        <v>268.67927601067663</v>
      </c>
      <c r="S44" s="58">
        <f ca="1">IF($B41=2,SUMPRODUCT($B12:OFFSET($B13,-1,0),S45:OFFSET(S46,-1,0)),S58*S42)</f>
        <v>268.67927601067663</v>
      </c>
      <c r="T44" s="58">
        <f ca="1">IF($B41=2,SUMPRODUCT($B12:OFFSET($B13,-1,0),T45:OFFSET(T46,-1,0)),T58*T42)</f>
        <v>268.67927601067663</v>
      </c>
      <c r="U44" s="58">
        <f ca="1">IF($B41=2,SUMPRODUCT($B12:OFFSET($B13,-1,0),U45:OFFSET(U46,-1,0)),U58*U42)</f>
        <v>268.67927601067663</v>
      </c>
      <c r="V44" s="58">
        <f ca="1">IF($B41=2,SUMPRODUCT($B12:OFFSET($B13,-1,0),V45:OFFSET(V46,-1,0)),V58*V42)</f>
        <v>268.67927601067663</v>
      </c>
      <c r="W44" s="58">
        <f ca="1">IF($B41=2,SUMPRODUCT($B12:OFFSET($B13,-1,0),W45:OFFSET(W46,-1,0)),W58*W42)</f>
        <v>268.67927601067663</v>
      </c>
      <c r="X44" s="58">
        <f ca="1">IF($B41=2,SUMPRODUCT($B12:OFFSET($B13,-1,0),X45:OFFSET(X46,-1,0)),X58*X42)</f>
        <v>268.67927601067663</v>
      </c>
      <c r="Y44" s="58">
        <f ca="1">IF($B41=2,SUMPRODUCT($B12:OFFSET($B13,-1,0),Y45:OFFSET(Y46,-1,0)),Y58*Y42)</f>
        <v>268.67927601067663</v>
      </c>
      <c r="Z44" s="35"/>
      <c r="AA44" s="57">
        <f t="shared" ref="AA44:AA53" ca="1" si="4">SUM(F44:Y44)</f>
        <v>3099.1849483810192</v>
      </c>
    </row>
    <row r="45" spans="1:27" s="11" customFormat="1" hidden="1" outlineLevel="2" x14ac:dyDescent="0.2">
      <c r="A45" s="11" t="str">
        <f ca="1">"        " &amp; A12</f>
        <v xml:space="preserve">        Проект 1</v>
      </c>
      <c r="C45" s="198" t="str">
        <f t="shared" ca="1" si="3"/>
        <v>тыс. EUR</v>
      </c>
      <c r="D45" s="11" t="e">
        <f ca="1">"[" &amp; F12 &amp; "];int_sum"</f>
        <v>#NAME?</v>
      </c>
      <c r="F45" s="54">
        <f ca="1">IF(OR(F$33&lt;$B28,F$33&gt;$C28),0,OFFSET(Проект!F$174,0,1-$B28))</f>
        <v>0</v>
      </c>
      <c r="G45" s="54">
        <f ca="1">IF(OR(G$33&lt;$B28,G$33&gt;$C28),0,OFFSET(Проект!G$174,0,1-$B28))</f>
        <v>0</v>
      </c>
      <c r="H45" s="54">
        <f ca="1">IF(OR(H$33&lt;$B28,H$33&gt;$C28),0,OFFSET(Проект!H$174,0,1-$B28))</f>
        <v>0</v>
      </c>
      <c r="I45" s="54">
        <f ca="1">IF(OR(I$33&lt;$B28,I$33&gt;$C28),0,OFFSET(Проект!I$174,0,1-$B28))</f>
        <v>0</v>
      </c>
      <c r="J45" s="54">
        <f ca="1">IF(OR(J$33&lt;$B28,J$33&gt;$C28),0,OFFSET(Проект!J$174,0,1-$B28))</f>
        <v>0</v>
      </c>
      <c r="K45" s="54">
        <f ca="1">IF(OR(K$33&lt;$B28,K$33&gt;$C28),0,OFFSET(Проект!K$174,0,1-$B28))</f>
        <v>0</v>
      </c>
      <c r="L45" s="54">
        <f ca="1">IF(OR(L$33&lt;$B28,L$33&gt;$C28),0,OFFSET(Проект!L$174,0,1-$B28))</f>
        <v>0</v>
      </c>
      <c r="M45" s="54">
        <f ca="1">IF(OR(M$33&lt;$B28,M$33&gt;$C28),0,OFFSET(Проект!M$174,0,1-$B28))</f>
        <v>0</v>
      </c>
      <c r="N45" s="54">
        <f ca="1">IF(OR(N$33&lt;$B28,N$33&gt;$C28),0,OFFSET(Проект!N$174,0,1-$B28))</f>
        <v>143.71291226357724</v>
      </c>
      <c r="O45" s="54">
        <f ca="1">IF(OR(O$33&lt;$B28,O$33&gt;$C28),0,OFFSET(Проект!O$174,0,1-$B28))</f>
        <v>268.67927601067663</v>
      </c>
      <c r="P45" s="54">
        <f ca="1">IF(OR(P$33&lt;$B28,P$33&gt;$C28),0,OFFSET(Проект!P$174,0,1-$B28))</f>
        <v>268.67927601067663</v>
      </c>
      <c r="Q45" s="54">
        <f ca="1">IF(OR(Q$33&lt;$B28,Q$33&gt;$C28),0,OFFSET(Проект!Q$174,0,1-$B28))</f>
        <v>268.67927601067663</v>
      </c>
      <c r="R45" s="54">
        <f ca="1">IF(OR(R$33&lt;$B28,R$33&gt;$C28),0,OFFSET(Проект!R$174,0,1-$B28))</f>
        <v>268.67927601067663</v>
      </c>
      <c r="S45" s="54">
        <f ca="1">IF(OR(S$33&lt;$B28,S$33&gt;$C28),0,OFFSET(Проект!S$174,0,1-$B28))</f>
        <v>268.67927601067663</v>
      </c>
      <c r="T45" s="54">
        <f ca="1">IF(OR(T$33&lt;$B28,T$33&gt;$C28),0,OFFSET(Проект!T$174,0,1-$B28))</f>
        <v>268.67927601067663</v>
      </c>
      <c r="U45" s="54">
        <f ca="1">IF(OR(U$33&lt;$B28,U$33&gt;$C28),0,OFFSET(Проект!U$174,0,1-$B28))</f>
        <v>268.67927601067663</v>
      </c>
      <c r="V45" s="54">
        <f ca="1">IF(OR(V$33&lt;$B28,V$33&gt;$C28),0,OFFSET(Проект!V$174,0,1-$B28))</f>
        <v>268.67927601067663</v>
      </c>
      <c r="W45" s="54">
        <f ca="1">IF(OR(W$33&lt;$B28,W$33&gt;$C28),0,OFFSET(Проект!W$174,0,1-$B28))</f>
        <v>268.67927601067663</v>
      </c>
      <c r="X45" s="54">
        <f ca="1">IF(OR(X$33&lt;$B28,X$33&gt;$C28),0,OFFSET(Проект!X$174,0,1-$B28))</f>
        <v>268.67927601067663</v>
      </c>
      <c r="Y45" s="54">
        <f ca="1">IF(OR(Y$33&lt;$B28,Y$33&gt;$C28),0,OFFSET(Проект!AC$174,0,1-$B28))</f>
        <v>268.67927601067663</v>
      </c>
      <c r="AA45" s="202">
        <f t="shared" ca="1" si="4"/>
        <v>3099.1849483810192</v>
      </c>
    </row>
    <row r="46" spans="1:27" s="11" customFormat="1" hidden="1" outlineLevel="2" x14ac:dyDescent="0.2">
      <c r="A46" s="23" t="str">
        <f ca="1">Language!A1046</f>
        <v xml:space="preserve">                нарастающим итогом</v>
      </c>
      <c r="C46" s="114" t="str">
        <f t="shared" ca="1" si="3"/>
        <v>тыс. EUR</v>
      </c>
      <c r="D46" s="204" t="s">
        <v>2615</v>
      </c>
      <c r="F46" s="108">
        <f ca="1">SUM($F44:F44)</f>
        <v>0</v>
      </c>
      <c r="G46" s="108">
        <f ca="1">SUM($F44:G44)</f>
        <v>0</v>
      </c>
      <c r="H46" s="108">
        <f ca="1">SUM($F44:H44)</f>
        <v>0</v>
      </c>
      <c r="I46" s="108">
        <f ca="1">SUM($F44:I44)</f>
        <v>0</v>
      </c>
      <c r="J46" s="108">
        <f ca="1">SUM($F44:J44)</f>
        <v>0</v>
      </c>
      <c r="K46" s="108">
        <f ca="1">SUM($F44:K44)</f>
        <v>0</v>
      </c>
      <c r="L46" s="108">
        <f ca="1">SUM($F44:L44)</f>
        <v>0</v>
      </c>
      <c r="M46" s="108">
        <f ca="1">SUM($F44:M44)</f>
        <v>0</v>
      </c>
      <c r="N46" s="108">
        <f ca="1">SUM($F44:N44)</f>
        <v>143.71291226357724</v>
      </c>
      <c r="O46" s="108">
        <f ca="1">SUM($F44:O44)</f>
        <v>412.39218827425384</v>
      </c>
      <c r="P46" s="108">
        <f ca="1">SUM($F44:P44)</f>
        <v>681.07146428493047</v>
      </c>
      <c r="Q46" s="108">
        <f ca="1">SUM($F44:Q44)</f>
        <v>949.7507402956071</v>
      </c>
      <c r="R46" s="108">
        <f ca="1">SUM($F44:R44)</f>
        <v>1218.4300163062837</v>
      </c>
      <c r="S46" s="108">
        <f ca="1">SUM($F44:S44)</f>
        <v>1487.1092923169604</v>
      </c>
      <c r="T46" s="108">
        <f ca="1">SUM($F44:T44)</f>
        <v>1755.788568327637</v>
      </c>
      <c r="U46" s="108">
        <f ca="1">SUM($F44:U44)</f>
        <v>2024.4678443383136</v>
      </c>
      <c r="V46" s="108">
        <f ca="1">SUM($F44:V44)</f>
        <v>2293.14712034899</v>
      </c>
      <c r="W46" s="108">
        <f ca="1">SUM($F44:W44)</f>
        <v>2561.8263963596664</v>
      </c>
      <c r="X46" s="108">
        <f ca="1">SUM($F44:X44)</f>
        <v>2830.5056723703428</v>
      </c>
      <c r="Y46" s="108">
        <f ca="1">SUM($F44:Y44)</f>
        <v>3099.1849483810192</v>
      </c>
      <c r="AA46" s="202"/>
    </row>
    <row r="47" spans="1:27" s="11" customFormat="1" hidden="1" outlineLevel="2" x14ac:dyDescent="0.2">
      <c r="A47" s="11" t="str">
        <f ca="1">"        " &amp; A12</f>
        <v xml:space="preserve">        Проект 1</v>
      </c>
      <c r="C47" s="198" t="str">
        <f t="shared" ca="1" si="3"/>
        <v>тыс. EUR</v>
      </c>
      <c r="D47" s="11" t="e">
        <f ca="1">"[" &amp; F12 &amp; "];int_sum"</f>
        <v>#NAME?</v>
      </c>
      <c r="F47" s="54">
        <f ca="1">IF(OR(F$33&lt;$B28,F$33&gt;$C28),0,OFFSET(Проект!F$175,0,1-$B28))</f>
        <v>0</v>
      </c>
      <c r="G47" s="54">
        <f ca="1">IF(OR(G$33&lt;$B28,G$33&gt;$C28),0,OFFSET(Проект!G$175,0,1-$B28))</f>
        <v>0</v>
      </c>
      <c r="H47" s="54">
        <f ca="1">IF(OR(H$33&lt;$B28,H$33&gt;$C28),0,OFFSET(Проект!H$175,0,1-$B28))</f>
        <v>0</v>
      </c>
      <c r="I47" s="54">
        <f ca="1">IF(OR(I$33&lt;$B28,I$33&gt;$C28),0,OFFSET(Проект!I$175,0,1-$B28))</f>
        <v>0</v>
      </c>
      <c r="J47" s="54">
        <f ca="1">IF(OR(J$33&lt;$B28,J$33&gt;$C28),0,OFFSET(Проект!J$175,0,1-$B28))</f>
        <v>0</v>
      </c>
      <c r="K47" s="54">
        <f ca="1">IF(OR(K$33&lt;$B28,K$33&gt;$C28),0,OFFSET(Проект!K$175,0,1-$B28))</f>
        <v>0</v>
      </c>
      <c r="L47" s="54">
        <f ca="1">IF(OR(L$33&lt;$B28,L$33&gt;$C28),0,OFFSET(Проект!L$175,0,1-$B28))</f>
        <v>0</v>
      </c>
      <c r="M47" s="54">
        <f ca="1">IF(OR(M$33&lt;$B28,M$33&gt;$C28),0,OFFSET(Проект!M$175,0,1-$B28))</f>
        <v>0</v>
      </c>
      <c r="N47" s="54">
        <f ca="1">IF(OR(N$33&lt;$B28,N$33&gt;$C28),0,OFFSET(Проект!N$175,0,1-$B28))</f>
        <v>143.71291226357724</v>
      </c>
      <c r="O47" s="54">
        <f ca="1">IF(OR(O$33&lt;$B28,O$33&gt;$C28),0,OFFSET(Проект!O$175,0,1-$B28))</f>
        <v>412.39218827425384</v>
      </c>
      <c r="P47" s="54">
        <f ca="1">IF(OR(P$33&lt;$B28,P$33&gt;$C28),0,OFFSET(Проект!P$175,0,1-$B28))</f>
        <v>681.07146428493047</v>
      </c>
      <c r="Q47" s="54">
        <f ca="1">IF(OR(Q$33&lt;$B28,Q$33&gt;$C28),0,OFFSET(Проект!Q$175,0,1-$B28))</f>
        <v>949.7507402956071</v>
      </c>
      <c r="R47" s="54">
        <f ca="1">IF(OR(R$33&lt;$B28,R$33&gt;$C28),0,OFFSET(Проект!R$175,0,1-$B28))</f>
        <v>1218.4300163062837</v>
      </c>
      <c r="S47" s="54">
        <f ca="1">IF(OR(S$33&lt;$B28,S$33&gt;$C28),0,OFFSET(Проект!S$175,0,1-$B28))</f>
        <v>1487.1092923169604</v>
      </c>
      <c r="T47" s="54">
        <f ca="1">IF(OR(T$33&lt;$B28,T$33&gt;$C28),0,OFFSET(Проект!T$175,0,1-$B28))</f>
        <v>1755.788568327637</v>
      </c>
      <c r="U47" s="54">
        <f ca="1">IF(OR(U$33&lt;$B28,U$33&gt;$C28),0,OFFSET(Проект!U$175,0,1-$B28))</f>
        <v>2024.4678443383136</v>
      </c>
      <c r="V47" s="54">
        <f ca="1">IF(OR(V$33&lt;$B28,V$33&gt;$C28),0,OFFSET(Проект!V$175,0,1-$B28))</f>
        <v>2293.14712034899</v>
      </c>
      <c r="W47" s="54">
        <f ca="1">IF(OR(W$33&lt;$B28,W$33&gt;$C28),0,OFFSET(Проект!W$175,0,1-$B28))</f>
        <v>2561.8263963596664</v>
      </c>
      <c r="X47" s="54">
        <f ca="1">IF(OR(X$33&lt;$B28,X$33&gt;$C28),0,OFFSET(Проект!X$175,0,1-$B28))</f>
        <v>2830.5056723703428</v>
      </c>
      <c r="Y47" s="54">
        <f ca="1">IF(OR(Y$33&lt;$B28,Y$33&gt;$C28),0,OFFSET(Проект!AC$175,0,1-$B28))</f>
        <v>4173.9020524237249</v>
      </c>
      <c r="AA47" s="202"/>
    </row>
    <row r="48" spans="1:27" outlineLevel="1" collapsed="1" x14ac:dyDescent="0.2">
      <c r="A48" s="179" t="str">
        <f ca="1">Language!A189</f>
        <v xml:space="preserve">    прибыль до налогообложения</v>
      </c>
      <c r="C48" s="26" t="str">
        <f t="shared" ca="1" si="3"/>
        <v>тыс. EUR</v>
      </c>
      <c r="D48" s="204" t="s">
        <v>2615</v>
      </c>
      <c r="F48" s="43">
        <f ca="1">SUMPRODUCT($B12:OFFSET($B13,-1,0),F49:OFFSET(F50,-1,0))</f>
        <v>0</v>
      </c>
      <c r="G48" s="43">
        <f ca="1">SUMPRODUCT($B12:OFFSET($B13,-1,0),G49:OFFSET(G50,-1,0))</f>
        <v>0</v>
      </c>
      <c r="H48" s="43">
        <f ca="1">SUMPRODUCT($B12:OFFSET($B13,-1,0),H49:OFFSET(H50,-1,0))</f>
        <v>0</v>
      </c>
      <c r="I48" s="43">
        <f ca="1">SUMPRODUCT($B12:OFFSET($B13,-1,0),I49:OFFSET(I50,-1,0))</f>
        <v>0</v>
      </c>
      <c r="J48" s="43">
        <f ca="1">SUMPRODUCT($B12:OFFSET($B13,-1,0),J49:OFFSET(J50,-1,0))</f>
        <v>-309.35251270876392</v>
      </c>
      <c r="K48" s="43">
        <f ca="1">SUMPRODUCT($B12:OFFSET($B13,-1,0),K49:OFFSET(K50,-1,0))</f>
        <v>-542.72200914744883</v>
      </c>
      <c r="L48" s="43">
        <f ca="1">SUMPRODUCT($B12:OFFSET($B13,-1,0),L49:OFFSET(L50,-1,0))</f>
        <v>36.808723789765239</v>
      </c>
      <c r="M48" s="43">
        <f ca="1">SUMPRODUCT($B12:OFFSET($B13,-1,0),M49:OFFSET(M50,-1,0))</f>
        <v>515.87606298127139</v>
      </c>
      <c r="N48" s="43">
        <f ca="1">SUMPRODUCT($B12:OFFSET($B13,-1,0),N49:OFFSET(N50,-1,0))</f>
        <v>1055.7734838408458</v>
      </c>
      <c r="O48" s="43">
        <f ca="1">SUMPRODUCT($B12:OFFSET($B13,-1,0),O49:OFFSET(O50,-1,0))</f>
        <v>1414.1014526877718</v>
      </c>
      <c r="P48" s="43">
        <f ca="1">SUMPRODUCT($B12:OFFSET($B13,-1,0),P49:OFFSET(P50,-1,0))</f>
        <v>1414.1014526877718</v>
      </c>
      <c r="Q48" s="43">
        <f ca="1">SUMPRODUCT($B12:OFFSET($B13,-1,0),Q49:OFFSET(Q50,-1,0))</f>
        <v>1414.1014526877718</v>
      </c>
      <c r="R48" s="43">
        <f ca="1">SUMPRODUCT($B12:OFFSET($B13,-1,0),R49:OFFSET(R50,-1,0))</f>
        <v>1414.1014526877718</v>
      </c>
      <c r="S48" s="43">
        <f ca="1">SUMPRODUCT($B12:OFFSET($B13,-1,0),S49:OFFSET(S50,-1,0))</f>
        <v>1414.1014526877718</v>
      </c>
      <c r="T48" s="43">
        <f ca="1">SUMPRODUCT($B12:OFFSET($B13,-1,0),T49:OFFSET(T50,-1,0))</f>
        <v>1414.1014526877718</v>
      </c>
      <c r="U48" s="43">
        <f ca="1">SUMPRODUCT($B12:OFFSET($B13,-1,0),U49:OFFSET(U50,-1,0))</f>
        <v>1414.1014526877718</v>
      </c>
      <c r="V48" s="43">
        <f ca="1">SUMPRODUCT($B12:OFFSET($B13,-1,0),V49:OFFSET(V50,-1,0))</f>
        <v>1414.1014526877718</v>
      </c>
      <c r="W48" s="43">
        <f ca="1">SUMPRODUCT($B12:OFFSET($B13,-1,0),W49:OFFSET(W50,-1,0))</f>
        <v>1414.1014526877718</v>
      </c>
      <c r="X48" s="43">
        <f ca="1">SUMPRODUCT($B12:OFFSET($B13,-1,0),X49:OFFSET(X50,-1,0))</f>
        <v>1414.1014526877718</v>
      </c>
      <c r="Y48" s="43">
        <f ca="1">SUMPRODUCT($B12:OFFSET($B13,-1,0),Y49:OFFSET(Y50,-1,0))</f>
        <v>1414.1014526877718</v>
      </c>
      <c r="AA48" s="202">
        <f t="shared" ca="1" si="4"/>
        <v>16311.499728321158</v>
      </c>
    </row>
    <row r="49" spans="1:27" s="11" customFormat="1" hidden="1" outlineLevel="2" x14ac:dyDescent="0.2">
      <c r="A49" s="11" t="str">
        <f ca="1">"        " &amp; A12</f>
        <v xml:space="preserve">        Проект 1</v>
      </c>
      <c r="C49" s="198" t="str">
        <f t="shared" ca="1" si="3"/>
        <v>тыс. EUR</v>
      </c>
      <c r="D49" s="11" t="e">
        <f ca="1">"[" &amp; F12 &amp; "];int_sum"</f>
        <v>#NAME?</v>
      </c>
      <c r="F49" s="54">
        <f ca="1">IF(OR(F$33&lt;$B28,F$33&gt;$C28),0,OFFSET(Проект!F$177,0,1-$B28))</f>
        <v>0</v>
      </c>
      <c r="G49" s="54">
        <f ca="1">IF(OR(G$33&lt;$B28,G$33&gt;$C28),0,OFFSET(Проект!G$177,0,1-$B28))</f>
        <v>0</v>
      </c>
      <c r="H49" s="54">
        <f ca="1">IF(OR(H$33&lt;$B28,H$33&gt;$C28),0,OFFSET(Проект!H$177,0,1-$B28))</f>
        <v>0</v>
      </c>
      <c r="I49" s="54">
        <f ca="1">IF(OR(I$33&lt;$B28,I$33&gt;$C28),0,OFFSET(Проект!I$177,0,1-$B28))</f>
        <v>0</v>
      </c>
      <c r="J49" s="54">
        <f ca="1">IF(OR(J$33&lt;$B28,J$33&gt;$C28),0,OFFSET(Проект!J$177,0,1-$B28))</f>
        <v>-309.35251270876392</v>
      </c>
      <c r="K49" s="54">
        <f ca="1">IF(OR(K$33&lt;$B28,K$33&gt;$C28),0,OFFSET(Проект!K$177,0,1-$B28))</f>
        <v>-542.72200914744883</v>
      </c>
      <c r="L49" s="54">
        <f ca="1">IF(OR(L$33&lt;$B28,L$33&gt;$C28),0,OFFSET(Проект!L$177,0,1-$B28))</f>
        <v>36.808723789765239</v>
      </c>
      <c r="M49" s="54">
        <f ca="1">IF(OR(M$33&lt;$B28,M$33&gt;$C28),0,OFFSET(Проект!M$177,0,1-$B28))</f>
        <v>515.87606298127139</v>
      </c>
      <c r="N49" s="54">
        <f ca="1">IF(OR(N$33&lt;$B28,N$33&gt;$C28),0,OFFSET(Проект!N$177,0,1-$B28))</f>
        <v>1055.7734838408458</v>
      </c>
      <c r="O49" s="54">
        <f ca="1">IF(OR(O$33&lt;$B28,O$33&gt;$C28),0,OFFSET(Проект!O$177,0,1-$B28))</f>
        <v>1414.1014526877718</v>
      </c>
      <c r="P49" s="54">
        <f ca="1">IF(OR(P$33&lt;$B28,P$33&gt;$C28),0,OFFSET(Проект!P$177,0,1-$B28))</f>
        <v>1414.1014526877718</v>
      </c>
      <c r="Q49" s="54">
        <f ca="1">IF(OR(Q$33&lt;$B28,Q$33&gt;$C28),0,OFFSET(Проект!Q$177,0,1-$B28))</f>
        <v>1414.1014526877718</v>
      </c>
      <c r="R49" s="54">
        <f ca="1">IF(OR(R$33&lt;$B28,R$33&gt;$C28),0,OFFSET(Проект!R$177,0,1-$B28))</f>
        <v>1414.1014526877718</v>
      </c>
      <c r="S49" s="54">
        <f ca="1">IF(OR(S$33&lt;$B28,S$33&gt;$C28),0,OFFSET(Проект!S$177,0,1-$B28))</f>
        <v>1414.1014526877718</v>
      </c>
      <c r="T49" s="54">
        <f ca="1">IF(OR(T$33&lt;$B28,T$33&gt;$C28),0,OFFSET(Проект!T$177,0,1-$B28))</f>
        <v>1414.1014526877718</v>
      </c>
      <c r="U49" s="54">
        <f ca="1">IF(OR(U$33&lt;$B28,U$33&gt;$C28),0,OFFSET(Проект!U$177,0,1-$B28))</f>
        <v>1414.1014526877718</v>
      </c>
      <c r="V49" s="54">
        <f ca="1">IF(OR(V$33&lt;$B28,V$33&gt;$C28),0,OFFSET(Проект!V$177,0,1-$B28))</f>
        <v>1414.1014526877718</v>
      </c>
      <c r="W49" s="54">
        <f ca="1">IF(OR(W$33&lt;$B28,W$33&gt;$C28),0,OFFSET(Проект!W$177,0,1-$B28))</f>
        <v>1414.1014526877718</v>
      </c>
      <c r="X49" s="54">
        <f ca="1">IF(OR(X$33&lt;$B28,X$33&gt;$C28),0,OFFSET(Проект!X$177,0,1-$B28))</f>
        <v>1414.1014526877718</v>
      </c>
      <c r="Y49" s="54">
        <f ca="1">IF(OR(Y$33&lt;$B28,Y$33&gt;$C28),0,OFFSET(Проект!AC$177,0,1-$B28))</f>
        <v>1414.1014526877718</v>
      </c>
      <c r="AA49" s="202">
        <f t="shared" ca="1" si="4"/>
        <v>16311.499728321158</v>
      </c>
    </row>
    <row r="50" spans="1:27" outlineLevel="1" collapsed="1" x14ac:dyDescent="0.2">
      <c r="A50" s="179" t="str">
        <f ca="1">Language!A190</f>
        <v xml:space="preserve">    проценты по кредиту, выплачиваемые из прибыли</v>
      </c>
      <c r="C50" s="26" t="str">
        <f t="shared" ca="1" si="3"/>
        <v>тыс. EUR</v>
      </c>
      <c r="D50" s="204" t="s">
        <v>2615</v>
      </c>
      <c r="F50" s="43">
        <f ca="1">SUMPRODUCT($B12:OFFSET($B13,-1,0),F51:OFFSET(F52,-1,0))</f>
        <v>0</v>
      </c>
      <c r="G50" s="43">
        <f ca="1">SUMPRODUCT($B12:OFFSET($B13,-1,0),G51:OFFSET(G52,-1,0))</f>
        <v>0</v>
      </c>
      <c r="H50" s="43">
        <f ca="1">SUMPRODUCT($B12:OFFSET($B13,-1,0),H51:OFFSET(H52,-1,0))</f>
        <v>0</v>
      </c>
      <c r="I50" s="43">
        <f ca="1">SUMPRODUCT($B12:OFFSET($B13,-1,0),I51:OFFSET(I52,-1,0))</f>
        <v>0</v>
      </c>
      <c r="J50" s="43">
        <f ca="1">SUMPRODUCT($B12:OFFSET($B13,-1,0),J51:OFFSET(J52,-1,0))</f>
        <v>0</v>
      </c>
      <c r="K50" s="43">
        <f ca="1">SUMPRODUCT($B12:OFFSET($B13,-1,0),K51:OFFSET(K52,-1,0))</f>
        <v>0</v>
      </c>
      <c r="L50" s="43">
        <f ca="1">SUMPRODUCT($B12:OFFSET($B13,-1,0),L51:OFFSET(L52,-1,0))</f>
        <v>0</v>
      </c>
      <c r="M50" s="43">
        <f ca="1">SUMPRODUCT($B12:OFFSET($B13,-1,0),M51:OFFSET(M52,-1,0))</f>
        <v>0</v>
      </c>
      <c r="N50" s="43">
        <f ca="1">SUMPRODUCT($B12:OFFSET($B13,-1,0),N51:OFFSET(N52,-1,0))</f>
        <v>0</v>
      </c>
      <c r="O50" s="43">
        <f ca="1">SUMPRODUCT($B12:OFFSET($B13,-1,0),O51:OFFSET(O52,-1,0))</f>
        <v>0</v>
      </c>
      <c r="P50" s="43">
        <f ca="1">SUMPRODUCT($B12:OFFSET($B13,-1,0),P51:OFFSET(P52,-1,0))</f>
        <v>0</v>
      </c>
      <c r="Q50" s="43">
        <f ca="1">SUMPRODUCT($B12:OFFSET($B13,-1,0),Q51:OFFSET(Q52,-1,0))</f>
        <v>0</v>
      </c>
      <c r="R50" s="43">
        <f ca="1">SUMPRODUCT($B12:OFFSET($B13,-1,0),R51:OFFSET(R52,-1,0))</f>
        <v>0</v>
      </c>
      <c r="S50" s="43">
        <f ca="1">SUMPRODUCT($B12:OFFSET($B13,-1,0),S51:OFFSET(S52,-1,0))</f>
        <v>0</v>
      </c>
      <c r="T50" s="43">
        <f ca="1">SUMPRODUCT($B12:OFFSET($B13,-1,0),T51:OFFSET(T52,-1,0))</f>
        <v>0</v>
      </c>
      <c r="U50" s="43">
        <f ca="1">SUMPRODUCT($B12:OFFSET($B13,-1,0),U51:OFFSET(U52,-1,0))</f>
        <v>0</v>
      </c>
      <c r="V50" s="43">
        <f ca="1">SUMPRODUCT($B12:OFFSET($B13,-1,0),V51:OFFSET(V52,-1,0))</f>
        <v>0</v>
      </c>
      <c r="W50" s="43">
        <f ca="1">SUMPRODUCT($B12:OFFSET($B13,-1,0),W51:OFFSET(W52,-1,0))</f>
        <v>0</v>
      </c>
      <c r="X50" s="43">
        <f ca="1">SUMPRODUCT($B12:OFFSET($B13,-1,0),X51:OFFSET(X52,-1,0))</f>
        <v>0</v>
      </c>
      <c r="Y50" s="43">
        <f ca="1">SUMPRODUCT($B12:OFFSET($B13,-1,0),Y51:OFFSET(Y52,-1,0))</f>
        <v>0</v>
      </c>
      <c r="AA50" s="202">
        <f t="shared" ca="1" si="4"/>
        <v>0</v>
      </c>
    </row>
    <row r="51" spans="1:27" s="11" customFormat="1" hidden="1" outlineLevel="2" x14ac:dyDescent="0.2">
      <c r="A51" s="11" t="str">
        <f ca="1">"        " &amp; A12</f>
        <v xml:space="preserve">        Проект 1</v>
      </c>
      <c r="C51" s="198" t="str">
        <f t="shared" ca="1" si="3"/>
        <v>тыс. EUR</v>
      </c>
      <c r="D51" s="11" t="e">
        <f ca="1">"[" &amp; F12 &amp; "];int_sum"</f>
        <v>#NAME?</v>
      </c>
      <c r="F51" s="54">
        <f ca="1">IF(OR(F$33&lt;$B28,F$33&gt;$C28),0,OFFSET(Проект!F$179,0,1-$B28))</f>
        <v>0</v>
      </c>
      <c r="G51" s="54">
        <f ca="1">IF(OR(G$33&lt;$B28,G$33&gt;$C28),0,OFFSET(Проект!G$179,0,1-$B28))</f>
        <v>0</v>
      </c>
      <c r="H51" s="54">
        <f ca="1">IF(OR(H$33&lt;$B28,H$33&gt;$C28),0,OFFSET(Проект!H$179,0,1-$B28))</f>
        <v>0</v>
      </c>
      <c r="I51" s="54">
        <f ca="1">IF(OR(I$33&lt;$B28,I$33&gt;$C28),0,OFFSET(Проект!I$179,0,1-$B28))</f>
        <v>0</v>
      </c>
      <c r="J51" s="54">
        <f ca="1">IF(OR(J$33&lt;$B28,J$33&gt;$C28),0,OFFSET(Проект!J$179,0,1-$B28))</f>
        <v>0</v>
      </c>
      <c r="K51" s="54">
        <f ca="1">IF(OR(K$33&lt;$B28,K$33&gt;$C28),0,OFFSET(Проект!K$179,0,1-$B28))</f>
        <v>0</v>
      </c>
      <c r="L51" s="54">
        <f ca="1">IF(OR(L$33&lt;$B28,L$33&gt;$C28),0,OFFSET(Проект!L$179,0,1-$B28))</f>
        <v>0</v>
      </c>
      <c r="M51" s="54">
        <f ca="1">IF(OR(M$33&lt;$B28,M$33&gt;$C28),0,OFFSET(Проект!M$179,0,1-$B28))</f>
        <v>0</v>
      </c>
      <c r="N51" s="54">
        <f ca="1">IF(OR(N$33&lt;$B28,N$33&gt;$C28),0,OFFSET(Проект!N$179,0,1-$B28))</f>
        <v>0</v>
      </c>
      <c r="O51" s="54">
        <f ca="1">IF(OR(O$33&lt;$B28,O$33&gt;$C28),0,OFFSET(Проект!O$179,0,1-$B28))</f>
        <v>0</v>
      </c>
      <c r="P51" s="54">
        <f ca="1">IF(OR(P$33&lt;$B28,P$33&gt;$C28),0,OFFSET(Проект!P$179,0,1-$B28))</f>
        <v>0</v>
      </c>
      <c r="Q51" s="54">
        <f ca="1">IF(OR(Q$33&lt;$B28,Q$33&gt;$C28),0,OFFSET(Проект!Q$179,0,1-$B28))</f>
        <v>0</v>
      </c>
      <c r="R51" s="54">
        <f ca="1">IF(OR(R$33&lt;$B28,R$33&gt;$C28),0,OFFSET(Проект!R$179,0,1-$B28))</f>
        <v>0</v>
      </c>
      <c r="S51" s="54">
        <f ca="1">IF(OR(S$33&lt;$B28,S$33&gt;$C28),0,OFFSET(Проект!S$179,0,1-$B28))</f>
        <v>0</v>
      </c>
      <c r="T51" s="54">
        <f ca="1">IF(OR(T$33&lt;$B28,T$33&gt;$C28),0,OFFSET(Проект!T$179,0,1-$B28))</f>
        <v>0</v>
      </c>
      <c r="U51" s="54">
        <f ca="1">IF(OR(U$33&lt;$B28,U$33&gt;$C28),0,OFFSET(Проект!U$179,0,1-$B28))</f>
        <v>0</v>
      </c>
      <c r="V51" s="54">
        <f ca="1">IF(OR(V$33&lt;$B28,V$33&gt;$C28),0,OFFSET(Проект!V$179,0,1-$B28))</f>
        <v>0</v>
      </c>
      <c r="W51" s="54">
        <f ca="1">IF(OR(W$33&lt;$B28,W$33&gt;$C28),0,OFFSET(Проект!W$179,0,1-$B28))</f>
        <v>0</v>
      </c>
      <c r="X51" s="54">
        <f ca="1">IF(OR(X$33&lt;$B28,X$33&gt;$C28),0,OFFSET(Проект!X$179,0,1-$B28))</f>
        <v>0</v>
      </c>
      <c r="Y51" s="54">
        <f ca="1">IF(OR(Y$33&lt;$B28,Y$33&gt;$C28),0,OFFSET(Проект!AC$179,0,1-$B28))</f>
        <v>0</v>
      </c>
      <c r="AA51" s="202">
        <f t="shared" ca="1" si="4"/>
        <v>0</v>
      </c>
    </row>
    <row r="52" spans="1:27" outlineLevel="1" collapsed="1" x14ac:dyDescent="0.2">
      <c r="A52" s="179" t="str">
        <f ca="1">Language!A191</f>
        <v xml:space="preserve">    льготы по налогу на прибыль</v>
      </c>
      <c r="C52" s="26" t="str">
        <f t="shared" ca="1" si="3"/>
        <v>тыс. EUR</v>
      </c>
      <c r="D52" s="204" t="s">
        <v>2615</v>
      </c>
      <c r="F52" s="43">
        <f ca="1">SUMPRODUCT($B12:OFFSET($B13,-1,0),F53:OFFSET(F54,-1,0))</f>
        <v>0</v>
      </c>
      <c r="G52" s="43">
        <f ca="1">SUMPRODUCT($B12:OFFSET($B13,-1,0),G53:OFFSET(G54,-1,0))</f>
        <v>0</v>
      </c>
      <c r="H52" s="43">
        <f ca="1">SUMPRODUCT($B12:OFFSET($B13,-1,0),H53:OFFSET(H54,-1,0))</f>
        <v>0</v>
      </c>
      <c r="I52" s="43">
        <f ca="1">SUMPRODUCT($B12:OFFSET($B13,-1,0),I53:OFFSET(I54,-1,0))</f>
        <v>0</v>
      </c>
      <c r="J52" s="43">
        <f ca="1">SUMPRODUCT($B12:OFFSET($B13,-1,0),J53:OFFSET(J54,-1,0))</f>
        <v>0</v>
      </c>
      <c r="K52" s="43">
        <f ca="1">SUMPRODUCT($B12:OFFSET($B13,-1,0),K53:OFFSET(K54,-1,0))</f>
        <v>0</v>
      </c>
      <c r="L52" s="43">
        <f ca="1">SUMPRODUCT($B12:OFFSET($B13,-1,0),L53:OFFSET(L54,-1,0))</f>
        <v>0</v>
      </c>
      <c r="M52" s="43">
        <f ca="1">SUMPRODUCT($B12:OFFSET($B13,-1,0),M53:OFFSET(M54,-1,0))</f>
        <v>0</v>
      </c>
      <c r="N52" s="43">
        <f ca="1">SUMPRODUCT($B12:OFFSET($B13,-1,0),N53:OFFSET(N54,-1,0))</f>
        <v>0</v>
      </c>
      <c r="O52" s="43">
        <f ca="1">SUMPRODUCT($B12:OFFSET($B13,-1,0),O53:OFFSET(O54,-1,0))</f>
        <v>0</v>
      </c>
      <c r="P52" s="43">
        <f ca="1">SUMPRODUCT($B12:OFFSET($B13,-1,0),P53:OFFSET(P54,-1,0))</f>
        <v>0</v>
      </c>
      <c r="Q52" s="43">
        <f ca="1">SUMPRODUCT($B12:OFFSET($B13,-1,0),Q53:OFFSET(Q54,-1,0))</f>
        <v>0</v>
      </c>
      <c r="R52" s="43">
        <f ca="1">SUMPRODUCT($B12:OFFSET($B13,-1,0),R53:OFFSET(R54,-1,0))</f>
        <v>0</v>
      </c>
      <c r="S52" s="43">
        <f ca="1">SUMPRODUCT($B12:OFFSET($B13,-1,0),S53:OFFSET(S54,-1,0))</f>
        <v>0</v>
      </c>
      <c r="T52" s="43">
        <f ca="1">SUMPRODUCT($B12:OFFSET($B13,-1,0),T53:OFFSET(T54,-1,0))</f>
        <v>0</v>
      </c>
      <c r="U52" s="43">
        <f ca="1">SUMPRODUCT($B12:OFFSET($B13,-1,0),U53:OFFSET(U54,-1,0))</f>
        <v>0</v>
      </c>
      <c r="V52" s="43">
        <f ca="1">SUMPRODUCT($B12:OFFSET($B13,-1,0),V53:OFFSET(V54,-1,0))</f>
        <v>0</v>
      </c>
      <c r="W52" s="43">
        <f ca="1">SUMPRODUCT($B12:OFFSET($B13,-1,0),W53:OFFSET(W54,-1,0))</f>
        <v>0</v>
      </c>
      <c r="X52" s="43">
        <f ca="1">SUMPRODUCT($B12:OFFSET($B13,-1,0),X53:OFFSET(X54,-1,0))</f>
        <v>0</v>
      </c>
      <c r="Y52" s="43">
        <f ca="1">SUMPRODUCT($B12:OFFSET($B13,-1,0),Y53:OFFSET(Y54,-1,0))</f>
        <v>0</v>
      </c>
      <c r="AA52" s="202">
        <f t="shared" ca="1" si="4"/>
        <v>0</v>
      </c>
    </row>
    <row r="53" spans="1:27" s="11" customFormat="1" hidden="1" outlineLevel="2" x14ac:dyDescent="0.2">
      <c r="A53" s="11" t="str">
        <f ca="1">"        " &amp; A12</f>
        <v xml:space="preserve">        Проект 1</v>
      </c>
      <c r="C53" s="198" t="str">
        <f t="shared" ca="1" si="3"/>
        <v>тыс. EUR</v>
      </c>
      <c r="D53" s="11" t="e">
        <f ca="1">"[" &amp; F12 &amp; "];int_sum"</f>
        <v>#NAME?</v>
      </c>
      <c r="F53" s="54">
        <f ca="1">IF(OR(F$33&lt;$B28,F$33&gt;$C28),0,OFFSET(Проект!F$181,0,1-$B28))</f>
        <v>0</v>
      </c>
      <c r="G53" s="54">
        <f ca="1">IF(OR(G$33&lt;$B28,G$33&gt;$C28),0,OFFSET(Проект!G$181,0,1-$B28))</f>
        <v>0</v>
      </c>
      <c r="H53" s="54">
        <f ca="1">IF(OR(H$33&lt;$B28,H$33&gt;$C28),0,OFFSET(Проект!H$181,0,1-$B28))</f>
        <v>0</v>
      </c>
      <c r="I53" s="54">
        <f ca="1">IF(OR(I$33&lt;$B28,I$33&gt;$C28),0,OFFSET(Проект!I$181,0,1-$B28))</f>
        <v>0</v>
      </c>
      <c r="J53" s="54">
        <f ca="1">IF(OR(J$33&lt;$B28,J$33&gt;$C28),0,OFFSET(Проект!J$181,0,1-$B28))</f>
        <v>0</v>
      </c>
      <c r="K53" s="54">
        <f ca="1">IF(OR(K$33&lt;$B28,K$33&gt;$C28),0,OFFSET(Проект!K$181,0,1-$B28))</f>
        <v>0</v>
      </c>
      <c r="L53" s="54">
        <f ca="1">IF(OR(L$33&lt;$B28,L$33&gt;$C28),0,OFFSET(Проект!L$181,0,1-$B28))</f>
        <v>0</v>
      </c>
      <c r="M53" s="54">
        <f ca="1">IF(OR(M$33&lt;$B28,M$33&gt;$C28),0,OFFSET(Проект!M$181,0,1-$B28))</f>
        <v>0</v>
      </c>
      <c r="N53" s="54">
        <f ca="1">IF(OR(N$33&lt;$B28,N$33&gt;$C28),0,OFFSET(Проект!N$181,0,1-$B28))</f>
        <v>0</v>
      </c>
      <c r="O53" s="54">
        <f ca="1">IF(OR(O$33&lt;$B28,O$33&gt;$C28),0,OFFSET(Проект!O$181,0,1-$B28))</f>
        <v>0</v>
      </c>
      <c r="P53" s="54">
        <f ca="1">IF(OR(P$33&lt;$B28,P$33&gt;$C28),0,OFFSET(Проект!P$181,0,1-$B28))</f>
        <v>0</v>
      </c>
      <c r="Q53" s="54">
        <f ca="1">IF(OR(Q$33&lt;$B28,Q$33&gt;$C28),0,OFFSET(Проект!Q$181,0,1-$B28))</f>
        <v>0</v>
      </c>
      <c r="R53" s="54">
        <f ca="1">IF(OR(R$33&lt;$B28,R$33&gt;$C28),0,OFFSET(Проект!R$181,0,1-$B28))</f>
        <v>0</v>
      </c>
      <c r="S53" s="54">
        <f ca="1">IF(OR(S$33&lt;$B28,S$33&gt;$C28),0,OFFSET(Проект!S$181,0,1-$B28))</f>
        <v>0</v>
      </c>
      <c r="T53" s="54">
        <f ca="1">IF(OR(T$33&lt;$B28,T$33&gt;$C28),0,OFFSET(Проект!T$181,0,1-$B28))</f>
        <v>0</v>
      </c>
      <c r="U53" s="54">
        <f ca="1">IF(OR(U$33&lt;$B28,U$33&gt;$C28),0,OFFSET(Проект!U$181,0,1-$B28))</f>
        <v>0</v>
      </c>
      <c r="V53" s="54">
        <f ca="1">IF(OR(V$33&lt;$B28,V$33&gt;$C28),0,OFFSET(Проект!V$181,0,1-$B28))</f>
        <v>0</v>
      </c>
      <c r="W53" s="54">
        <f ca="1">IF(OR(W$33&lt;$B28,W$33&gt;$C28),0,OFFSET(Проект!W$181,0,1-$B28))</f>
        <v>0</v>
      </c>
      <c r="X53" s="54">
        <f ca="1">IF(OR(X$33&lt;$B28,X$33&gt;$C28),0,OFFSET(Проект!X$181,0,1-$B28))</f>
        <v>0</v>
      </c>
      <c r="Y53" s="54">
        <f ca="1">IF(OR(Y$33&lt;$B28,Y$33&gt;$C28),0,OFFSET(Проект!AC$181,0,1-$B28))</f>
        <v>0</v>
      </c>
      <c r="AA53" s="202">
        <f t="shared" ca="1" si="4"/>
        <v>0</v>
      </c>
    </row>
    <row r="54" spans="1:27" outlineLevel="1" collapsed="1" x14ac:dyDescent="0.2">
      <c r="A54" s="179" t="str">
        <f ca="1">Language!A193</f>
        <v xml:space="preserve">    убытки предыдущих периодов</v>
      </c>
      <c r="C54" s="26" t="str">
        <f t="shared" ca="1" si="3"/>
        <v>тыс. EUR</v>
      </c>
      <c r="D54" s="204" t="s">
        <v>2616</v>
      </c>
      <c r="F54" s="53">
        <f ca="1">IF($B41=2,SUMPRODUCT($B12:OFFSET($B13,-1,0),F55:OFFSET(F56,-1,0)),MIN(E48+E50-E52,0)+E54-E56)</f>
        <v>0</v>
      </c>
      <c r="G54" s="53">
        <f ca="1">IF($B41=2,SUMPRODUCT($B12:OFFSET($B13,-1,0),G55:OFFSET(G56,-1,0)),MIN(F48+F50-F52,0)+F54-F56)</f>
        <v>0</v>
      </c>
      <c r="H54" s="53">
        <f ca="1">IF($B41=2,SUMPRODUCT($B12:OFFSET($B13,-1,0),H55:OFFSET(H56,-1,0)),MIN(G48+G50-G52,0)+G54-G56)</f>
        <v>0</v>
      </c>
      <c r="I54" s="53">
        <f ca="1">IF($B41=2,SUMPRODUCT($B12:OFFSET($B13,-1,0),I55:OFFSET(I56,-1,0)),MIN(H48+H50-H52,0)+H54-H56)</f>
        <v>0</v>
      </c>
      <c r="J54" s="53">
        <f ca="1">IF($B41=2,SUMPRODUCT($B12:OFFSET($B13,-1,0),J55:OFFSET(J56,-1,0)),MIN(I48+I50-I52,0)+I54-I56)</f>
        <v>0</v>
      </c>
      <c r="K54" s="53">
        <f ca="1">IF($B41=2,SUMPRODUCT($B12:OFFSET($B13,-1,0),K55:OFFSET(K56,-1,0)),MIN(J48+J50-J52,0)+J54-J56)</f>
        <v>-309.35251270876392</v>
      </c>
      <c r="L54" s="53">
        <f ca="1">IF($B41=2,SUMPRODUCT($B12:OFFSET($B13,-1,0),L55:OFFSET(L56,-1,0)),MIN(K48+K50-K52,0)+K54-K56)</f>
        <v>-852.07452185621275</v>
      </c>
      <c r="M54" s="53">
        <f ca="1">IF($B41=2,SUMPRODUCT($B12:OFFSET($B13,-1,0),M55:OFFSET(M56,-1,0)),MIN(L48+L50-L52,0)+L54-L56)</f>
        <v>-815.26579806644747</v>
      </c>
      <c r="N54" s="53">
        <f ca="1">IF($B41=2,SUMPRODUCT($B12:OFFSET($B13,-1,0),N55:OFFSET(N56,-1,0)),MIN(M48+M50-M52,0)+M54-M56)</f>
        <v>-299.38973508517608</v>
      </c>
      <c r="O54" s="53">
        <f ca="1">IF($B41=2,SUMPRODUCT($B12:OFFSET($B13,-1,0),O55:OFFSET(O56,-1,0)),MIN(N48+N50-N52,0)+N54-N56)</f>
        <v>0</v>
      </c>
      <c r="P54" s="53">
        <f ca="1">IF($B41=2,SUMPRODUCT($B12:OFFSET($B13,-1,0),P55:OFFSET(P56,-1,0)),MIN(O48+O50-O52,0)+O54-O56)</f>
        <v>0</v>
      </c>
      <c r="Q54" s="53">
        <f ca="1">IF($B41=2,SUMPRODUCT($B12:OFFSET($B13,-1,0),Q55:OFFSET(Q56,-1,0)),MIN(P48+P50-P52,0)+P54-P56)</f>
        <v>0</v>
      </c>
      <c r="R54" s="53">
        <f ca="1">IF($B41=2,SUMPRODUCT($B12:OFFSET($B13,-1,0),R55:OFFSET(R56,-1,0)),MIN(Q48+Q50-Q52,0)+Q54-Q56)</f>
        <v>0</v>
      </c>
      <c r="S54" s="53">
        <f ca="1">IF($B41=2,SUMPRODUCT($B12:OFFSET($B13,-1,0),S55:OFFSET(S56,-1,0)),MIN(R48+R50-R52,0)+R54-R56)</f>
        <v>0</v>
      </c>
      <c r="T54" s="53">
        <f ca="1">IF($B41=2,SUMPRODUCT($B12:OFFSET($B13,-1,0),T55:OFFSET(T56,-1,0)),MIN(S48+S50-S52,0)+S54-S56)</f>
        <v>0</v>
      </c>
      <c r="U54" s="53">
        <f ca="1">IF($B41=2,SUMPRODUCT($B12:OFFSET($B13,-1,0),U55:OFFSET(U56,-1,0)),MIN(T48+T50-T52,0)+T54-T56)</f>
        <v>0</v>
      </c>
      <c r="V54" s="53">
        <f ca="1">IF($B41=2,SUMPRODUCT($B12:OFFSET($B13,-1,0),V55:OFFSET(V56,-1,0)),MIN(U48+U50-U52,0)+U54-U56)</f>
        <v>0</v>
      </c>
      <c r="W54" s="53">
        <f ca="1">IF($B41=2,SUMPRODUCT($B12:OFFSET($B13,-1,0),W55:OFFSET(W56,-1,0)),MIN(V48+V50-V52,0)+V54-V56)</f>
        <v>0</v>
      </c>
      <c r="X54" s="53">
        <f ca="1">IF($B41=2,SUMPRODUCT($B12:OFFSET($B13,-1,0),X55:OFFSET(X56,-1,0)),MIN(W48+W50-W52,0)+W54-W56)</f>
        <v>0</v>
      </c>
      <c r="Y54" s="53">
        <f ca="1">IF($B41=2,SUMPRODUCT($B12:OFFSET($B13,-1,0),Y55:OFFSET(Y56,-1,0)),MIN(X48+X50-X52,0)+X54-X56)</f>
        <v>0</v>
      </c>
    </row>
    <row r="55" spans="1:27" s="11" customFormat="1" hidden="1" outlineLevel="2" x14ac:dyDescent="0.2">
      <c r="A55" s="11" t="str">
        <f ca="1">"        " &amp; A12</f>
        <v xml:space="preserve">        Проект 1</v>
      </c>
      <c r="C55" s="198" t="str">
        <f t="shared" ca="1" si="3"/>
        <v>тыс. EUR</v>
      </c>
      <c r="D55" s="11" t="e">
        <f ca="1">"[" &amp; F12 &amp; "];int_end"</f>
        <v>#NAME?</v>
      </c>
      <c r="F55" s="54">
        <f ca="1">IF(OR(F$33&lt;$B28,F$33&gt;$C28),0,OFFSET(Проект!F$183,0,1-$B28))</f>
        <v>0</v>
      </c>
      <c r="G55" s="54">
        <f ca="1">IF(OR(G$33&lt;$B28,G$33&gt;$C28),0,OFFSET(Проект!G$183,0,1-$B28))</f>
        <v>0</v>
      </c>
      <c r="H55" s="54">
        <f ca="1">IF(OR(H$33&lt;$B28,H$33&gt;$C28),0,OFFSET(Проект!H$183,0,1-$B28))</f>
        <v>0</v>
      </c>
      <c r="I55" s="54">
        <f ca="1">IF(OR(I$33&lt;$B28,I$33&gt;$C28),0,OFFSET(Проект!I$183,0,1-$B28))</f>
        <v>0</v>
      </c>
      <c r="J55" s="54">
        <f ca="1">IF(OR(J$33&lt;$B28,J$33&gt;$C28),0,OFFSET(Проект!J$183,0,1-$B28))</f>
        <v>0</v>
      </c>
      <c r="K55" s="54">
        <f ca="1">IF(OR(K$33&lt;$B28,K$33&gt;$C28),0,OFFSET(Проект!K$183,0,1-$B28))</f>
        <v>-309.35251270876392</v>
      </c>
      <c r="L55" s="54">
        <f ca="1">IF(OR(L$33&lt;$B28,L$33&gt;$C28),0,OFFSET(Проект!L$183,0,1-$B28))</f>
        <v>-852.07452185621275</v>
      </c>
      <c r="M55" s="54">
        <f ca="1">IF(OR(M$33&lt;$B28,M$33&gt;$C28),0,OFFSET(Проект!M$183,0,1-$B28))</f>
        <v>-815.26579806644747</v>
      </c>
      <c r="N55" s="54">
        <f ca="1">IF(OR(N$33&lt;$B28,N$33&gt;$C28),0,OFFSET(Проект!N$183,0,1-$B28))</f>
        <v>-299.38973508517608</v>
      </c>
      <c r="O55" s="54">
        <f ca="1">IF(OR(O$33&lt;$B28,O$33&gt;$C28),0,OFFSET(Проект!O$183,0,1-$B28))</f>
        <v>0</v>
      </c>
      <c r="P55" s="54">
        <f ca="1">IF(OR(P$33&lt;$B28,P$33&gt;$C28),0,OFFSET(Проект!P$183,0,1-$B28))</f>
        <v>0</v>
      </c>
      <c r="Q55" s="54">
        <f ca="1">IF(OR(Q$33&lt;$B28,Q$33&gt;$C28),0,OFFSET(Проект!Q$183,0,1-$B28))</f>
        <v>0</v>
      </c>
      <c r="R55" s="54">
        <f ca="1">IF(OR(R$33&lt;$B28,R$33&gt;$C28),0,OFFSET(Проект!R$183,0,1-$B28))</f>
        <v>0</v>
      </c>
      <c r="S55" s="54">
        <f ca="1">IF(OR(S$33&lt;$B28,S$33&gt;$C28),0,OFFSET(Проект!S$183,0,1-$B28))</f>
        <v>0</v>
      </c>
      <c r="T55" s="54">
        <f ca="1">IF(OR(T$33&lt;$B28,T$33&gt;$C28),0,OFFSET(Проект!T$183,0,1-$B28))</f>
        <v>0</v>
      </c>
      <c r="U55" s="54">
        <f ca="1">IF(OR(U$33&lt;$B28,U$33&gt;$C28),0,OFFSET(Проект!U$183,0,1-$B28))</f>
        <v>0</v>
      </c>
      <c r="V55" s="54">
        <f ca="1">IF(OR(V$33&lt;$B28,V$33&gt;$C28),0,OFFSET(Проект!V$183,0,1-$B28))</f>
        <v>0</v>
      </c>
      <c r="W55" s="54">
        <f ca="1">IF(OR(W$33&lt;$B28,W$33&gt;$C28),0,OFFSET(Проект!W$183,0,1-$B28))</f>
        <v>0</v>
      </c>
      <c r="X55" s="54">
        <f ca="1">IF(OR(X$33&lt;$B28,X$33&gt;$C28),0,OFFSET(Проект!X$183,0,1-$B28))</f>
        <v>0</v>
      </c>
      <c r="Y55" s="54">
        <f ca="1">IF(OR(Y$33&lt;$B28,Y$33&gt;$C28),0,OFFSET(Проект!AC$183,0,1-$B28))</f>
        <v>0</v>
      </c>
      <c r="AA55" s="180"/>
    </row>
    <row r="56" spans="1:27" outlineLevel="1" collapsed="1" x14ac:dyDescent="0.2">
      <c r="A56" s="179" t="str">
        <f ca="1">Language!A194</f>
        <v xml:space="preserve">    списано убытков предыдущих лет</v>
      </c>
      <c r="C56" s="26" t="str">
        <f t="shared" ca="1" si="3"/>
        <v>тыс. EUR</v>
      </c>
      <c r="D56" s="204" t="s">
        <v>2615</v>
      </c>
      <c r="F56" s="53">
        <f ca="1">IF($B41=2,SUMPRODUCT($B12:OFFSET($B13,-1,0),F57:OFFSET(F58,-1,0)),-IF(F48+F50-F52&gt;0,MIN(-F54,F48+F50-F52),0))</f>
        <v>0</v>
      </c>
      <c r="G56" s="53">
        <f ca="1">IF($B41=2,SUMPRODUCT($B12:OFFSET($B13,-1,0),G57:OFFSET(G58,-1,0)),-IF(G48+G50-G52&gt;0,MIN(-G54,G48+G50-G52),0))</f>
        <v>0</v>
      </c>
      <c r="H56" s="53">
        <f ca="1">IF($B41=2,SUMPRODUCT($B12:OFFSET($B13,-1,0),H57:OFFSET(H58,-1,0)),-IF(H48+H50-H52&gt;0,MIN(-H54,H48+H50-H52),0))</f>
        <v>0</v>
      </c>
      <c r="I56" s="53">
        <f ca="1">IF($B41=2,SUMPRODUCT($B12:OFFSET($B13,-1,0),I57:OFFSET(I58,-1,0)),-IF(I48+I50-I52&gt;0,MIN(-I54,I48+I50-I52),0))</f>
        <v>0</v>
      </c>
      <c r="J56" s="53">
        <f ca="1">IF($B41=2,SUMPRODUCT($B12:OFFSET($B13,-1,0),J57:OFFSET(J58,-1,0)),-IF(J48+J50-J52&gt;0,MIN(-J54,J48+J50-J52),0))</f>
        <v>0</v>
      </c>
      <c r="K56" s="53">
        <f ca="1">IF($B41=2,SUMPRODUCT($B12:OFFSET($B13,-1,0),K57:OFFSET(K58,-1,0)),-IF(K48+K50-K52&gt;0,MIN(-K54,K48+K50-K52),0))</f>
        <v>0</v>
      </c>
      <c r="L56" s="53">
        <f ca="1">IF($B41=2,SUMPRODUCT($B12:OFFSET($B13,-1,0),L57:OFFSET(L58,-1,0)),-IF(L48+L50-L52&gt;0,MIN(-L54,L48+L50-L52),0))</f>
        <v>-36.808723789765239</v>
      </c>
      <c r="M56" s="53">
        <f ca="1">IF($B41=2,SUMPRODUCT($B12:OFFSET($B13,-1,0),M57:OFFSET(M58,-1,0)),-IF(M48+M50-M52&gt;0,MIN(-M54,M48+M50-M52),0))</f>
        <v>-515.87606298127139</v>
      </c>
      <c r="N56" s="53">
        <f ca="1">IF($B41=2,SUMPRODUCT($B12:OFFSET($B13,-1,0),N57:OFFSET(N58,-1,0)),-IF(N48+N50-N52&gt;0,MIN(-N54,N48+N50-N52),0))</f>
        <v>-299.38973508517608</v>
      </c>
      <c r="O56" s="53">
        <f ca="1">IF($B41=2,SUMPRODUCT($B12:OFFSET($B13,-1,0),O57:OFFSET(O58,-1,0)),-IF(O48+O50-O52&gt;0,MIN(-O54,O48+O50-O52),0))</f>
        <v>0</v>
      </c>
      <c r="P56" s="53">
        <f ca="1">IF($B41=2,SUMPRODUCT($B12:OFFSET($B13,-1,0),P57:OFFSET(P58,-1,0)),-IF(P48+P50-P52&gt;0,MIN(-P54,P48+P50-P52),0))</f>
        <v>0</v>
      </c>
      <c r="Q56" s="53">
        <f ca="1">IF($B41=2,SUMPRODUCT($B12:OFFSET($B13,-1,0),Q57:OFFSET(Q58,-1,0)),-IF(Q48+Q50-Q52&gt;0,MIN(-Q54,Q48+Q50-Q52),0))</f>
        <v>0</v>
      </c>
      <c r="R56" s="53">
        <f ca="1">IF($B41=2,SUMPRODUCT($B12:OFFSET($B13,-1,0),R57:OFFSET(R58,-1,0)),-IF(R48+R50-R52&gt;0,MIN(-R54,R48+R50-R52),0))</f>
        <v>0</v>
      </c>
      <c r="S56" s="53">
        <f ca="1">IF($B41=2,SUMPRODUCT($B12:OFFSET($B13,-1,0),S57:OFFSET(S58,-1,0)),-IF(S48+S50-S52&gt;0,MIN(-S54,S48+S50-S52),0))</f>
        <v>0</v>
      </c>
      <c r="T56" s="53">
        <f ca="1">IF($B41=2,SUMPRODUCT($B12:OFFSET($B13,-1,0),T57:OFFSET(T58,-1,0)),-IF(T48+T50-T52&gt;0,MIN(-T54,T48+T50-T52),0))</f>
        <v>0</v>
      </c>
      <c r="U56" s="53">
        <f ca="1">IF($B41=2,SUMPRODUCT($B12:OFFSET($B13,-1,0),U57:OFFSET(U58,-1,0)),-IF(U48+U50-U52&gt;0,MIN(-U54,U48+U50-U52),0))</f>
        <v>0</v>
      </c>
      <c r="V56" s="53">
        <f ca="1">IF($B41=2,SUMPRODUCT($B12:OFFSET($B13,-1,0),V57:OFFSET(V58,-1,0)),-IF(V48+V50-V52&gt;0,MIN(-V54,V48+V50-V52),0))</f>
        <v>0</v>
      </c>
      <c r="W56" s="53">
        <f ca="1">IF($B41=2,SUMPRODUCT($B12:OFFSET($B13,-1,0),W57:OFFSET(W58,-1,0)),-IF(W48+W50-W52&gt;0,MIN(-W54,W48+W50-W52),0))</f>
        <v>0</v>
      </c>
      <c r="X56" s="53">
        <f ca="1">IF($B41=2,SUMPRODUCT($B12:OFFSET($B13,-1,0),X57:OFFSET(X58,-1,0)),-IF(X48+X50-X52&gt;0,MIN(-X54,X48+X50-X52),0))</f>
        <v>0</v>
      </c>
      <c r="Y56" s="53">
        <f ca="1">IF($B41=2,SUMPRODUCT($B12:OFFSET($B13,-1,0),Y57:OFFSET(Y58,-1,0)),-IF(Y48+Y50-Y52&gt;0,MIN(-Y54,Y48+Y50-Y52),0))</f>
        <v>0</v>
      </c>
    </row>
    <row r="57" spans="1:27" s="11" customFormat="1" hidden="1" outlineLevel="2" x14ac:dyDescent="0.2">
      <c r="A57" s="11" t="str">
        <f ca="1">"        " &amp; A12</f>
        <v xml:space="preserve">        Проект 1</v>
      </c>
      <c r="C57" s="198" t="str">
        <f t="shared" ca="1" si="3"/>
        <v>тыс. EUR</v>
      </c>
      <c r="D57" s="11" t="e">
        <f ca="1">"[" &amp; F12 &amp; "];int_sum"</f>
        <v>#NAME?</v>
      </c>
      <c r="F57" s="54">
        <f ca="1">IF(OR(F$33&lt;$B28,F$33&gt;$C28),0,OFFSET(Проект!F$185,0,1-$B28))</f>
        <v>0</v>
      </c>
      <c r="G57" s="54">
        <f ca="1">IF(OR(G$33&lt;$B28,G$33&gt;$C28),0,OFFSET(Проект!G$185,0,1-$B28))</f>
        <v>0</v>
      </c>
      <c r="H57" s="54">
        <f ca="1">IF(OR(H$33&lt;$B28,H$33&gt;$C28),0,OFFSET(Проект!H$185,0,1-$B28))</f>
        <v>0</v>
      </c>
      <c r="I57" s="54">
        <f ca="1">IF(OR(I$33&lt;$B28,I$33&gt;$C28),0,OFFSET(Проект!I$185,0,1-$B28))</f>
        <v>0</v>
      </c>
      <c r="J57" s="54">
        <f ca="1">IF(OR(J$33&lt;$B28,J$33&gt;$C28),0,OFFSET(Проект!J$185,0,1-$B28))</f>
        <v>0</v>
      </c>
      <c r="K57" s="54">
        <f ca="1">IF(OR(K$33&lt;$B28,K$33&gt;$C28),0,OFFSET(Проект!K$185,0,1-$B28))</f>
        <v>0</v>
      </c>
      <c r="L57" s="54">
        <f ca="1">IF(OR(L$33&lt;$B28,L$33&gt;$C28),0,OFFSET(Проект!L$185,0,1-$B28))</f>
        <v>-36.808723789765239</v>
      </c>
      <c r="M57" s="54">
        <f ca="1">IF(OR(M$33&lt;$B28,M$33&gt;$C28),0,OFFSET(Проект!M$185,0,1-$B28))</f>
        <v>-515.87606298127139</v>
      </c>
      <c r="N57" s="54">
        <f ca="1">IF(OR(N$33&lt;$B28,N$33&gt;$C28),0,OFFSET(Проект!N$185,0,1-$B28))</f>
        <v>-299.38973508517608</v>
      </c>
      <c r="O57" s="54">
        <f ca="1">IF(OR(O$33&lt;$B28,O$33&gt;$C28),0,OFFSET(Проект!O$185,0,1-$B28))</f>
        <v>0</v>
      </c>
      <c r="P57" s="54">
        <f ca="1">IF(OR(P$33&lt;$B28,P$33&gt;$C28),0,OFFSET(Проект!P$185,0,1-$B28))</f>
        <v>0</v>
      </c>
      <c r="Q57" s="54">
        <f ca="1">IF(OR(Q$33&lt;$B28,Q$33&gt;$C28),0,OFFSET(Проект!Q$185,0,1-$B28))</f>
        <v>0</v>
      </c>
      <c r="R57" s="54">
        <f ca="1">IF(OR(R$33&lt;$B28,R$33&gt;$C28),0,OFFSET(Проект!R$185,0,1-$B28))</f>
        <v>0</v>
      </c>
      <c r="S57" s="54">
        <f ca="1">IF(OR(S$33&lt;$B28,S$33&gt;$C28),0,OFFSET(Проект!S$185,0,1-$B28))</f>
        <v>0</v>
      </c>
      <c r="T57" s="54">
        <f ca="1">IF(OR(T$33&lt;$B28,T$33&gt;$C28),0,OFFSET(Проект!T$185,0,1-$B28))</f>
        <v>0</v>
      </c>
      <c r="U57" s="54">
        <f ca="1">IF(OR(U$33&lt;$B28,U$33&gt;$C28),0,OFFSET(Проект!U$185,0,1-$B28))</f>
        <v>0</v>
      </c>
      <c r="V57" s="54">
        <f ca="1">IF(OR(V$33&lt;$B28,V$33&gt;$C28),0,OFFSET(Проект!V$185,0,1-$B28))</f>
        <v>0</v>
      </c>
      <c r="W57" s="54">
        <f ca="1">IF(OR(W$33&lt;$B28,W$33&gt;$C28),0,OFFSET(Проект!W$185,0,1-$B28))</f>
        <v>0</v>
      </c>
      <c r="X57" s="54">
        <f ca="1">IF(OR(X$33&lt;$B28,X$33&gt;$C28),0,OFFSET(Проект!X$185,0,1-$B28))</f>
        <v>0</v>
      </c>
      <c r="Y57" s="54">
        <f ca="1">IF(OR(Y$33&lt;$B28,Y$33&gt;$C28),0,OFFSET(Проект!AC$185,0,1-$B28))</f>
        <v>0</v>
      </c>
      <c r="AA57" s="180"/>
    </row>
    <row r="58" spans="1:27" outlineLevel="1" collapsed="1" x14ac:dyDescent="0.2">
      <c r="A58" s="179" t="str">
        <f ca="1">Language!A195</f>
        <v xml:space="preserve">    прибыль, на которую начисляется налог</v>
      </c>
      <c r="C58" s="26" t="str">
        <f t="shared" ca="1" si="3"/>
        <v>тыс. EUR</v>
      </c>
      <c r="D58" s="204" t="s">
        <v>2615</v>
      </c>
      <c r="F58" s="53">
        <f ca="1">IF($B41=2,SUMPRODUCT($B12:OFFSET($B13,-1,0),F59:OFFSET(F60,-1,0)),MAX(F48+F50-F52+F56,0))</f>
        <v>0</v>
      </c>
      <c r="G58" s="53">
        <f ca="1">IF($B41=2,SUMPRODUCT($B12:OFFSET($B13,-1,0),G59:OFFSET(G60,-1,0)),MAX(G48+G50-G52+G56,0))</f>
        <v>0</v>
      </c>
      <c r="H58" s="53">
        <f ca="1">IF($B41=2,SUMPRODUCT($B12:OFFSET($B13,-1,0),H59:OFFSET(H60,-1,0)),MAX(H48+H50-H52+H56,0))</f>
        <v>0</v>
      </c>
      <c r="I58" s="53">
        <f ca="1">IF($B41=2,SUMPRODUCT($B12:OFFSET($B13,-1,0),I59:OFFSET(I60,-1,0)),MAX(I48+I50-I52+I56,0))</f>
        <v>0</v>
      </c>
      <c r="J58" s="53">
        <f ca="1">IF($B41=2,SUMPRODUCT($B12:OFFSET($B13,-1,0),J59:OFFSET(J60,-1,0)),MAX(J48+J50-J52+J56,0))</f>
        <v>0</v>
      </c>
      <c r="K58" s="53">
        <f ca="1">IF($B41=2,SUMPRODUCT($B12:OFFSET($B13,-1,0),K59:OFFSET(K60,-1,0)),MAX(K48+K50-K52+K56,0))</f>
        <v>0</v>
      </c>
      <c r="L58" s="53">
        <f ca="1">IF($B41=2,SUMPRODUCT($B12:OFFSET($B13,-1,0),L59:OFFSET(L60,-1,0)),MAX(L48+L50-L52+L56,0))</f>
        <v>0</v>
      </c>
      <c r="M58" s="53">
        <f ca="1">IF($B41=2,SUMPRODUCT($B12:OFFSET($B13,-1,0),M59:OFFSET(M60,-1,0)),MAX(M48+M50-M52+M56,0))</f>
        <v>0</v>
      </c>
      <c r="N58" s="53">
        <f ca="1">IF($B41=2,SUMPRODUCT($B12:OFFSET($B13,-1,0),N59:OFFSET(N60,-1,0)),MAX(N48+N50-N52+N56,0))</f>
        <v>756.38374875566967</v>
      </c>
      <c r="O58" s="53">
        <f ca="1">IF($B41=2,SUMPRODUCT($B12:OFFSET($B13,-1,0),O59:OFFSET(O60,-1,0)),MAX(O48+O50-O52+O56,0))</f>
        <v>1414.1014526877718</v>
      </c>
      <c r="P58" s="53">
        <f ca="1">IF($B41=2,SUMPRODUCT($B12:OFFSET($B13,-1,0),P59:OFFSET(P60,-1,0)),MAX(P48+P50-P52+P56,0))</f>
        <v>1414.1014526877718</v>
      </c>
      <c r="Q58" s="53">
        <f ca="1">IF($B41=2,SUMPRODUCT($B12:OFFSET($B13,-1,0),Q59:OFFSET(Q60,-1,0)),MAX(Q48+Q50-Q52+Q56,0))</f>
        <v>1414.1014526877718</v>
      </c>
      <c r="R58" s="53">
        <f ca="1">IF($B41=2,SUMPRODUCT($B12:OFFSET($B13,-1,0),R59:OFFSET(R60,-1,0)),MAX(R48+R50-R52+R56,0))</f>
        <v>1414.1014526877718</v>
      </c>
      <c r="S58" s="53">
        <f ca="1">IF($B41=2,SUMPRODUCT($B12:OFFSET($B13,-1,0),S59:OFFSET(S60,-1,0)),MAX(S48+S50-S52+S56,0))</f>
        <v>1414.1014526877718</v>
      </c>
      <c r="T58" s="53">
        <f ca="1">IF($B41=2,SUMPRODUCT($B12:OFFSET($B13,-1,0),T59:OFFSET(T60,-1,0)),MAX(T48+T50-T52+T56,0))</f>
        <v>1414.1014526877718</v>
      </c>
      <c r="U58" s="53">
        <f ca="1">IF($B41=2,SUMPRODUCT($B12:OFFSET($B13,-1,0),U59:OFFSET(U60,-1,0)),MAX(U48+U50-U52+U56,0))</f>
        <v>1414.1014526877718</v>
      </c>
      <c r="V58" s="53">
        <f ca="1">IF($B41=2,SUMPRODUCT($B12:OFFSET($B13,-1,0),V59:OFFSET(V60,-1,0)),MAX(V48+V50-V52+V56,0))</f>
        <v>1414.1014526877718</v>
      </c>
      <c r="W58" s="53">
        <f ca="1">IF($B41=2,SUMPRODUCT($B12:OFFSET($B13,-1,0),W59:OFFSET(W60,-1,0)),MAX(W48+W50-W52+W56,0))</f>
        <v>1414.1014526877718</v>
      </c>
      <c r="X58" s="53">
        <f ca="1">IF($B41=2,SUMPRODUCT($B12:OFFSET($B13,-1,0),X59:OFFSET(X60,-1,0)),MAX(X48+X50-X52+X56,0))</f>
        <v>1414.1014526877718</v>
      </c>
      <c r="Y58" s="53">
        <f ca="1">IF($B41=2,SUMPRODUCT($B12:OFFSET($B13,-1,0),Y59:OFFSET(Y60,-1,0)),MAX(Y48+Y50-Y52+Y56,0))</f>
        <v>1414.1014526877718</v>
      </c>
    </row>
    <row r="59" spans="1:27" s="11" customFormat="1" hidden="1" outlineLevel="2" x14ac:dyDescent="0.2">
      <c r="A59" s="11" t="str">
        <f ca="1">"        " &amp; A12</f>
        <v xml:space="preserve">        Проект 1</v>
      </c>
      <c r="C59" s="198" t="str">
        <f t="shared" ca="1" si="3"/>
        <v>тыс. EUR</v>
      </c>
      <c r="D59" s="11" t="e">
        <f ca="1">"[" &amp; F12 &amp; "];int_sum"</f>
        <v>#NAME?</v>
      </c>
      <c r="F59" s="54">
        <f ca="1">IF(OR(F$33&lt;$B28,F$33&gt;$C28),0,OFFSET(Проект!F$187,0,1-$B28))</f>
        <v>0</v>
      </c>
      <c r="G59" s="54">
        <f ca="1">IF(OR(G$33&lt;$B28,G$33&gt;$C28),0,OFFSET(Проект!G$187,0,1-$B28))</f>
        <v>0</v>
      </c>
      <c r="H59" s="54">
        <f ca="1">IF(OR(H$33&lt;$B28,H$33&gt;$C28),0,OFFSET(Проект!H$187,0,1-$B28))</f>
        <v>0</v>
      </c>
      <c r="I59" s="54">
        <f ca="1">IF(OR(I$33&lt;$B28,I$33&gt;$C28),0,OFFSET(Проект!I$187,0,1-$B28))</f>
        <v>0</v>
      </c>
      <c r="J59" s="54">
        <f ca="1">IF(OR(J$33&lt;$B28,J$33&gt;$C28),0,OFFSET(Проект!J$187,0,1-$B28))</f>
        <v>0</v>
      </c>
      <c r="K59" s="54">
        <f ca="1">IF(OR(K$33&lt;$B28,K$33&gt;$C28),0,OFFSET(Проект!K$187,0,1-$B28))</f>
        <v>0</v>
      </c>
      <c r="L59" s="54">
        <f ca="1">IF(OR(L$33&lt;$B28,L$33&gt;$C28),0,OFFSET(Проект!L$187,0,1-$B28))</f>
        <v>0</v>
      </c>
      <c r="M59" s="54">
        <f ca="1">IF(OR(M$33&lt;$B28,M$33&gt;$C28),0,OFFSET(Проект!M$187,0,1-$B28))</f>
        <v>0</v>
      </c>
      <c r="N59" s="54">
        <f ca="1">IF(OR(N$33&lt;$B28,N$33&gt;$C28),0,OFFSET(Проект!N$187,0,1-$B28))</f>
        <v>756.38374875566967</v>
      </c>
      <c r="O59" s="54">
        <f ca="1">IF(OR(O$33&lt;$B28,O$33&gt;$C28),0,OFFSET(Проект!O$187,0,1-$B28))</f>
        <v>1414.1014526877718</v>
      </c>
      <c r="P59" s="54">
        <f ca="1">IF(OR(P$33&lt;$B28,P$33&gt;$C28),0,OFFSET(Проект!P$187,0,1-$B28))</f>
        <v>1414.1014526877718</v>
      </c>
      <c r="Q59" s="54">
        <f ca="1">IF(OR(Q$33&lt;$B28,Q$33&gt;$C28),0,OFFSET(Проект!Q$187,0,1-$B28))</f>
        <v>1414.1014526877718</v>
      </c>
      <c r="R59" s="54">
        <f ca="1">IF(OR(R$33&lt;$B28,R$33&gt;$C28),0,OFFSET(Проект!R$187,0,1-$B28))</f>
        <v>1414.1014526877718</v>
      </c>
      <c r="S59" s="54">
        <f ca="1">IF(OR(S$33&lt;$B28,S$33&gt;$C28),0,OFFSET(Проект!S$187,0,1-$B28))</f>
        <v>1414.1014526877718</v>
      </c>
      <c r="T59" s="54">
        <f ca="1">IF(OR(T$33&lt;$B28,T$33&gt;$C28),0,OFFSET(Проект!T$187,0,1-$B28))</f>
        <v>1414.1014526877718</v>
      </c>
      <c r="U59" s="54">
        <f ca="1">IF(OR(U$33&lt;$B28,U$33&gt;$C28),0,OFFSET(Проект!U$187,0,1-$B28))</f>
        <v>1414.1014526877718</v>
      </c>
      <c r="V59" s="54">
        <f ca="1">IF(OR(V$33&lt;$B28,V$33&gt;$C28),0,OFFSET(Проект!V$187,0,1-$B28))</f>
        <v>1414.1014526877718</v>
      </c>
      <c r="W59" s="54">
        <f ca="1">IF(OR(W$33&lt;$B28,W$33&gt;$C28),0,OFFSET(Проект!W$187,0,1-$B28))</f>
        <v>1414.1014526877718</v>
      </c>
      <c r="X59" s="54">
        <f ca="1">IF(OR(X$33&lt;$B28,X$33&gt;$C28),0,OFFSET(Проект!X$187,0,1-$B28))</f>
        <v>1414.1014526877718</v>
      </c>
      <c r="Y59" s="54">
        <f ca="1">IF(OR(Y$33&lt;$B28,Y$33&gt;$C28),0,OFFSET(Проект!AC$187,0,1-$B28))</f>
        <v>1414.1014526877718</v>
      </c>
      <c r="AA59" s="180"/>
    </row>
    <row r="60" spans="1:27" outlineLevel="1" x14ac:dyDescent="0.2">
      <c r="A60" s="180"/>
    </row>
    <row r="61" spans="1:27" outlineLevel="1" collapsed="1" x14ac:dyDescent="0.2">
      <c r="A61" s="35" t="str">
        <f ca="1">Language!A1007</f>
        <v>Начисленные налоги специальных режимов обложения</v>
      </c>
      <c r="C61" s="114" t="str">
        <f ca="1">CUR_Report</f>
        <v>тыс. EUR</v>
      </c>
      <c r="D61" s="204" t="s">
        <v>2615</v>
      </c>
      <c r="F61" s="58">
        <f ca="1">SUMPRODUCT($B12:OFFSET($B13,-1,0),F62:OFFSET(F63,-1,0))</f>
        <v>0</v>
      </c>
      <c r="G61" s="58">
        <f ca="1">SUMPRODUCT($B12:OFFSET($B13,-1,0),G62:OFFSET(G63,-1,0))</f>
        <v>0</v>
      </c>
      <c r="H61" s="58">
        <f ca="1">SUMPRODUCT($B12:OFFSET($B13,-1,0),H62:OFFSET(H63,-1,0))</f>
        <v>0</v>
      </c>
      <c r="I61" s="58">
        <f ca="1">SUMPRODUCT($B12:OFFSET($B13,-1,0),I62:OFFSET(I63,-1,0))</f>
        <v>0</v>
      </c>
      <c r="J61" s="58">
        <f ca="1">SUMPRODUCT($B12:OFFSET($B13,-1,0),J62:OFFSET(J63,-1,0))</f>
        <v>0</v>
      </c>
      <c r="K61" s="58">
        <f ca="1">SUMPRODUCT($B12:OFFSET($B13,-1,0),K62:OFFSET(K63,-1,0))</f>
        <v>0</v>
      </c>
      <c r="L61" s="58">
        <f ca="1">SUMPRODUCT($B12:OFFSET($B13,-1,0),L62:OFFSET(L63,-1,0))</f>
        <v>0</v>
      </c>
      <c r="M61" s="58">
        <f ca="1">SUMPRODUCT($B12:OFFSET($B13,-1,0),M62:OFFSET(M63,-1,0))</f>
        <v>0</v>
      </c>
      <c r="N61" s="58">
        <f ca="1">SUMPRODUCT($B12:OFFSET($B13,-1,0),N62:OFFSET(N63,-1,0))</f>
        <v>0</v>
      </c>
      <c r="O61" s="58">
        <f ca="1">SUMPRODUCT($B12:OFFSET($B13,-1,0),O62:OFFSET(O63,-1,0))</f>
        <v>0</v>
      </c>
      <c r="P61" s="58">
        <f ca="1">SUMPRODUCT($B12:OFFSET($B13,-1,0),P62:OFFSET(P63,-1,0))</f>
        <v>0</v>
      </c>
      <c r="Q61" s="58">
        <f ca="1">SUMPRODUCT($B12:OFFSET($B13,-1,0),Q62:OFFSET(Q63,-1,0))</f>
        <v>0</v>
      </c>
      <c r="R61" s="58">
        <f ca="1">SUMPRODUCT($B12:OFFSET($B13,-1,0),R62:OFFSET(R63,-1,0))</f>
        <v>0</v>
      </c>
      <c r="S61" s="58">
        <f ca="1">SUMPRODUCT($B12:OFFSET($B13,-1,0),S62:OFFSET(S63,-1,0))</f>
        <v>0</v>
      </c>
      <c r="T61" s="58">
        <f ca="1">SUMPRODUCT($B12:OFFSET($B13,-1,0),T62:OFFSET(T63,-1,0))</f>
        <v>0</v>
      </c>
      <c r="U61" s="58">
        <f ca="1">SUMPRODUCT($B12:OFFSET($B13,-1,0),U62:OFFSET(U63,-1,0))</f>
        <v>0</v>
      </c>
      <c r="V61" s="58">
        <f ca="1">SUMPRODUCT($B12:OFFSET($B13,-1,0),V62:OFFSET(V63,-1,0))</f>
        <v>0</v>
      </c>
      <c r="W61" s="58">
        <f ca="1">SUMPRODUCT($B12:OFFSET($B13,-1,0),W62:OFFSET(W63,-1,0))</f>
        <v>0</v>
      </c>
      <c r="X61" s="58">
        <f ca="1">SUMPRODUCT($B12:OFFSET($B13,-1,0),X62:OFFSET(X63,-1,0))</f>
        <v>0</v>
      </c>
      <c r="Y61" s="58">
        <f ca="1">SUMPRODUCT($B12:OFFSET($B13,-1,0),Y62:OFFSET(Y63,-1,0))</f>
        <v>0</v>
      </c>
      <c r="AA61" s="57">
        <f ca="1">SUM(F61:Y61)</f>
        <v>0</v>
      </c>
    </row>
    <row r="62" spans="1:27" s="11" customFormat="1" hidden="1" outlineLevel="2" x14ac:dyDescent="0.2">
      <c r="A62" s="11" t="str">
        <f ca="1">"        " &amp; A12</f>
        <v xml:space="preserve">        Проект 1</v>
      </c>
      <c r="C62" s="198" t="str">
        <f ca="1">CUR_Report</f>
        <v>тыс. EUR</v>
      </c>
      <c r="D62" s="11" t="e">
        <f ca="1">"[" &amp; F12 &amp; "];int_sum"</f>
        <v>#NAME?</v>
      </c>
      <c r="F62" s="54">
        <f ca="1">IF(OR(F$33&lt;$B28,F$33&gt;$C28),0,OFFSET(Проект!F$201,0,1-$B28)+OFFSET(Проект!F$215,0,1-$B28))</f>
        <v>0</v>
      </c>
      <c r="G62" s="54">
        <f ca="1">IF(OR(G$33&lt;$B28,G$33&gt;$C28),0,OFFSET(Проект!G$201,0,1-$B28)+OFFSET(Проект!G$215,0,1-$B28))</f>
        <v>0</v>
      </c>
      <c r="H62" s="54">
        <f ca="1">IF(OR(H$33&lt;$B28,H$33&gt;$C28),0,OFFSET(Проект!H$201,0,1-$B28)+OFFSET(Проект!H$215,0,1-$B28))</f>
        <v>0</v>
      </c>
      <c r="I62" s="54">
        <f ca="1">IF(OR(I$33&lt;$B28,I$33&gt;$C28),0,OFFSET(Проект!I$201,0,1-$B28)+OFFSET(Проект!I$215,0,1-$B28))</f>
        <v>0</v>
      </c>
      <c r="J62" s="54">
        <f ca="1">IF(OR(J$33&lt;$B28,J$33&gt;$C28),0,OFFSET(Проект!J$201,0,1-$B28)+OFFSET(Проект!J$215,0,1-$B28))</f>
        <v>0</v>
      </c>
      <c r="K62" s="54">
        <f ca="1">IF(OR(K$33&lt;$B28,K$33&gt;$C28),0,OFFSET(Проект!K$201,0,1-$B28)+OFFSET(Проект!K$215,0,1-$B28))</f>
        <v>0</v>
      </c>
      <c r="L62" s="54">
        <f ca="1">IF(OR(L$33&lt;$B28,L$33&gt;$C28),0,OFFSET(Проект!L$201,0,1-$B28)+OFFSET(Проект!L$215,0,1-$B28))</f>
        <v>0</v>
      </c>
      <c r="M62" s="54">
        <f ca="1">IF(OR(M$33&lt;$B28,M$33&gt;$C28),0,OFFSET(Проект!M$201,0,1-$B28)+OFFSET(Проект!M$215,0,1-$B28))</f>
        <v>0</v>
      </c>
      <c r="N62" s="54">
        <f ca="1">IF(OR(N$33&lt;$B28,N$33&gt;$C28),0,OFFSET(Проект!N$201,0,1-$B28)+OFFSET(Проект!N$215,0,1-$B28))</f>
        <v>0</v>
      </c>
      <c r="O62" s="54">
        <f ca="1">IF(OR(O$33&lt;$B28,O$33&gt;$C28),0,OFFSET(Проект!O$201,0,1-$B28)+OFFSET(Проект!O$215,0,1-$B28))</f>
        <v>0</v>
      </c>
      <c r="P62" s="54">
        <f ca="1">IF(OR(P$33&lt;$B28,P$33&gt;$C28),0,OFFSET(Проект!P$201,0,1-$B28)+OFFSET(Проект!P$215,0,1-$B28))</f>
        <v>0</v>
      </c>
      <c r="Q62" s="54">
        <f ca="1">IF(OR(Q$33&lt;$B28,Q$33&gt;$C28),0,OFFSET(Проект!Q$201,0,1-$B28)+OFFSET(Проект!Q$215,0,1-$B28))</f>
        <v>0</v>
      </c>
      <c r="R62" s="54">
        <f ca="1">IF(OR(R$33&lt;$B28,R$33&gt;$C28),0,OFFSET(Проект!R$201,0,1-$B28)+OFFSET(Проект!R$215,0,1-$B28))</f>
        <v>0</v>
      </c>
      <c r="S62" s="54">
        <f ca="1">IF(OR(S$33&lt;$B28,S$33&gt;$C28),0,OFFSET(Проект!S$201,0,1-$B28)+OFFSET(Проект!S$215,0,1-$B28))</f>
        <v>0</v>
      </c>
      <c r="T62" s="54">
        <f ca="1">IF(OR(T$33&lt;$B28,T$33&gt;$C28),0,OFFSET(Проект!T$201,0,1-$B28)+OFFSET(Проект!T$215,0,1-$B28))</f>
        <v>0</v>
      </c>
      <c r="U62" s="54">
        <f ca="1">IF(OR(U$33&lt;$B28,U$33&gt;$C28),0,OFFSET(Проект!U$201,0,1-$B28)+OFFSET(Проект!U$215,0,1-$B28))</f>
        <v>0</v>
      </c>
      <c r="V62" s="54">
        <f ca="1">IF(OR(V$33&lt;$B28,V$33&gt;$C28),0,OFFSET(Проект!V$201,0,1-$B28)+OFFSET(Проект!V$215,0,1-$B28))</f>
        <v>0</v>
      </c>
      <c r="W62" s="54">
        <f ca="1">IF(OR(W$33&lt;$B28,W$33&gt;$C28),0,OFFSET(Проект!W$201,0,1-$B28)+OFFSET(Проект!W$215,0,1-$B28))</f>
        <v>0</v>
      </c>
      <c r="X62" s="54">
        <f ca="1">IF(OR(X$33&lt;$B28,X$33&gt;$C28),0,OFFSET(Проект!X$201,0,1-$B28)+OFFSET(Проект!X$215,0,1-$B28))</f>
        <v>0</v>
      </c>
      <c r="Y62" s="54">
        <f ca="1">IF(OR(Y$33&lt;$B28,Y$33&gt;$C28),0,OFFSET(Проект!AC$201,0,1-$B28)+OFFSET(Проект!AC$215,0,1-$B28))</f>
        <v>0</v>
      </c>
      <c r="AA62" s="202">
        <f ca="1">SUM(F62:Y62)</f>
        <v>0</v>
      </c>
    </row>
    <row r="63" spans="1:27" outlineLevel="1" x14ac:dyDescent="0.2">
      <c r="A63" s="180"/>
    </row>
    <row r="64" spans="1:27" outlineLevel="1" x14ac:dyDescent="0.2">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c r="AA64" s="203"/>
    </row>
    <row r="65" spans="1:27" outlineLevel="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205"/>
    </row>
    <row r="66" spans="1:27" s="4" customFormat="1" ht="15.95" customHeight="1" thickBot="1" x14ac:dyDescent="0.25">
      <c r="A66" s="165" t="str">
        <f ca="1">Language!A$973</f>
        <v xml:space="preserve">         СВОДНЫЙ ОТЧЕТ ОБ ИНВЕСТИЦИЯХ В ПРОЕКТ</v>
      </c>
      <c r="B66" s="165"/>
      <c r="C66" s="165"/>
      <c r="D66" s="165"/>
      <c r="E66" s="165"/>
      <c r="F66" s="177" t="str">
        <f ca="1">IF(Проект!ShowRealDates,F36,F34)</f>
        <v>1 кв. 2016</v>
      </c>
      <c r="G66" s="177" t="str">
        <f ca="1">IF(Проект!ShowRealDates,G36,G34)</f>
        <v>2 кв. 2016</v>
      </c>
      <c r="H66" s="177" t="str">
        <f ca="1">IF(Проект!ShowRealDates,H36,H34)</f>
        <v>3 кв. 2016</v>
      </c>
      <c r="I66" s="177" t="str">
        <f ca="1">IF(Проект!ShowRealDates,I36,I34)</f>
        <v>4 кв. 2016</v>
      </c>
      <c r="J66" s="177" t="str">
        <f ca="1">IF(Проект!ShowRealDates,J36,J34)</f>
        <v>1 кв. 2017</v>
      </c>
      <c r="K66" s="177" t="str">
        <f ca="1">IF(Проект!ShowRealDates,K36,K34)</f>
        <v>2 кв. 2017</v>
      </c>
      <c r="L66" s="177" t="str">
        <f ca="1">IF(Проект!ShowRealDates,L36,L34)</f>
        <v>3 кв. 2017</v>
      </c>
      <c r="M66" s="177" t="str">
        <f ca="1">IF(Проект!ShowRealDates,M36,M34)</f>
        <v>4 кв. 2017</v>
      </c>
      <c r="N66" s="177" t="str">
        <f ca="1">IF(Проект!ShowRealDates,N36,N34)</f>
        <v>1 кв. 2018</v>
      </c>
      <c r="O66" s="177" t="str">
        <f ca="1">IF(Проект!ShowRealDates,O36,O34)</f>
        <v>2 кв. 2018</v>
      </c>
      <c r="P66" s="177" t="str">
        <f ca="1">IF(Проект!ShowRealDates,P36,P34)</f>
        <v>3 кв. 2018</v>
      </c>
      <c r="Q66" s="177" t="str">
        <f ca="1">IF(Проект!ShowRealDates,Q36,Q34)</f>
        <v>4 кв. 2018</v>
      </c>
      <c r="R66" s="177" t="str">
        <f ca="1">IF(Проект!ShowRealDates,R36,R34)</f>
        <v>1 кв. 2019</v>
      </c>
      <c r="S66" s="177" t="str">
        <f ca="1">IF(Проект!ShowRealDates,S36,S34)</f>
        <v>2 кв. 2019</v>
      </c>
      <c r="T66" s="177" t="str">
        <f ca="1">IF(Проект!ShowRealDates,T36,T34)</f>
        <v>3 кв. 2019</v>
      </c>
      <c r="U66" s="177" t="str">
        <f ca="1">IF(Проект!ShowRealDates,U36,U34)</f>
        <v>4 кв. 2019</v>
      </c>
      <c r="V66" s="177" t="str">
        <f ca="1">IF(Проект!ShowRealDates,V36,V34)</f>
        <v>1 кв. 2020</v>
      </c>
      <c r="W66" s="177" t="str">
        <f ca="1">IF(Проект!ShowRealDates,W36,W34)</f>
        <v>2 кв. 2020</v>
      </c>
      <c r="X66" s="177" t="str">
        <f ca="1">IF(Проект!ShowRealDates,X36,X34)</f>
        <v>3 кв. 2020</v>
      </c>
      <c r="Y66" s="177" t="str">
        <f ca="1">IF(Проект!ShowRealDates,Y36,Y34)</f>
        <v>4 кв. 2020</v>
      </c>
      <c r="Z66" s="165"/>
      <c r="AA66" s="194" t="str">
        <f ca="1">Language!A$372</f>
        <v>ИТОГО</v>
      </c>
    </row>
    <row r="67" spans="1:27" ht="12" outlineLevel="1" thickTop="1" x14ac:dyDescent="0.2">
      <c r="AA67" s="11"/>
    </row>
    <row r="68" spans="1:27" outlineLevel="1" collapsed="1" x14ac:dyDescent="0.2">
      <c r="A68" s="35" t="str">
        <f ca="1">Language!A$692</f>
        <v>Потребность в инвестициях</v>
      </c>
      <c r="C68" s="26" t="str">
        <f ca="1">CUR_Report</f>
        <v>тыс. EUR</v>
      </c>
      <c r="D68" s="204" t="s">
        <v>2615</v>
      </c>
      <c r="F68" s="58">
        <f ca="1">SUMPRODUCT($B12:OFFSET($B13,-1,0),F69:OFFSET(F70,-1,0))</f>
        <v>0</v>
      </c>
      <c r="G68" s="58">
        <f ca="1">SUMPRODUCT($B12:OFFSET($B13,-1,0),G69:OFFSET(G70,-1,0))</f>
        <v>0</v>
      </c>
      <c r="H68" s="58">
        <f ca="1">SUMPRODUCT($B12:OFFSET($B13,-1,0),H69:OFFSET(H70,-1,0))</f>
        <v>5695.3855543220343</v>
      </c>
      <c r="I68" s="58">
        <f ca="1">SUMPRODUCT($B12:OFFSET($B13,-1,0),I69:OFFSET(I70,-1,0))</f>
        <v>1519.56</v>
      </c>
      <c r="J68" s="58">
        <f ca="1">SUMPRODUCT($B12:OFFSET($B13,-1,0),J69:OFFSET(J70,-1,0))</f>
        <v>7024.8891971793519</v>
      </c>
      <c r="K68" s="58">
        <f ca="1">SUMPRODUCT($B12:OFFSET($B13,-1,0),K69:OFFSET(K70,-1,0))</f>
        <v>2883.7623677660667</v>
      </c>
      <c r="L68" s="58">
        <f ca="1">SUMPRODUCT($B12:OFFSET($B13,-1,0),L69:OFFSET(L70,-1,0))</f>
        <v>5.6843418860808015E-14</v>
      </c>
      <c r="M68" s="58">
        <f ca="1">SUMPRODUCT($B12:OFFSET($B13,-1,0),M69:OFFSET(M70,-1,0))</f>
        <v>0</v>
      </c>
      <c r="N68" s="58">
        <f ca="1">SUMPRODUCT($B12:OFFSET($B13,-1,0),N69:OFFSET(N70,-1,0))</f>
        <v>-47.90430408785906</v>
      </c>
      <c r="O68" s="58">
        <f ca="1">SUMPRODUCT($B12:OFFSET($B13,-1,0),O69:OFFSET(O70,-1,0))</f>
        <v>-41.655454582366474</v>
      </c>
      <c r="P68" s="58">
        <f ca="1">SUMPRODUCT($B12:OFFSET($B13,-1,0),P69:OFFSET(P70,-1,0))</f>
        <v>0</v>
      </c>
      <c r="Q68" s="58">
        <f ca="1">SUMPRODUCT($B12:OFFSET($B13,-1,0),Q69:OFFSET(Q70,-1,0))</f>
        <v>0</v>
      </c>
      <c r="R68" s="58">
        <f ca="1">SUMPRODUCT($B12:OFFSET($B13,-1,0),R69:OFFSET(R70,-1,0))</f>
        <v>0</v>
      </c>
      <c r="S68" s="58">
        <f ca="1">SUMPRODUCT($B12:OFFSET($B13,-1,0),S69:OFFSET(S70,-1,0))</f>
        <v>0</v>
      </c>
      <c r="T68" s="58">
        <f ca="1">SUMPRODUCT($B12:OFFSET($B13,-1,0),T69:OFFSET(T70,-1,0))</f>
        <v>0</v>
      </c>
      <c r="U68" s="58">
        <f ca="1">SUMPRODUCT($B12:OFFSET($B13,-1,0),U69:OFFSET(U70,-1,0))</f>
        <v>0</v>
      </c>
      <c r="V68" s="58">
        <f ca="1">SUMPRODUCT($B12:OFFSET($B13,-1,0),V69:OFFSET(V70,-1,0))</f>
        <v>0</v>
      </c>
      <c r="W68" s="58">
        <f ca="1">SUMPRODUCT($B12:OFFSET($B13,-1,0),W69:OFFSET(W70,-1,0))</f>
        <v>0</v>
      </c>
      <c r="X68" s="58">
        <f ca="1">SUMPRODUCT($B12:OFFSET($B13,-1,0),X69:OFFSET(X70,-1,0))</f>
        <v>0</v>
      </c>
      <c r="Y68" s="58">
        <f ca="1">SUMPRODUCT($B12:OFFSET($B13,-1,0),Y69:OFFSET(Y70,-1,0))</f>
        <v>0</v>
      </c>
      <c r="AA68" s="57">
        <f ca="1">SUM(F68:Y68)</f>
        <v>17034.037360597224</v>
      </c>
    </row>
    <row r="69" spans="1:27" s="11" customFormat="1" hidden="1" outlineLevel="2" x14ac:dyDescent="0.2">
      <c r="A69" s="11" t="str">
        <f ca="1">"        " &amp; A12</f>
        <v xml:space="preserve">        Проект 1</v>
      </c>
      <c r="C69" s="198" t="str">
        <f ca="1">CUR_Report</f>
        <v>тыс. EUR</v>
      </c>
      <c r="D69" s="11" t="e">
        <f ca="1">"[" &amp; F12 &amp; "];int_sum"</f>
        <v>#NAME?</v>
      </c>
      <c r="F69" s="54">
        <f ca="1">IF(OR(F$33&lt;$B28,F$33&gt;$C28),0,OFFSET(Проект!F$1167,0,1-$B28))</f>
        <v>0</v>
      </c>
      <c r="G69" s="54">
        <f ca="1">IF(OR(G$33&lt;$B28,G$33&gt;$C28),0,OFFSET(Проект!G$1167,0,1-$B28))</f>
        <v>0</v>
      </c>
      <c r="H69" s="54">
        <f ca="1">IF(OR(H$33&lt;$B28,H$33&gt;$C28),0,OFFSET(Проект!H$1167,0,1-$B28))</f>
        <v>5695.3855543220343</v>
      </c>
      <c r="I69" s="54">
        <f ca="1">IF(OR(I$33&lt;$B28,I$33&gt;$C28),0,OFFSET(Проект!I$1167,0,1-$B28))</f>
        <v>1519.56</v>
      </c>
      <c r="J69" s="54">
        <f ca="1">IF(OR(J$33&lt;$B28,J$33&gt;$C28),0,OFFSET(Проект!J$1167,0,1-$B28))</f>
        <v>7024.8891971793519</v>
      </c>
      <c r="K69" s="54">
        <f ca="1">IF(OR(K$33&lt;$B28,K$33&gt;$C28),0,OFFSET(Проект!K$1167,0,1-$B28))</f>
        <v>2883.7623677660667</v>
      </c>
      <c r="L69" s="54">
        <f ca="1">IF(OR(L$33&lt;$B28,L$33&gt;$C28),0,OFFSET(Проект!L$1167,0,1-$B28))</f>
        <v>5.6843418860808015E-14</v>
      </c>
      <c r="M69" s="54">
        <f ca="1">IF(OR(M$33&lt;$B28,M$33&gt;$C28),0,OFFSET(Проект!M$1167,0,1-$B28))</f>
        <v>0</v>
      </c>
      <c r="N69" s="54">
        <f ca="1">IF(OR(N$33&lt;$B28,N$33&gt;$C28),0,OFFSET(Проект!N$1167,0,1-$B28))</f>
        <v>-47.90430408785906</v>
      </c>
      <c r="O69" s="54">
        <f ca="1">IF(OR(O$33&lt;$B28,O$33&gt;$C28),0,OFFSET(Проект!O$1167,0,1-$B28))</f>
        <v>-41.655454582366474</v>
      </c>
      <c r="P69" s="54">
        <f ca="1">IF(OR(P$33&lt;$B28,P$33&gt;$C28),0,OFFSET(Проект!P$1167,0,1-$B28))</f>
        <v>0</v>
      </c>
      <c r="Q69" s="54">
        <f ca="1">IF(OR(Q$33&lt;$B28,Q$33&gt;$C28),0,OFFSET(Проект!Q$1167,0,1-$B28))</f>
        <v>0</v>
      </c>
      <c r="R69" s="54">
        <f ca="1">IF(OR(R$33&lt;$B28,R$33&gt;$C28),0,OFFSET(Проект!R$1167,0,1-$B28))</f>
        <v>0</v>
      </c>
      <c r="S69" s="54">
        <f ca="1">IF(OR(S$33&lt;$B28,S$33&gt;$C28),0,OFFSET(Проект!S$1167,0,1-$B28))</f>
        <v>0</v>
      </c>
      <c r="T69" s="54">
        <f ca="1">IF(OR(T$33&lt;$B28,T$33&gt;$C28),0,OFFSET(Проект!T$1167,0,1-$B28))</f>
        <v>0</v>
      </c>
      <c r="U69" s="54">
        <f ca="1">IF(OR(U$33&lt;$B28,U$33&gt;$C28),0,OFFSET(Проект!U$1167,0,1-$B28))</f>
        <v>0</v>
      </c>
      <c r="V69" s="54">
        <f ca="1">IF(OR(V$33&lt;$B28,V$33&gt;$C28),0,OFFSET(Проект!V$1167,0,1-$B28))</f>
        <v>0</v>
      </c>
      <c r="W69" s="54">
        <f ca="1">IF(OR(W$33&lt;$B28,W$33&gt;$C28),0,OFFSET(Проект!W$1167,0,1-$B28))</f>
        <v>0</v>
      </c>
      <c r="X69" s="54">
        <f ca="1">IF(OR(X$33&lt;$B28,X$33&gt;$C28),0,OFFSET(Проект!X$1167,0,1-$B28))</f>
        <v>0</v>
      </c>
      <c r="Y69" s="54">
        <f ca="1">IF(OR(Y$33&lt;$B28,Y$33&gt;$C28),0,OFFSET(Проект!AC$1167,0,1-$B28))</f>
        <v>0</v>
      </c>
      <c r="AA69" s="54">
        <f ca="1">SUM(F69:Y69)</f>
        <v>17034.037360597224</v>
      </c>
    </row>
    <row r="70" spans="1:27" outlineLevel="1" x14ac:dyDescent="0.2">
      <c r="AA70" s="11"/>
    </row>
    <row r="71" spans="1:27" outlineLevel="1" collapsed="1" x14ac:dyDescent="0.2">
      <c r="A71" t="str">
        <f ca="1">Language!A$696</f>
        <v>Инвестиции в здания и сооружения</v>
      </c>
      <c r="C71" s="26" t="str">
        <f t="shared" ref="C71:C84" ca="1" si="5">CUR_Report</f>
        <v>тыс. EUR</v>
      </c>
      <c r="D71" s="204" t="s">
        <v>2615</v>
      </c>
      <c r="F71" s="43">
        <f ca="1">SUMPRODUCT($B12:OFFSET($B13,-1,0),F72:OFFSET(F73,-1,0))</f>
        <v>0</v>
      </c>
      <c r="G71" s="43">
        <f ca="1">SUMPRODUCT($B12:OFFSET($B13,-1,0),G72:OFFSET(G73,-1,0))</f>
        <v>0</v>
      </c>
      <c r="H71" s="43">
        <f ca="1">SUMPRODUCT($B12:OFFSET($B13,-1,0),H72:OFFSET(H73,-1,0))</f>
        <v>1519.56</v>
      </c>
      <c r="I71" s="43">
        <f ca="1">SUMPRODUCT($B12:OFFSET($B13,-1,0),I72:OFFSET(I73,-1,0))</f>
        <v>1519.56</v>
      </c>
      <c r="J71" s="43">
        <f ca="1">SUMPRODUCT($B12:OFFSET($B13,-1,0),J72:OFFSET(J73,-1,0))</f>
        <v>0</v>
      </c>
      <c r="K71" s="43">
        <f ca="1">SUMPRODUCT($B12:OFFSET($B13,-1,0),K72:OFFSET(K73,-1,0))</f>
        <v>0</v>
      </c>
      <c r="L71" s="43">
        <f ca="1">SUMPRODUCT($B12:OFFSET($B13,-1,0),L72:OFFSET(L73,-1,0))</f>
        <v>0</v>
      </c>
      <c r="M71" s="43">
        <f ca="1">SUMPRODUCT($B12:OFFSET($B13,-1,0),M72:OFFSET(M73,-1,0))</f>
        <v>0</v>
      </c>
      <c r="N71" s="43">
        <f ca="1">SUMPRODUCT($B12:OFFSET($B13,-1,0),N72:OFFSET(N73,-1,0))</f>
        <v>0</v>
      </c>
      <c r="O71" s="43">
        <f ca="1">SUMPRODUCT($B12:OFFSET($B13,-1,0),O72:OFFSET(O73,-1,0))</f>
        <v>0</v>
      </c>
      <c r="P71" s="43">
        <f ca="1">SUMPRODUCT($B12:OFFSET($B13,-1,0),P72:OFFSET(P73,-1,0))</f>
        <v>0</v>
      </c>
      <c r="Q71" s="43">
        <f ca="1">SUMPRODUCT($B12:OFFSET($B13,-1,0),Q72:OFFSET(Q73,-1,0))</f>
        <v>0</v>
      </c>
      <c r="R71" s="43">
        <f ca="1">SUMPRODUCT($B12:OFFSET($B13,-1,0),R72:OFFSET(R73,-1,0))</f>
        <v>0</v>
      </c>
      <c r="S71" s="43">
        <f ca="1">SUMPRODUCT($B12:OFFSET($B13,-1,0),S72:OFFSET(S73,-1,0))</f>
        <v>0</v>
      </c>
      <c r="T71" s="43">
        <f ca="1">SUMPRODUCT($B12:OFFSET($B13,-1,0),T72:OFFSET(T73,-1,0))</f>
        <v>0</v>
      </c>
      <c r="U71" s="43">
        <f ca="1">SUMPRODUCT($B12:OFFSET($B13,-1,0),U72:OFFSET(U73,-1,0))</f>
        <v>0</v>
      </c>
      <c r="V71" s="43">
        <f ca="1">SUMPRODUCT($B12:OFFSET($B13,-1,0),V72:OFFSET(V73,-1,0))</f>
        <v>0</v>
      </c>
      <c r="W71" s="43">
        <f ca="1">SUMPRODUCT($B12:OFFSET($B13,-1,0),W72:OFFSET(W73,-1,0))</f>
        <v>0</v>
      </c>
      <c r="X71" s="43">
        <f ca="1">SUMPRODUCT($B12:OFFSET($B13,-1,0),X72:OFFSET(X73,-1,0))</f>
        <v>0</v>
      </c>
      <c r="Y71" s="43">
        <f ca="1">SUMPRODUCT($B12:OFFSET($B13,-1,0),Y72:OFFSET(Y73,-1,0))</f>
        <v>0</v>
      </c>
      <c r="AA71" s="54">
        <f t="shared" ref="AA71:AA84" ca="1" si="6">SUM(F71:Y71)</f>
        <v>3039.12</v>
      </c>
    </row>
    <row r="72" spans="1:27" s="11" customFormat="1" hidden="1" outlineLevel="2" x14ac:dyDescent="0.2">
      <c r="A72" s="11" t="str">
        <f ca="1">"        " &amp; A12</f>
        <v xml:space="preserve">        Проект 1</v>
      </c>
      <c r="C72" s="198" t="str">
        <f t="shared" ca="1" si="5"/>
        <v>тыс. EUR</v>
      </c>
      <c r="D72" s="11" t="e">
        <f ca="1">"[" &amp; F12 &amp; "];int_sum"</f>
        <v>#NAME?</v>
      </c>
      <c r="F72" s="54">
        <f ca="1">IF(OR(F$33&lt;$B28,F$33&gt;$C28),0,OFFSET(Проект!F$1169,0,1-$B28))</f>
        <v>0</v>
      </c>
      <c r="G72" s="54">
        <f ca="1">IF(OR(G$33&lt;$B28,G$33&gt;$C28),0,OFFSET(Проект!G$1169,0,1-$B28))</f>
        <v>0</v>
      </c>
      <c r="H72" s="54">
        <f ca="1">IF(OR(H$33&lt;$B28,H$33&gt;$C28),0,OFFSET(Проект!H$1169,0,1-$B28))</f>
        <v>1519.56</v>
      </c>
      <c r="I72" s="54">
        <f ca="1">IF(OR(I$33&lt;$B28,I$33&gt;$C28),0,OFFSET(Проект!I$1169,0,1-$B28))</f>
        <v>1519.56</v>
      </c>
      <c r="J72" s="54">
        <f ca="1">IF(OR(J$33&lt;$B28,J$33&gt;$C28),0,OFFSET(Проект!J$1169,0,1-$B28))</f>
        <v>0</v>
      </c>
      <c r="K72" s="54">
        <f ca="1">IF(OR(K$33&lt;$B28,K$33&gt;$C28),0,OFFSET(Проект!K$1169,0,1-$B28))</f>
        <v>0</v>
      </c>
      <c r="L72" s="54">
        <f ca="1">IF(OR(L$33&lt;$B28,L$33&gt;$C28),0,OFFSET(Проект!L$1169,0,1-$B28))</f>
        <v>0</v>
      </c>
      <c r="M72" s="54">
        <f ca="1">IF(OR(M$33&lt;$B28,M$33&gt;$C28),0,OFFSET(Проект!M$1169,0,1-$B28))</f>
        <v>0</v>
      </c>
      <c r="N72" s="54">
        <f ca="1">IF(OR(N$33&lt;$B28,N$33&gt;$C28),0,OFFSET(Проект!N$1169,0,1-$B28))</f>
        <v>0</v>
      </c>
      <c r="O72" s="54">
        <f ca="1">IF(OR(O$33&lt;$B28,O$33&gt;$C28),0,OFFSET(Проект!O$1169,0,1-$B28))</f>
        <v>0</v>
      </c>
      <c r="P72" s="54">
        <f ca="1">IF(OR(P$33&lt;$B28,P$33&gt;$C28),0,OFFSET(Проект!P$1169,0,1-$B28))</f>
        <v>0</v>
      </c>
      <c r="Q72" s="54">
        <f ca="1">IF(OR(Q$33&lt;$B28,Q$33&gt;$C28),0,OFFSET(Проект!Q$1169,0,1-$B28))</f>
        <v>0</v>
      </c>
      <c r="R72" s="54">
        <f ca="1">IF(OR(R$33&lt;$B28,R$33&gt;$C28),0,OFFSET(Проект!R$1169,0,1-$B28))</f>
        <v>0</v>
      </c>
      <c r="S72" s="54">
        <f ca="1">IF(OR(S$33&lt;$B28,S$33&gt;$C28),0,OFFSET(Проект!S$1169,0,1-$B28))</f>
        <v>0</v>
      </c>
      <c r="T72" s="54">
        <f ca="1">IF(OR(T$33&lt;$B28,T$33&gt;$C28),0,OFFSET(Проект!T$1169,0,1-$B28))</f>
        <v>0</v>
      </c>
      <c r="U72" s="54">
        <f ca="1">IF(OR(U$33&lt;$B28,U$33&gt;$C28),0,OFFSET(Проект!U$1169,0,1-$B28))</f>
        <v>0</v>
      </c>
      <c r="V72" s="54">
        <f ca="1">IF(OR(V$33&lt;$B28,V$33&gt;$C28),0,OFFSET(Проект!V$1169,0,1-$B28))</f>
        <v>0</v>
      </c>
      <c r="W72" s="54">
        <f ca="1">IF(OR(W$33&lt;$B28,W$33&gt;$C28),0,OFFSET(Проект!W$1169,0,1-$B28))</f>
        <v>0</v>
      </c>
      <c r="X72" s="54">
        <f ca="1">IF(OR(X$33&lt;$B28,X$33&gt;$C28),0,OFFSET(Проект!X$1169,0,1-$B28))</f>
        <v>0</v>
      </c>
      <c r="Y72" s="54">
        <f ca="1">IF(OR(Y$33&lt;$B28,Y$33&gt;$C28),0,OFFSET(Проект!AC$1169,0,1-$B28))</f>
        <v>0</v>
      </c>
      <c r="AA72" s="54">
        <f t="shared" ca="1" si="6"/>
        <v>3039.12</v>
      </c>
    </row>
    <row r="73" spans="1:27" ht="12" customHeight="1" outlineLevel="1" collapsed="1" x14ac:dyDescent="0.2">
      <c r="A73" t="str">
        <f ca="1">Language!A$693</f>
        <v>Инвестиции в земельные участки</v>
      </c>
      <c r="C73" s="26" t="str">
        <f t="shared" ca="1" si="5"/>
        <v>тыс. EUR</v>
      </c>
      <c r="D73" s="204" t="s">
        <v>2615</v>
      </c>
      <c r="F73" s="43">
        <f ca="1">SUMPRODUCT($B12:OFFSET($B13,-1,0),F74:OFFSET(F75,-1,0))</f>
        <v>0</v>
      </c>
      <c r="G73" s="43">
        <f ca="1">SUMPRODUCT($B12:OFFSET($B13,-1,0),G74:OFFSET(G75,-1,0))</f>
        <v>0</v>
      </c>
      <c r="H73" s="43">
        <f ca="1">SUMPRODUCT($B12:OFFSET($B13,-1,0),H74:OFFSET(H75,-1,0))</f>
        <v>200</v>
      </c>
      <c r="I73" s="43">
        <f ca="1">SUMPRODUCT($B12:OFFSET($B13,-1,0),I74:OFFSET(I75,-1,0))</f>
        <v>0</v>
      </c>
      <c r="J73" s="43">
        <f ca="1">SUMPRODUCT($B12:OFFSET($B13,-1,0),J74:OFFSET(J75,-1,0))</f>
        <v>0</v>
      </c>
      <c r="K73" s="43">
        <f ca="1">SUMPRODUCT($B12:OFFSET($B13,-1,0),K74:OFFSET(K75,-1,0))</f>
        <v>0</v>
      </c>
      <c r="L73" s="43">
        <f ca="1">SUMPRODUCT($B12:OFFSET($B13,-1,0),L74:OFFSET(L75,-1,0))</f>
        <v>0</v>
      </c>
      <c r="M73" s="43">
        <f ca="1">SUMPRODUCT($B12:OFFSET($B13,-1,0),M74:OFFSET(M75,-1,0))</f>
        <v>0</v>
      </c>
      <c r="N73" s="43">
        <f ca="1">SUMPRODUCT($B12:OFFSET($B13,-1,0),N74:OFFSET(N75,-1,0))</f>
        <v>0</v>
      </c>
      <c r="O73" s="43">
        <f ca="1">SUMPRODUCT($B12:OFFSET($B13,-1,0),O74:OFFSET(O75,-1,0))</f>
        <v>0</v>
      </c>
      <c r="P73" s="43">
        <f ca="1">SUMPRODUCT($B12:OFFSET($B13,-1,0),P74:OFFSET(P75,-1,0))</f>
        <v>0</v>
      </c>
      <c r="Q73" s="43">
        <f ca="1">SUMPRODUCT($B12:OFFSET($B13,-1,0),Q74:OFFSET(Q75,-1,0))</f>
        <v>0</v>
      </c>
      <c r="R73" s="43">
        <f ca="1">SUMPRODUCT($B12:OFFSET($B13,-1,0),R74:OFFSET(R75,-1,0))</f>
        <v>0</v>
      </c>
      <c r="S73" s="43">
        <f ca="1">SUMPRODUCT($B12:OFFSET($B13,-1,0),S74:OFFSET(S75,-1,0))</f>
        <v>0</v>
      </c>
      <c r="T73" s="43">
        <f ca="1">SUMPRODUCT($B12:OFFSET($B13,-1,0),T74:OFFSET(T75,-1,0))</f>
        <v>0</v>
      </c>
      <c r="U73" s="43">
        <f ca="1">SUMPRODUCT($B12:OFFSET($B13,-1,0),U74:OFFSET(U75,-1,0))</f>
        <v>0</v>
      </c>
      <c r="V73" s="43">
        <f ca="1">SUMPRODUCT($B12:OFFSET($B13,-1,0),V74:OFFSET(V75,-1,0))</f>
        <v>0</v>
      </c>
      <c r="W73" s="43">
        <f ca="1">SUMPRODUCT($B12:OFFSET($B13,-1,0),W74:OFFSET(W75,-1,0))</f>
        <v>0</v>
      </c>
      <c r="X73" s="43">
        <f ca="1">SUMPRODUCT($B12:OFFSET($B13,-1,0),X74:OFFSET(X75,-1,0))</f>
        <v>0</v>
      </c>
      <c r="Y73" s="43">
        <f ca="1">SUMPRODUCT($B12:OFFSET($B13,-1,0),Y74:OFFSET(Y75,-1,0))</f>
        <v>0</v>
      </c>
      <c r="AA73" s="54">
        <f t="shared" ca="1" si="6"/>
        <v>200</v>
      </c>
    </row>
    <row r="74" spans="1:27" s="11" customFormat="1" ht="12" hidden="1" customHeight="1" outlineLevel="2" x14ac:dyDescent="0.2">
      <c r="A74" s="11" t="str">
        <f ca="1">"        " &amp; A12</f>
        <v xml:space="preserve">        Проект 1</v>
      </c>
      <c r="C74" s="198" t="str">
        <f t="shared" ca="1" si="5"/>
        <v>тыс. EUR</v>
      </c>
      <c r="D74" s="11" t="e">
        <f ca="1">"[" &amp; F12 &amp; "];int_sum"</f>
        <v>#NAME?</v>
      </c>
      <c r="F74" s="54">
        <f ca="1">IF(OR(F$33&lt;$B28,F$33&gt;$C28),0,OFFSET(Проект!F$1170,0,1-$B28))</f>
        <v>0</v>
      </c>
      <c r="G74" s="54">
        <f ca="1">IF(OR(G$33&lt;$B28,G$33&gt;$C28),0,OFFSET(Проект!G$1170,0,1-$B28))</f>
        <v>0</v>
      </c>
      <c r="H74" s="54">
        <f ca="1">IF(OR(H$33&lt;$B28,H$33&gt;$C28),0,OFFSET(Проект!H$1170,0,1-$B28))</f>
        <v>200</v>
      </c>
      <c r="I74" s="54">
        <f ca="1">IF(OR(I$33&lt;$B28,I$33&gt;$C28),0,OFFSET(Проект!I$1170,0,1-$B28))</f>
        <v>0</v>
      </c>
      <c r="J74" s="54">
        <f ca="1">IF(OR(J$33&lt;$B28,J$33&gt;$C28),0,OFFSET(Проект!J$1170,0,1-$B28))</f>
        <v>0</v>
      </c>
      <c r="K74" s="54">
        <f ca="1">IF(OR(K$33&lt;$B28,K$33&gt;$C28),0,OFFSET(Проект!K$1170,0,1-$B28))</f>
        <v>0</v>
      </c>
      <c r="L74" s="54">
        <f ca="1">IF(OR(L$33&lt;$B28,L$33&gt;$C28),0,OFFSET(Проект!L$1170,0,1-$B28))</f>
        <v>0</v>
      </c>
      <c r="M74" s="54">
        <f ca="1">IF(OR(M$33&lt;$B28,M$33&gt;$C28),0,OFFSET(Проект!M$1170,0,1-$B28))</f>
        <v>0</v>
      </c>
      <c r="N74" s="54">
        <f ca="1">IF(OR(N$33&lt;$B28,N$33&gt;$C28),0,OFFSET(Проект!N$1170,0,1-$B28))</f>
        <v>0</v>
      </c>
      <c r="O74" s="54">
        <f ca="1">IF(OR(O$33&lt;$B28,O$33&gt;$C28),0,OFFSET(Проект!O$1170,0,1-$B28))</f>
        <v>0</v>
      </c>
      <c r="P74" s="54">
        <f ca="1">IF(OR(P$33&lt;$B28,P$33&gt;$C28),0,OFFSET(Проект!P$1170,0,1-$B28))</f>
        <v>0</v>
      </c>
      <c r="Q74" s="54">
        <f ca="1">IF(OR(Q$33&lt;$B28,Q$33&gt;$C28),0,OFFSET(Проект!Q$1170,0,1-$B28))</f>
        <v>0</v>
      </c>
      <c r="R74" s="54">
        <f ca="1">IF(OR(R$33&lt;$B28,R$33&gt;$C28),0,OFFSET(Проект!R$1170,0,1-$B28))</f>
        <v>0</v>
      </c>
      <c r="S74" s="54">
        <f ca="1">IF(OR(S$33&lt;$B28,S$33&gt;$C28),0,OFFSET(Проект!S$1170,0,1-$B28))</f>
        <v>0</v>
      </c>
      <c r="T74" s="54">
        <f ca="1">IF(OR(T$33&lt;$B28,T$33&gt;$C28),0,OFFSET(Проект!T$1170,0,1-$B28))</f>
        <v>0</v>
      </c>
      <c r="U74" s="54">
        <f ca="1">IF(OR(U$33&lt;$B28,U$33&gt;$C28),0,OFFSET(Проект!U$1170,0,1-$B28))</f>
        <v>0</v>
      </c>
      <c r="V74" s="54">
        <f ca="1">IF(OR(V$33&lt;$B28,V$33&gt;$C28),0,OFFSET(Проект!V$1170,0,1-$B28))</f>
        <v>0</v>
      </c>
      <c r="W74" s="54">
        <f ca="1">IF(OR(W$33&lt;$B28,W$33&gt;$C28),0,OFFSET(Проект!W$1170,0,1-$B28))</f>
        <v>0</v>
      </c>
      <c r="X74" s="54">
        <f ca="1">IF(OR(X$33&lt;$B28,X$33&gt;$C28),0,OFFSET(Проект!X$1170,0,1-$B28))</f>
        <v>0</v>
      </c>
      <c r="Y74" s="54">
        <f ca="1">IF(OR(Y$33&lt;$B28,Y$33&gt;$C28),0,OFFSET(Проект!AC$1170,0,1-$B28))</f>
        <v>0</v>
      </c>
      <c r="AA74" s="54">
        <f t="shared" ca="1" si="6"/>
        <v>200</v>
      </c>
    </row>
    <row r="75" spans="1:27" ht="12" customHeight="1" outlineLevel="1" collapsed="1" x14ac:dyDescent="0.2">
      <c r="A75" t="str">
        <f ca="1">Language!A$694</f>
        <v>Инвестиции в нематериальные активы</v>
      </c>
      <c r="C75" s="26" t="str">
        <f t="shared" ca="1" si="5"/>
        <v>тыс. EUR</v>
      </c>
      <c r="D75" s="204" t="s">
        <v>2615</v>
      </c>
      <c r="F75" s="43">
        <f ca="1">SUMPRODUCT($B12:OFFSET($B13,-1,0),F76:OFFSET(F77,-1,0))</f>
        <v>0</v>
      </c>
      <c r="G75" s="43">
        <f ca="1">SUMPRODUCT($B12:OFFSET($B13,-1,0),G76:OFFSET(G77,-1,0))</f>
        <v>0</v>
      </c>
      <c r="H75" s="43">
        <f ca="1">SUMPRODUCT($B12:OFFSET($B13,-1,0),H76:OFFSET(H77,-1,0))</f>
        <v>100</v>
      </c>
      <c r="I75" s="43">
        <f ca="1">SUMPRODUCT($B12:OFFSET($B13,-1,0),I76:OFFSET(I77,-1,0))</f>
        <v>0</v>
      </c>
      <c r="J75" s="43">
        <f ca="1">SUMPRODUCT($B12:OFFSET($B13,-1,0),J76:OFFSET(J77,-1,0))</f>
        <v>0</v>
      </c>
      <c r="K75" s="43">
        <f ca="1">SUMPRODUCT($B12:OFFSET($B13,-1,0),K76:OFFSET(K77,-1,0))</f>
        <v>0</v>
      </c>
      <c r="L75" s="43">
        <f ca="1">SUMPRODUCT($B12:OFFSET($B13,-1,0),L76:OFFSET(L77,-1,0))</f>
        <v>0</v>
      </c>
      <c r="M75" s="43">
        <f ca="1">SUMPRODUCT($B12:OFFSET($B13,-1,0),M76:OFFSET(M77,-1,0))</f>
        <v>0</v>
      </c>
      <c r="N75" s="43">
        <f ca="1">SUMPRODUCT($B12:OFFSET($B13,-1,0),N76:OFFSET(N77,-1,0))</f>
        <v>0</v>
      </c>
      <c r="O75" s="43">
        <f ca="1">SUMPRODUCT($B12:OFFSET($B13,-1,0),O76:OFFSET(O77,-1,0))</f>
        <v>0</v>
      </c>
      <c r="P75" s="43">
        <f ca="1">SUMPRODUCT($B12:OFFSET($B13,-1,0),P76:OFFSET(P77,-1,0))</f>
        <v>0</v>
      </c>
      <c r="Q75" s="43">
        <f ca="1">SUMPRODUCT($B12:OFFSET($B13,-1,0),Q76:OFFSET(Q77,-1,0))</f>
        <v>0</v>
      </c>
      <c r="R75" s="43">
        <f ca="1">SUMPRODUCT($B12:OFFSET($B13,-1,0),R76:OFFSET(R77,-1,0))</f>
        <v>0</v>
      </c>
      <c r="S75" s="43">
        <f ca="1">SUMPRODUCT($B12:OFFSET($B13,-1,0),S76:OFFSET(S77,-1,0))</f>
        <v>0</v>
      </c>
      <c r="T75" s="43">
        <f ca="1">SUMPRODUCT($B12:OFFSET($B13,-1,0),T76:OFFSET(T77,-1,0))</f>
        <v>0</v>
      </c>
      <c r="U75" s="43">
        <f ca="1">SUMPRODUCT($B12:OFFSET($B13,-1,0),U76:OFFSET(U77,-1,0))</f>
        <v>0</v>
      </c>
      <c r="V75" s="43">
        <f ca="1">SUMPRODUCT($B12:OFFSET($B13,-1,0),V76:OFFSET(V77,-1,0))</f>
        <v>0</v>
      </c>
      <c r="W75" s="43">
        <f ca="1">SUMPRODUCT($B12:OFFSET($B13,-1,0),W76:OFFSET(W77,-1,0))</f>
        <v>0</v>
      </c>
      <c r="X75" s="43">
        <f ca="1">SUMPRODUCT($B12:OFFSET($B13,-1,0),X76:OFFSET(X77,-1,0))</f>
        <v>0</v>
      </c>
      <c r="Y75" s="43">
        <f ca="1">SUMPRODUCT($B12:OFFSET($B13,-1,0),Y76:OFFSET(Y77,-1,0))</f>
        <v>0</v>
      </c>
      <c r="AA75" s="54">
        <f t="shared" ca="1" si="6"/>
        <v>100</v>
      </c>
    </row>
    <row r="76" spans="1:27" s="11" customFormat="1" ht="12" hidden="1" customHeight="1" outlineLevel="2" x14ac:dyDescent="0.2">
      <c r="A76" s="11" t="str">
        <f ca="1">"        " &amp; A12</f>
        <v xml:space="preserve">        Проект 1</v>
      </c>
      <c r="C76" s="198" t="str">
        <f t="shared" ca="1" si="5"/>
        <v>тыс. EUR</v>
      </c>
      <c r="D76" s="11" t="e">
        <f ca="1">"[" &amp; F12 &amp; "];int_sum"</f>
        <v>#NAME?</v>
      </c>
      <c r="F76" s="54">
        <f ca="1">IF(OR(F$33&lt;$B28,F$33&gt;$C28),0,OFFSET(Проект!F$1171,0,1-$B28))</f>
        <v>0</v>
      </c>
      <c r="G76" s="54">
        <f ca="1">IF(OR(G$33&lt;$B28,G$33&gt;$C28),0,OFFSET(Проект!G$1171,0,1-$B28))</f>
        <v>0</v>
      </c>
      <c r="H76" s="54">
        <f ca="1">IF(OR(H$33&lt;$B28,H$33&gt;$C28),0,OFFSET(Проект!H$1171,0,1-$B28))</f>
        <v>100</v>
      </c>
      <c r="I76" s="54">
        <f ca="1">IF(OR(I$33&lt;$B28,I$33&gt;$C28),0,OFFSET(Проект!I$1171,0,1-$B28))</f>
        <v>0</v>
      </c>
      <c r="J76" s="54">
        <f ca="1">IF(OR(J$33&lt;$B28,J$33&gt;$C28),0,OFFSET(Проект!J$1171,0,1-$B28))</f>
        <v>0</v>
      </c>
      <c r="K76" s="54">
        <f ca="1">IF(OR(K$33&lt;$B28,K$33&gt;$C28),0,OFFSET(Проект!K$1171,0,1-$B28))</f>
        <v>0</v>
      </c>
      <c r="L76" s="54">
        <f ca="1">IF(OR(L$33&lt;$B28,L$33&gt;$C28),0,OFFSET(Проект!L$1171,0,1-$B28))</f>
        <v>0</v>
      </c>
      <c r="M76" s="54">
        <f ca="1">IF(OR(M$33&lt;$B28,M$33&gt;$C28),0,OFFSET(Проект!M$1171,0,1-$B28))</f>
        <v>0</v>
      </c>
      <c r="N76" s="54">
        <f ca="1">IF(OR(N$33&lt;$B28,N$33&gt;$C28),0,OFFSET(Проект!N$1171,0,1-$B28))</f>
        <v>0</v>
      </c>
      <c r="O76" s="54">
        <f ca="1">IF(OR(O$33&lt;$B28,O$33&gt;$C28),0,OFFSET(Проект!O$1171,0,1-$B28))</f>
        <v>0</v>
      </c>
      <c r="P76" s="54">
        <f ca="1">IF(OR(P$33&lt;$B28,P$33&gt;$C28),0,OFFSET(Проект!P$1171,0,1-$B28))</f>
        <v>0</v>
      </c>
      <c r="Q76" s="54">
        <f ca="1">IF(OR(Q$33&lt;$B28,Q$33&gt;$C28),0,OFFSET(Проект!Q$1171,0,1-$B28))</f>
        <v>0</v>
      </c>
      <c r="R76" s="54">
        <f ca="1">IF(OR(R$33&lt;$B28,R$33&gt;$C28),0,OFFSET(Проект!R$1171,0,1-$B28))</f>
        <v>0</v>
      </c>
      <c r="S76" s="54">
        <f ca="1">IF(OR(S$33&lt;$B28,S$33&gt;$C28),0,OFFSET(Проект!S$1171,0,1-$B28))</f>
        <v>0</v>
      </c>
      <c r="T76" s="54">
        <f ca="1">IF(OR(T$33&lt;$B28,T$33&gt;$C28),0,OFFSET(Проект!T$1171,0,1-$B28))</f>
        <v>0</v>
      </c>
      <c r="U76" s="54">
        <f ca="1">IF(OR(U$33&lt;$B28,U$33&gt;$C28),0,OFFSET(Проект!U$1171,0,1-$B28))</f>
        <v>0</v>
      </c>
      <c r="V76" s="54">
        <f ca="1">IF(OR(V$33&lt;$B28,V$33&gt;$C28),0,OFFSET(Проект!V$1171,0,1-$B28))</f>
        <v>0</v>
      </c>
      <c r="W76" s="54">
        <f ca="1">IF(OR(W$33&lt;$B28,W$33&gt;$C28),0,OFFSET(Проект!W$1171,0,1-$B28))</f>
        <v>0</v>
      </c>
      <c r="X76" s="54">
        <f ca="1">IF(OR(X$33&lt;$B28,X$33&gt;$C28),0,OFFSET(Проект!X$1171,0,1-$B28))</f>
        <v>0</v>
      </c>
      <c r="Y76" s="54">
        <f ca="1">IF(OR(Y$33&lt;$B28,Y$33&gt;$C28),0,OFFSET(Проект!AC$1171,0,1-$B28))</f>
        <v>0</v>
      </c>
      <c r="AA76" s="54">
        <f t="shared" ca="1" si="6"/>
        <v>100</v>
      </c>
    </row>
    <row r="77" spans="1:27" outlineLevel="1" collapsed="1" x14ac:dyDescent="0.2">
      <c r="A77" t="str">
        <f ca="1">Language!A$695</f>
        <v>Инвестиции в финансовые активы</v>
      </c>
      <c r="C77" s="26" t="str">
        <f t="shared" ca="1" si="5"/>
        <v>тыс. EUR</v>
      </c>
      <c r="D77" s="204" t="s">
        <v>2615</v>
      </c>
      <c r="F77" s="43">
        <f ca="1">SUMPRODUCT($B12:OFFSET($B13,-1,0),F78:OFFSET(F79,-1,0))</f>
        <v>0</v>
      </c>
      <c r="G77" s="43">
        <f ca="1">SUMPRODUCT($B12:OFFSET($B13,-1,0),G78:OFFSET(G79,-1,0))</f>
        <v>0</v>
      </c>
      <c r="H77" s="43">
        <f ca="1">SUMPRODUCT($B12:OFFSET($B13,-1,0),H78:OFFSET(H79,-1,0))</f>
        <v>0</v>
      </c>
      <c r="I77" s="43">
        <f ca="1">SUMPRODUCT($B12:OFFSET($B13,-1,0),I78:OFFSET(I79,-1,0))</f>
        <v>0</v>
      </c>
      <c r="J77" s="43">
        <f ca="1">SUMPRODUCT($B12:OFFSET($B13,-1,0),J78:OFFSET(J79,-1,0))</f>
        <v>0</v>
      </c>
      <c r="K77" s="43">
        <f ca="1">SUMPRODUCT($B12:OFFSET($B13,-1,0),K78:OFFSET(K79,-1,0))</f>
        <v>0</v>
      </c>
      <c r="L77" s="43">
        <f ca="1">SUMPRODUCT($B12:OFFSET($B13,-1,0),L78:OFFSET(L79,-1,0))</f>
        <v>0</v>
      </c>
      <c r="M77" s="43">
        <f ca="1">SUMPRODUCT($B12:OFFSET($B13,-1,0),M78:OFFSET(M79,-1,0))</f>
        <v>0</v>
      </c>
      <c r="N77" s="43">
        <f ca="1">SUMPRODUCT($B12:OFFSET($B13,-1,0),N78:OFFSET(N79,-1,0))</f>
        <v>0</v>
      </c>
      <c r="O77" s="43">
        <f ca="1">SUMPRODUCT($B12:OFFSET($B13,-1,0),O78:OFFSET(O79,-1,0))</f>
        <v>0</v>
      </c>
      <c r="P77" s="43">
        <f ca="1">SUMPRODUCT($B12:OFFSET($B13,-1,0),P78:OFFSET(P79,-1,0))</f>
        <v>0</v>
      </c>
      <c r="Q77" s="43">
        <f ca="1">SUMPRODUCT($B12:OFFSET($B13,-1,0),Q78:OFFSET(Q79,-1,0))</f>
        <v>0</v>
      </c>
      <c r="R77" s="43">
        <f ca="1">SUMPRODUCT($B12:OFFSET($B13,-1,0),R78:OFFSET(R79,-1,0))</f>
        <v>0</v>
      </c>
      <c r="S77" s="43">
        <f ca="1">SUMPRODUCT($B12:OFFSET($B13,-1,0),S78:OFFSET(S79,-1,0))</f>
        <v>0</v>
      </c>
      <c r="T77" s="43">
        <f ca="1">SUMPRODUCT($B12:OFFSET($B13,-1,0),T78:OFFSET(T79,-1,0))</f>
        <v>0</v>
      </c>
      <c r="U77" s="43">
        <f ca="1">SUMPRODUCT($B12:OFFSET($B13,-1,0),U78:OFFSET(U79,-1,0))</f>
        <v>0</v>
      </c>
      <c r="V77" s="43">
        <f ca="1">SUMPRODUCT($B12:OFFSET($B13,-1,0),V78:OFFSET(V79,-1,0))</f>
        <v>0</v>
      </c>
      <c r="W77" s="43">
        <f ca="1">SUMPRODUCT($B12:OFFSET($B13,-1,0),W78:OFFSET(W79,-1,0))</f>
        <v>0</v>
      </c>
      <c r="X77" s="43">
        <f ca="1">SUMPRODUCT($B12:OFFSET($B13,-1,0),X78:OFFSET(X79,-1,0))</f>
        <v>0</v>
      </c>
      <c r="Y77" s="43">
        <f ca="1">SUMPRODUCT($B12:OFFSET($B13,-1,0),Y78:OFFSET(Y79,-1,0))</f>
        <v>0</v>
      </c>
      <c r="AA77" s="54">
        <f t="shared" ca="1" si="6"/>
        <v>0</v>
      </c>
    </row>
    <row r="78" spans="1:27" s="11" customFormat="1" hidden="1" outlineLevel="2" x14ac:dyDescent="0.2">
      <c r="A78" s="11" t="str">
        <f ca="1">"        " &amp; A12</f>
        <v xml:space="preserve">        Проект 1</v>
      </c>
      <c r="C78" s="198" t="str">
        <f t="shared" ca="1" si="5"/>
        <v>тыс. EUR</v>
      </c>
      <c r="D78" s="11" t="e">
        <f ca="1">"[" &amp; F12 &amp; "];int_sum"</f>
        <v>#NAME?</v>
      </c>
      <c r="F78" s="54">
        <f ca="1">IF(OR(F$33&lt;$B28,F$33&gt;$C28),0,OFFSET(Проект!F$1172,0,1-$B28))</f>
        <v>0</v>
      </c>
      <c r="G78" s="54">
        <f ca="1">IF(OR(G$33&lt;$B28,G$33&gt;$C28),0,OFFSET(Проект!G$1172,0,1-$B28))</f>
        <v>0</v>
      </c>
      <c r="H78" s="54">
        <f ca="1">IF(OR(H$33&lt;$B28,H$33&gt;$C28),0,OFFSET(Проект!H$1172,0,1-$B28))</f>
        <v>0</v>
      </c>
      <c r="I78" s="54">
        <f ca="1">IF(OR(I$33&lt;$B28,I$33&gt;$C28),0,OFFSET(Проект!I$1172,0,1-$B28))</f>
        <v>0</v>
      </c>
      <c r="J78" s="54">
        <f ca="1">IF(OR(J$33&lt;$B28,J$33&gt;$C28),0,OFFSET(Проект!J$1172,0,1-$B28))</f>
        <v>0</v>
      </c>
      <c r="K78" s="54">
        <f ca="1">IF(OR(K$33&lt;$B28,K$33&gt;$C28),0,OFFSET(Проект!K$1172,0,1-$B28))</f>
        <v>0</v>
      </c>
      <c r="L78" s="54">
        <f ca="1">IF(OR(L$33&lt;$B28,L$33&gt;$C28),0,OFFSET(Проект!L$1172,0,1-$B28))</f>
        <v>0</v>
      </c>
      <c r="M78" s="54">
        <f ca="1">IF(OR(M$33&lt;$B28,M$33&gt;$C28),0,OFFSET(Проект!M$1172,0,1-$B28))</f>
        <v>0</v>
      </c>
      <c r="N78" s="54">
        <f ca="1">IF(OR(N$33&lt;$B28,N$33&gt;$C28),0,OFFSET(Проект!N$1172,0,1-$B28))</f>
        <v>0</v>
      </c>
      <c r="O78" s="54">
        <f ca="1">IF(OR(O$33&lt;$B28,O$33&gt;$C28),0,OFFSET(Проект!O$1172,0,1-$B28))</f>
        <v>0</v>
      </c>
      <c r="P78" s="54">
        <f ca="1">IF(OR(P$33&lt;$B28,P$33&gt;$C28),0,OFFSET(Проект!P$1172,0,1-$B28))</f>
        <v>0</v>
      </c>
      <c r="Q78" s="54">
        <f ca="1">IF(OR(Q$33&lt;$B28,Q$33&gt;$C28),0,OFFSET(Проект!Q$1172,0,1-$B28))</f>
        <v>0</v>
      </c>
      <c r="R78" s="54">
        <f ca="1">IF(OR(R$33&lt;$B28,R$33&gt;$C28),0,OFFSET(Проект!R$1172,0,1-$B28))</f>
        <v>0</v>
      </c>
      <c r="S78" s="54">
        <f ca="1">IF(OR(S$33&lt;$B28,S$33&gt;$C28),0,OFFSET(Проект!S$1172,0,1-$B28))</f>
        <v>0</v>
      </c>
      <c r="T78" s="54">
        <f ca="1">IF(OR(T$33&lt;$B28,T$33&gt;$C28),0,OFFSET(Проект!T$1172,0,1-$B28))</f>
        <v>0</v>
      </c>
      <c r="U78" s="54">
        <f ca="1">IF(OR(U$33&lt;$B28,U$33&gt;$C28),0,OFFSET(Проект!U$1172,0,1-$B28))</f>
        <v>0</v>
      </c>
      <c r="V78" s="54">
        <f ca="1">IF(OR(V$33&lt;$B28,V$33&gt;$C28),0,OFFSET(Проект!V$1172,0,1-$B28))</f>
        <v>0</v>
      </c>
      <c r="W78" s="54">
        <f ca="1">IF(OR(W$33&lt;$B28,W$33&gt;$C28),0,OFFSET(Проект!W$1172,0,1-$B28))</f>
        <v>0</v>
      </c>
      <c r="X78" s="54">
        <f ca="1">IF(OR(X$33&lt;$B28,X$33&gt;$C28),0,OFFSET(Проект!X$1172,0,1-$B28))</f>
        <v>0</v>
      </c>
      <c r="Y78" s="54">
        <f ca="1">IF(OR(Y$33&lt;$B28,Y$33&gt;$C28),0,OFFSET(Проект!AC$1172,0,1-$B28))</f>
        <v>0</v>
      </c>
      <c r="AA78" s="54">
        <f t="shared" ca="1" si="6"/>
        <v>0</v>
      </c>
    </row>
    <row r="79" spans="1:27" outlineLevel="1" collapsed="1" x14ac:dyDescent="0.2">
      <c r="A79" t="str">
        <f ca="1">Language!A$697</f>
        <v>Инвестиции в оборудование и прочие активы</v>
      </c>
      <c r="C79" s="26" t="str">
        <f t="shared" ca="1" si="5"/>
        <v>тыс. EUR</v>
      </c>
      <c r="D79" s="204" t="s">
        <v>2615</v>
      </c>
      <c r="F79" s="43">
        <f ca="1">SUMPRODUCT($B12:OFFSET($B13,-1,0),F80:OFFSET(F81,-1,0))</f>
        <v>0</v>
      </c>
      <c r="G79" s="43">
        <f ca="1">SUMPRODUCT($B12:OFFSET($B13,-1,0),G80:OFFSET(G81,-1,0))</f>
        <v>0</v>
      </c>
      <c r="H79" s="43">
        <f ca="1">SUMPRODUCT($B12:OFFSET($B13,-1,0),H80:OFFSET(H81,-1,0))</f>
        <v>3875.8255543220339</v>
      </c>
      <c r="I79" s="43">
        <f ca="1">SUMPRODUCT($B12:OFFSET($B13,-1,0),I80:OFFSET(I81,-1,0))</f>
        <v>0</v>
      </c>
      <c r="J79" s="43">
        <f ca="1">SUMPRODUCT($B12:OFFSET($B13,-1,0),J80:OFFSET(J81,-1,0))</f>
        <v>6850.2918126355935</v>
      </c>
      <c r="K79" s="43">
        <f ca="1">SUMPRODUCT($B12:OFFSET($B13,-1,0),K80:OFFSET(K81,-1,0))</f>
        <v>2583.8837028813559</v>
      </c>
      <c r="L79" s="43">
        <f ca="1">SUMPRODUCT($B12:OFFSET($B13,-1,0),L80:OFFSET(L81,-1,0))</f>
        <v>0</v>
      </c>
      <c r="M79" s="43">
        <f ca="1">SUMPRODUCT($B12:OFFSET($B13,-1,0),M80:OFFSET(M81,-1,0))</f>
        <v>0</v>
      </c>
      <c r="N79" s="43">
        <f ca="1">SUMPRODUCT($B12:OFFSET($B13,-1,0),N80:OFFSET(N81,-1,0))</f>
        <v>0</v>
      </c>
      <c r="O79" s="43">
        <f ca="1">SUMPRODUCT($B12:OFFSET($B13,-1,0),O80:OFFSET(O81,-1,0))</f>
        <v>0</v>
      </c>
      <c r="P79" s="43">
        <f ca="1">SUMPRODUCT($B12:OFFSET($B13,-1,0),P80:OFFSET(P81,-1,0))</f>
        <v>0</v>
      </c>
      <c r="Q79" s="43">
        <f ca="1">SUMPRODUCT($B12:OFFSET($B13,-1,0),Q80:OFFSET(Q81,-1,0))</f>
        <v>0</v>
      </c>
      <c r="R79" s="43">
        <f ca="1">SUMPRODUCT($B12:OFFSET($B13,-1,0),R80:OFFSET(R81,-1,0))</f>
        <v>0</v>
      </c>
      <c r="S79" s="43">
        <f ca="1">SUMPRODUCT($B12:OFFSET($B13,-1,0),S80:OFFSET(S81,-1,0))</f>
        <v>0</v>
      </c>
      <c r="T79" s="43">
        <f ca="1">SUMPRODUCT($B12:OFFSET($B13,-1,0),T80:OFFSET(T81,-1,0))</f>
        <v>0</v>
      </c>
      <c r="U79" s="43">
        <f ca="1">SUMPRODUCT($B12:OFFSET($B13,-1,0),U80:OFFSET(U81,-1,0))</f>
        <v>0</v>
      </c>
      <c r="V79" s="43">
        <f ca="1">SUMPRODUCT($B12:OFFSET($B13,-1,0),V80:OFFSET(V81,-1,0))</f>
        <v>0</v>
      </c>
      <c r="W79" s="43">
        <f ca="1">SUMPRODUCT($B12:OFFSET($B13,-1,0),W80:OFFSET(W81,-1,0))</f>
        <v>0</v>
      </c>
      <c r="X79" s="43">
        <f ca="1">SUMPRODUCT($B12:OFFSET($B13,-1,0),X80:OFFSET(X81,-1,0))</f>
        <v>0</v>
      </c>
      <c r="Y79" s="43">
        <f ca="1">SUMPRODUCT($B12:OFFSET($B13,-1,0),Y80:OFFSET(Y81,-1,0))</f>
        <v>0</v>
      </c>
      <c r="AA79" s="54">
        <f t="shared" ca="1" si="6"/>
        <v>13310.001069838983</v>
      </c>
    </row>
    <row r="80" spans="1:27" s="11" customFormat="1" hidden="1" outlineLevel="2" x14ac:dyDescent="0.2">
      <c r="A80" s="11" t="str">
        <f ca="1">"        " &amp; A12</f>
        <v xml:space="preserve">        Проект 1</v>
      </c>
      <c r="C80" s="198" t="str">
        <f t="shared" ca="1" si="5"/>
        <v>тыс. EUR</v>
      </c>
      <c r="D80" s="11" t="e">
        <f ca="1">"[" &amp; F12 &amp; "];int_sum"</f>
        <v>#NAME?</v>
      </c>
      <c r="F80" s="54">
        <f ca="1">IF(OR(F$33&lt;$B28,F$33&gt;$C28),0,OFFSET(Проект!F$1173,0,1-$B28))</f>
        <v>0</v>
      </c>
      <c r="G80" s="54">
        <f ca="1">IF(OR(G$33&lt;$B28,G$33&gt;$C28),0,OFFSET(Проект!G$1173,0,1-$B28))</f>
        <v>0</v>
      </c>
      <c r="H80" s="54">
        <f ca="1">IF(OR(H$33&lt;$B28,H$33&gt;$C28),0,OFFSET(Проект!H$1173,0,1-$B28))</f>
        <v>3875.8255543220339</v>
      </c>
      <c r="I80" s="54">
        <f ca="1">IF(OR(I$33&lt;$B28,I$33&gt;$C28),0,OFFSET(Проект!I$1173,0,1-$B28))</f>
        <v>0</v>
      </c>
      <c r="J80" s="54">
        <f ca="1">IF(OR(J$33&lt;$B28,J$33&gt;$C28),0,OFFSET(Проект!J$1173,0,1-$B28))</f>
        <v>6850.2918126355935</v>
      </c>
      <c r="K80" s="54">
        <f ca="1">IF(OR(K$33&lt;$B28,K$33&gt;$C28),0,OFFSET(Проект!K$1173,0,1-$B28))</f>
        <v>2583.8837028813559</v>
      </c>
      <c r="L80" s="54">
        <f ca="1">IF(OR(L$33&lt;$B28,L$33&gt;$C28),0,OFFSET(Проект!L$1173,0,1-$B28))</f>
        <v>0</v>
      </c>
      <c r="M80" s="54">
        <f ca="1">IF(OR(M$33&lt;$B28,M$33&gt;$C28),0,OFFSET(Проект!M$1173,0,1-$B28))</f>
        <v>0</v>
      </c>
      <c r="N80" s="54">
        <f ca="1">IF(OR(N$33&lt;$B28,N$33&gt;$C28),0,OFFSET(Проект!N$1173,0,1-$B28))</f>
        <v>0</v>
      </c>
      <c r="O80" s="54">
        <f ca="1">IF(OR(O$33&lt;$B28,O$33&gt;$C28),0,OFFSET(Проект!O$1173,0,1-$B28))</f>
        <v>0</v>
      </c>
      <c r="P80" s="54">
        <f ca="1">IF(OR(P$33&lt;$B28,P$33&gt;$C28),0,OFFSET(Проект!P$1173,0,1-$B28))</f>
        <v>0</v>
      </c>
      <c r="Q80" s="54">
        <f ca="1">IF(OR(Q$33&lt;$B28,Q$33&gt;$C28),0,OFFSET(Проект!Q$1173,0,1-$B28))</f>
        <v>0</v>
      </c>
      <c r="R80" s="54">
        <f ca="1">IF(OR(R$33&lt;$B28,R$33&gt;$C28),0,OFFSET(Проект!R$1173,0,1-$B28))</f>
        <v>0</v>
      </c>
      <c r="S80" s="54">
        <f ca="1">IF(OR(S$33&lt;$B28,S$33&gt;$C28),0,OFFSET(Проект!S$1173,0,1-$B28))</f>
        <v>0</v>
      </c>
      <c r="T80" s="54">
        <f ca="1">IF(OR(T$33&lt;$B28,T$33&gt;$C28),0,OFFSET(Проект!T$1173,0,1-$B28))</f>
        <v>0</v>
      </c>
      <c r="U80" s="54">
        <f ca="1">IF(OR(U$33&lt;$B28,U$33&gt;$C28),0,OFFSET(Проект!U$1173,0,1-$B28))</f>
        <v>0</v>
      </c>
      <c r="V80" s="54">
        <f ca="1">IF(OR(V$33&lt;$B28,V$33&gt;$C28),0,OFFSET(Проект!V$1173,0,1-$B28))</f>
        <v>0</v>
      </c>
      <c r="W80" s="54">
        <f ca="1">IF(OR(W$33&lt;$B28,W$33&gt;$C28),0,OFFSET(Проект!W$1173,0,1-$B28))</f>
        <v>0</v>
      </c>
      <c r="X80" s="54">
        <f ca="1">IF(OR(X$33&lt;$B28,X$33&gt;$C28),0,OFFSET(Проект!X$1173,0,1-$B28))</f>
        <v>0</v>
      </c>
      <c r="Y80" s="54">
        <f ca="1">IF(OR(Y$33&lt;$B28,Y$33&gt;$C28),0,OFFSET(Проект!AC$1173,0,1-$B28))</f>
        <v>0</v>
      </c>
      <c r="AA80" s="54">
        <f t="shared" ca="1" si="6"/>
        <v>13310.001069838983</v>
      </c>
    </row>
    <row r="81" spans="1:27" outlineLevel="1" collapsed="1" x14ac:dyDescent="0.2">
      <c r="A81" t="str">
        <f ca="1">Language!A$699</f>
        <v>Оплата расходов будущих периодов</v>
      </c>
      <c r="C81" s="26" t="str">
        <f t="shared" ca="1" si="5"/>
        <v>тыс. EUR</v>
      </c>
      <c r="D81" s="204" t="s">
        <v>2615</v>
      </c>
      <c r="F81" s="43">
        <f ca="1">SUMPRODUCT($B12:OFFSET($B13,-1,0),F82:OFFSET(F83,-1,0))</f>
        <v>0</v>
      </c>
      <c r="G81" s="43">
        <f ca="1">SUMPRODUCT($B12:OFFSET($B13,-1,0),G82:OFFSET(G83,-1,0))</f>
        <v>0</v>
      </c>
      <c r="H81" s="43">
        <f ca="1">SUMPRODUCT($B12:OFFSET($B13,-1,0),H82:OFFSET(H83,-1,0))</f>
        <v>0</v>
      </c>
      <c r="I81" s="43">
        <f ca="1">SUMPRODUCT($B12:OFFSET($B13,-1,0),I82:OFFSET(I83,-1,0))</f>
        <v>0</v>
      </c>
      <c r="J81" s="43">
        <f ca="1">SUMPRODUCT($B12:OFFSET($B13,-1,0),J82:OFFSET(J83,-1,0))</f>
        <v>174.59738454375801</v>
      </c>
      <c r="K81" s="43">
        <f ca="1">SUMPRODUCT($B12:OFFSET($B13,-1,0),K82:OFFSET(K83,-1,0))</f>
        <v>398.64199465215285</v>
      </c>
      <c r="L81" s="43">
        <f ca="1">SUMPRODUCT($B12:OFFSET($B13,-1,0),L82:OFFSET(L83,-1,0))</f>
        <v>0</v>
      </c>
      <c r="M81" s="43">
        <f ca="1">SUMPRODUCT($B12:OFFSET($B13,-1,0),M82:OFFSET(M83,-1,0))</f>
        <v>0</v>
      </c>
      <c r="N81" s="43">
        <f ca="1">SUMPRODUCT($B12:OFFSET($B13,-1,0),N82:OFFSET(N83,-1,0))</f>
        <v>0</v>
      </c>
      <c r="O81" s="43">
        <f ca="1">SUMPRODUCT($B12:OFFSET($B13,-1,0),O82:OFFSET(O83,-1,0))</f>
        <v>0</v>
      </c>
      <c r="P81" s="43">
        <f ca="1">SUMPRODUCT($B12:OFFSET($B13,-1,0),P82:OFFSET(P83,-1,0))</f>
        <v>0</v>
      </c>
      <c r="Q81" s="43">
        <f ca="1">SUMPRODUCT($B12:OFFSET($B13,-1,0),Q82:OFFSET(Q83,-1,0))</f>
        <v>0</v>
      </c>
      <c r="R81" s="43">
        <f ca="1">SUMPRODUCT($B12:OFFSET($B13,-1,0),R82:OFFSET(R83,-1,0))</f>
        <v>0</v>
      </c>
      <c r="S81" s="43">
        <f ca="1">SUMPRODUCT($B12:OFFSET($B13,-1,0),S82:OFFSET(S83,-1,0))</f>
        <v>0</v>
      </c>
      <c r="T81" s="43">
        <f ca="1">SUMPRODUCT($B12:OFFSET($B13,-1,0),T82:OFFSET(T83,-1,0))</f>
        <v>0</v>
      </c>
      <c r="U81" s="43">
        <f ca="1">SUMPRODUCT($B12:OFFSET($B13,-1,0),U82:OFFSET(U83,-1,0))</f>
        <v>0</v>
      </c>
      <c r="V81" s="43">
        <f ca="1">SUMPRODUCT($B12:OFFSET($B13,-1,0),V82:OFFSET(V83,-1,0))</f>
        <v>0</v>
      </c>
      <c r="W81" s="43">
        <f ca="1">SUMPRODUCT($B12:OFFSET($B13,-1,0),W82:OFFSET(W83,-1,0))</f>
        <v>0</v>
      </c>
      <c r="X81" s="43">
        <f ca="1">SUMPRODUCT($B12:OFFSET($B13,-1,0),X82:OFFSET(X83,-1,0))</f>
        <v>0</v>
      </c>
      <c r="Y81" s="43">
        <f ca="1">SUMPRODUCT($B12:OFFSET($B13,-1,0),Y82:OFFSET(Y83,-1,0))</f>
        <v>0</v>
      </c>
      <c r="AA81" s="54">
        <f t="shared" ca="1" si="6"/>
        <v>573.23937919591083</v>
      </c>
    </row>
    <row r="82" spans="1:27" s="11" customFormat="1" hidden="1" outlineLevel="2" x14ac:dyDescent="0.2">
      <c r="A82" s="11" t="str">
        <f ca="1">"        " &amp; A12</f>
        <v xml:space="preserve">        Проект 1</v>
      </c>
      <c r="C82" s="198" t="str">
        <f t="shared" ca="1" si="5"/>
        <v>тыс. EUR</v>
      </c>
      <c r="D82" s="11" t="e">
        <f ca="1">"[" &amp; F12 &amp; "];int_sum"</f>
        <v>#NAME?</v>
      </c>
      <c r="F82" s="54">
        <f ca="1">IF(OR(F$33&lt;$B28,F$33&gt;$C28),0,OFFSET(Проект!F$1174,0,1-$B28))</f>
        <v>0</v>
      </c>
      <c r="G82" s="54">
        <f ca="1">IF(OR(G$33&lt;$B28,G$33&gt;$C28),0,OFFSET(Проект!G$1174,0,1-$B28))</f>
        <v>0</v>
      </c>
      <c r="H82" s="54">
        <f ca="1">IF(OR(H$33&lt;$B28,H$33&gt;$C28),0,OFFSET(Проект!H$1174,0,1-$B28))</f>
        <v>0</v>
      </c>
      <c r="I82" s="54">
        <f ca="1">IF(OR(I$33&lt;$B28,I$33&gt;$C28),0,OFFSET(Проект!I$1174,0,1-$B28))</f>
        <v>0</v>
      </c>
      <c r="J82" s="54">
        <f ca="1">IF(OR(J$33&lt;$B28,J$33&gt;$C28),0,OFFSET(Проект!J$1174,0,1-$B28))</f>
        <v>174.59738454375801</v>
      </c>
      <c r="K82" s="54">
        <f ca="1">IF(OR(K$33&lt;$B28,K$33&gt;$C28),0,OFFSET(Проект!K$1174,0,1-$B28))</f>
        <v>398.64199465215285</v>
      </c>
      <c r="L82" s="54">
        <f ca="1">IF(OR(L$33&lt;$B28,L$33&gt;$C28),0,OFFSET(Проект!L$1174,0,1-$B28))</f>
        <v>0</v>
      </c>
      <c r="M82" s="54">
        <f ca="1">IF(OR(M$33&lt;$B28,M$33&gt;$C28),0,OFFSET(Проект!M$1174,0,1-$B28))</f>
        <v>0</v>
      </c>
      <c r="N82" s="54">
        <f ca="1">IF(OR(N$33&lt;$B28,N$33&gt;$C28),0,OFFSET(Проект!N$1174,0,1-$B28))</f>
        <v>0</v>
      </c>
      <c r="O82" s="54">
        <f ca="1">IF(OR(O$33&lt;$B28,O$33&gt;$C28),0,OFFSET(Проект!O$1174,0,1-$B28))</f>
        <v>0</v>
      </c>
      <c r="P82" s="54">
        <f ca="1">IF(OR(P$33&lt;$B28,P$33&gt;$C28),0,OFFSET(Проект!P$1174,0,1-$B28))</f>
        <v>0</v>
      </c>
      <c r="Q82" s="54">
        <f ca="1">IF(OR(Q$33&lt;$B28,Q$33&gt;$C28),0,OFFSET(Проект!Q$1174,0,1-$B28))</f>
        <v>0</v>
      </c>
      <c r="R82" s="54">
        <f ca="1">IF(OR(R$33&lt;$B28,R$33&gt;$C28),0,OFFSET(Проект!R$1174,0,1-$B28))</f>
        <v>0</v>
      </c>
      <c r="S82" s="54">
        <f ca="1">IF(OR(S$33&lt;$B28,S$33&gt;$C28),0,OFFSET(Проект!S$1174,0,1-$B28))</f>
        <v>0</v>
      </c>
      <c r="T82" s="54">
        <f ca="1">IF(OR(T$33&lt;$B28,T$33&gt;$C28),0,OFFSET(Проект!T$1174,0,1-$B28))</f>
        <v>0</v>
      </c>
      <c r="U82" s="54">
        <f ca="1">IF(OR(U$33&lt;$B28,U$33&gt;$C28),0,OFFSET(Проект!U$1174,0,1-$B28))</f>
        <v>0</v>
      </c>
      <c r="V82" s="54">
        <f ca="1">IF(OR(V$33&lt;$B28,V$33&gt;$C28),0,OFFSET(Проект!V$1174,0,1-$B28))</f>
        <v>0</v>
      </c>
      <c r="W82" s="54">
        <f ca="1">IF(OR(W$33&lt;$B28,W$33&gt;$C28),0,OFFSET(Проект!W$1174,0,1-$B28))</f>
        <v>0</v>
      </c>
      <c r="X82" s="54">
        <f ca="1">IF(OR(X$33&lt;$B28,X$33&gt;$C28),0,OFFSET(Проект!X$1174,0,1-$B28))</f>
        <v>0</v>
      </c>
      <c r="Y82" s="54">
        <f ca="1">IF(OR(Y$33&lt;$B28,Y$33&gt;$C28),0,OFFSET(Проект!AC$1174,0,1-$B28))</f>
        <v>0</v>
      </c>
      <c r="AA82" s="54">
        <f t="shared" ca="1" si="6"/>
        <v>573.23937919591083</v>
      </c>
    </row>
    <row r="83" spans="1:27" outlineLevel="1" collapsed="1" x14ac:dyDescent="0.2">
      <c r="A83" t="str">
        <f ca="1">Language!A$700</f>
        <v>Прирост чистого оборотного капитала</v>
      </c>
      <c r="C83" s="26" t="str">
        <f t="shared" ca="1" si="5"/>
        <v>тыс. EUR</v>
      </c>
      <c r="D83" s="204" t="s">
        <v>2615</v>
      </c>
      <c r="F83" s="43">
        <f ca="1">SUMPRODUCT($B12:OFFSET($B13,-1,0),F84:OFFSET(F85,-1,0))</f>
        <v>0</v>
      </c>
      <c r="G83" s="43">
        <f ca="1">SUMPRODUCT($B12:OFFSET($B13,-1,0),G84:OFFSET(G85,-1,0))</f>
        <v>0</v>
      </c>
      <c r="H83" s="43">
        <f ca="1">SUMPRODUCT($B12:OFFSET($B13,-1,0),H84:OFFSET(H85,-1,0))</f>
        <v>0</v>
      </c>
      <c r="I83" s="43">
        <f ca="1">SUMPRODUCT($B12:OFFSET($B13,-1,0),I84:OFFSET(I85,-1,0))</f>
        <v>0</v>
      </c>
      <c r="J83" s="43">
        <f ca="1">SUMPRODUCT($B12:OFFSET($B13,-1,0),J84:OFFSET(J85,-1,0))</f>
        <v>0</v>
      </c>
      <c r="K83" s="43">
        <f ca="1">SUMPRODUCT($B12:OFFSET($B13,-1,0),K84:OFFSET(K85,-1,0))</f>
        <v>-98.76332976744186</v>
      </c>
      <c r="L83" s="43">
        <f ca="1">SUMPRODUCT($B12:OFFSET($B13,-1,0),L84:OFFSET(L85,-1,0))</f>
        <v>5.6843418860808015E-14</v>
      </c>
      <c r="M83" s="43">
        <f ca="1">SUMPRODUCT($B12:OFFSET($B13,-1,0),M84:OFFSET(M85,-1,0))</f>
        <v>0</v>
      </c>
      <c r="N83" s="43">
        <f ca="1">SUMPRODUCT($B12:OFFSET($B13,-1,0),N84:OFFSET(N85,-1,0))</f>
        <v>-47.90430408785906</v>
      </c>
      <c r="O83" s="43">
        <f ca="1">SUMPRODUCT($B12:OFFSET($B13,-1,0),O84:OFFSET(O85,-1,0))</f>
        <v>-41.655454582366474</v>
      </c>
      <c r="P83" s="43">
        <f ca="1">SUMPRODUCT($B12:OFFSET($B13,-1,0),P84:OFFSET(P85,-1,0))</f>
        <v>0</v>
      </c>
      <c r="Q83" s="43">
        <f ca="1">SUMPRODUCT($B12:OFFSET($B13,-1,0),Q84:OFFSET(Q85,-1,0))</f>
        <v>0</v>
      </c>
      <c r="R83" s="43">
        <f ca="1">SUMPRODUCT($B12:OFFSET($B13,-1,0),R84:OFFSET(R85,-1,0))</f>
        <v>0</v>
      </c>
      <c r="S83" s="43">
        <f ca="1">SUMPRODUCT($B12:OFFSET($B13,-1,0),S84:OFFSET(S85,-1,0))</f>
        <v>0</v>
      </c>
      <c r="T83" s="43">
        <f ca="1">SUMPRODUCT($B12:OFFSET($B13,-1,0),T84:OFFSET(T85,-1,0))</f>
        <v>0</v>
      </c>
      <c r="U83" s="43">
        <f ca="1">SUMPRODUCT($B12:OFFSET($B13,-1,0),U84:OFFSET(U85,-1,0))</f>
        <v>0</v>
      </c>
      <c r="V83" s="43">
        <f ca="1">SUMPRODUCT($B12:OFFSET($B13,-1,0),V84:OFFSET(V85,-1,0))</f>
        <v>0</v>
      </c>
      <c r="W83" s="43">
        <f ca="1">SUMPRODUCT($B12:OFFSET($B13,-1,0),W84:OFFSET(W85,-1,0))</f>
        <v>0</v>
      </c>
      <c r="X83" s="43">
        <f ca="1">SUMPRODUCT($B12:OFFSET($B13,-1,0),X84:OFFSET(X85,-1,0))</f>
        <v>0</v>
      </c>
      <c r="Y83" s="43">
        <f ca="1">SUMPRODUCT($B12:OFFSET($B13,-1,0),Y84:OFFSET(Y85,-1,0))</f>
        <v>0</v>
      </c>
      <c r="AA83" s="54">
        <f t="shared" ca="1" si="6"/>
        <v>-188.32308843766734</v>
      </c>
    </row>
    <row r="84" spans="1:27" s="11" customFormat="1" hidden="1" outlineLevel="2" x14ac:dyDescent="0.2">
      <c r="A84" s="11" t="str">
        <f ca="1">"        " &amp; A12</f>
        <v xml:space="preserve">        Проект 1</v>
      </c>
      <c r="C84" s="198" t="str">
        <f t="shared" ca="1" si="5"/>
        <v>тыс. EUR</v>
      </c>
      <c r="D84" s="11" t="e">
        <f ca="1">"[" &amp; F12 &amp; "];int_sum"</f>
        <v>#NAME?</v>
      </c>
      <c r="F84" s="54">
        <f ca="1">IF(OR(F$33&lt;$B28,F$33&gt;$C28),0,OFFSET(Проект!F$1175,0,1-$B28))</f>
        <v>0</v>
      </c>
      <c r="G84" s="54">
        <f ca="1">IF(OR(G$33&lt;$B28,G$33&gt;$C28),0,OFFSET(Проект!G$1175,0,1-$B28))</f>
        <v>0</v>
      </c>
      <c r="H84" s="54">
        <f ca="1">IF(OR(H$33&lt;$B28,H$33&gt;$C28),0,OFFSET(Проект!H$1175,0,1-$B28))</f>
        <v>0</v>
      </c>
      <c r="I84" s="54">
        <f ca="1">IF(OR(I$33&lt;$B28,I$33&gt;$C28),0,OFFSET(Проект!I$1175,0,1-$B28))</f>
        <v>0</v>
      </c>
      <c r="J84" s="54">
        <f ca="1">IF(OR(J$33&lt;$B28,J$33&gt;$C28),0,OFFSET(Проект!J$1175,0,1-$B28))</f>
        <v>0</v>
      </c>
      <c r="K84" s="54">
        <f ca="1">IF(OR(K$33&lt;$B28,K$33&gt;$C28),0,OFFSET(Проект!K$1175,0,1-$B28))</f>
        <v>-98.76332976744186</v>
      </c>
      <c r="L84" s="54">
        <f ca="1">IF(OR(L$33&lt;$B28,L$33&gt;$C28),0,OFFSET(Проект!L$1175,0,1-$B28))</f>
        <v>5.6843418860808015E-14</v>
      </c>
      <c r="M84" s="54">
        <f ca="1">IF(OR(M$33&lt;$B28,M$33&gt;$C28),0,OFFSET(Проект!M$1175,0,1-$B28))</f>
        <v>0</v>
      </c>
      <c r="N84" s="54">
        <f ca="1">IF(OR(N$33&lt;$B28,N$33&gt;$C28),0,OFFSET(Проект!N$1175,0,1-$B28))</f>
        <v>-47.90430408785906</v>
      </c>
      <c r="O84" s="54">
        <f ca="1">IF(OR(O$33&lt;$B28,O$33&gt;$C28),0,OFFSET(Проект!O$1175,0,1-$B28))</f>
        <v>-41.655454582366474</v>
      </c>
      <c r="P84" s="54">
        <f ca="1">IF(OR(P$33&lt;$B28,P$33&gt;$C28),0,OFFSET(Проект!P$1175,0,1-$B28))</f>
        <v>0</v>
      </c>
      <c r="Q84" s="54">
        <f ca="1">IF(OR(Q$33&lt;$B28,Q$33&gt;$C28),0,OFFSET(Проект!Q$1175,0,1-$B28))</f>
        <v>0</v>
      </c>
      <c r="R84" s="54">
        <f ca="1">IF(OR(R$33&lt;$B28,R$33&gt;$C28),0,OFFSET(Проект!R$1175,0,1-$B28))</f>
        <v>0</v>
      </c>
      <c r="S84" s="54">
        <f ca="1">IF(OR(S$33&lt;$B28,S$33&gt;$C28),0,OFFSET(Проект!S$1175,0,1-$B28))</f>
        <v>0</v>
      </c>
      <c r="T84" s="54">
        <f ca="1">IF(OR(T$33&lt;$B28,T$33&gt;$C28),0,OFFSET(Проект!T$1175,0,1-$B28))</f>
        <v>0</v>
      </c>
      <c r="U84" s="54">
        <f ca="1">IF(OR(U$33&lt;$B28,U$33&gt;$C28),0,OFFSET(Проект!U$1175,0,1-$B28))</f>
        <v>0</v>
      </c>
      <c r="V84" s="54">
        <f ca="1">IF(OR(V$33&lt;$B28,V$33&gt;$C28),0,OFFSET(Проект!V$1175,0,1-$B28))</f>
        <v>0</v>
      </c>
      <c r="W84" s="54">
        <f ca="1">IF(OR(W$33&lt;$B28,W$33&gt;$C28),0,OFFSET(Проект!W$1175,0,1-$B28))</f>
        <v>0</v>
      </c>
      <c r="X84" s="54">
        <f ca="1">IF(OR(X$33&lt;$B28,X$33&gt;$C28),0,OFFSET(Проект!X$1175,0,1-$B28))</f>
        <v>0</v>
      </c>
      <c r="Y84" s="54">
        <f ca="1">IF(OR(Y$33&lt;$B28,Y$33&gt;$C28),0,OFFSET(Проект!AC$1175,0,1-$B28))</f>
        <v>0</v>
      </c>
      <c r="AA84" s="54">
        <f t="shared" ca="1" si="6"/>
        <v>-188.32308843766734</v>
      </c>
    </row>
    <row r="85" spans="1:27" outlineLevel="1" x14ac:dyDescent="0.2">
      <c r="AA85" s="11"/>
    </row>
    <row r="86" spans="1:27" outlineLevel="1" collapsed="1" x14ac:dyDescent="0.2">
      <c r="A86" s="35" t="str">
        <f ca="1">Language!A$701</f>
        <v>Привлечение финансирования</v>
      </c>
      <c r="C86" s="26" t="str">
        <f ca="1">CUR_Report</f>
        <v>тыс. EUR</v>
      </c>
      <c r="D86" s="204" t="s">
        <v>2615</v>
      </c>
      <c r="F86" s="58">
        <f ca="1">SUMPRODUCT($B12:OFFSET($B13,-1,0),F87:OFFSET(F88,-1,0))</f>
        <v>0</v>
      </c>
      <c r="G86" s="58">
        <f ca="1">SUMPRODUCT($B12:OFFSET($B13,-1,0),G87:OFFSET(G88,-1,0))</f>
        <v>0</v>
      </c>
      <c r="H86" s="58">
        <f ca="1">SUMPRODUCT($B12:OFFSET($B13,-1,0),H87:OFFSET(H88,-1,0))</f>
        <v>5695.3855543220343</v>
      </c>
      <c r="I86" s="58">
        <f ca="1">SUMPRODUCT($B12:OFFSET($B13,-1,0),I87:OFFSET(I88,-1,0))</f>
        <v>1519.56</v>
      </c>
      <c r="J86" s="58">
        <f ca="1">SUMPRODUCT($B12:OFFSET($B13,-1,0),J87:OFFSET(J88,-1,0))</f>
        <v>7024.8891971793519</v>
      </c>
      <c r="K86" s="58">
        <f ca="1">SUMPRODUCT($B12:OFFSET($B13,-1,0),K87:OFFSET(K88,-1,0))</f>
        <v>2982.5256975335087</v>
      </c>
      <c r="L86" s="58">
        <f ca="1">SUMPRODUCT($B12:OFFSET($B13,-1,0),L87:OFFSET(L88,-1,0))</f>
        <v>0</v>
      </c>
      <c r="M86" s="58">
        <f ca="1">SUMPRODUCT($B12:OFFSET($B13,-1,0),M87:OFFSET(M88,-1,0))</f>
        <v>0</v>
      </c>
      <c r="N86" s="58">
        <f ca="1">SUMPRODUCT($B12:OFFSET($B13,-1,0),N87:OFFSET(N88,-1,0))</f>
        <v>0</v>
      </c>
      <c r="O86" s="58">
        <f ca="1">SUMPRODUCT($B12:OFFSET($B13,-1,0),O87:OFFSET(O88,-1,0))</f>
        <v>0</v>
      </c>
      <c r="P86" s="58">
        <f ca="1">SUMPRODUCT($B12:OFFSET($B13,-1,0),P87:OFFSET(P88,-1,0))</f>
        <v>0</v>
      </c>
      <c r="Q86" s="58">
        <f ca="1">SUMPRODUCT($B12:OFFSET($B13,-1,0),Q87:OFFSET(Q88,-1,0))</f>
        <v>0</v>
      </c>
      <c r="R86" s="58">
        <f ca="1">SUMPRODUCT($B12:OFFSET($B13,-1,0),R87:OFFSET(R88,-1,0))</f>
        <v>0</v>
      </c>
      <c r="S86" s="58">
        <f ca="1">SUMPRODUCT($B12:OFFSET($B13,-1,0),S87:OFFSET(S88,-1,0))</f>
        <v>0</v>
      </c>
      <c r="T86" s="58">
        <f ca="1">SUMPRODUCT($B12:OFFSET($B13,-1,0),T87:OFFSET(T88,-1,0))</f>
        <v>0</v>
      </c>
      <c r="U86" s="58">
        <f ca="1">SUMPRODUCT($B12:OFFSET($B13,-1,0),U87:OFFSET(U88,-1,0))</f>
        <v>0</v>
      </c>
      <c r="V86" s="58">
        <f ca="1">SUMPRODUCT($B12:OFFSET($B13,-1,0),V87:OFFSET(V88,-1,0))</f>
        <v>0</v>
      </c>
      <c r="W86" s="58">
        <f ca="1">SUMPRODUCT($B12:OFFSET($B13,-1,0),W87:OFFSET(W88,-1,0))</f>
        <v>0</v>
      </c>
      <c r="X86" s="58">
        <f ca="1">SUMPRODUCT($B12:OFFSET($B13,-1,0),X87:OFFSET(X88,-1,0))</f>
        <v>0</v>
      </c>
      <c r="Y86" s="58">
        <f ca="1">SUMPRODUCT($B12:OFFSET($B13,-1,0),Y87:OFFSET(Y88,-1,0))</f>
        <v>0</v>
      </c>
      <c r="AA86" s="57">
        <f ca="1">SUM(F86:Y86)</f>
        <v>17222.360449034895</v>
      </c>
    </row>
    <row r="87" spans="1:27" s="11" customFormat="1" hidden="1" outlineLevel="2" x14ac:dyDescent="0.2">
      <c r="A87" s="11" t="str">
        <f ca="1">"        " &amp; A12</f>
        <v xml:space="preserve">        Проект 1</v>
      </c>
      <c r="C87" s="198" t="str">
        <f ca="1">CUR_Report</f>
        <v>тыс. EUR</v>
      </c>
      <c r="D87" s="11" t="e">
        <f ca="1">"[" &amp; F12 &amp; "];int_sum"</f>
        <v>#NAME?</v>
      </c>
      <c r="F87" s="54">
        <f ca="1">IF(OR(F$33&lt;$B28,F$33&gt;$C28),0,OFFSET(Проект!F$1177,0,1-$B28))</f>
        <v>0</v>
      </c>
      <c r="G87" s="54">
        <f ca="1">IF(OR(G$33&lt;$B28,G$33&gt;$C28),0,OFFSET(Проект!G$1177,0,1-$B28))</f>
        <v>0</v>
      </c>
      <c r="H87" s="54">
        <f ca="1">IF(OR(H$33&lt;$B28,H$33&gt;$C28),0,OFFSET(Проект!H$1177,0,1-$B28))</f>
        <v>5695.3855543220343</v>
      </c>
      <c r="I87" s="54">
        <f ca="1">IF(OR(I$33&lt;$B28,I$33&gt;$C28),0,OFFSET(Проект!I$1177,0,1-$B28))</f>
        <v>1519.56</v>
      </c>
      <c r="J87" s="54">
        <f ca="1">IF(OR(J$33&lt;$B28,J$33&gt;$C28),0,OFFSET(Проект!J$1177,0,1-$B28))</f>
        <v>7024.8891971793519</v>
      </c>
      <c r="K87" s="54">
        <f ca="1">IF(OR(K$33&lt;$B28,K$33&gt;$C28),0,OFFSET(Проект!K$1177,0,1-$B28))</f>
        <v>2982.5256975335087</v>
      </c>
      <c r="L87" s="54">
        <f ca="1">IF(OR(L$33&lt;$B28,L$33&gt;$C28),0,OFFSET(Проект!L$1177,0,1-$B28))</f>
        <v>0</v>
      </c>
      <c r="M87" s="54">
        <f ca="1">IF(OR(M$33&lt;$B28,M$33&gt;$C28),0,OFFSET(Проект!M$1177,0,1-$B28))</f>
        <v>0</v>
      </c>
      <c r="N87" s="54">
        <f ca="1">IF(OR(N$33&lt;$B28,N$33&gt;$C28),0,OFFSET(Проект!N$1177,0,1-$B28))</f>
        <v>0</v>
      </c>
      <c r="O87" s="54">
        <f ca="1">IF(OR(O$33&lt;$B28,O$33&gt;$C28),0,OFFSET(Проект!O$1177,0,1-$B28))</f>
        <v>0</v>
      </c>
      <c r="P87" s="54">
        <f ca="1">IF(OR(P$33&lt;$B28,P$33&gt;$C28),0,OFFSET(Проект!P$1177,0,1-$B28))</f>
        <v>0</v>
      </c>
      <c r="Q87" s="54">
        <f ca="1">IF(OR(Q$33&lt;$B28,Q$33&gt;$C28),0,OFFSET(Проект!Q$1177,0,1-$B28))</f>
        <v>0</v>
      </c>
      <c r="R87" s="54">
        <f ca="1">IF(OR(R$33&lt;$B28,R$33&gt;$C28),0,OFFSET(Проект!R$1177,0,1-$B28))</f>
        <v>0</v>
      </c>
      <c r="S87" s="54">
        <f ca="1">IF(OR(S$33&lt;$B28,S$33&gt;$C28),0,OFFSET(Проект!S$1177,0,1-$B28))</f>
        <v>0</v>
      </c>
      <c r="T87" s="54">
        <f ca="1">IF(OR(T$33&lt;$B28,T$33&gt;$C28),0,OFFSET(Проект!T$1177,0,1-$B28))</f>
        <v>0</v>
      </c>
      <c r="U87" s="54">
        <f ca="1">IF(OR(U$33&lt;$B28,U$33&gt;$C28),0,OFFSET(Проект!U$1177,0,1-$B28))</f>
        <v>0</v>
      </c>
      <c r="V87" s="54">
        <f ca="1">IF(OR(V$33&lt;$B28,V$33&gt;$C28),0,OFFSET(Проект!V$1177,0,1-$B28))</f>
        <v>0</v>
      </c>
      <c r="W87" s="54">
        <f ca="1">IF(OR(W$33&lt;$B28,W$33&gt;$C28),0,OFFSET(Проект!W$1177,0,1-$B28))</f>
        <v>0</v>
      </c>
      <c r="X87" s="54">
        <f ca="1">IF(OR(X$33&lt;$B28,X$33&gt;$C28),0,OFFSET(Проект!X$1177,0,1-$B28))</f>
        <v>0</v>
      </c>
      <c r="Y87" s="54">
        <f ca="1">IF(OR(Y$33&lt;$B28,Y$33&gt;$C28),0,OFFSET(Проект!AC$1177,0,1-$B28))</f>
        <v>0</v>
      </c>
      <c r="AA87" s="54">
        <f ca="1">SUM(F87:Y87)</f>
        <v>17222.360449034895</v>
      </c>
    </row>
    <row r="88" spans="1:27" outlineLevel="1" x14ac:dyDescent="0.2">
      <c r="AA88" s="11"/>
    </row>
    <row r="89" spans="1:27" outlineLevel="1" collapsed="1" x14ac:dyDescent="0.2">
      <c r="A89" t="str">
        <f ca="1">Language!A$645</f>
        <v>Средства собственников</v>
      </c>
      <c r="C89" s="26" t="str">
        <f t="shared" ref="C89:C98" ca="1" si="7">CUR_Report</f>
        <v>тыс. EUR</v>
      </c>
      <c r="D89" s="204" t="s">
        <v>2615</v>
      </c>
      <c r="F89" s="43">
        <f ca="1">SUMPRODUCT($B12:OFFSET($B13,-1,0),F90:OFFSET(F91,-1,0))</f>
        <v>0</v>
      </c>
      <c r="G89" s="43">
        <f ca="1">SUMPRODUCT($B12:OFFSET($B13,-1,0),G90:OFFSET(G91,-1,0))</f>
        <v>0</v>
      </c>
      <c r="H89" s="43">
        <f ca="1">SUMPRODUCT($B12:OFFSET($B13,-1,0),H90:OFFSET(H91,-1,0))</f>
        <v>0</v>
      </c>
      <c r="I89" s="43">
        <f ca="1">SUMPRODUCT($B12:OFFSET($B13,-1,0),I90:OFFSET(I91,-1,0))</f>
        <v>0</v>
      </c>
      <c r="J89" s="43">
        <f ca="1">SUMPRODUCT($B12:OFFSET($B13,-1,0),J90:OFFSET(J91,-1,0))</f>
        <v>0</v>
      </c>
      <c r="K89" s="43">
        <f ca="1">SUMPRODUCT($B12:OFFSET($B13,-1,0),K90:OFFSET(K91,-1,0))</f>
        <v>0</v>
      </c>
      <c r="L89" s="43">
        <f ca="1">SUMPRODUCT($B12:OFFSET($B13,-1,0),L90:OFFSET(L91,-1,0))</f>
        <v>0</v>
      </c>
      <c r="M89" s="43">
        <f ca="1">SUMPRODUCT($B12:OFFSET($B13,-1,0),M90:OFFSET(M91,-1,0))</f>
        <v>0</v>
      </c>
      <c r="N89" s="43">
        <f ca="1">SUMPRODUCT($B12:OFFSET($B13,-1,0),N90:OFFSET(N91,-1,0))</f>
        <v>0</v>
      </c>
      <c r="O89" s="43">
        <f ca="1">SUMPRODUCT($B12:OFFSET($B13,-1,0),O90:OFFSET(O91,-1,0))</f>
        <v>0</v>
      </c>
      <c r="P89" s="43">
        <f ca="1">SUMPRODUCT($B12:OFFSET($B13,-1,0),P90:OFFSET(P91,-1,0))</f>
        <v>0</v>
      </c>
      <c r="Q89" s="43">
        <f ca="1">SUMPRODUCT($B12:OFFSET($B13,-1,0),Q90:OFFSET(Q91,-1,0))</f>
        <v>0</v>
      </c>
      <c r="R89" s="43">
        <f ca="1">SUMPRODUCT($B12:OFFSET($B13,-1,0),R90:OFFSET(R91,-1,0))</f>
        <v>0</v>
      </c>
      <c r="S89" s="43">
        <f ca="1">SUMPRODUCT($B12:OFFSET($B13,-1,0),S90:OFFSET(S91,-1,0))</f>
        <v>0</v>
      </c>
      <c r="T89" s="43">
        <f ca="1">SUMPRODUCT($B12:OFFSET($B13,-1,0),T90:OFFSET(T91,-1,0))</f>
        <v>0</v>
      </c>
      <c r="U89" s="43">
        <f ca="1">SUMPRODUCT($B12:OFFSET($B13,-1,0),U90:OFFSET(U91,-1,0))</f>
        <v>0</v>
      </c>
      <c r="V89" s="43">
        <f ca="1">SUMPRODUCT($B12:OFFSET($B13,-1,0),V90:OFFSET(V91,-1,0))</f>
        <v>0</v>
      </c>
      <c r="W89" s="43">
        <f ca="1">SUMPRODUCT($B12:OFFSET($B13,-1,0),W90:OFFSET(W91,-1,0))</f>
        <v>0</v>
      </c>
      <c r="X89" s="43">
        <f ca="1">SUMPRODUCT($B12:OFFSET($B13,-1,0),X90:OFFSET(X91,-1,0))</f>
        <v>0</v>
      </c>
      <c r="Y89" s="43">
        <f ca="1">SUMPRODUCT($B12:OFFSET($B13,-1,0),Y90:OFFSET(Y91,-1,0))</f>
        <v>0</v>
      </c>
      <c r="AA89" s="54">
        <f ca="1">SUM(F89:Y89)</f>
        <v>0</v>
      </c>
    </row>
    <row r="90" spans="1:27" s="11" customFormat="1" hidden="1" outlineLevel="2" x14ac:dyDescent="0.2">
      <c r="A90" s="11" t="str">
        <f ca="1">"        " &amp; A12</f>
        <v xml:space="preserve">        Проект 1</v>
      </c>
      <c r="C90" s="198" t="str">
        <f t="shared" ca="1" si="7"/>
        <v>тыс. EUR</v>
      </c>
      <c r="D90" s="11" t="e">
        <f ca="1">"[" &amp; F12 &amp; "];int_sum"</f>
        <v>#NAME?</v>
      </c>
      <c r="F90" s="54">
        <f ca="1">IF(OR(F$33&lt;$B28,F$33&gt;$C28),0,OFFSET(Проект!F$1179,0,1-$B28))</f>
        <v>0</v>
      </c>
      <c r="G90" s="54">
        <f ca="1">IF(OR(G$33&lt;$B28,G$33&gt;$C28),0,OFFSET(Проект!G$1179,0,1-$B28))</f>
        <v>0</v>
      </c>
      <c r="H90" s="54">
        <f ca="1">IF(OR(H$33&lt;$B28,H$33&gt;$C28),0,OFFSET(Проект!H$1179,0,1-$B28))</f>
        <v>0</v>
      </c>
      <c r="I90" s="54">
        <f ca="1">IF(OR(I$33&lt;$B28,I$33&gt;$C28),0,OFFSET(Проект!I$1179,0,1-$B28))</f>
        <v>0</v>
      </c>
      <c r="J90" s="54">
        <f ca="1">IF(OR(J$33&lt;$B28,J$33&gt;$C28),0,OFFSET(Проект!J$1179,0,1-$B28))</f>
        <v>0</v>
      </c>
      <c r="K90" s="54">
        <f ca="1">IF(OR(K$33&lt;$B28,K$33&gt;$C28),0,OFFSET(Проект!K$1179,0,1-$B28))</f>
        <v>0</v>
      </c>
      <c r="L90" s="54">
        <f ca="1">IF(OR(L$33&lt;$B28,L$33&gt;$C28),0,OFFSET(Проект!L$1179,0,1-$B28))</f>
        <v>0</v>
      </c>
      <c r="M90" s="54">
        <f ca="1">IF(OR(M$33&lt;$B28,M$33&gt;$C28),0,OFFSET(Проект!M$1179,0,1-$B28))</f>
        <v>0</v>
      </c>
      <c r="N90" s="54">
        <f ca="1">IF(OR(N$33&lt;$B28,N$33&gt;$C28),0,OFFSET(Проект!N$1179,0,1-$B28))</f>
        <v>0</v>
      </c>
      <c r="O90" s="54">
        <f ca="1">IF(OR(O$33&lt;$B28,O$33&gt;$C28),0,OFFSET(Проект!O$1179,0,1-$B28))</f>
        <v>0</v>
      </c>
      <c r="P90" s="54">
        <f ca="1">IF(OR(P$33&lt;$B28,P$33&gt;$C28),0,OFFSET(Проект!P$1179,0,1-$B28))</f>
        <v>0</v>
      </c>
      <c r="Q90" s="54">
        <f ca="1">IF(OR(Q$33&lt;$B28,Q$33&gt;$C28),0,OFFSET(Проект!Q$1179,0,1-$B28))</f>
        <v>0</v>
      </c>
      <c r="R90" s="54">
        <f ca="1">IF(OR(R$33&lt;$B28,R$33&gt;$C28),0,OFFSET(Проект!R$1179,0,1-$B28))</f>
        <v>0</v>
      </c>
      <c r="S90" s="54">
        <f ca="1">IF(OR(S$33&lt;$B28,S$33&gt;$C28),0,OFFSET(Проект!S$1179,0,1-$B28))</f>
        <v>0</v>
      </c>
      <c r="T90" s="54">
        <f ca="1">IF(OR(T$33&lt;$B28,T$33&gt;$C28),0,OFFSET(Проект!T$1179,0,1-$B28))</f>
        <v>0</v>
      </c>
      <c r="U90" s="54">
        <f ca="1">IF(OR(U$33&lt;$B28,U$33&gt;$C28),0,OFFSET(Проект!U$1179,0,1-$B28))</f>
        <v>0</v>
      </c>
      <c r="V90" s="54">
        <f ca="1">IF(OR(V$33&lt;$B28,V$33&gt;$C28),0,OFFSET(Проект!V$1179,0,1-$B28))</f>
        <v>0</v>
      </c>
      <c r="W90" s="54">
        <f ca="1">IF(OR(W$33&lt;$B28,W$33&gt;$C28),0,OFFSET(Проект!W$1179,0,1-$B28))</f>
        <v>0</v>
      </c>
      <c r="X90" s="54">
        <f ca="1">IF(OR(X$33&lt;$B28,X$33&gt;$C28),0,OFFSET(Проект!X$1179,0,1-$B28))</f>
        <v>0</v>
      </c>
      <c r="Y90" s="54">
        <f ca="1">IF(OR(Y$33&lt;$B28,Y$33&gt;$C28),0,OFFSET(Проект!AC$1179,0,1-$B28))</f>
        <v>0</v>
      </c>
      <c r="AA90" s="54">
        <f t="shared" ref="AA90:AA98" ca="1" si="8">SUM(F90:Y90)</f>
        <v>0</v>
      </c>
    </row>
    <row r="91" spans="1:27" outlineLevel="1" collapsed="1" x14ac:dyDescent="0.2">
      <c r="A91" t="str">
        <f ca="1">Language!A$651</f>
        <v>Средства от текущей деятельности</v>
      </c>
      <c r="C91" s="26" t="str">
        <f t="shared" ca="1" si="7"/>
        <v>тыс. EUR</v>
      </c>
      <c r="D91" s="204" t="s">
        <v>2615</v>
      </c>
      <c r="F91" s="43">
        <f ca="1">SUMPRODUCT($B12:OFFSET($B13,-1,0),F92:OFFSET(F93,-1,0))</f>
        <v>0</v>
      </c>
      <c r="G91" s="43">
        <f ca="1">SUMPRODUCT($B12:OFFSET($B13,-1,0),G92:OFFSET(G93,-1,0))</f>
        <v>0</v>
      </c>
      <c r="H91" s="43">
        <f ca="1">SUMPRODUCT($B12:OFFSET($B13,-1,0),H92:OFFSET(H93,-1,0))</f>
        <v>0</v>
      </c>
      <c r="I91" s="43">
        <f ca="1">SUMPRODUCT($B12:OFFSET($B13,-1,0),I92:OFFSET(I93,-1,0))</f>
        <v>0</v>
      </c>
      <c r="J91" s="43">
        <f ca="1">SUMPRODUCT($B12:OFFSET($B13,-1,0),J92:OFFSET(J93,-1,0))</f>
        <v>0</v>
      </c>
      <c r="K91" s="43">
        <f ca="1">SUMPRODUCT($B12:OFFSET($B13,-1,0),K92:OFFSET(K93,-1,0))</f>
        <v>0</v>
      </c>
      <c r="L91" s="43">
        <f ca="1">SUMPRODUCT($B12:OFFSET($B13,-1,0),L92:OFFSET(L93,-1,0))</f>
        <v>0</v>
      </c>
      <c r="M91" s="43">
        <f ca="1">SUMPRODUCT($B12:OFFSET($B13,-1,0),M92:OFFSET(M93,-1,0))</f>
        <v>0</v>
      </c>
      <c r="N91" s="43">
        <f ca="1">SUMPRODUCT($B12:OFFSET($B13,-1,0),N92:OFFSET(N93,-1,0))</f>
        <v>0</v>
      </c>
      <c r="O91" s="43">
        <f ca="1">SUMPRODUCT($B12:OFFSET($B13,-1,0),O92:OFFSET(O93,-1,0))</f>
        <v>0</v>
      </c>
      <c r="P91" s="43">
        <f ca="1">SUMPRODUCT($B12:OFFSET($B13,-1,0),P92:OFFSET(P93,-1,0))</f>
        <v>0</v>
      </c>
      <c r="Q91" s="43">
        <f ca="1">SUMPRODUCT($B12:OFFSET($B13,-1,0),Q92:OFFSET(Q93,-1,0))</f>
        <v>0</v>
      </c>
      <c r="R91" s="43">
        <f ca="1">SUMPRODUCT($B12:OFFSET($B13,-1,0),R92:OFFSET(R93,-1,0))</f>
        <v>0</v>
      </c>
      <c r="S91" s="43">
        <f ca="1">SUMPRODUCT($B12:OFFSET($B13,-1,0),S92:OFFSET(S93,-1,0))</f>
        <v>0</v>
      </c>
      <c r="T91" s="43">
        <f ca="1">SUMPRODUCT($B12:OFFSET($B13,-1,0),T92:OFFSET(T93,-1,0))</f>
        <v>0</v>
      </c>
      <c r="U91" s="43">
        <f ca="1">SUMPRODUCT($B12:OFFSET($B13,-1,0),U92:OFFSET(U93,-1,0))</f>
        <v>0</v>
      </c>
      <c r="V91" s="43">
        <f ca="1">SUMPRODUCT($B12:OFFSET($B13,-1,0),V92:OFFSET(V93,-1,0))</f>
        <v>0</v>
      </c>
      <c r="W91" s="43">
        <f ca="1">SUMPRODUCT($B12:OFFSET($B13,-1,0),W92:OFFSET(W93,-1,0))</f>
        <v>0</v>
      </c>
      <c r="X91" s="43">
        <f ca="1">SUMPRODUCT($B12:OFFSET($B13,-1,0),X92:OFFSET(X93,-1,0))</f>
        <v>0</v>
      </c>
      <c r="Y91" s="43">
        <f ca="1">SUMPRODUCT($B12:OFFSET($B13,-1,0),Y92:OFFSET(Y93,-1,0))</f>
        <v>0</v>
      </c>
      <c r="AA91" s="54">
        <f t="shared" ca="1" si="8"/>
        <v>0</v>
      </c>
    </row>
    <row r="92" spans="1:27" s="11" customFormat="1" hidden="1" outlineLevel="2" x14ac:dyDescent="0.2">
      <c r="A92" s="11" t="str">
        <f ca="1">"        " &amp; A12</f>
        <v xml:space="preserve">        Проект 1</v>
      </c>
      <c r="C92" s="198" t="str">
        <f t="shared" ca="1" si="7"/>
        <v>тыс. EUR</v>
      </c>
      <c r="D92" s="11" t="e">
        <f ca="1">"[" &amp; F12 &amp; "];int_sum"</f>
        <v>#NAME?</v>
      </c>
      <c r="F92" s="54">
        <f ca="1">IF(OR(F$33&lt;$B28,F$33&gt;$C28),0,OFFSET(Проект!F$1180,0,1-$B28))</f>
        <v>0</v>
      </c>
      <c r="G92" s="54">
        <f ca="1">IF(OR(G$33&lt;$B28,G$33&gt;$C28),0,OFFSET(Проект!G$1180,0,1-$B28))</f>
        <v>0</v>
      </c>
      <c r="H92" s="54">
        <f ca="1">IF(OR(H$33&lt;$B28,H$33&gt;$C28),0,OFFSET(Проект!H$1180,0,1-$B28))</f>
        <v>0</v>
      </c>
      <c r="I92" s="54">
        <f ca="1">IF(OR(I$33&lt;$B28,I$33&gt;$C28),0,OFFSET(Проект!I$1180,0,1-$B28))</f>
        <v>0</v>
      </c>
      <c r="J92" s="54">
        <f ca="1">IF(OR(J$33&lt;$B28,J$33&gt;$C28),0,OFFSET(Проект!J$1180,0,1-$B28))</f>
        <v>0</v>
      </c>
      <c r="K92" s="54">
        <f ca="1">IF(OR(K$33&lt;$B28,K$33&gt;$C28),0,OFFSET(Проект!K$1180,0,1-$B28))</f>
        <v>0</v>
      </c>
      <c r="L92" s="54">
        <f ca="1">IF(OR(L$33&lt;$B28,L$33&gt;$C28),0,OFFSET(Проект!L$1180,0,1-$B28))</f>
        <v>0</v>
      </c>
      <c r="M92" s="54">
        <f ca="1">IF(OR(M$33&lt;$B28,M$33&gt;$C28),0,OFFSET(Проект!M$1180,0,1-$B28))</f>
        <v>0</v>
      </c>
      <c r="N92" s="54">
        <f ca="1">IF(OR(N$33&lt;$B28,N$33&gt;$C28),0,OFFSET(Проект!N$1180,0,1-$B28))</f>
        <v>0</v>
      </c>
      <c r="O92" s="54">
        <f ca="1">IF(OR(O$33&lt;$B28,O$33&gt;$C28),0,OFFSET(Проект!O$1180,0,1-$B28))</f>
        <v>0</v>
      </c>
      <c r="P92" s="54">
        <f ca="1">IF(OR(P$33&lt;$B28,P$33&gt;$C28),0,OFFSET(Проект!P$1180,0,1-$B28))</f>
        <v>0</v>
      </c>
      <c r="Q92" s="54">
        <f ca="1">IF(OR(Q$33&lt;$B28,Q$33&gt;$C28),0,OFFSET(Проект!Q$1180,0,1-$B28))</f>
        <v>0</v>
      </c>
      <c r="R92" s="54">
        <f ca="1">IF(OR(R$33&lt;$B28,R$33&gt;$C28),0,OFFSET(Проект!R$1180,0,1-$B28))</f>
        <v>0</v>
      </c>
      <c r="S92" s="54">
        <f ca="1">IF(OR(S$33&lt;$B28,S$33&gt;$C28),0,OFFSET(Проект!S$1180,0,1-$B28))</f>
        <v>0</v>
      </c>
      <c r="T92" s="54">
        <f ca="1">IF(OR(T$33&lt;$B28,T$33&gt;$C28),0,OFFSET(Проект!T$1180,0,1-$B28))</f>
        <v>0</v>
      </c>
      <c r="U92" s="54">
        <f ca="1">IF(OR(U$33&lt;$B28,U$33&gt;$C28),0,OFFSET(Проект!U$1180,0,1-$B28))</f>
        <v>0</v>
      </c>
      <c r="V92" s="54">
        <f ca="1">IF(OR(V$33&lt;$B28,V$33&gt;$C28),0,OFFSET(Проект!V$1180,0,1-$B28))</f>
        <v>0</v>
      </c>
      <c r="W92" s="54">
        <f ca="1">IF(OR(W$33&lt;$B28,W$33&gt;$C28),0,OFFSET(Проект!W$1180,0,1-$B28))</f>
        <v>0</v>
      </c>
      <c r="X92" s="54">
        <f ca="1">IF(OR(X$33&lt;$B28,X$33&gt;$C28),0,OFFSET(Проект!X$1180,0,1-$B28))</f>
        <v>0</v>
      </c>
      <c r="Y92" s="54">
        <f ca="1">IF(OR(Y$33&lt;$B28,Y$33&gt;$C28),0,OFFSET(Проект!AC$1180,0,1-$B28))</f>
        <v>0</v>
      </c>
      <c r="AA92" s="54">
        <f t="shared" ca="1" si="8"/>
        <v>0</v>
      </c>
    </row>
    <row r="93" spans="1:27" outlineLevel="1" collapsed="1" x14ac:dyDescent="0.2">
      <c r="A93" t="str">
        <f ca="1">Language!A$653</f>
        <v>Целевое финансирование</v>
      </c>
      <c r="C93" s="26" t="str">
        <f t="shared" ca="1" si="7"/>
        <v>тыс. EUR</v>
      </c>
      <c r="D93" s="204" t="s">
        <v>2615</v>
      </c>
      <c r="F93" s="43">
        <f ca="1">SUMPRODUCT($B12:OFFSET($B13,-1,0),F94:OFFSET(F95,-1,0))</f>
        <v>0</v>
      </c>
      <c r="G93" s="43">
        <f ca="1">SUMPRODUCT($B12:OFFSET($B13,-1,0),G94:OFFSET(G95,-1,0))</f>
        <v>0</v>
      </c>
      <c r="H93" s="43">
        <f ca="1">SUMPRODUCT($B12:OFFSET($B13,-1,0),H94:OFFSET(H95,-1,0))</f>
        <v>5695.3855543220343</v>
      </c>
      <c r="I93" s="43">
        <f ca="1">SUMPRODUCT($B12:OFFSET($B13,-1,0),I94:OFFSET(I95,-1,0))</f>
        <v>1519.56</v>
      </c>
      <c r="J93" s="43">
        <f ca="1">SUMPRODUCT($B12:OFFSET($B13,-1,0),J94:OFFSET(J95,-1,0))</f>
        <v>7024.8891971793519</v>
      </c>
      <c r="K93" s="43">
        <f ca="1">SUMPRODUCT($B12:OFFSET($B13,-1,0),K94:OFFSET(K95,-1,0))</f>
        <v>2982.5256975335087</v>
      </c>
      <c r="L93" s="43">
        <f ca="1">SUMPRODUCT($B12:OFFSET($B13,-1,0),L94:OFFSET(L95,-1,0))</f>
        <v>0</v>
      </c>
      <c r="M93" s="43">
        <f ca="1">SUMPRODUCT($B12:OFFSET($B13,-1,0),M94:OFFSET(M95,-1,0))</f>
        <v>0</v>
      </c>
      <c r="N93" s="43">
        <f ca="1">SUMPRODUCT($B12:OFFSET($B13,-1,0),N94:OFFSET(N95,-1,0))</f>
        <v>0</v>
      </c>
      <c r="O93" s="43">
        <f ca="1">SUMPRODUCT($B12:OFFSET($B13,-1,0),O94:OFFSET(O95,-1,0))</f>
        <v>0</v>
      </c>
      <c r="P93" s="43">
        <f ca="1">SUMPRODUCT($B12:OFFSET($B13,-1,0),P94:OFFSET(P95,-1,0))</f>
        <v>0</v>
      </c>
      <c r="Q93" s="43">
        <f ca="1">SUMPRODUCT($B12:OFFSET($B13,-1,0),Q94:OFFSET(Q95,-1,0))</f>
        <v>0</v>
      </c>
      <c r="R93" s="43">
        <f ca="1">SUMPRODUCT($B12:OFFSET($B13,-1,0),R94:OFFSET(R95,-1,0))</f>
        <v>0</v>
      </c>
      <c r="S93" s="43">
        <f ca="1">SUMPRODUCT($B12:OFFSET($B13,-1,0),S94:OFFSET(S95,-1,0))</f>
        <v>0</v>
      </c>
      <c r="T93" s="43">
        <f ca="1">SUMPRODUCT($B12:OFFSET($B13,-1,0),T94:OFFSET(T95,-1,0))</f>
        <v>0</v>
      </c>
      <c r="U93" s="43">
        <f ca="1">SUMPRODUCT($B12:OFFSET($B13,-1,0),U94:OFFSET(U95,-1,0))</f>
        <v>0</v>
      </c>
      <c r="V93" s="43">
        <f ca="1">SUMPRODUCT($B12:OFFSET($B13,-1,0),V94:OFFSET(V95,-1,0))</f>
        <v>0</v>
      </c>
      <c r="W93" s="43">
        <f ca="1">SUMPRODUCT($B12:OFFSET($B13,-1,0),W94:OFFSET(W95,-1,0))</f>
        <v>0</v>
      </c>
      <c r="X93" s="43">
        <f ca="1">SUMPRODUCT($B12:OFFSET($B13,-1,0),X94:OFFSET(X95,-1,0))</f>
        <v>0</v>
      </c>
      <c r="Y93" s="43">
        <f ca="1">SUMPRODUCT($B12:OFFSET($B13,-1,0),Y94:OFFSET(Y95,-1,0))</f>
        <v>0</v>
      </c>
      <c r="AA93" s="54">
        <f t="shared" ca="1" si="8"/>
        <v>17222.360449034895</v>
      </c>
    </row>
    <row r="94" spans="1:27" s="11" customFormat="1" hidden="1" outlineLevel="2" x14ac:dyDescent="0.2">
      <c r="A94" s="11" t="str">
        <f ca="1">"        " &amp; A12</f>
        <v xml:space="preserve">        Проект 1</v>
      </c>
      <c r="C94" s="198" t="str">
        <f t="shared" ca="1" si="7"/>
        <v>тыс. EUR</v>
      </c>
      <c r="D94" s="11" t="e">
        <f ca="1">"[" &amp; F12 &amp; "];int_sum"</f>
        <v>#NAME?</v>
      </c>
      <c r="F94" s="54">
        <f ca="1">IF(OR(F$33&lt;$B28,F$33&gt;$C28),0,OFFSET(Проект!F$1181,0,1-$B28))</f>
        <v>0</v>
      </c>
      <c r="G94" s="54">
        <f ca="1">IF(OR(G$33&lt;$B28,G$33&gt;$C28),0,OFFSET(Проект!G$1181,0,1-$B28))</f>
        <v>0</v>
      </c>
      <c r="H94" s="54">
        <f ca="1">IF(OR(H$33&lt;$B28,H$33&gt;$C28),0,OFFSET(Проект!H$1181,0,1-$B28))</f>
        <v>5695.3855543220343</v>
      </c>
      <c r="I94" s="54">
        <f ca="1">IF(OR(I$33&lt;$B28,I$33&gt;$C28),0,OFFSET(Проект!I$1181,0,1-$B28))</f>
        <v>1519.56</v>
      </c>
      <c r="J94" s="54">
        <f ca="1">IF(OR(J$33&lt;$B28,J$33&gt;$C28),0,OFFSET(Проект!J$1181,0,1-$B28))</f>
        <v>7024.8891971793519</v>
      </c>
      <c r="K94" s="54">
        <f ca="1">IF(OR(K$33&lt;$B28,K$33&gt;$C28),0,OFFSET(Проект!K$1181,0,1-$B28))</f>
        <v>2982.5256975335087</v>
      </c>
      <c r="L94" s="54">
        <f ca="1">IF(OR(L$33&lt;$B28,L$33&gt;$C28),0,OFFSET(Проект!L$1181,0,1-$B28))</f>
        <v>0</v>
      </c>
      <c r="M94" s="54">
        <f ca="1">IF(OR(M$33&lt;$B28,M$33&gt;$C28),0,OFFSET(Проект!M$1181,0,1-$B28))</f>
        <v>0</v>
      </c>
      <c r="N94" s="54">
        <f ca="1">IF(OR(N$33&lt;$B28,N$33&gt;$C28),0,OFFSET(Проект!N$1181,0,1-$B28))</f>
        <v>0</v>
      </c>
      <c r="O94" s="54">
        <f ca="1">IF(OR(O$33&lt;$B28,O$33&gt;$C28),0,OFFSET(Проект!O$1181,0,1-$B28))</f>
        <v>0</v>
      </c>
      <c r="P94" s="54">
        <f ca="1">IF(OR(P$33&lt;$B28,P$33&gt;$C28),0,OFFSET(Проект!P$1181,0,1-$B28))</f>
        <v>0</v>
      </c>
      <c r="Q94" s="54">
        <f ca="1">IF(OR(Q$33&lt;$B28,Q$33&gt;$C28),0,OFFSET(Проект!Q$1181,0,1-$B28))</f>
        <v>0</v>
      </c>
      <c r="R94" s="54">
        <f ca="1">IF(OR(R$33&lt;$B28,R$33&gt;$C28),0,OFFSET(Проект!R$1181,0,1-$B28))</f>
        <v>0</v>
      </c>
      <c r="S94" s="54">
        <f ca="1">IF(OR(S$33&lt;$B28,S$33&gt;$C28),0,OFFSET(Проект!S$1181,0,1-$B28))</f>
        <v>0</v>
      </c>
      <c r="T94" s="54">
        <f ca="1">IF(OR(T$33&lt;$B28,T$33&gt;$C28),0,OFFSET(Проект!T$1181,0,1-$B28))</f>
        <v>0</v>
      </c>
      <c r="U94" s="54">
        <f ca="1">IF(OR(U$33&lt;$B28,U$33&gt;$C28),0,OFFSET(Проект!U$1181,0,1-$B28))</f>
        <v>0</v>
      </c>
      <c r="V94" s="54">
        <f ca="1">IF(OR(V$33&lt;$B28,V$33&gt;$C28),0,OFFSET(Проект!V$1181,0,1-$B28))</f>
        <v>0</v>
      </c>
      <c r="W94" s="54">
        <f ca="1">IF(OR(W$33&lt;$B28,W$33&gt;$C28),0,OFFSET(Проект!W$1181,0,1-$B28))</f>
        <v>0</v>
      </c>
      <c r="X94" s="54">
        <f ca="1">IF(OR(X$33&lt;$B28,X$33&gt;$C28),0,OFFSET(Проект!X$1181,0,1-$B28))</f>
        <v>0</v>
      </c>
      <c r="Y94" s="54">
        <f ca="1">IF(OR(Y$33&lt;$B28,Y$33&gt;$C28),0,OFFSET(Проект!AC$1181,0,1-$B28))</f>
        <v>0</v>
      </c>
      <c r="AA94" s="54">
        <f t="shared" ca="1" si="8"/>
        <v>17222.360449034895</v>
      </c>
    </row>
    <row r="95" spans="1:27" outlineLevel="1" collapsed="1" x14ac:dyDescent="0.2">
      <c r="A95" t="str">
        <f ca="1">Language!A$654</f>
        <v>Средства от инвесторов строительства</v>
      </c>
      <c r="C95" s="26" t="str">
        <f t="shared" ca="1" si="7"/>
        <v>тыс. EUR</v>
      </c>
      <c r="D95" s="204" t="s">
        <v>2615</v>
      </c>
      <c r="F95" s="43">
        <f ca="1">SUMPRODUCT($B12:OFFSET($B13,-1,0),F96:OFFSET(F97,-1,0))</f>
        <v>0</v>
      </c>
      <c r="G95" s="43">
        <f ca="1">SUMPRODUCT($B12:OFFSET($B13,-1,0),G96:OFFSET(G97,-1,0))</f>
        <v>0</v>
      </c>
      <c r="H95" s="43">
        <f ca="1">SUMPRODUCT($B12:OFFSET($B13,-1,0),H96:OFFSET(H97,-1,0))</f>
        <v>0</v>
      </c>
      <c r="I95" s="43">
        <f ca="1">SUMPRODUCT($B12:OFFSET($B13,-1,0),I96:OFFSET(I97,-1,0))</f>
        <v>0</v>
      </c>
      <c r="J95" s="43">
        <f ca="1">SUMPRODUCT($B12:OFFSET($B13,-1,0),J96:OFFSET(J97,-1,0))</f>
        <v>0</v>
      </c>
      <c r="K95" s="43">
        <f ca="1">SUMPRODUCT($B12:OFFSET($B13,-1,0),K96:OFFSET(K97,-1,0))</f>
        <v>0</v>
      </c>
      <c r="L95" s="43">
        <f ca="1">SUMPRODUCT($B12:OFFSET($B13,-1,0),L96:OFFSET(L97,-1,0))</f>
        <v>0</v>
      </c>
      <c r="M95" s="43">
        <f ca="1">SUMPRODUCT($B12:OFFSET($B13,-1,0),M96:OFFSET(M97,-1,0))</f>
        <v>0</v>
      </c>
      <c r="N95" s="43">
        <f ca="1">SUMPRODUCT($B12:OFFSET($B13,-1,0),N96:OFFSET(N97,-1,0))</f>
        <v>0</v>
      </c>
      <c r="O95" s="43">
        <f ca="1">SUMPRODUCT($B12:OFFSET($B13,-1,0),O96:OFFSET(O97,-1,0))</f>
        <v>0</v>
      </c>
      <c r="P95" s="43">
        <f ca="1">SUMPRODUCT($B12:OFFSET($B13,-1,0),P96:OFFSET(P97,-1,0))</f>
        <v>0</v>
      </c>
      <c r="Q95" s="43">
        <f ca="1">SUMPRODUCT($B12:OFFSET($B13,-1,0),Q96:OFFSET(Q97,-1,0))</f>
        <v>0</v>
      </c>
      <c r="R95" s="43">
        <f ca="1">SUMPRODUCT($B12:OFFSET($B13,-1,0),R96:OFFSET(R97,-1,0))</f>
        <v>0</v>
      </c>
      <c r="S95" s="43">
        <f ca="1">SUMPRODUCT($B12:OFFSET($B13,-1,0),S96:OFFSET(S97,-1,0))</f>
        <v>0</v>
      </c>
      <c r="T95" s="43">
        <f ca="1">SUMPRODUCT($B12:OFFSET($B13,-1,0),T96:OFFSET(T97,-1,0))</f>
        <v>0</v>
      </c>
      <c r="U95" s="43">
        <f ca="1">SUMPRODUCT($B12:OFFSET($B13,-1,0),U96:OFFSET(U97,-1,0))</f>
        <v>0</v>
      </c>
      <c r="V95" s="43">
        <f ca="1">SUMPRODUCT($B12:OFFSET($B13,-1,0),V96:OFFSET(V97,-1,0))</f>
        <v>0</v>
      </c>
      <c r="W95" s="43">
        <f ca="1">SUMPRODUCT($B12:OFFSET($B13,-1,0),W96:OFFSET(W97,-1,0))</f>
        <v>0</v>
      </c>
      <c r="X95" s="43">
        <f ca="1">SUMPRODUCT($B12:OFFSET($B13,-1,0),X96:OFFSET(X97,-1,0))</f>
        <v>0</v>
      </c>
      <c r="Y95" s="43">
        <f ca="1">SUMPRODUCT($B12:OFFSET($B13,-1,0),Y96:OFFSET(Y97,-1,0))</f>
        <v>0</v>
      </c>
      <c r="AA95" s="54">
        <f t="shared" ca="1" si="8"/>
        <v>0</v>
      </c>
    </row>
    <row r="96" spans="1:27" s="11" customFormat="1" hidden="1" outlineLevel="2" x14ac:dyDescent="0.2">
      <c r="A96" s="11" t="str">
        <f ca="1">"        " &amp; A12</f>
        <v xml:space="preserve">        Проект 1</v>
      </c>
      <c r="C96" s="198" t="str">
        <f t="shared" ca="1" si="7"/>
        <v>тыс. EUR</v>
      </c>
      <c r="D96" s="11" t="e">
        <f ca="1">"[" &amp; F12 &amp; "];int_sum"</f>
        <v>#NAME?</v>
      </c>
      <c r="F96" s="54">
        <f ca="1">IF(OR(F$33&lt;$B28,F$33&gt;$C28),0,OFFSET(Проект!F$1182,0,1-$B28))</f>
        <v>0</v>
      </c>
      <c r="G96" s="54">
        <f ca="1">IF(OR(G$33&lt;$B28,G$33&gt;$C28),0,OFFSET(Проект!G$1182,0,1-$B28))</f>
        <v>0</v>
      </c>
      <c r="H96" s="54">
        <f ca="1">IF(OR(H$33&lt;$B28,H$33&gt;$C28),0,OFFSET(Проект!H$1182,0,1-$B28))</f>
        <v>0</v>
      </c>
      <c r="I96" s="54">
        <f ca="1">IF(OR(I$33&lt;$B28,I$33&gt;$C28),0,OFFSET(Проект!I$1182,0,1-$B28))</f>
        <v>0</v>
      </c>
      <c r="J96" s="54">
        <f ca="1">IF(OR(J$33&lt;$B28,J$33&gt;$C28),0,OFFSET(Проект!J$1182,0,1-$B28))</f>
        <v>0</v>
      </c>
      <c r="K96" s="54">
        <f ca="1">IF(OR(K$33&lt;$B28,K$33&gt;$C28),0,OFFSET(Проект!K$1182,0,1-$B28))</f>
        <v>0</v>
      </c>
      <c r="L96" s="54">
        <f ca="1">IF(OR(L$33&lt;$B28,L$33&gt;$C28),0,OFFSET(Проект!L$1182,0,1-$B28))</f>
        <v>0</v>
      </c>
      <c r="M96" s="54">
        <f ca="1">IF(OR(M$33&lt;$B28,M$33&gt;$C28),0,OFFSET(Проект!M$1182,0,1-$B28))</f>
        <v>0</v>
      </c>
      <c r="N96" s="54">
        <f ca="1">IF(OR(N$33&lt;$B28,N$33&gt;$C28),0,OFFSET(Проект!N$1182,0,1-$B28))</f>
        <v>0</v>
      </c>
      <c r="O96" s="54">
        <f ca="1">IF(OR(O$33&lt;$B28,O$33&gt;$C28),0,OFFSET(Проект!O$1182,0,1-$B28))</f>
        <v>0</v>
      </c>
      <c r="P96" s="54">
        <f ca="1">IF(OR(P$33&lt;$B28,P$33&gt;$C28),0,OFFSET(Проект!P$1182,0,1-$B28))</f>
        <v>0</v>
      </c>
      <c r="Q96" s="54">
        <f ca="1">IF(OR(Q$33&lt;$B28,Q$33&gt;$C28),0,OFFSET(Проект!Q$1182,0,1-$B28))</f>
        <v>0</v>
      </c>
      <c r="R96" s="54">
        <f ca="1">IF(OR(R$33&lt;$B28,R$33&gt;$C28),0,OFFSET(Проект!R$1182,0,1-$B28))</f>
        <v>0</v>
      </c>
      <c r="S96" s="54">
        <f ca="1">IF(OR(S$33&lt;$B28,S$33&gt;$C28),0,OFFSET(Проект!S$1182,0,1-$B28))</f>
        <v>0</v>
      </c>
      <c r="T96" s="54">
        <f ca="1">IF(OR(T$33&lt;$B28,T$33&gt;$C28),0,OFFSET(Проект!T$1182,0,1-$B28))</f>
        <v>0</v>
      </c>
      <c r="U96" s="54">
        <f ca="1">IF(OR(U$33&lt;$B28,U$33&gt;$C28),0,OFFSET(Проект!U$1182,0,1-$B28))</f>
        <v>0</v>
      </c>
      <c r="V96" s="54">
        <f ca="1">IF(OR(V$33&lt;$B28,V$33&gt;$C28),0,OFFSET(Проект!V$1182,0,1-$B28))</f>
        <v>0</v>
      </c>
      <c r="W96" s="54">
        <f ca="1">IF(OR(W$33&lt;$B28,W$33&gt;$C28),0,OFFSET(Проект!W$1182,0,1-$B28))</f>
        <v>0</v>
      </c>
      <c r="X96" s="54">
        <f ca="1">IF(OR(X$33&lt;$B28,X$33&gt;$C28),0,OFFSET(Проект!X$1182,0,1-$B28))</f>
        <v>0</v>
      </c>
      <c r="Y96" s="54">
        <f ca="1">IF(OR(Y$33&lt;$B28,Y$33&gt;$C28),0,OFFSET(Проект!AC$1182,0,1-$B28))</f>
        <v>0</v>
      </c>
      <c r="AA96" s="54">
        <f t="shared" ca="1" si="8"/>
        <v>0</v>
      </c>
    </row>
    <row r="97" spans="1:27" outlineLevel="1" collapsed="1" x14ac:dyDescent="0.2">
      <c r="A97" t="str">
        <f ca="1">Language!A$663</f>
        <v>Поступление денег от кредита</v>
      </c>
      <c r="C97" s="26" t="str">
        <f t="shared" ca="1" si="7"/>
        <v>тыс. EUR</v>
      </c>
      <c r="D97" s="204" t="s">
        <v>2615</v>
      </c>
      <c r="F97" s="43">
        <f ca="1">SUMPRODUCT($B12:OFFSET($B13,-1,0),F98:OFFSET(F99,-1,0))</f>
        <v>0</v>
      </c>
      <c r="G97" s="43">
        <f ca="1">SUMPRODUCT($B12:OFFSET($B13,-1,0),G98:OFFSET(G99,-1,0))</f>
        <v>0</v>
      </c>
      <c r="H97" s="43">
        <f ca="1">SUMPRODUCT($B12:OFFSET($B13,-1,0),H98:OFFSET(H99,-1,0))</f>
        <v>0</v>
      </c>
      <c r="I97" s="43">
        <f ca="1">SUMPRODUCT($B12:OFFSET($B13,-1,0),I98:OFFSET(I99,-1,0))</f>
        <v>0</v>
      </c>
      <c r="J97" s="43">
        <f ca="1">SUMPRODUCT($B12:OFFSET($B13,-1,0),J98:OFFSET(J99,-1,0))</f>
        <v>0</v>
      </c>
      <c r="K97" s="43">
        <f ca="1">SUMPRODUCT($B12:OFFSET($B13,-1,0),K98:OFFSET(K99,-1,0))</f>
        <v>0</v>
      </c>
      <c r="L97" s="43">
        <f ca="1">SUMPRODUCT($B12:OFFSET($B13,-1,0),L98:OFFSET(L99,-1,0))</f>
        <v>0</v>
      </c>
      <c r="M97" s="43">
        <f ca="1">SUMPRODUCT($B12:OFFSET($B13,-1,0),M98:OFFSET(M99,-1,0))</f>
        <v>0</v>
      </c>
      <c r="N97" s="43">
        <f ca="1">SUMPRODUCT($B12:OFFSET($B13,-1,0),N98:OFFSET(N99,-1,0))</f>
        <v>0</v>
      </c>
      <c r="O97" s="43">
        <f ca="1">SUMPRODUCT($B12:OFFSET($B13,-1,0),O98:OFFSET(O99,-1,0))</f>
        <v>0</v>
      </c>
      <c r="P97" s="43">
        <f ca="1">SUMPRODUCT($B12:OFFSET($B13,-1,0),P98:OFFSET(P99,-1,0))</f>
        <v>0</v>
      </c>
      <c r="Q97" s="43">
        <f ca="1">SUMPRODUCT($B12:OFFSET($B13,-1,0),Q98:OFFSET(Q99,-1,0))</f>
        <v>0</v>
      </c>
      <c r="R97" s="43">
        <f ca="1">SUMPRODUCT($B12:OFFSET($B13,-1,0),R98:OFFSET(R99,-1,0))</f>
        <v>0</v>
      </c>
      <c r="S97" s="43">
        <f ca="1">SUMPRODUCT($B12:OFFSET($B13,-1,0),S98:OFFSET(S99,-1,0))</f>
        <v>0</v>
      </c>
      <c r="T97" s="43">
        <f ca="1">SUMPRODUCT($B12:OFFSET($B13,-1,0),T98:OFFSET(T99,-1,0))</f>
        <v>0</v>
      </c>
      <c r="U97" s="43">
        <f ca="1">SUMPRODUCT($B12:OFFSET($B13,-1,0),U98:OFFSET(U99,-1,0))</f>
        <v>0</v>
      </c>
      <c r="V97" s="43">
        <f ca="1">SUMPRODUCT($B12:OFFSET($B13,-1,0),V98:OFFSET(V99,-1,0))</f>
        <v>0</v>
      </c>
      <c r="W97" s="43">
        <f ca="1">SUMPRODUCT($B12:OFFSET($B13,-1,0),W98:OFFSET(W99,-1,0))</f>
        <v>0</v>
      </c>
      <c r="X97" s="43">
        <f ca="1">SUMPRODUCT($B12:OFFSET($B13,-1,0),X98:OFFSET(X99,-1,0))</f>
        <v>0</v>
      </c>
      <c r="Y97" s="43">
        <f ca="1">SUMPRODUCT($B12:OFFSET($B13,-1,0),Y98:OFFSET(Y99,-1,0))</f>
        <v>0</v>
      </c>
      <c r="AA97" s="54">
        <f t="shared" ca="1" si="8"/>
        <v>0</v>
      </c>
    </row>
    <row r="98" spans="1:27" s="11" customFormat="1" hidden="1" outlineLevel="2" x14ac:dyDescent="0.2">
      <c r="A98" s="11" t="str">
        <f ca="1">"        " &amp; A12</f>
        <v xml:space="preserve">        Проект 1</v>
      </c>
      <c r="C98" s="198" t="str">
        <f t="shared" ca="1" si="7"/>
        <v>тыс. EUR</v>
      </c>
      <c r="D98" s="11" t="e">
        <f ca="1">"[" &amp; F12 &amp; "];int_sum"</f>
        <v>#NAME?</v>
      </c>
      <c r="F98" s="54">
        <f ca="1">IF(OR(F$33&lt;$B28,F$33&gt;$C28),0,OFFSET(Проект!F$1183,0,1-$B28))</f>
        <v>0</v>
      </c>
      <c r="G98" s="54">
        <f ca="1">IF(OR(G$33&lt;$B28,G$33&gt;$C28),0,OFFSET(Проект!G$1183,0,1-$B28))</f>
        <v>0</v>
      </c>
      <c r="H98" s="54">
        <f ca="1">IF(OR(H$33&lt;$B28,H$33&gt;$C28),0,OFFSET(Проект!H$1183,0,1-$B28))</f>
        <v>0</v>
      </c>
      <c r="I98" s="54">
        <f ca="1">IF(OR(I$33&lt;$B28,I$33&gt;$C28),0,OFFSET(Проект!I$1183,0,1-$B28))</f>
        <v>0</v>
      </c>
      <c r="J98" s="54">
        <f ca="1">IF(OR(J$33&lt;$B28,J$33&gt;$C28),0,OFFSET(Проект!J$1183,0,1-$B28))</f>
        <v>0</v>
      </c>
      <c r="K98" s="54">
        <f ca="1">IF(OR(K$33&lt;$B28,K$33&gt;$C28),0,OFFSET(Проект!K$1183,0,1-$B28))</f>
        <v>0</v>
      </c>
      <c r="L98" s="54">
        <f ca="1">IF(OR(L$33&lt;$B28,L$33&gt;$C28),0,OFFSET(Проект!L$1183,0,1-$B28))</f>
        <v>0</v>
      </c>
      <c r="M98" s="54">
        <f ca="1">IF(OR(M$33&lt;$B28,M$33&gt;$C28),0,OFFSET(Проект!M$1183,0,1-$B28))</f>
        <v>0</v>
      </c>
      <c r="N98" s="54">
        <f ca="1">IF(OR(N$33&lt;$B28,N$33&gt;$C28),0,OFFSET(Проект!N$1183,0,1-$B28))</f>
        <v>0</v>
      </c>
      <c r="O98" s="54">
        <f ca="1">IF(OR(O$33&lt;$B28,O$33&gt;$C28),0,OFFSET(Проект!O$1183,0,1-$B28))</f>
        <v>0</v>
      </c>
      <c r="P98" s="54">
        <f ca="1">IF(OR(P$33&lt;$B28,P$33&gt;$C28),0,OFFSET(Проект!P$1183,0,1-$B28))</f>
        <v>0</v>
      </c>
      <c r="Q98" s="54">
        <f ca="1">IF(OR(Q$33&lt;$B28,Q$33&gt;$C28),0,OFFSET(Проект!Q$1183,0,1-$B28))</f>
        <v>0</v>
      </c>
      <c r="R98" s="54">
        <f ca="1">IF(OR(R$33&lt;$B28,R$33&gt;$C28),0,OFFSET(Проект!R$1183,0,1-$B28))</f>
        <v>0</v>
      </c>
      <c r="S98" s="54">
        <f ca="1">IF(OR(S$33&lt;$B28,S$33&gt;$C28),0,OFFSET(Проект!S$1183,0,1-$B28))</f>
        <v>0</v>
      </c>
      <c r="T98" s="54">
        <f ca="1">IF(OR(T$33&lt;$B28,T$33&gt;$C28),0,OFFSET(Проект!T$1183,0,1-$B28))</f>
        <v>0</v>
      </c>
      <c r="U98" s="54">
        <f ca="1">IF(OR(U$33&lt;$B28,U$33&gt;$C28),0,OFFSET(Проект!U$1183,0,1-$B28))</f>
        <v>0</v>
      </c>
      <c r="V98" s="54">
        <f ca="1">IF(OR(V$33&lt;$B28,V$33&gt;$C28),0,OFFSET(Проект!V$1183,0,1-$B28))</f>
        <v>0</v>
      </c>
      <c r="W98" s="54">
        <f ca="1">IF(OR(W$33&lt;$B28,W$33&gt;$C28),0,OFFSET(Проект!W$1183,0,1-$B28))</f>
        <v>0</v>
      </c>
      <c r="X98" s="54">
        <f ca="1">IF(OR(X$33&lt;$B28,X$33&gt;$C28),0,OFFSET(Проект!X$1183,0,1-$B28))</f>
        <v>0</v>
      </c>
      <c r="Y98" s="54">
        <f ca="1">IF(OR(Y$33&lt;$B28,Y$33&gt;$C28),0,OFFSET(Проект!AC$1183,0,1-$B28))</f>
        <v>0</v>
      </c>
      <c r="AA98" s="54">
        <f t="shared" ca="1" si="8"/>
        <v>0</v>
      </c>
    </row>
    <row r="99" spans="1:27" outlineLevel="1" x14ac:dyDescent="0.2">
      <c r="AA99" s="11"/>
    </row>
    <row r="100" spans="1:27" outlineLevel="1" collapsed="1" x14ac:dyDescent="0.2">
      <c r="A100" s="35" t="str">
        <f ca="1">Language!A$702</f>
        <v>Возврат финансирования</v>
      </c>
      <c r="C100" s="26" t="str">
        <f ca="1">CUR_Report</f>
        <v>тыс. EUR</v>
      </c>
      <c r="D100" s="204" t="s">
        <v>2615</v>
      </c>
      <c r="F100" s="58">
        <f ca="1">SUMPRODUCT($B12:OFFSET($B13,-1,0),F101:OFFSET(F102,-1,0))</f>
        <v>0</v>
      </c>
      <c r="G100" s="58">
        <f ca="1">SUMPRODUCT($B12:OFFSET($B13,-1,0),G101:OFFSET(G102,-1,0))</f>
        <v>0</v>
      </c>
      <c r="H100" s="58">
        <f ca="1">SUMPRODUCT($B12:OFFSET($B13,-1,0),H101:OFFSET(H102,-1,0))</f>
        <v>0</v>
      </c>
      <c r="I100" s="58">
        <f ca="1">SUMPRODUCT($B12:OFFSET($B13,-1,0),I101:OFFSET(I102,-1,0))</f>
        <v>0</v>
      </c>
      <c r="J100" s="58">
        <f ca="1">SUMPRODUCT($B12:OFFSET($B13,-1,0),J101:OFFSET(J102,-1,0))</f>
        <v>0</v>
      </c>
      <c r="K100" s="58">
        <f ca="1">SUMPRODUCT($B12:OFFSET($B13,-1,0),K101:OFFSET(K102,-1,0))</f>
        <v>0</v>
      </c>
      <c r="L100" s="58">
        <f ca="1">SUMPRODUCT($B12:OFFSET($B13,-1,0),L101:OFFSET(L102,-1,0))</f>
        <v>0</v>
      </c>
      <c r="M100" s="58">
        <f ca="1">SUMPRODUCT($B12:OFFSET($B13,-1,0),M101:OFFSET(M102,-1,0))</f>
        <v>0</v>
      </c>
      <c r="N100" s="58">
        <f ca="1">SUMPRODUCT($B12:OFFSET($B13,-1,0),N101:OFFSET(N102,-1,0))</f>
        <v>0</v>
      </c>
      <c r="O100" s="58">
        <f ca="1">SUMPRODUCT($B12:OFFSET($B13,-1,0),O101:OFFSET(O102,-1,0))</f>
        <v>0</v>
      </c>
      <c r="P100" s="58">
        <f ca="1">SUMPRODUCT($B12:OFFSET($B13,-1,0),P101:OFFSET(P102,-1,0))</f>
        <v>0</v>
      </c>
      <c r="Q100" s="58">
        <f ca="1">SUMPRODUCT($B12:OFFSET($B13,-1,0),Q101:OFFSET(Q102,-1,0))</f>
        <v>0</v>
      </c>
      <c r="R100" s="58">
        <f ca="1">SUMPRODUCT($B12:OFFSET($B13,-1,0),R101:OFFSET(R102,-1,0))</f>
        <v>0</v>
      </c>
      <c r="S100" s="58">
        <f ca="1">SUMPRODUCT($B12:OFFSET($B13,-1,0),S101:OFFSET(S102,-1,0))</f>
        <v>0</v>
      </c>
      <c r="T100" s="58">
        <f ca="1">SUMPRODUCT($B12:OFFSET($B13,-1,0),T101:OFFSET(T102,-1,0))</f>
        <v>0</v>
      </c>
      <c r="U100" s="58">
        <f ca="1">SUMPRODUCT($B12:OFFSET($B13,-1,0),U101:OFFSET(U102,-1,0))</f>
        <v>0</v>
      </c>
      <c r="V100" s="58">
        <f ca="1">SUMPRODUCT($B12:OFFSET($B13,-1,0),V101:OFFSET(V102,-1,0))</f>
        <v>0</v>
      </c>
      <c r="W100" s="58">
        <f ca="1">SUMPRODUCT($B12:OFFSET($B13,-1,0),W101:OFFSET(W102,-1,0))</f>
        <v>0</v>
      </c>
      <c r="X100" s="58">
        <f ca="1">SUMPRODUCT($B12:OFFSET($B13,-1,0),X101:OFFSET(X102,-1,0))</f>
        <v>0</v>
      </c>
      <c r="Y100" s="58">
        <f ca="1">SUMPRODUCT($B12:OFFSET($B13,-1,0),Y101:OFFSET(Y102,-1,0))</f>
        <v>0</v>
      </c>
      <c r="AA100" s="57">
        <f ca="1">SUM(F100:Y100)</f>
        <v>0</v>
      </c>
    </row>
    <row r="101" spans="1:27" s="11" customFormat="1" hidden="1" outlineLevel="2" x14ac:dyDescent="0.2">
      <c r="A101" s="11" t="str">
        <f ca="1">"        " &amp; A12</f>
        <v xml:space="preserve">        Проект 1</v>
      </c>
      <c r="C101" s="198" t="str">
        <f ca="1">CUR_Report</f>
        <v>тыс. EUR</v>
      </c>
      <c r="D101" s="11" t="e">
        <f ca="1">"[" &amp; F12 &amp; "];int_sum"</f>
        <v>#NAME?</v>
      </c>
      <c r="F101" s="54">
        <f ca="1">IF(OR(F$33&lt;$B28,F$33&gt;$C28),0,OFFSET(Проект!F$1185,0,1-$B28))</f>
        <v>0</v>
      </c>
      <c r="G101" s="54">
        <f ca="1">IF(OR(G$33&lt;$B28,G$33&gt;$C28),0,OFFSET(Проект!G$1185,0,1-$B28))</f>
        <v>0</v>
      </c>
      <c r="H101" s="54">
        <f ca="1">IF(OR(H$33&lt;$B28,H$33&gt;$C28),0,OFFSET(Проект!H$1185,0,1-$B28))</f>
        <v>0</v>
      </c>
      <c r="I101" s="54">
        <f ca="1">IF(OR(I$33&lt;$B28,I$33&gt;$C28),0,OFFSET(Проект!I$1185,0,1-$B28))</f>
        <v>0</v>
      </c>
      <c r="J101" s="54">
        <f ca="1">IF(OR(J$33&lt;$B28,J$33&gt;$C28),0,OFFSET(Проект!J$1185,0,1-$B28))</f>
        <v>0</v>
      </c>
      <c r="K101" s="54">
        <f ca="1">IF(OR(K$33&lt;$B28,K$33&gt;$C28),0,OFFSET(Проект!K$1185,0,1-$B28))</f>
        <v>0</v>
      </c>
      <c r="L101" s="54">
        <f ca="1">IF(OR(L$33&lt;$B28,L$33&gt;$C28),0,OFFSET(Проект!L$1185,0,1-$B28))</f>
        <v>0</v>
      </c>
      <c r="M101" s="54">
        <f ca="1">IF(OR(M$33&lt;$B28,M$33&gt;$C28),0,OFFSET(Проект!M$1185,0,1-$B28))</f>
        <v>0</v>
      </c>
      <c r="N101" s="54">
        <f ca="1">IF(OR(N$33&lt;$B28,N$33&gt;$C28),0,OFFSET(Проект!N$1185,0,1-$B28))</f>
        <v>0</v>
      </c>
      <c r="O101" s="54">
        <f ca="1">IF(OR(O$33&lt;$B28,O$33&gt;$C28),0,OFFSET(Проект!O$1185,0,1-$B28))</f>
        <v>0</v>
      </c>
      <c r="P101" s="54">
        <f ca="1">IF(OR(P$33&lt;$B28,P$33&gt;$C28),0,OFFSET(Проект!P$1185,0,1-$B28))</f>
        <v>0</v>
      </c>
      <c r="Q101" s="54">
        <f ca="1">IF(OR(Q$33&lt;$B28,Q$33&gt;$C28),0,OFFSET(Проект!Q$1185,0,1-$B28))</f>
        <v>0</v>
      </c>
      <c r="R101" s="54">
        <f ca="1">IF(OR(R$33&lt;$B28,R$33&gt;$C28),0,OFFSET(Проект!R$1185,0,1-$B28))</f>
        <v>0</v>
      </c>
      <c r="S101" s="54">
        <f ca="1">IF(OR(S$33&lt;$B28,S$33&gt;$C28),0,OFFSET(Проект!S$1185,0,1-$B28))</f>
        <v>0</v>
      </c>
      <c r="T101" s="54">
        <f ca="1">IF(OR(T$33&lt;$B28,T$33&gt;$C28),0,OFFSET(Проект!T$1185,0,1-$B28))</f>
        <v>0</v>
      </c>
      <c r="U101" s="54">
        <f ca="1">IF(OR(U$33&lt;$B28,U$33&gt;$C28),0,OFFSET(Проект!U$1185,0,1-$B28))</f>
        <v>0</v>
      </c>
      <c r="V101" s="54">
        <f ca="1">IF(OR(V$33&lt;$B28,V$33&gt;$C28),0,OFFSET(Проект!V$1185,0,1-$B28))</f>
        <v>0</v>
      </c>
      <c r="W101" s="54">
        <f ca="1">IF(OR(W$33&lt;$B28,W$33&gt;$C28),0,OFFSET(Проект!W$1185,0,1-$B28))</f>
        <v>0</v>
      </c>
      <c r="X101" s="54">
        <f ca="1">IF(OR(X$33&lt;$B28,X$33&gt;$C28),0,OFFSET(Проект!X$1185,0,1-$B28))</f>
        <v>0</v>
      </c>
      <c r="Y101" s="54">
        <f ca="1">IF(OR(Y$33&lt;$B28,Y$33&gt;$C28),0,OFFSET(Проект!AC$1185,0,1-$B28))</f>
        <v>0</v>
      </c>
      <c r="AA101" s="54">
        <f ca="1">SUM(F101:Y101)</f>
        <v>0</v>
      </c>
    </row>
    <row r="102" spans="1:27" outlineLevel="1" x14ac:dyDescent="0.2">
      <c r="AA102" s="11"/>
    </row>
    <row r="103" spans="1:27" outlineLevel="1" collapsed="1" x14ac:dyDescent="0.2">
      <c r="A103" t="str">
        <f ca="1">Language!A$666</f>
        <v>Выплаченные проценты</v>
      </c>
      <c r="C103" s="26" t="str">
        <f t="shared" ref="C103:C110" ca="1" si="9">CUR_Report</f>
        <v>тыс. EUR</v>
      </c>
      <c r="D103" s="204" t="s">
        <v>2615</v>
      </c>
      <c r="F103" s="43">
        <f ca="1">SUMPRODUCT($B12:OFFSET($B13,-1,0),F104:OFFSET(F105,-1,0))</f>
        <v>0</v>
      </c>
      <c r="G103" s="43">
        <f ca="1">SUMPRODUCT($B12:OFFSET($B13,-1,0),G104:OFFSET(G105,-1,0))</f>
        <v>0</v>
      </c>
      <c r="H103" s="43">
        <f ca="1">SUMPRODUCT($B12:OFFSET($B13,-1,0),H104:OFFSET(H105,-1,0))</f>
        <v>0</v>
      </c>
      <c r="I103" s="43">
        <f ca="1">SUMPRODUCT($B12:OFFSET($B13,-1,0),I104:OFFSET(I105,-1,0))</f>
        <v>0</v>
      </c>
      <c r="J103" s="43">
        <f ca="1">SUMPRODUCT($B12:OFFSET($B13,-1,0),J104:OFFSET(J105,-1,0))</f>
        <v>0</v>
      </c>
      <c r="K103" s="43">
        <f ca="1">SUMPRODUCT($B12:OFFSET($B13,-1,0),K104:OFFSET(K105,-1,0))</f>
        <v>0</v>
      </c>
      <c r="L103" s="43">
        <f ca="1">SUMPRODUCT($B12:OFFSET($B13,-1,0),L104:OFFSET(L105,-1,0))</f>
        <v>0</v>
      </c>
      <c r="M103" s="43">
        <f ca="1">SUMPRODUCT($B12:OFFSET($B13,-1,0),M104:OFFSET(M105,-1,0))</f>
        <v>0</v>
      </c>
      <c r="N103" s="43">
        <f ca="1">SUMPRODUCT($B12:OFFSET($B13,-1,0),N104:OFFSET(N105,-1,0))</f>
        <v>0</v>
      </c>
      <c r="O103" s="43">
        <f ca="1">SUMPRODUCT($B12:OFFSET($B13,-1,0),O104:OFFSET(O105,-1,0))</f>
        <v>0</v>
      </c>
      <c r="P103" s="43">
        <f ca="1">SUMPRODUCT($B12:OFFSET($B13,-1,0),P104:OFFSET(P105,-1,0))</f>
        <v>0</v>
      </c>
      <c r="Q103" s="43">
        <f ca="1">SUMPRODUCT($B12:OFFSET($B13,-1,0),Q104:OFFSET(Q105,-1,0))</f>
        <v>0</v>
      </c>
      <c r="R103" s="43">
        <f ca="1">SUMPRODUCT($B12:OFFSET($B13,-1,0),R104:OFFSET(R105,-1,0))</f>
        <v>0</v>
      </c>
      <c r="S103" s="43">
        <f ca="1">SUMPRODUCT($B12:OFFSET($B13,-1,0),S104:OFFSET(S105,-1,0))</f>
        <v>0</v>
      </c>
      <c r="T103" s="43">
        <f ca="1">SUMPRODUCT($B12:OFFSET($B13,-1,0),T104:OFFSET(T105,-1,0))</f>
        <v>0</v>
      </c>
      <c r="U103" s="43">
        <f ca="1">SUMPRODUCT($B12:OFFSET($B13,-1,0),U104:OFFSET(U105,-1,0))</f>
        <v>0</v>
      </c>
      <c r="V103" s="43">
        <f ca="1">SUMPRODUCT($B12:OFFSET($B13,-1,0),V104:OFFSET(V105,-1,0))</f>
        <v>0</v>
      </c>
      <c r="W103" s="43">
        <f ca="1">SUMPRODUCT($B12:OFFSET($B13,-1,0),W104:OFFSET(W105,-1,0))</f>
        <v>0</v>
      </c>
      <c r="X103" s="43">
        <f ca="1">SUMPRODUCT($B12:OFFSET($B13,-1,0),X104:OFFSET(X105,-1,0))</f>
        <v>0</v>
      </c>
      <c r="Y103" s="43">
        <f ca="1">SUMPRODUCT($B12:OFFSET($B13,-1,0),Y104:OFFSET(Y105,-1,0))</f>
        <v>0</v>
      </c>
      <c r="AA103" s="54">
        <f ca="1">SUM(F103:Y103)</f>
        <v>0</v>
      </c>
    </row>
    <row r="104" spans="1:27" s="11" customFormat="1" hidden="1" outlineLevel="2" x14ac:dyDescent="0.2">
      <c r="A104" s="11" t="str">
        <f ca="1">"        " &amp; A12</f>
        <v xml:space="preserve">        Проект 1</v>
      </c>
      <c r="C104" s="198" t="str">
        <f t="shared" ca="1" si="9"/>
        <v>тыс. EUR</v>
      </c>
      <c r="D104" s="11" t="e">
        <f ca="1">"[" &amp; F12 &amp; "];int_sum"</f>
        <v>#NAME?</v>
      </c>
      <c r="F104" s="54">
        <f ca="1">IF(OR(F$33&lt;$B28,F$33&gt;$C28),0,OFFSET(Проект!F$1187,0,1-$B28))</f>
        <v>0</v>
      </c>
      <c r="G104" s="54">
        <f ca="1">IF(OR(G$33&lt;$B28,G$33&gt;$C28),0,OFFSET(Проект!G$1187,0,1-$B28))</f>
        <v>0</v>
      </c>
      <c r="H104" s="54">
        <f ca="1">IF(OR(H$33&lt;$B28,H$33&gt;$C28),0,OFFSET(Проект!H$1187,0,1-$B28))</f>
        <v>0</v>
      </c>
      <c r="I104" s="54">
        <f ca="1">IF(OR(I$33&lt;$B28,I$33&gt;$C28),0,OFFSET(Проект!I$1187,0,1-$B28))</f>
        <v>0</v>
      </c>
      <c r="J104" s="54">
        <f ca="1">IF(OR(J$33&lt;$B28,J$33&gt;$C28),0,OFFSET(Проект!J$1187,0,1-$B28))</f>
        <v>0</v>
      </c>
      <c r="K104" s="54">
        <f ca="1">IF(OR(K$33&lt;$B28,K$33&gt;$C28),0,OFFSET(Проект!K$1187,0,1-$B28))</f>
        <v>0</v>
      </c>
      <c r="L104" s="54">
        <f ca="1">IF(OR(L$33&lt;$B28,L$33&gt;$C28),0,OFFSET(Проект!L$1187,0,1-$B28))</f>
        <v>0</v>
      </c>
      <c r="M104" s="54">
        <f ca="1">IF(OR(M$33&lt;$B28,M$33&gt;$C28),0,OFFSET(Проект!M$1187,0,1-$B28))</f>
        <v>0</v>
      </c>
      <c r="N104" s="54">
        <f ca="1">IF(OR(N$33&lt;$B28,N$33&gt;$C28),0,OFFSET(Проект!N$1187,0,1-$B28))</f>
        <v>0</v>
      </c>
      <c r="O104" s="54">
        <f ca="1">IF(OR(O$33&lt;$B28,O$33&gt;$C28),0,OFFSET(Проект!O$1187,0,1-$B28))</f>
        <v>0</v>
      </c>
      <c r="P104" s="54">
        <f ca="1">IF(OR(P$33&lt;$B28,P$33&gt;$C28),0,OFFSET(Проект!P$1187,0,1-$B28))</f>
        <v>0</v>
      </c>
      <c r="Q104" s="54">
        <f ca="1">IF(OR(Q$33&lt;$B28,Q$33&gt;$C28),0,OFFSET(Проект!Q$1187,0,1-$B28))</f>
        <v>0</v>
      </c>
      <c r="R104" s="54">
        <f ca="1">IF(OR(R$33&lt;$B28,R$33&gt;$C28),0,OFFSET(Проект!R$1187,0,1-$B28))</f>
        <v>0</v>
      </c>
      <c r="S104" s="54">
        <f ca="1">IF(OR(S$33&lt;$B28,S$33&gt;$C28),0,OFFSET(Проект!S$1187,0,1-$B28))</f>
        <v>0</v>
      </c>
      <c r="T104" s="54">
        <f ca="1">IF(OR(T$33&lt;$B28,T$33&gt;$C28),0,OFFSET(Проект!T$1187,0,1-$B28))</f>
        <v>0</v>
      </c>
      <c r="U104" s="54">
        <f ca="1">IF(OR(U$33&lt;$B28,U$33&gt;$C28),0,OFFSET(Проект!U$1187,0,1-$B28))</f>
        <v>0</v>
      </c>
      <c r="V104" s="54">
        <f ca="1">IF(OR(V$33&lt;$B28,V$33&gt;$C28),0,OFFSET(Проект!V$1187,0,1-$B28))</f>
        <v>0</v>
      </c>
      <c r="W104" s="54">
        <f ca="1">IF(OR(W$33&lt;$B28,W$33&gt;$C28),0,OFFSET(Проект!W$1187,0,1-$B28))</f>
        <v>0</v>
      </c>
      <c r="X104" s="54">
        <f ca="1">IF(OR(X$33&lt;$B28,X$33&gt;$C28),0,OFFSET(Проект!X$1187,0,1-$B28))</f>
        <v>0</v>
      </c>
      <c r="Y104" s="54">
        <f ca="1">IF(OR(Y$33&lt;$B28,Y$33&gt;$C28),0,OFFSET(Проект!AC$1187,0,1-$B28))</f>
        <v>0</v>
      </c>
      <c r="AA104" s="54">
        <f t="shared" ref="AA104:AA110" ca="1" si="10">SUM(F104:Y104)</f>
        <v>0</v>
      </c>
    </row>
    <row r="105" spans="1:27" outlineLevel="1" collapsed="1" x14ac:dyDescent="0.2">
      <c r="A105" t="str">
        <f ca="1">Language!A$703</f>
        <v>Дивиденды</v>
      </c>
      <c r="C105" s="26" t="str">
        <f t="shared" ca="1" si="9"/>
        <v>тыс. EUR</v>
      </c>
      <c r="D105" s="204" t="s">
        <v>2615</v>
      </c>
      <c r="F105" s="43">
        <f ca="1">SUMPRODUCT($B12:OFFSET($B13,-1,0),F106:OFFSET(F107,-1,0))</f>
        <v>0</v>
      </c>
      <c r="G105" s="43">
        <f ca="1">SUMPRODUCT($B12:OFFSET($B13,-1,0),G106:OFFSET(G107,-1,0))</f>
        <v>0</v>
      </c>
      <c r="H105" s="43">
        <f ca="1">SUMPRODUCT($B12:OFFSET($B13,-1,0),H106:OFFSET(H107,-1,0))</f>
        <v>0</v>
      </c>
      <c r="I105" s="43">
        <f ca="1">SUMPRODUCT($B12:OFFSET($B13,-1,0),I106:OFFSET(I107,-1,0))</f>
        <v>0</v>
      </c>
      <c r="J105" s="43">
        <f ca="1">SUMPRODUCT($B12:OFFSET($B13,-1,0),J106:OFFSET(J107,-1,0))</f>
        <v>0</v>
      </c>
      <c r="K105" s="43">
        <f ca="1">SUMPRODUCT($B12:OFFSET($B13,-1,0),K106:OFFSET(K107,-1,0))</f>
        <v>0</v>
      </c>
      <c r="L105" s="43">
        <f ca="1">SUMPRODUCT($B12:OFFSET($B13,-1,0),L106:OFFSET(L107,-1,0))</f>
        <v>0</v>
      </c>
      <c r="M105" s="43">
        <f ca="1">SUMPRODUCT($B12:OFFSET($B13,-1,0),M106:OFFSET(M107,-1,0))</f>
        <v>0</v>
      </c>
      <c r="N105" s="43">
        <f ca="1">SUMPRODUCT($B12:OFFSET($B13,-1,0),N106:OFFSET(N107,-1,0))</f>
        <v>0</v>
      </c>
      <c r="O105" s="43">
        <f ca="1">SUMPRODUCT($B12:OFFSET($B13,-1,0),O106:OFFSET(O107,-1,0))</f>
        <v>0</v>
      </c>
      <c r="P105" s="43">
        <f ca="1">SUMPRODUCT($B12:OFFSET($B13,-1,0),P106:OFFSET(P107,-1,0))</f>
        <v>0</v>
      </c>
      <c r="Q105" s="43">
        <f ca="1">SUMPRODUCT($B12:OFFSET($B13,-1,0),Q106:OFFSET(Q107,-1,0))</f>
        <v>0</v>
      </c>
      <c r="R105" s="43">
        <f ca="1">SUMPRODUCT($B12:OFFSET($B13,-1,0),R106:OFFSET(R107,-1,0))</f>
        <v>0</v>
      </c>
      <c r="S105" s="43">
        <f ca="1">SUMPRODUCT($B12:OFFSET($B13,-1,0),S106:OFFSET(S107,-1,0))</f>
        <v>0</v>
      </c>
      <c r="T105" s="43">
        <f ca="1">SUMPRODUCT($B12:OFFSET($B13,-1,0),T106:OFFSET(T107,-1,0))</f>
        <v>0</v>
      </c>
      <c r="U105" s="43">
        <f ca="1">SUMPRODUCT($B12:OFFSET($B13,-1,0),U106:OFFSET(U107,-1,0))</f>
        <v>0</v>
      </c>
      <c r="V105" s="43">
        <f ca="1">SUMPRODUCT($B12:OFFSET($B13,-1,0),V106:OFFSET(V107,-1,0))</f>
        <v>0</v>
      </c>
      <c r="W105" s="43">
        <f ca="1">SUMPRODUCT($B12:OFFSET($B13,-1,0),W106:OFFSET(W107,-1,0))</f>
        <v>0</v>
      </c>
      <c r="X105" s="43">
        <f ca="1">SUMPRODUCT($B12:OFFSET($B13,-1,0),X106:OFFSET(X107,-1,0))</f>
        <v>0</v>
      </c>
      <c r="Y105" s="43">
        <f ca="1">SUMPRODUCT($B12:OFFSET($B13,-1,0),Y106:OFFSET(Y107,-1,0))</f>
        <v>0</v>
      </c>
      <c r="AA105" s="54">
        <f t="shared" ca="1" si="10"/>
        <v>0</v>
      </c>
    </row>
    <row r="106" spans="1:27" s="11" customFormat="1" hidden="1" outlineLevel="2" x14ac:dyDescent="0.2">
      <c r="A106" s="11" t="str">
        <f ca="1">"        " &amp; A12</f>
        <v xml:space="preserve">        Проект 1</v>
      </c>
      <c r="C106" s="198" t="str">
        <f t="shared" ca="1" si="9"/>
        <v>тыс. EUR</v>
      </c>
      <c r="D106" s="11" t="e">
        <f ca="1">"[" &amp; F12 &amp; "];int_sum"</f>
        <v>#NAME?</v>
      </c>
      <c r="F106" s="54">
        <f ca="1">IF(OR(F$33&lt;$B28,F$33&gt;$C28),0,OFFSET(Проект!F$1188,0,1-$B28))</f>
        <v>0</v>
      </c>
      <c r="G106" s="54">
        <f ca="1">IF(OR(G$33&lt;$B28,G$33&gt;$C28),0,OFFSET(Проект!G$1188,0,1-$B28))</f>
        <v>0</v>
      </c>
      <c r="H106" s="54">
        <f ca="1">IF(OR(H$33&lt;$B28,H$33&gt;$C28),0,OFFSET(Проект!H$1188,0,1-$B28))</f>
        <v>0</v>
      </c>
      <c r="I106" s="54">
        <f ca="1">IF(OR(I$33&lt;$B28,I$33&gt;$C28),0,OFFSET(Проект!I$1188,0,1-$B28))</f>
        <v>0</v>
      </c>
      <c r="J106" s="54">
        <f ca="1">IF(OR(J$33&lt;$B28,J$33&gt;$C28),0,OFFSET(Проект!J$1188,0,1-$B28))</f>
        <v>0</v>
      </c>
      <c r="K106" s="54">
        <f ca="1">IF(OR(K$33&lt;$B28,K$33&gt;$C28),0,OFFSET(Проект!K$1188,0,1-$B28))</f>
        <v>0</v>
      </c>
      <c r="L106" s="54">
        <f ca="1">IF(OR(L$33&lt;$B28,L$33&gt;$C28),0,OFFSET(Проект!L$1188,0,1-$B28))</f>
        <v>0</v>
      </c>
      <c r="M106" s="54">
        <f ca="1">IF(OR(M$33&lt;$B28,M$33&gt;$C28),0,OFFSET(Проект!M$1188,0,1-$B28))</f>
        <v>0</v>
      </c>
      <c r="N106" s="54">
        <f ca="1">IF(OR(N$33&lt;$B28,N$33&gt;$C28),0,OFFSET(Проект!N$1188,0,1-$B28))</f>
        <v>0</v>
      </c>
      <c r="O106" s="54">
        <f ca="1">IF(OR(O$33&lt;$B28,O$33&gt;$C28),0,OFFSET(Проект!O$1188,0,1-$B28))</f>
        <v>0</v>
      </c>
      <c r="P106" s="54">
        <f ca="1">IF(OR(P$33&lt;$B28,P$33&gt;$C28),0,OFFSET(Проект!P$1188,0,1-$B28))</f>
        <v>0</v>
      </c>
      <c r="Q106" s="54">
        <f ca="1">IF(OR(Q$33&lt;$B28,Q$33&gt;$C28),0,OFFSET(Проект!Q$1188,0,1-$B28))</f>
        <v>0</v>
      </c>
      <c r="R106" s="54">
        <f ca="1">IF(OR(R$33&lt;$B28,R$33&gt;$C28),0,OFFSET(Проект!R$1188,0,1-$B28))</f>
        <v>0</v>
      </c>
      <c r="S106" s="54">
        <f ca="1">IF(OR(S$33&lt;$B28,S$33&gt;$C28),0,OFFSET(Проект!S$1188,0,1-$B28))</f>
        <v>0</v>
      </c>
      <c r="T106" s="54">
        <f ca="1">IF(OR(T$33&lt;$B28,T$33&gt;$C28),0,OFFSET(Проект!T$1188,0,1-$B28))</f>
        <v>0</v>
      </c>
      <c r="U106" s="54">
        <f ca="1">IF(OR(U$33&lt;$B28,U$33&gt;$C28),0,OFFSET(Проект!U$1188,0,1-$B28))</f>
        <v>0</v>
      </c>
      <c r="V106" s="54">
        <f ca="1">IF(OR(V$33&lt;$B28,V$33&gt;$C28),0,OFFSET(Проект!V$1188,0,1-$B28))</f>
        <v>0</v>
      </c>
      <c r="W106" s="54">
        <f ca="1">IF(OR(W$33&lt;$B28,W$33&gt;$C28),0,OFFSET(Проект!W$1188,0,1-$B28))</f>
        <v>0</v>
      </c>
      <c r="X106" s="54">
        <f ca="1">IF(OR(X$33&lt;$B28,X$33&gt;$C28),0,OFFSET(Проект!X$1188,0,1-$B28))</f>
        <v>0</v>
      </c>
      <c r="Y106" s="54">
        <f ca="1">IF(OR(Y$33&lt;$B28,Y$33&gt;$C28),0,OFFSET(Проект!AC$1188,0,1-$B28))</f>
        <v>0</v>
      </c>
      <c r="AA106" s="54">
        <f t="shared" ca="1" si="10"/>
        <v>0</v>
      </c>
    </row>
    <row r="107" spans="1:27" outlineLevel="1" collapsed="1" x14ac:dyDescent="0.2">
      <c r="A107" s="48" t="str">
        <f ca="1">Language!A$704</f>
        <v>Лизинговые платежи</v>
      </c>
      <c r="C107" s="26" t="str">
        <f t="shared" ca="1" si="9"/>
        <v>тыс. EUR</v>
      </c>
      <c r="D107" s="204" t="s">
        <v>2615</v>
      </c>
      <c r="F107" s="43">
        <f ca="1">SUMPRODUCT($B12:OFFSET($B13,-1,0),F108:OFFSET(F109,-1,0))</f>
        <v>0</v>
      </c>
      <c r="G107" s="43">
        <f ca="1">SUMPRODUCT($B12:OFFSET($B13,-1,0),G108:OFFSET(G109,-1,0))</f>
        <v>0</v>
      </c>
      <c r="H107" s="43">
        <f ca="1">SUMPRODUCT($B12:OFFSET($B13,-1,0),H108:OFFSET(H109,-1,0))</f>
        <v>0</v>
      </c>
      <c r="I107" s="43">
        <f ca="1">SUMPRODUCT($B12:OFFSET($B13,-1,0),I108:OFFSET(I109,-1,0))</f>
        <v>0</v>
      </c>
      <c r="J107" s="43">
        <f ca="1">SUMPRODUCT($B12:OFFSET($B13,-1,0),J108:OFFSET(J109,-1,0))</f>
        <v>0</v>
      </c>
      <c r="K107" s="43">
        <f ca="1">SUMPRODUCT($B12:OFFSET($B13,-1,0),K108:OFFSET(K109,-1,0))</f>
        <v>0</v>
      </c>
      <c r="L107" s="43">
        <f ca="1">SUMPRODUCT($B12:OFFSET($B13,-1,0),L108:OFFSET(L109,-1,0))</f>
        <v>0</v>
      </c>
      <c r="M107" s="43">
        <f ca="1">SUMPRODUCT($B12:OFFSET($B13,-1,0),M108:OFFSET(M109,-1,0))</f>
        <v>0</v>
      </c>
      <c r="N107" s="43">
        <f ca="1">SUMPRODUCT($B12:OFFSET($B13,-1,0),N108:OFFSET(N109,-1,0))</f>
        <v>0</v>
      </c>
      <c r="O107" s="43">
        <f ca="1">SUMPRODUCT($B12:OFFSET($B13,-1,0),O108:OFFSET(O109,-1,0))</f>
        <v>0</v>
      </c>
      <c r="P107" s="43">
        <f ca="1">SUMPRODUCT($B12:OFFSET($B13,-1,0),P108:OFFSET(P109,-1,0))</f>
        <v>0</v>
      </c>
      <c r="Q107" s="43">
        <f ca="1">SUMPRODUCT($B12:OFFSET($B13,-1,0),Q108:OFFSET(Q109,-1,0))</f>
        <v>0</v>
      </c>
      <c r="R107" s="43">
        <f ca="1">SUMPRODUCT($B12:OFFSET($B13,-1,0),R108:OFFSET(R109,-1,0))</f>
        <v>0</v>
      </c>
      <c r="S107" s="43">
        <f ca="1">SUMPRODUCT($B12:OFFSET($B13,-1,0),S108:OFFSET(S109,-1,0))</f>
        <v>0</v>
      </c>
      <c r="T107" s="43">
        <f ca="1">SUMPRODUCT($B12:OFFSET($B13,-1,0),T108:OFFSET(T109,-1,0))</f>
        <v>0</v>
      </c>
      <c r="U107" s="43">
        <f ca="1">SUMPRODUCT($B12:OFFSET($B13,-1,0),U108:OFFSET(U109,-1,0))</f>
        <v>0</v>
      </c>
      <c r="V107" s="43">
        <f ca="1">SUMPRODUCT($B12:OFFSET($B13,-1,0),V108:OFFSET(V109,-1,0))</f>
        <v>0</v>
      </c>
      <c r="W107" s="43">
        <f ca="1">SUMPRODUCT($B12:OFFSET($B13,-1,0),W108:OFFSET(W109,-1,0))</f>
        <v>0</v>
      </c>
      <c r="X107" s="43">
        <f ca="1">SUMPRODUCT($B12:OFFSET($B13,-1,0),X108:OFFSET(X109,-1,0))</f>
        <v>0</v>
      </c>
      <c r="Y107" s="43">
        <f ca="1">SUMPRODUCT($B12:OFFSET($B13,-1,0),Y108:OFFSET(Y109,-1,0))</f>
        <v>0</v>
      </c>
      <c r="AA107" s="54">
        <f t="shared" ca="1" si="10"/>
        <v>0</v>
      </c>
    </row>
    <row r="108" spans="1:27" s="11" customFormat="1" hidden="1" outlineLevel="2" x14ac:dyDescent="0.2">
      <c r="A108" s="41" t="str">
        <f ca="1">"        " &amp; A12</f>
        <v xml:space="preserve">        Проект 1</v>
      </c>
      <c r="C108" s="198" t="str">
        <f t="shared" ca="1" si="9"/>
        <v>тыс. EUR</v>
      </c>
      <c r="D108" s="11" t="e">
        <f ca="1">"[" &amp; F12 &amp; "];int_sum"</f>
        <v>#NAME?</v>
      </c>
      <c r="F108" s="54">
        <f ca="1">IF(OR(F$33&lt;$B28,F$33&gt;$C28),0,OFFSET(Проект!F$1189,0,1-$B28))</f>
        <v>0</v>
      </c>
      <c r="G108" s="54">
        <f ca="1">IF(OR(G$33&lt;$B28,G$33&gt;$C28),0,OFFSET(Проект!G$1189,0,1-$B28))</f>
        <v>0</v>
      </c>
      <c r="H108" s="54">
        <f ca="1">IF(OR(H$33&lt;$B28,H$33&gt;$C28),0,OFFSET(Проект!H$1189,0,1-$B28))</f>
        <v>0</v>
      </c>
      <c r="I108" s="54">
        <f ca="1">IF(OR(I$33&lt;$B28,I$33&gt;$C28),0,OFFSET(Проект!I$1189,0,1-$B28))</f>
        <v>0</v>
      </c>
      <c r="J108" s="54">
        <f ca="1">IF(OR(J$33&lt;$B28,J$33&gt;$C28),0,OFFSET(Проект!J$1189,0,1-$B28))</f>
        <v>0</v>
      </c>
      <c r="K108" s="54">
        <f ca="1">IF(OR(K$33&lt;$B28,K$33&gt;$C28),0,OFFSET(Проект!K$1189,0,1-$B28))</f>
        <v>0</v>
      </c>
      <c r="L108" s="54">
        <f ca="1">IF(OR(L$33&lt;$B28,L$33&gt;$C28),0,OFFSET(Проект!L$1189,0,1-$B28))</f>
        <v>0</v>
      </c>
      <c r="M108" s="54">
        <f ca="1">IF(OR(M$33&lt;$B28,M$33&gt;$C28),0,OFFSET(Проект!M$1189,0,1-$B28))</f>
        <v>0</v>
      </c>
      <c r="N108" s="54">
        <f ca="1">IF(OR(N$33&lt;$B28,N$33&gt;$C28),0,OFFSET(Проект!N$1189,0,1-$B28))</f>
        <v>0</v>
      </c>
      <c r="O108" s="54">
        <f ca="1">IF(OR(O$33&lt;$B28,O$33&gt;$C28),0,OFFSET(Проект!O$1189,0,1-$B28))</f>
        <v>0</v>
      </c>
      <c r="P108" s="54">
        <f ca="1">IF(OR(P$33&lt;$B28,P$33&gt;$C28),0,OFFSET(Проект!P$1189,0,1-$B28))</f>
        <v>0</v>
      </c>
      <c r="Q108" s="54">
        <f ca="1">IF(OR(Q$33&lt;$B28,Q$33&gt;$C28),0,OFFSET(Проект!Q$1189,0,1-$B28))</f>
        <v>0</v>
      </c>
      <c r="R108" s="54">
        <f ca="1">IF(OR(R$33&lt;$B28,R$33&gt;$C28),0,OFFSET(Проект!R$1189,0,1-$B28))</f>
        <v>0</v>
      </c>
      <c r="S108" s="54">
        <f ca="1">IF(OR(S$33&lt;$B28,S$33&gt;$C28),0,OFFSET(Проект!S$1189,0,1-$B28))</f>
        <v>0</v>
      </c>
      <c r="T108" s="54">
        <f ca="1">IF(OR(T$33&lt;$B28,T$33&gt;$C28),0,OFFSET(Проект!T$1189,0,1-$B28))</f>
        <v>0</v>
      </c>
      <c r="U108" s="54">
        <f ca="1">IF(OR(U$33&lt;$B28,U$33&gt;$C28),0,OFFSET(Проект!U$1189,0,1-$B28))</f>
        <v>0</v>
      </c>
      <c r="V108" s="54">
        <f ca="1">IF(OR(V$33&lt;$B28,V$33&gt;$C28),0,OFFSET(Проект!V$1189,0,1-$B28))</f>
        <v>0</v>
      </c>
      <c r="W108" s="54">
        <f ca="1">IF(OR(W$33&lt;$B28,W$33&gt;$C28),0,OFFSET(Проект!W$1189,0,1-$B28))</f>
        <v>0</v>
      </c>
      <c r="X108" s="54">
        <f ca="1">IF(OR(X$33&lt;$B28,X$33&gt;$C28),0,OFFSET(Проект!X$1189,0,1-$B28))</f>
        <v>0</v>
      </c>
      <c r="Y108" s="54">
        <f ca="1">IF(OR(Y$33&lt;$B28,Y$33&gt;$C28),0,OFFSET(Проект!AC$1189,0,1-$B28))</f>
        <v>0</v>
      </c>
      <c r="AA108" s="54">
        <f t="shared" ca="1" si="10"/>
        <v>0</v>
      </c>
    </row>
    <row r="109" spans="1:27" outlineLevel="1" collapsed="1" x14ac:dyDescent="0.2">
      <c r="A109" s="48" t="str">
        <f ca="1">Language!A$705</f>
        <v>Возврат кредитов</v>
      </c>
      <c r="C109" s="26" t="str">
        <f t="shared" ca="1" si="9"/>
        <v>тыс. EUR</v>
      </c>
      <c r="D109" s="204" t="s">
        <v>2615</v>
      </c>
      <c r="F109" s="43">
        <f ca="1">SUMPRODUCT($B12:OFFSET($B13,-1,0),F110:OFFSET(F111,-1,0))</f>
        <v>0</v>
      </c>
      <c r="G109" s="43">
        <f ca="1">SUMPRODUCT($B12:OFFSET($B13,-1,0),G110:OFFSET(G111,-1,0))</f>
        <v>0</v>
      </c>
      <c r="H109" s="43">
        <f ca="1">SUMPRODUCT($B12:OFFSET($B13,-1,0),H110:OFFSET(H111,-1,0))</f>
        <v>0</v>
      </c>
      <c r="I109" s="43">
        <f ca="1">SUMPRODUCT($B12:OFFSET($B13,-1,0),I110:OFFSET(I111,-1,0))</f>
        <v>0</v>
      </c>
      <c r="J109" s="43">
        <f ca="1">SUMPRODUCT($B12:OFFSET($B13,-1,0),J110:OFFSET(J111,-1,0))</f>
        <v>0</v>
      </c>
      <c r="K109" s="43">
        <f ca="1">SUMPRODUCT($B12:OFFSET($B13,-1,0),K110:OFFSET(K111,-1,0))</f>
        <v>0</v>
      </c>
      <c r="L109" s="43">
        <f ca="1">SUMPRODUCT($B12:OFFSET($B13,-1,0),L110:OFFSET(L111,-1,0))</f>
        <v>0</v>
      </c>
      <c r="M109" s="43">
        <f ca="1">SUMPRODUCT($B12:OFFSET($B13,-1,0),M110:OFFSET(M111,-1,0))</f>
        <v>0</v>
      </c>
      <c r="N109" s="43">
        <f ca="1">SUMPRODUCT($B12:OFFSET($B13,-1,0),N110:OFFSET(N111,-1,0))</f>
        <v>0</v>
      </c>
      <c r="O109" s="43">
        <f ca="1">SUMPRODUCT($B12:OFFSET($B13,-1,0),O110:OFFSET(O111,-1,0))</f>
        <v>0</v>
      </c>
      <c r="P109" s="43">
        <f ca="1">SUMPRODUCT($B12:OFFSET($B13,-1,0),P110:OFFSET(P111,-1,0))</f>
        <v>0</v>
      </c>
      <c r="Q109" s="43">
        <f ca="1">SUMPRODUCT($B12:OFFSET($B13,-1,0),Q110:OFFSET(Q111,-1,0))</f>
        <v>0</v>
      </c>
      <c r="R109" s="43">
        <f ca="1">SUMPRODUCT($B12:OFFSET($B13,-1,0),R110:OFFSET(R111,-1,0))</f>
        <v>0</v>
      </c>
      <c r="S109" s="43">
        <f ca="1">SUMPRODUCT($B12:OFFSET($B13,-1,0),S110:OFFSET(S111,-1,0))</f>
        <v>0</v>
      </c>
      <c r="T109" s="43">
        <f ca="1">SUMPRODUCT($B12:OFFSET($B13,-1,0),T110:OFFSET(T111,-1,0))</f>
        <v>0</v>
      </c>
      <c r="U109" s="43">
        <f ca="1">SUMPRODUCT($B12:OFFSET($B13,-1,0),U110:OFFSET(U111,-1,0))</f>
        <v>0</v>
      </c>
      <c r="V109" s="43">
        <f ca="1">SUMPRODUCT($B12:OFFSET($B13,-1,0),V110:OFFSET(V111,-1,0))</f>
        <v>0</v>
      </c>
      <c r="W109" s="43">
        <f ca="1">SUMPRODUCT($B12:OFFSET($B13,-1,0),W110:OFFSET(W111,-1,0))</f>
        <v>0</v>
      </c>
      <c r="X109" s="43">
        <f ca="1">SUMPRODUCT($B12:OFFSET($B13,-1,0),X110:OFFSET(X111,-1,0))</f>
        <v>0</v>
      </c>
      <c r="Y109" s="43">
        <f ca="1">SUMPRODUCT($B12:OFFSET($B13,-1,0),Y110:OFFSET(Y111,-1,0))</f>
        <v>0</v>
      </c>
      <c r="AA109" s="54">
        <f t="shared" ca="1" si="10"/>
        <v>0</v>
      </c>
    </row>
    <row r="110" spans="1:27" s="11" customFormat="1" hidden="1" outlineLevel="2" x14ac:dyDescent="0.2">
      <c r="A110" s="41" t="str">
        <f ca="1">"        " &amp; A12</f>
        <v xml:space="preserve">        Проект 1</v>
      </c>
      <c r="C110" s="198" t="str">
        <f t="shared" ca="1" si="9"/>
        <v>тыс. EUR</v>
      </c>
      <c r="D110" s="11" t="e">
        <f ca="1">"[" &amp; F12 &amp; "];int_sum"</f>
        <v>#NAME?</v>
      </c>
      <c r="F110" s="54">
        <f ca="1">IF(OR(F$33&lt;$B28,F$33&gt;$C28),0,OFFSET(Проект!F$1190,0,1-$B28))</f>
        <v>0</v>
      </c>
      <c r="G110" s="54">
        <f ca="1">IF(OR(G$33&lt;$B28,G$33&gt;$C28),0,OFFSET(Проект!G$1190,0,1-$B28))</f>
        <v>0</v>
      </c>
      <c r="H110" s="54">
        <f ca="1">IF(OR(H$33&lt;$B28,H$33&gt;$C28),0,OFFSET(Проект!H$1190,0,1-$B28))</f>
        <v>0</v>
      </c>
      <c r="I110" s="54">
        <f ca="1">IF(OR(I$33&lt;$B28,I$33&gt;$C28),0,OFFSET(Проект!I$1190,0,1-$B28))</f>
        <v>0</v>
      </c>
      <c r="J110" s="54">
        <f ca="1">IF(OR(J$33&lt;$B28,J$33&gt;$C28),0,OFFSET(Проект!J$1190,0,1-$B28))</f>
        <v>0</v>
      </c>
      <c r="K110" s="54">
        <f ca="1">IF(OR(K$33&lt;$B28,K$33&gt;$C28),0,OFFSET(Проект!K$1190,0,1-$B28))</f>
        <v>0</v>
      </c>
      <c r="L110" s="54">
        <f ca="1">IF(OR(L$33&lt;$B28,L$33&gt;$C28),0,OFFSET(Проект!L$1190,0,1-$B28))</f>
        <v>0</v>
      </c>
      <c r="M110" s="54">
        <f ca="1">IF(OR(M$33&lt;$B28,M$33&gt;$C28),0,OFFSET(Проект!M$1190,0,1-$B28))</f>
        <v>0</v>
      </c>
      <c r="N110" s="54">
        <f ca="1">IF(OR(N$33&lt;$B28,N$33&gt;$C28),0,OFFSET(Проект!N$1190,0,1-$B28))</f>
        <v>0</v>
      </c>
      <c r="O110" s="54">
        <f ca="1">IF(OR(O$33&lt;$B28,O$33&gt;$C28),0,OFFSET(Проект!O$1190,0,1-$B28))</f>
        <v>0</v>
      </c>
      <c r="P110" s="54">
        <f ca="1">IF(OR(P$33&lt;$B28,P$33&gt;$C28),0,OFFSET(Проект!P$1190,0,1-$B28))</f>
        <v>0</v>
      </c>
      <c r="Q110" s="54">
        <f ca="1">IF(OR(Q$33&lt;$B28,Q$33&gt;$C28),0,OFFSET(Проект!Q$1190,0,1-$B28))</f>
        <v>0</v>
      </c>
      <c r="R110" s="54">
        <f ca="1">IF(OR(R$33&lt;$B28,R$33&gt;$C28),0,OFFSET(Проект!R$1190,0,1-$B28))</f>
        <v>0</v>
      </c>
      <c r="S110" s="54">
        <f ca="1">IF(OR(S$33&lt;$B28,S$33&gt;$C28),0,OFFSET(Проект!S$1190,0,1-$B28))</f>
        <v>0</v>
      </c>
      <c r="T110" s="54">
        <f ca="1">IF(OR(T$33&lt;$B28,T$33&gt;$C28),0,OFFSET(Проект!T$1190,0,1-$B28))</f>
        <v>0</v>
      </c>
      <c r="U110" s="54">
        <f ca="1">IF(OR(U$33&lt;$B28,U$33&gt;$C28),0,OFFSET(Проект!U$1190,0,1-$B28))</f>
        <v>0</v>
      </c>
      <c r="V110" s="54">
        <f ca="1">IF(OR(V$33&lt;$B28,V$33&gt;$C28),0,OFFSET(Проект!V$1190,0,1-$B28))</f>
        <v>0</v>
      </c>
      <c r="W110" s="54">
        <f ca="1">IF(OR(W$33&lt;$B28,W$33&gt;$C28),0,OFFSET(Проект!W$1190,0,1-$B28))</f>
        <v>0</v>
      </c>
      <c r="X110" s="54">
        <f ca="1">IF(OR(X$33&lt;$B28,X$33&gt;$C28),0,OFFSET(Проект!X$1190,0,1-$B28))</f>
        <v>0</v>
      </c>
      <c r="Y110" s="54">
        <f ca="1">IF(OR(Y$33&lt;$B28,Y$33&gt;$C28),0,OFFSET(Проект!AC$1190,0,1-$B28))</f>
        <v>0</v>
      </c>
      <c r="AA110" s="54">
        <f t="shared" ca="1" si="10"/>
        <v>0</v>
      </c>
    </row>
    <row r="111" spans="1:27" outlineLevel="1" x14ac:dyDescent="0.2">
      <c r="AA111" s="11"/>
    </row>
    <row r="112" spans="1:27" s="48" customFormat="1" outlineLevel="1" collapsed="1" x14ac:dyDescent="0.2">
      <c r="A112" s="52" t="str">
        <f ca="1">Language!A$1016</f>
        <v>Ранее осуществленные инвестиции</v>
      </c>
      <c r="C112" s="99" t="str">
        <f ca="1">CUR_Report</f>
        <v>тыс. EUR</v>
      </c>
      <c r="D112" s="301" t="s">
        <v>2615</v>
      </c>
      <c r="F112" s="105">
        <f ca="1">SUMPRODUCT($B12:OFFSET($B13,-1,0),F113:OFFSET(F114,-1,0))</f>
        <v>0</v>
      </c>
      <c r="G112" s="105">
        <f ca="1">SUMPRODUCT($B12:OFFSET($B13,-1,0),G113:OFFSET(G114,-1,0))</f>
        <v>0</v>
      </c>
      <c r="H112" s="105">
        <f ca="1">SUMPRODUCT($B12:OFFSET($B13,-1,0),H113:OFFSET(H114,-1,0))</f>
        <v>0</v>
      </c>
      <c r="I112" s="105">
        <f ca="1">SUMPRODUCT($B12:OFFSET($B13,-1,0),I113:OFFSET(I114,-1,0))</f>
        <v>0</v>
      </c>
      <c r="J112" s="105">
        <f ca="1">SUMPRODUCT($B12:OFFSET($B13,-1,0),J113:OFFSET(J114,-1,0))</f>
        <v>0</v>
      </c>
      <c r="K112" s="105">
        <f ca="1">SUMPRODUCT($B12:OFFSET($B13,-1,0),K113:OFFSET(K114,-1,0))</f>
        <v>0</v>
      </c>
      <c r="L112" s="105">
        <f ca="1">SUMPRODUCT($B12:OFFSET($B13,-1,0),L113:OFFSET(L114,-1,0))</f>
        <v>0</v>
      </c>
      <c r="M112" s="105">
        <f ca="1">SUMPRODUCT($B12:OFFSET($B13,-1,0),M113:OFFSET(M114,-1,0))</f>
        <v>0</v>
      </c>
      <c r="N112" s="105">
        <f ca="1">SUMPRODUCT($B12:OFFSET($B13,-1,0),N113:OFFSET(N114,-1,0))</f>
        <v>0</v>
      </c>
      <c r="O112" s="105">
        <f ca="1">SUMPRODUCT($B12:OFFSET($B13,-1,0),O113:OFFSET(O114,-1,0))</f>
        <v>0</v>
      </c>
      <c r="P112" s="105">
        <f ca="1">SUMPRODUCT($B12:OFFSET($B13,-1,0),P113:OFFSET(P114,-1,0))</f>
        <v>0</v>
      </c>
      <c r="Q112" s="105">
        <f ca="1">SUMPRODUCT($B12:OFFSET($B13,-1,0),Q113:OFFSET(Q114,-1,0))</f>
        <v>0</v>
      </c>
      <c r="R112" s="105">
        <f ca="1">SUMPRODUCT($B12:OFFSET($B13,-1,0),R113:OFFSET(R114,-1,0))</f>
        <v>0</v>
      </c>
      <c r="S112" s="105">
        <f ca="1">SUMPRODUCT($B12:OFFSET($B13,-1,0),S113:OFFSET(S114,-1,0))</f>
        <v>0</v>
      </c>
      <c r="T112" s="105">
        <f ca="1">SUMPRODUCT($B12:OFFSET($B13,-1,0),T113:OFFSET(T114,-1,0))</f>
        <v>0</v>
      </c>
      <c r="U112" s="105">
        <f ca="1">SUMPRODUCT($B12:OFFSET($B13,-1,0),U113:OFFSET(U114,-1,0))</f>
        <v>0</v>
      </c>
      <c r="V112" s="105">
        <f ca="1">SUMPRODUCT($B12:OFFSET($B13,-1,0),V113:OFFSET(V114,-1,0))</f>
        <v>0</v>
      </c>
      <c r="W112" s="105">
        <f ca="1">SUMPRODUCT($B12:OFFSET($B13,-1,0),W113:OFFSET(W114,-1,0))</f>
        <v>0</v>
      </c>
      <c r="X112" s="105">
        <f ca="1">SUMPRODUCT($B12:OFFSET($B13,-1,0),X113:OFFSET(X114,-1,0))</f>
        <v>0</v>
      </c>
      <c r="Y112" s="105">
        <f ca="1">SUMPRODUCT($B12:OFFSET($B13,-1,0),Y113:OFFSET(Y114,-1,0))</f>
        <v>0</v>
      </c>
      <c r="AA112" s="41"/>
    </row>
    <row r="113" spans="1:27" s="48" customFormat="1" hidden="1" outlineLevel="2" x14ac:dyDescent="0.2">
      <c r="A113" s="41" t="str">
        <f ca="1">"        " &amp; A12</f>
        <v xml:space="preserve">        Проект 1</v>
      </c>
      <c r="C113" s="302" t="str">
        <f ca="1">CUR_Report</f>
        <v>тыс. EUR</v>
      </c>
      <c r="D113" s="48" t="e">
        <f ca="1">"[" &amp; F12 &amp; "];int_sum"</f>
        <v>#NAME?</v>
      </c>
      <c r="F113" s="105">
        <f ca="1">IF(OR(F$33&lt;$B28,F$33&gt;$C28),0,OFFSET(Проект!F$549,0,1-$B28))</f>
        <v>0</v>
      </c>
      <c r="G113" s="105">
        <f ca="1">IF(OR(G$33&lt;$B28,G$33&gt;$C28),0,OFFSET(Проект!G$549,0,1-$B28))</f>
        <v>0</v>
      </c>
      <c r="H113" s="105">
        <f ca="1">IF(OR(H$33&lt;$B28,H$33&gt;$C28),0,OFFSET(Проект!H$549,0,1-$B28))</f>
        <v>0</v>
      </c>
      <c r="I113" s="105">
        <f ca="1">IF(OR(I$33&lt;$B28,I$33&gt;$C28),0,OFFSET(Проект!I$549,0,1-$B28))</f>
        <v>0</v>
      </c>
      <c r="J113" s="105">
        <f ca="1">IF(OR(J$33&lt;$B28,J$33&gt;$C28),0,OFFSET(Проект!J$549,0,1-$B28))</f>
        <v>0</v>
      </c>
      <c r="K113" s="105">
        <f ca="1">IF(OR(K$33&lt;$B28,K$33&gt;$C28),0,OFFSET(Проект!K$549,0,1-$B28))</f>
        <v>0</v>
      </c>
      <c r="L113" s="105">
        <f ca="1">IF(OR(L$33&lt;$B28,L$33&gt;$C28),0,OFFSET(Проект!L$549,0,1-$B28))</f>
        <v>0</v>
      </c>
      <c r="M113" s="105">
        <f ca="1">IF(OR(M$33&lt;$B28,M$33&gt;$C28),0,OFFSET(Проект!M$549,0,1-$B28))</f>
        <v>0</v>
      </c>
      <c r="N113" s="105">
        <f ca="1">IF(OR(N$33&lt;$B28,N$33&gt;$C28),0,OFFSET(Проект!N$549,0,1-$B28))</f>
        <v>0</v>
      </c>
      <c r="O113" s="105">
        <f ca="1">IF(OR(O$33&lt;$B28,O$33&gt;$C28),0,OFFSET(Проект!O$549,0,1-$B28))</f>
        <v>0</v>
      </c>
      <c r="P113" s="105">
        <f ca="1">IF(OR(P$33&lt;$B28,P$33&gt;$C28),0,OFFSET(Проект!P$549,0,1-$B28))</f>
        <v>0</v>
      </c>
      <c r="Q113" s="105">
        <f ca="1">IF(OR(Q$33&lt;$B28,Q$33&gt;$C28),0,OFFSET(Проект!Q$549,0,1-$B28))</f>
        <v>0</v>
      </c>
      <c r="R113" s="105">
        <f ca="1">IF(OR(R$33&lt;$B28,R$33&gt;$C28),0,OFFSET(Проект!R$549,0,1-$B28))</f>
        <v>0</v>
      </c>
      <c r="S113" s="105">
        <f ca="1">IF(OR(S$33&lt;$B28,S$33&gt;$C28),0,OFFSET(Проект!S$549,0,1-$B28))</f>
        <v>0</v>
      </c>
      <c r="T113" s="105">
        <f ca="1">IF(OR(T$33&lt;$B28,T$33&gt;$C28),0,OFFSET(Проект!T$549,0,1-$B28))</f>
        <v>0</v>
      </c>
      <c r="U113" s="105">
        <f ca="1">IF(OR(U$33&lt;$B28,U$33&gt;$C28),0,OFFSET(Проект!U$549,0,1-$B28))</f>
        <v>0</v>
      </c>
      <c r="V113" s="105">
        <f ca="1">IF(OR(V$33&lt;$B28,V$33&gt;$C28),0,OFFSET(Проект!V$549,0,1-$B28))</f>
        <v>0</v>
      </c>
      <c r="W113" s="105">
        <f ca="1">IF(OR(W$33&lt;$B28,W$33&gt;$C28),0,OFFSET(Проект!W$549,0,1-$B28))</f>
        <v>0</v>
      </c>
      <c r="X113" s="105">
        <f ca="1">IF(OR(X$33&lt;$B28,X$33&gt;$C28),0,OFFSET(Проект!X$549,0,1-$B28))</f>
        <v>0</v>
      </c>
      <c r="Y113" s="105">
        <f ca="1">IF(OR(Y$33&lt;$B28,Y$33&gt;$C28),0,OFFSET(Проект!AC$549,0,1-$B28))</f>
        <v>0</v>
      </c>
      <c r="AA113" s="41"/>
    </row>
    <row r="114" spans="1:27" outlineLevel="1" x14ac:dyDescent="0.2">
      <c r="A114" s="11"/>
      <c r="C114" s="26"/>
      <c r="AA114" s="11"/>
    </row>
    <row r="115" spans="1:27" outlineLevel="1" collapsed="1" x14ac:dyDescent="0.2">
      <c r="A115" t="str">
        <f ca="1">Language!A514</f>
        <v>Резерв средств на обеспечение текущих расчетов</v>
      </c>
      <c r="C115" s="99" t="str">
        <f ca="1">CUR_Report</f>
        <v>тыс. EUR</v>
      </c>
      <c r="D115" s="301" t="s">
        <v>2615</v>
      </c>
      <c r="F115">
        <f ca="1">SUMPRODUCT($B12:OFFSET($B13,-1,0),F116:OFFSET(F117,-1,0))</f>
        <v>0</v>
      </c>
      <c r="G115">
        <f ca="1">SUMPRODUCT($B12:OFFSET($B13,-1,0),G116:OFFSET(G117,-1,0))</f>
        <v>0</v>
      </c>
      <c r="H115">
        <f ca="1">SUMPRODUCT($B12:OFFSET($B13,-1,0),H116:OFFSET(H117,-1,0))</f>
        <v>0</v>
      </c>
      <c r="I115">
        <f ca="1">SUMPRODUCT($B12:OFFSET($B13,-1,0),I116:OFFSET(I117,-1,0))</f>
        <v>0</v>
      </c>
      <c r="J115">
        <f ca="1">SUMPRODUCT($B12:OFFSET($B13,-1,0),J116:OFFSET(J117,-1,0))</f>
        <v>0</v>
      </c>
      <c r="K115">
        <f ca="1">SUMPRODUCT($B12:OFFSET($B13,-1,0),K116:OFFSET(K117,-1,0))</f>
        <v>0</v>
      </c>
      <c r="L115">
        <f ca="1">SUMPRODUCT($B12:OFFSET($B13,-1,0),L116:OFFSET(L117,-1,0))</f>
        <v>0</v>
      </c>
      <c r="M115">
        <f ca="1">SUMPRODUCT($B12:OFFSET($B13,-1,0),M116:OFFSET(M117,-1,0))</f>
        <v>0</v>
      </c>
      <c r="N115">
        <f ca="1">SUMPRODUCT($B12:OFFSET($B13,-1,0),N116:OFFSET(N117,-1,0))</f>
        <v>0</v>
      </c>
      <c r="O115">
        <f ca="1">SUMPRODUCT($B12:OFFSET($B13,-1,0),O116:OFFSET(O117,-1,0))</f>
        <v>0</v>
      </c>
      <c r="P115">
        <f ca="1">SUMPRODUCT($B12:OFFSET($B13,-1,0),P116:OFFSET(P117,-1,0))</f>
        <v>0</v>
      </c>
      <c r="Q115">
        <f ca="1">SUMPRODUCT($B12:OFFSET($B13,-1,0),Q116:OFFSET(Q117,-1,0))</f>
        <v>0</v>
      </c>
      <c r="R115">
        <f ca="1">SUMPRODUCT($B12:OFFSET($B13,-1,0),R116:OFFSET(R117,-1,0))</f>
        <v>0</v>
      </c>
      <c r="S115">
        <f ca="1">SUMPRODUCT($B12:OFFSET($B13,-1,0),S116:OFFSET(S117,-1,0))</f>
        <v>0</v>
      </c>
      <c r="T115">
        <f ca="1">SUMPRODUCT($B12:OFFSET($B13,-1,0),T116:OFFSET(T117,-1,0))</f>
        <v>0</v>
      </c>
      <c r="U115">
        <f ca="1">SUMPRODUCT($B12:OFFSET($B13,-1,0),U116:OFFSET(U117,-1,0))</f>
        <v>0</v>
      </c>
      <c r="V115">
        <f ca="1">SUMPRODUCT($B12:OFFSET($B13,-1,0),V116:OFFSET(V117,-1,0))</f>
        <v>0</v>
      </c>
      <c r="W115">
        <f ca="1">SUMPRODUCT($B12:OFFSET($B13,-1,0),W116:OFFSET(W117,-1,0))</f>
        <v>0</v>
      </c>
      <c r="X115">
        <f ca="1">SUMPRODUCT($B12:OFFSET($B13,-1,0),X116:OFFSET(X117,-1,0))</f>
        <v>0</v>
      </c>
      <c r="Y115">
        <f ca="1">SUMPRODUCT($B12:OFFSET($B13,-1,0),Y116:OFFSET(Y117,-1,0))</f>
        <v>0</v>
      </c>
      <c r="AA115" s="11"/>
    </row>
    <row r="116" spans="1:27" hidden="1" outlineLevel="2" x14ac:dyDescent="0.2">
      <c r="A116" s="11" t="str">
        <f ca="1">"        " &amp; A12</f>
        <v xml:space="preserve">        Проект 1</v>
      </c>
      <c r="C116" s="302" t="str">
        <f ca="1">CUR_Report</f>
        <v>тыс. EUR</v>
      </c>
      <c r="D116" s="11" t="e">
        <f ca="1">"[" &amp; F12 &amp; "];int_sum"</f>
        <v>#NAME?</v>
      </c>
      <c r="F116">
        <f ca="1">IF(OR(F$33&lt;$B28,F$33&gt;$C28),0,OFFSET(Проект!F$1063,0,1-$B28))</f>
        <v>0</v>
      </c>
      <c r="G116">
        <f ca="1">IF(OR(G$33&lt;$B28,G$33&gt;$C28),0,OFFSET(Проект!G$1063,0,1-$B28))</f>
        <v>0</v>
      </c>
      <c r="H116">
        <f ca="1">IF(OR(H$33&lt;$B28,H$33&gt;$C28),0,OFFSET(Проект!H$1063,0,1-$B28))</f>
        <v>0</v>
      </c>
      <c r="I116">
        <f ca="1">IF(OR(I$33&lt;$B28,I$33&gt;$C28),0,OFFSET(Проект!I$1063,0,1-$B28))</f>
        <v>0</v>
      </c>
      <c r="J116">
        <f ca="1">IF(OR(J$33&lt;$B28,J$33&gt;$C28),0,OFFSET(Проект!J$1063,0,1-$B28))</f>
        <v>0</v>
      </c>
      <c r="K116">
        <f ca="1">IF(OR(K$33&lt;$B28,K$33&gt;$C28),0,OFFSET(Проект!K$1063,0,1-$B28))</f>
        <v>0</v>
      </c>
      <c r="L116">
        <f ca="1">IF(OR(L$33&lt;$B28,L$33&gt;$C28),0,OFFSET(Проект!L$1063,0,1-$B28))</f>
        <v>0</v>
      </c>
      <c r="M116">
        <f ca="1">IF(OR(M$33&lt;$B28,M$33&gt;$C28),0,OFFSET(Проект!M$1063,0,1-$B28))</f>
        <v>0</v>
      </c>
      <c r="N116">
        <f ca="1">IF(OR(N$33&lt;$B28,N$33&gt;$C28),0,OFFSET(Проект!N$1063,0,1-$B28))</f>
        <v>0</v>
      </c>
      <c r="O116">
        <f ca="1">IF(OR(O$33&lt;$B28,O$33&gt;$C28),0,OFFSET(Проект!O$1063,0,1-$B28))</f>
        <v>0</v>
      </c>
      <c r="P116">
        <f ca="1">IF(OR(P$33&lt;$B28,P$33&gt;$C28),0,OFFSET(Проект!P$1063,0,1-$B28))</f>
        <v>0</v>
      </c>
      <c r="Q116">
        <f ca="1">IF(OR(Q$33&lt;$B28,Q$33&gt;$C28),0,OFFSET(Проект!Q$1063,0,1-$B28))</f>
        <v>0</v>
      </c>
      <c r="R116">
        <f ca="1">IF(OR(R$33&lt;$B28,R$33&gt;$C28),0,OFFSET(Проект!R$1063,0,1-$B28))</f>
        <v>0</v>
      </c>
      <c r="S116">
        <f ca="1">IF(OR(S$33&lt;$B28,S$33&gt;$C28),0,OFFSET(Проект!S$1063,0,1-$B28))</f>
        <v>0</v>
      </c>
      <c r="T116">
        <f ca="1">IF(OR(T$33&lt;$B28,T$33&gt;$C28),0,OFFSET(Проект!T$1063,0,1-$B28))</f>
        <v>0</v>
      </c>
      <c r="U116">
        <f ca="1">IF(OR(U$33&lt;$B28,U$33&gt;$C28),0,OFFSET(Проект!U$1063,0,1-$B28))</f>
        <v>0</v>
      </c>
      <c r="V116">
        <f ca="1">IF(OR(V$33&lt;$B28,V$33&gt;$C28),0,OFFSET(Проект!V$1063,0,1-$B28))</f>
        <v>0</v>
      </c>
      <c r="W116">
        <f ca="1">IF(OR(W$33&lt;$B28,W$33&gt;$C28),0,OFFSET(Проект!W$1063,0,1-$B28))</f>
        <v>0</v>
      </c>
      <c r="X116">
        <f ca="1">IF(OR(X$33&lt;$B28,X$33&gt;$C28),0,OFFSET(Проект!X$1063,0,1-$B28))</f>
        <v>0</v>
      </c>
      <c r="Y116">
        <f ca="1">IF(OR(Y$33&lt;$B28,Y$33&gt;$C28),0,OFFSET(Проект!AC$1063,0,1-$B28))</f>
        <v>0</v>
      </c>
      <c r="AA116" s="11"/>
    </row>
    <row r="117" spans="1:27" outlineLevel="1" x14ac:dyDescent="0.2">
      <c r="A117" s="11"/>
      <c r="C117" s="26"/>
      <c r="AA117" s="11"/>
    </row>
    <row r="118" spans="1:27" outlineLevel="1" collapsed="1" x14ac:dyDescent="0.2">
      <c r="A118" t="str">
        <f ca="1">Language!A665</f>
        <v>Начисленные проценты</v>
      </c>
      <c r="C118" s="99" t="str">
        <f ca="1">CUR_Report</f>
        <v>тыс. EUR</v>
      </c>
      <c r="D118" s="301" t="s">
        <v>2615</v>
      </c>
      <c r="F118">
        <f ca="1">SUMPRODUCT($B12:OFFSET($B13,-1,0),F119:OFFSET(F120,-1,0))</f>
        <v>0</v>
      </c>
      <c r="G118">
        <f ca="1">SUMPRODUCT($B12:OFFSET($B13,-1,0),G119:OFFSET(G120,-1,0))</f>
        <v>0</v>
      </c>
      <c r="H118">
        <f ca="1">SUMPRODUCT($B12:OFFSET($B13,-1,0),H119:OFFSET(H120,-1,0))</f>
        <v>0</v>
      </c>
      <c r="I118">
        <f ca="1">SUMPRODUCT($B12:OFFSET($B13,-1,0),I119:OFFSET(I120,-1,0))</f>
        <v>0</v>
      </c>
      <c r="J118">
        <f ca="1">SUMPRODUCT($B12:OFFSET($B13,-1,0),J119:OFFSET(J120,-1,0))</f>
        <v>0</v>
      </c>
      <c r="K118">
        <f ca="1">SUMPRODUCT($B12:OFFSET($B13,-1,0),K119:OFFSET(K120,-1,0))</f>
        <v>0</v>
      </c>
      <c r="L118">
        <f ca="1">SUMPRODUCT($B12:OFFSET($B13,-1,0),L119:OFFSET(L120,-1,0))</f>
        <v>0</v>
      </c>
      <c r="M118">
        <f ca="1">SUMPRODUCT($B12:OFFSET($B13,-1,0),M119:OFFSET(M120,-1,0))</f>
        <v>0</v>
      </c>
      <c r="N118">
        <f ca="1">SUMPRODUCT($B12:OFFSET($B13,-1,0),N119:OFFSET(N120,-1,0))</f>
        <v>0</v>
      </c>
      <c r="O118">
        <f ca="1">SUMPRODUCT($B12:OFFSET($B13,-1,0),O119:OFFSET(O120,-1,0))</f>
        <v>0</v>
      </c>
      <c r="P118">
        <f ca="1">SUMPRODUCT($B12:OFFSET($B13,-1,0),P119:OFFSET(P120,-1,0))</f>
        <v>0</v>
      </c>
      <c r="Q118">
        <f ca="1">SUMPRODUCT($B12:OFFSET($B13,-1,0),Q119:OFFSET(Q120,-1,0))</f>
        <v>0</v>
      </c>
      <c r="R118">
        <f ca="1">SUMPRODUCT($B12:OFFSET($B13,-1,0),R119:OFFSET(R120,-1,0))</f>
        <v>0</v>
      </c>
      <c r="S118">
        <f ca="1">SUMPRODUCT($B12:OFFSET($B13,-1,0),S119:OFFSET(S120,-1,0))</f>
        <v>0</v>
      </c>
      <c r="T118">
        <f ca="1">SUMPRODUCT($B12:OFFSET($B13,-1,0),T119:OFFSET(T120,-1,0))</f>
        <v>0</v>
      </c>
      <c r="U118">
        <f ca="1">SUMPRODUCT($B12:OFFSET($B13,-1,0),U119:OFFSET(U120,-1,0))</f>
        <v>0</v>
      </c>
      <c r="V118">
        <f ca="1">SUMPRODUCT($B12:OFFSET($B13,-1,0),V119:OFFSET(V120,-1,0))</f>
        <v>0</v>
      </c>
      <c r="W118">
        <f ca="1">SUMPRODUCT($B12:OFFSET($B13,-1,0),W119:OFFSET(W120,-1,0))</f>
        <v>0</v>
      </c>
      <c r="X118">
        <f ca="1">SUMPRODUCT($B12:OFFSET($B13,-1,0),X119:OFFSET(X120,-1,0))</f>
        <v>0</v>
      </c>
      <c r="Y118">
        <f ca="1">SUMPRODUCT($B12:OFFSET($B13,-1,0),Y119:OFFSET(Y120,-1,0))</f>
        <v>0</v>
      </c>
      <c r="AA118" s="11"/>
    </row>
    <row r="119" spans="1:27" hidden="1" outlineLevel="2" x14ac:dyDescent="0.2">
      <c r="A119" s="11" t="str">
        <f ca="1">"        " &amp; A12</f>
        <v xml:space="preserve">        Проект 1</v>
      </c>
      <c r="C119" s="302" t="str">
        <f ca="1">CUR_Report</f>
        <v>тыс. EUR</v>
      </c>
      <c r="D119" s="11" t="e">
        <f ca="1">"[" &amp; F12 &amp; "];int_sum"</f>
        <v>#NAME?</v>
      </c>
      <c r="F119">
        <f ca="1">IF(OR(F$33&lt;$B28,F$33&gt;$C28),0,OFFSET(Проект!F$1127,0,1-$B28))</f>
        <v>0</v>
      </c>
      <c r="G119">
        <f ca="1">IF(OR(G$33&lt;$B28,G$33&gt;$C28),0,OFFSET(Проект!G$1127,0,1-$B28))</f>
        <v>0</v>
      </c>
      <c r="H119">
        <f ca="1">IF(OR(H$33&lt;$B28,H$33&gt;$C28),0,OFFSET(Проект!H$1127,0,1-$B28))</f>
        <v>0</v>
      </c>
      <c r="I119">
        <f ca="1">IF(OR(I$33&lt;$B28,I$33&gt;$C28),0,OFFSET(Проект!I$1127,0,1-$B28))</f>
        <v>0</v>
      </c>
      <c r="J119">
        <f ca="1">IF(OR(J$33&lt;$B28,J$33&gt;$C28),0,OFFSET(Проект!J$1127,0,1-$B28))</f>
        <v>0</v>
      </c>
      <c r="K119">
        <f ca="1">IF(OR(K$33&lt;$B28,K$33&gt;$C28),0,OFFSET(Проект!K$1127,0,1-$B28))</f>
        <v>0</v>
      </c>
      <c r="L119">
        <f ca="1">IF(OR(L$33&lt;$B28,L$33&gt;$C28),0,OFFSET(Проект!L$1127,0,1-$B28))</f>
        <v>0</v>
      </c>
      <c r="M119">
        <f ca="1">IF(OR(M$33&lt;$B28,M$33&gt;$C28),0,OFFSET(Проект!M$1127,0,1-$B28))</f>
        <v>0</v>
      </c>
      <c r="N119">
        <f ca="1">IF(OR(N$33&lt;$B28,N$33&gt;$C28),0,OFFSET(Проект!N$1127,0,1-$B28))</f>
        <v>0</v>
      </c>
      <c r="O119">
        <f ca="1">IF(OR(O$33&lt;$B28,O$33&gt;$C28),0,OFFSET(Проект!O$1127,0,1-$B28))</f>
        <v>0</v>
      </c>
      <c r="P119">
        <f ca="1">IF(OR(P$33&lt;$B28,P$33&gt;$C28),0,OFFSET(Проект!P$1127,0,1-$B28))</f>
        <v>0</v>
      </c>
      <c r="Q119">
        <f ca="1">IF(OR(Q$33&lt;$B28,Q$33&gt;$C28),0,OFFSET(Проект!Q$1127,0,1-$B28))</f>
        <v>0</v>
      </c>
      <c r="R119">
        <f ca="1">IF(OR(R$33&lt;$B28,R$33&gt;$C28),0,OFFSET(Проект!R$1127,0,1-$B28))</f>
        <v>0</v>
      </c>
      <c r="S119">
        <f ca="1">IF(OR(S$33&lt;$B28,S$33&gt;$C28),0,OFFSET(Проект!S$1127,0,1-$B28))</f>
        <v>0</v>
      </c>
      <c r="T119">
        <f ca="1">IF(OR(T$33&lt;$B28,T$33&gt;$C28),0,OFFSET(Проект!T$1127,0,1-$B28))</f>
        <v>0</v>
      </c>
      <c r="U119">
        <f ca="1">IF(OR(U$33&lt;$B28,U$33&gt;$C28),0,OFFSET(Проект!U$1127,0,1-$B28))</f>
        <v>0</v>
      </c>
      <c r="V119">
        <f ca="1">IF(OR(V$33&lt;$B28,V$33&gt;$C28),0,OFFSET(Проект!V$1127,0,1-$B28))</f>
        <v>0</v>
      </c>
      <c r="W119">
        <f ca="1">IF(OR(W$33&lt;$B28,W$33&gt;$C28),0,OFFSET(Проект!W$1127,0,1-$B28))</f>
        <v>0</v>
      </c>
      <c r="X119">
        <f ca="1">IF(OR(X$33&lt;$B28,X$33&gt;$C28),0,OFFSET(Проект!X$1127,0,1-$B28))</f>
        <v>0</v>
      </c>
      <c r="Y119">
        <f ca="1">IF(OR(Y$33&lt;$B28,Y$33&gt;$C28),0,OFFSET(Проект!AC$1127,0,1-$B28))</f>
        <v>0</v>
      </c>
      <c r="AA119" s="11"/>
    </row>
    <row r="120" spans="1:27" outlineLevel="1" x14ac:dyDescent="0.2">
      <c r="A120" s="11"/>
      <c r="C120" s="302"/>
      <c r="D120" s="11"/>
      <c r="AA120" s="11"/>
    </row>
    <row r="121" spans="1:27" s="11" customFormat="1" outlineLevel="1" x14ac:dyDescent="0.2">
      <c r="A121" s="11" t="str">
        <f ca="1">Language!A$657</f>
        <v>Справка: Остаток средств на счете (портфель проектов)</v>
      </c>
      <c r="C121" s="26" t="str">
        <f ca="1">CUR_Report</f>
        <v>тыс. EUR</v>
      </c>
      <c r="D121" s="16" t="s">
        <v>2594</v>
      </c>
      <c r="F121" s="93">
        <f t="shared" ref="F121:T121" ca="1" si="11">F332</f>
        <v>0</v>
      </c>
      <c r="G121" s="93">
        <f t="shared" ca="1" si="11"/>
        <v>0</v>
      </c>
      <c r="H121" s="93">
        <f t="shared" ca="1" si="11"/>
        <v>0</v>
      </c>
      <c r="I121" s="93">
        <f t="shared" ca="1" si="11"/>
        <v>0</v>
      </c>
      <c r="J121" s="93">
        <f t="shared" ca="1" si="11"/>
        <v>0</v>
      </c>
      <c r="K121" s="93">
        <f t="shared" ca="1" si="11"/>
        <v>0</v>
      </c>
      <c r="L121" s="93">
        <f t="shared" ca="1" si="11"/>
        <v>2827.4120312836421</v>
      </c>
      <c r="M121" s="93">
        <f t="shared" ca="1" si="11"/>
        <v>2843.035293184585</v>
      </c>
      <c r="N121" s="93">
        <f t="shared" ca="1" si="11"/>
        <v>3506.0283310907325</v>
      </c>
      <c r="O121" s="93">
        <f t="shared" ca="1" si="11"/>
        <v>4470.038573843618</v>
      </c>
      <c r="P121" s="93">
        <f t="shared" ca="1" si="11"/>
        <v>5755.3118390955333</v>
      </c>
      <c r="Q121" s="93">
        <f t="shared" ca="1" si="11"/>
        <v>7210.0865284813926</v>
      </c>
      <c r="R121" s="93">
        <f t="shared" ca="1" si="11"/>
        <v>8664.861217867252</v>
      </c>
      <c r="S121" s="93">
        <f t="shared" ca="1" si="11"/>
        <v>10119.63590725311</v>
      </c>
      <c r="T121" s="93">
        <f t="shared" ca="1" si="11"/>
        <v>11574.410596638969</v>
      </c>
      <c r="U121" s="93">
        <f t="shared" ref="U121" ca="1" si="12">U332</f>
        <v>13029.185286024827</v>
      </c>
      <c r="V121" s="93">
        <f t="shared" ref="V121" ca="1" si="13">V332</f>
        <v>14483.959975410686</v>
      </c>
      <c r="W121" s="93">
        <f t="shared" ref="W121" ca="1" si="14">W332</f>
        <v>15938.734664796546</v>
      </c>
      <c r="X121" s="93">
        <f t="shared" ref="X121:Y121" ca="1" si="15">X332</f>
        <v>17393.509354182403</v>
      </c>
      <c r="Y121" s="93">
        <f t="shared" ca="1" si="15"/>
        <v>24667.382801111704</v>
      </c>
    </row>
    <row r="122" spans="1:27" s="11" customFormat="1" outlineLevel="1" x14ac:dyDescent="0.2">
      <c r="A122" s="11" t="str">
        <f ca="1">Language!A$706</f>
        <v>Минимальный остаток средств на счете</v>
      </c>
      <c r="B122" s="195">
        <f ca="1">MIN(F121:Y121)</f>
        <v>0</v>
      </c>
      <c r="C122" s="26" t="str">
        <f ca="1">CUR_Report</f>
        <v>тыс. EUR</v>
      </c>
    </row>
    <row r="123" spans="1:27" outlineLevel="1" x14ac:dyDescent="0.2">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4"/>
    </row>
    <row r="124" spans="1:27" outlineLevel="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22"/>
    </row>
    <row r="125" spans="1:27" s="4" customFormat="1" ht="15.95" customHeight="1" thickBot="1" x14ac:dyDescent="0.25">
      <c r="A125" s="165" t="str">
        <f ca="1">Language!A974</f>
        <v xml:space="preserve">         СВОДНЫЙ ОТЧЕТ О ПРИБЫЛЯХ И УБЫТКАХ</v>
      </c>
      <c r="B125" s="165"/>
      <c r="C125" s="165"/>
      <c r="D125" s="165"/>
      <c r="E125" s="165"/>
      <c r="F125" s="177" t="str">
        <f ca="1">IF(Проект!ShowRealDates,F36,F34)</f>
        <v>1 кв. 2016</v>
      </c>
      <c r="G125" s="177" t="str">
        <f ca="1">IF(Проект!ShowRealDates,G36,G34)</f>
        <v>2 кв. 2016</v>
      </c>
      <c r="H125" s="177" t="str">
        <f ca="1">IF(Проект!ShowRealDates,H36,H34)</f>
        <v>3 кв. 2016</v>
      </c>
      <c r="I125" s="177" t="str">
        <f ca="1">IF(Проект!ShowRealDates,I36,I34)</f>
        <v>4 кв. 2016</v>
      </c>
      <c r="J125" s="177" t="str">
        <f ca="1">IF(Проект!ShowRealDates,J36,J34)</f>
        <v>1 кв. 2017</v>
      </c>
      <c r="K125" s="177" t="str">
        <f ca="1">IF(Проект!ShowRealDates,K36,K34)</f>
        <v>2 кв. 2017</v>
      </c>
      <c r="L125" s="177" t="str">
        <f ca="1">IF(Проект!ShowRealDates,L36,L34)</f>
        <v>3 кв. 2017</v>
      </c>
      <c r="M125" s="177" t="str">
        <f ca="1">IF(Проект!ShowRealDates,M36,M34)</f>
        <v>4 кв. 2017</v>
      </c>
      <c r="N125" s="177" t="str">
        <f ca="1">IF(Проект!ShowRealDates,N36,N34)</f>
        <v>1 кв. 2018</v>
      </c>
      <c r="O125" s="177" t="str">
        <f ca="1">IF(Проект!ShowRealDates,O36,O34)</f>
        <v>2 кв. 2018</v>
      </c>
      <c r="P125" s="177" t="str">
        <f ca="1">IF(Проект!ShowRealDates,P36,P34)</f>
        <v>3 кв. 2018</v>
      </c>
      <c r="Q125" s="177" t="str">
        <f ca="1">IF(Проект!ShowRealDates,Q36,Q34)</f>
        <v>4 кв. 2018</v>
      </c>
      <c r="R125" s="177" t="str">
        <f ca="1">IF(Проект!ShowRealDates,R36,R34)</f>
        <v>1 кв. 2019</v>
      </c>
      <c r="S125" s="177" t="str">
        <f ca="1">IF(Проект!ShowRealDates,S36,S34)</f>
        <v>2 кв. 2019</v>
      </c>
      <c r="T125" s="177" t="str">
        <f ca="1">IF(Проект!ShowRealDates,T36,T34)</f>
        <v>3 кв. 2019</v>
      </c>
      <c r="U125" s="177" t="str">
        <f ca="1">IF(Проект!ShowRealDates,U36,U34)</f>
        <v>4 кв. 2019</v>
      </c>
      <c r="V125" s="177" t="str">
        <f ca="1">IF(Проект!ShowRealDates,V36,V34)</f>
        <v>1 кв. 2020</v>
      </c>
      <c r="W125" s="177" t="str">
        <f ca="1">IF(Проект!ShowRealDates,W36,W34)</f>
        <v>2 кв. 2020</v>
      </c>
      <c r="X125" s="177" t="str">
        <f ca="1">IF(Проект!ShowRealDates,X36,X34)</f>
        <v>3 кв. 2020</v>
      </c>
      <c r="Y125" s="177" t="str">
        <f ca="1">IF(Проект!ShowRealDates,Y36,Y34)</f>
        <v>4 кв. 2020</v>
      </c>
      <c r="Z125" s="166"/>
      <c r="AA125" s="194" t="str">
        <f ca="1">Language!A$372</f>
        <v>ИТОГО</v>
      </c>
    </row>
    <row r="126" spans="1:27" ht="12" outlineLevel="1" thickTop="1" x14ac:dyDescent="0.2"/>
    <row r="127" spans="1:27" outlineLevel="1" collapsed="1" x14ac:dyDescent="0.2">
      <c r="A127" s="178" t="str">
        <f ca="1">Language!A708</f>
        <v>Выручка (нетто)</v>
      </c>
      <c r="C127" s="114" t="str">
        <f ca="1">CUR_Report</f>
        <v>тыс. EUR</v>
      </c>
      <c r="D127" s="204" t="s">
        <v>2615</v>
      </c>
      <c r="F127" s="58">
        <f ca="1">SUMPRODUCT($B12:OFFSET($B13,-1,0),F128:OFFSET(F129,-1,0))</f>
        <v>0</v>
      </c>
      <c r="G127" s="58">
        <f ca="1">SUMPRODUCT($B12:OFFSET($B13,-1,0),G128:OFFSET(G129,-1,0))</f>
        <v>0</v>
      </c>
      <c r="H127" s="58">
        <f ca="1">SUMPRODUCT($B12:OFFSET($B13,-1,0),H128:OFFSET(H129,-1,0))</f>
        <v>0</v>
      </c>
      <c r="I127" s="58">
        <f ca="1">SUMPRODUCT($B12:OFFSET($B13,-1,0),I128:OFFSET(I129,-1,0))</f>
        <v>0</v>
      </c>
      <c r="J127" s="58">
        <f ca="1">SUMPRODUCT($B12:OFFSET($B13,-1,0),J128:OFFSET(J129,-1,0))</f>
        <v>0</v>
      </c>
      <c r="K127" s="58">
        <f ca="1">SUMPRODUCT($B12:OFFSET($B13,-1,0),K128:OFFSET(K129,-1,0))</f>
        <v>714.56092469127964</v>
      </c>
      <c r="L127" s="58">
        <f ca="1">SUMPRODUCT($B12:OFFSET($B13,-1,0),L128:OFFSET(L129,-1,0))</f>
        <v>2731.2132863136535</v>
      </c>
      <c r="M127" s="58">
        <f ca="1">SUMPRODUCT($B12:OFFSET($B13,-1,0),M128:OFFSET(M129,-1,0))</f>
        <v>4381.7008046824012</v>
      </c>
      <c r="N127" s="58">
        <f ca="1">SUMPRODUCT($B12:OFFSET($B13,-1,0),N128:OFFSET(N129,-1,0))</f>
        <v>6249.0205978072227</v>
      </c>
      <c r="O127" s="58">
        <f ca="1">SUMPRODUCT($B12:OFFSET($B13,-1,0),O128:OFFSET(O129,-1,0))</f>
        <v>7525.4219523772372</v>
      </c>
      <c r="P127" s="58">
        <f ca="1">SUMPRODUCT($B12:OFFSET($B13,-1,0),P128:OFFSET(P129,-1,0))</f>
        <v>7525.4219523772372</v>
      </c>
      <c r="Q127" s="58">
        <f ca="1">SUMPRODUCT($B12:OFFSET($B13,-1,0),Q128:OFFSET(Q129,-1,0))</f>
        <v>7525.4219523772372</v>
      </c>
      <c r="R127" s="58">
        <f ca="1">SUMPRODUCT($B12:OFFSET($B13,-1,0),R128:OFFSET(R129,-1,0))</f>
        <v>7525.4219523772372</v>
      </c>
      <c r="S127" s="58">
        <f ca="1">SUMPRODUCT($B12:OFFSET($B13,-1,0),S128:OFFSET(S129,-1,0))</f>
        <v>7525.4219523772372</v>
      </c>
      <c r="T127" s="58">
        <f ca="1">SUMPRODUCT($B12:OFFSET($B13,-1,0),T128:OFFSET(T129,-1,0))</f>
        <v>7525.4219523772372</v>
      </c>
      <c r="U127" s="58">
        <f ca="1">SUMPRODUCT($B12:OFFSET($B13,-1,0),U128:OFFSET(U129,-1,0))</f>
        <v>7525.4219523772372</v>
      </c>
      <c r="V127" s="58">
        <f ca="1">SUMPRODUCT($B12:OFFSET($B13,-1,0),V128:OFFSET(V129,-1,0))</f>
        <v>7525.4219523772372</v>
      </c>
      <c r="W127" s="58">
        <f ca="1">SUMPRODUCT($B12:OFFSET($B13,-1,0),W128:OFFSET(W129,-1,0))</f>
        <v>7525.4219523772372</v>
      </c>
      <c r="X127" s="58">
        <f ca="1">SUMPRODUCT($B12:OFFSET($B13,-1,0),X128:OFFSET(X129,-1,0))</f>
        <v>7525.4219523772372</v>
      </c>
      <c r="Y127" s="58">
        <f ca="1">SUMPRODUCT($B12:OFFSET($B13,-1,0),Y128:OFFSET(Y129,-1,0))</f>
        <v>7525.4219523772372</v>
      </c>
      <c r="Z127" s="35"/>
      <c r="AA127" s="57">
        <f ca="1">SUM(F127:Y127)</f>
        <v>96856.137089644137</v>
      </c>
    </row>
    <row r="128" spans="1:27" s="11" customFormat="1" hidden="1" outlineLevel="2" x14ac:dyDescent="0.2">
      <c r="A128" s="11" t="str">
        <f ca="1">"        " &amp; A12</f>
        <v xml:space="preserve">        Проект 1</v>
      </c>
      <c r="C128" s="198" t="str">
        <f ca="1">CUR_Report</f>
        <v>тыс. EUR</v>
      </c>
      <c r="D128" s="11" t="e">
        <f ca="1">"[" &amp; F12 &amp; "];int_sum"</f>
        <v>#NAME?</v>
      </c>
      <c r="F128" s="54">
        <f ca="1">IF(OR(F$33&lt;$B28,F$33&gt;$C28),0,OFFSET(Проект!F$1199,0,1-$B28))</f>
        <v>0</v>
      </c>
      <c r="G128" s="54">
        <f ca="1">IF(OR(G$33&lt;$B28,G$33&gt;$C28),0,OFFSET(Проект!G$1199,0,1-$B28))</f>
        <v>0</v>
      </c>
      <c r="H128" s="54">
        <f ca="1">IF(OR(H$33&lt;$B28,H$33&gt;$C28),0,OFFSET(Проект!H$1199,0,1-$B28))</f>
        <v>0</v>
      </c>
      <c r="I128" s="54">
        <f ca="1">IF(OR(I$33&lt;$B28,I$33&gt;$C28),0,OFFSET(Проект!I$1199,0,1-$B28))</f>
        <v>0</v>
      </c>
      <c r="J128" s="54">
        <f ca="1">IF(OR(J$33&lt;$B28,J$33&gt;$C28),0,OFFSET(Проект!J$1199,0,1-$B28))</f>
        <v>0</v>
      </c>
      <c r="K128" s="54">
        <f ca="1">IF(OR(K$33&lt;$B28,K$33&gt;$C28),0,OFFSET(Проект!K$1199,0,1-$B28))</f>
        <v>714.56092469127964</v>
      </c>
      <c r="L128" s="54">
        <f ca="1">IF(OR(L$33&lt;$B28,L$33&gt;$C28),0,OFFSET(Проект!L$1199,0,1-$B28))</f>
        <v>2731.2132863136535</v>
      </c>
      <c r="M128" s="54">
        <f ca="1">IF(OR(M$33&lt;$B28,M$33&gt;$C28),0,OFFSET(Проект!M$1199,0,1-$B28))</f>
        <v>4381.7008046824012</v>
      </c>
      <c r="N128" s="54">
        <f ca="1">IF(OR(N$33&lt;$B28,N$33&gt;$C28),0,OFFSET(Проект!N$1199,0,1-$B28))</f>
        <v>6249.0205978072227</v>
      </c>
      <c r="O128" s="54">
        <f ca="1">IF(OR(O$33&lt;$B28,O$33&gt;$C28),0,OFFSET(Проект!O$1199,0,1-$B28))</f>
        <v>7525.4219523772372</v>
      </c>
      <c r="P128" s="54">
        <f ca="1">IF(OR(P$33&lt;$B28,P$33&gt;$C28),0,OFFSET(Проект!P$1199,0,1-$B28))</f>
        <v>7525.4219523772372</v>
      </c>
      <c r="Q128" s="54">
        <f ca="1">IF(OR(Q$33&lt;$B28,Q$33&gt;$C28),0,OFFSET(Проект!Q$1199,0,1-$B28))</f>
        <v>7525.4219523772372</v>
      </c>
      <c r="R128" s="54">
        <f ca="1">IF(OR(R$33&lt;$B28,R$33&gt;$C28),0,OFFSET(Проект!R$1199,0,1-$B28))</f>
        <v>7525.4219523772372</v>
      </c>
      <c r="S128" s="54">
        <f ca="1">IF(OR(S$33&lt;$B28,S$33&gt;$C28),0,OFFSET(Проект!S$1199,0,1-$B28))</f>
        <v>7525.4219523772372</v>
      </c>
      <c r="T128" s="54">
        <f ca="1">IF(OR(T$33&lt;$B28,T$33&gt;$C28),0,OFFSET(Проект!T$1199,0,1-$B28))</f>
        <v>7525.4219523772372</v>
      </c>
      <c r="U128" s="54">
        <f ca="1">IF(OR(U$33&lt;$B28,U$33&gt;$C28),0,OFFSET(Проект!U$1199,0,1-$B28))</f>
        <v>7525.4219523772372</v>
      </c>
      <c r="V128" s="54">
        <f ca="1">IF(OR(V$33&lt;$B28,V$33&gt;$C28),0,OFFSET(Проект!V$1199,0,1-$B28))</f>
        <v>7525.4219523772372</v>
      </c>
      <c r="W128" s="54">
        <f ca="1">IF(OR(W$33&lt;$B28,W$33&gt;$C28),0,OFFSET(Проект!W$1199,0,1-$B28))</f>
        <v>7525.4219523772372</v>
      </c>
      <c r="X128" s="54">
        <f ca="1">IF(OR(X$33&lt;$B28,X$33&gt;$C28),0,OFFSET(Проект!X$1199,0,1-$B28))</f>
        <v>7525.4219523772372</v>
      </c>
      <c r="Y128" s="54">
        <f ca="1">IF(OR(Y$33&lt;$B28,Y$33&gt;$C28),0,OFFSET(Проект!AC$1199,0,1-$B28))</f>
        <v>7525.4219523772372</v>
      </c>
      <c r="AA128" s="202">
        <f t="shared" ref="AA128:AA186" ca="1" si="16">SUM(F128:Y128)</f>
        <v>96856.137089644137</v>
      </c>
    </row>
    <row r="129" spans="1:27" outlineLevel="1" collapsed="1" x14ac:dyDescent="0.2">
      <c r="A129" s="35" t="str">
        <f ca="1">Language!A709</f>
        <v>Себестоимость</v>
      </c>
      <c r="C129" s="114" t="str">
        <f ca="1">CUR_Report</f>
        <v>тыс. EUR</v>
      </c>
      <c r="D129" s="204" t="s">
        <v>2615</v>
      </c>
      <c r="F129" s="206">
        <f ca="1">SUMPRODUCT($B12:OFFSET($B13,-1,0),F130:OFFSET(F131,-1,0))</f>
        <v>0</v>
      </c>
      <c r="G129" s="206">
        <f ca="1">SUMPRODUCT($B12:OFFSET($B13,-1,0),G130:OFFSET(G131,-1,0))</f>
        <v>0</v>
      </c>
      <c r="H129" s="206">
        <f ca="1">SUMPRODUCT($B12:OFFSET($B13,-1,0),H130:OFFSET(H131,-1,0))</f>
        <v>0</v>
      </c>
      <c r="I129" s="206">
        <f ca="1">SUMPRODUCT($B12:OFFSET($B13,-1,0),I130:OFFSET(I131,-1,0))</f>
        <v>0</v>
      </c>
      <c r="J129" s="206">
        <f ca="1">SUMPRODUCT($B12:OFFSET($B13,-1,0),J130:OFFSET(J131,-1,0))</f>
        <v>309.35251270876392</v>
      </c>
      <c r="K129" s="206">
        <f ca="1">SUMPRODUCT($B12:OFFSET($B13,-1,0),K130:OFFSET(K131,-1,0))</f>
        <v>1112.356722758786</v>
      </c>
      <c r="L129" s="206">
        <f ca="1">SUMPRODUCT($B12:OFFSET($B13,-1,0),L130:OFFSET(L131,-1,0))</f>
        <v>2508.2607139099546</v>
      </c>
      <c r="M129" s="206">
        <f ca="1">SUMPRODUCT($B12:OFFSET($B13,-1,0),M130:OFFSET(M131,-1,0))</f>
        <v>3646.083756017103</v>
      </c>
      <c r="N129" s="206">
        <f ca="1">SUMPRODUCT($B12:OFFSET($B13,-1,0),N130:OFFSET(N131,-1,0))</f>
        <v>4935.4347409324864</v>
      </c>
      <c r="O129" s="206">
        <f ca="1">SUMPRODUCT($B12:OFFSET($B13,-1,0),O130:OFFSET(O131,-1,0))</f>
        <v>5827.1771500095974</v>
      </c>
      <c r="P129" s="206">
        <f ca="1">SUMPRODUCT($B12:OFFSET($B13,-1,0),P130:OFFSET(P131,-1,0))</f>
        <v>5827.1771500095974</v>
      </c>
      <c r="Q129" s="206">
        <f ca="1">SUMPRODUCT($B12:OFFSET($B13,-1,0),Q130:OFFSET(Q131,-1,0))</f>
        <v>5827.1771500095974</v>
      </c>
      <c r="R129" s="206">
        <f ca="1">SUMPRODUCT($B12:OFFSET($B13,-1,0),R130:OFFSET(R131,-1,0))</f>
        <v>5827.1771500095974</v>
      </c>
      <c r="S129" s="206">
        <f ca="1">SUMPRODUCT($B12:OFFSET($B13,-1,0),S130:OFFSET(S131,-1,0))</f>
        <v>5827.1771500095974</v>
      </c>
      <c r="T129" s="206">
        <f ca="1">SUMPRODUCT($B12:OFFSET($B13,-1,0),T130:OFFSET(T131,-1,0))</f>
        <v>5827.1771500095974</v>
      </c>
      <c r="U129" s="206">
        <f ca="1">SUMPRODUCT($B12:OFFSET($B13,-1,0),U130:OFFSET(U131,-1,0))</f>
        <v>5827.1771500095974</v>
      </c>
      <c r="V129" s="206">
        <f ca="1">SUMPRODUCT($B12:OFFSET($B13,-1,0),V130:OFFSET(V131,-1,0))</f>
        <v>5827.1771500095974</v>
      </c>
      <c r="W129" s="206">
        <f ca="1">SUMPRODUCT($B12:OFFSET($B13,-1,0),W130:OFFSET(W131,-1,0))</f>
        <v>5827.1771500095974</v>
      </c>
      <c r="X129" s="206">
        <f ca="1">SUMPRODUCT($B12:OFFSET($B13,-1,0),X130:OFFSET(X131,-1,0))</f>
        <v>5827.1771500095974</v>
      </c>
      <c r="Y129" s="206">
        <f ca="1">SUMPRODUCT($B12:OFFSET($B13,-1,0),Y130:OFFSET(Y131,-1,0))</f>
        <v>5827.1771500095974</v>
      </c>
      <c r="Z129" s="178"/>
      <c r="AA129" s="57">
        <f t="shared" ca="1" si="16"/>
        <v>76610.437096432666</v>
      </c>
    </row>
    <row r="130" spans="1:27" s="11" customFormat="1" hidden="1" outlineLevel="2" x14ac:dyDescent="0.2">
      <c r="A130" s="11" t="str">
        <f ca="1">"        " &amp; A12</f>
        <v xml:space="preserve">        Проект 1</v>
      </c>
      <c r="C130" s="198" t="str">
        <f ca="1">CUR_Report</f>
        <v>тыс. EUR</v>
      </c>
      <c r="D130" s="11" t="e">
        <f ca="1">"[" &amp; F12 &amp; "];int_sum"</f>
        <v>#NAME?</v>
      </c>
      <c r="F130" s="54">
        <f ca="1">IF(OR(F$33&lt;$B28,F$33&gt;$C28),0,OFFSET(Проект!F$1200,0,1-$B28))</f>
        <v>0</v>
      </c>
      <c r="G130" s="54">
        <f ca="1">IF(OR(G$33&lt;$B28,G$33&gt;$C28),0,OFFSET(Проект!G$1200,0,1-$B28))</f>
        <v>0</v>
      </c>
      <c r="H130" s="54">
        <f ca="1">IF(OR(H$33&lt;$B28,H$33&gt;$C28),0,OFFSET(Проект!H$1200,0,1-$B28))</f>
        <v>0</v>
      </c>
      <c r="I130" s="54">
        <f ca="1">IF(OR(I$33&lt;$B28,I$33&gt;$C28),0,OFFSET(Проект!I$1200,0,1-$B28))</f>
        <v>0</v>
      </c>
      <c r="J130" s="54">
        <f ca="1">IF(OR(J$33&lt;$B28,J$33&gt;$C28),0,OFFSET(Проект!J$1200,0,1-$B28))</f>
        <v>309.35251270876392</v>
      </c>
      <c r="K130" s="54">
        <f ca="1">IF(OR(K$33&lt;$B28,K$33&gt;$C28),0,OFFSET(Проект!K$1200,0,1-$B28))</f>
        <v>1112.356722758786</v>
      </c>
      <c r="L130" s="54">
        <f ca="1">IF(OR(L$33&lt;$B28,L$33&gt;$C28),0,OFFSET(Проект!L$1200,0,1-$B28))</f>
        <v>2508.2607139099546</v>
      </c>
      <c r="M130" s="54">
        <f ca="1">IF(OR(M$33&lt;$B28,M$33&gt;$C28),0,OFFSET(Проект!M$1200,0,1-$B28))</f>
        <v>3646.083756017103</v>
      </c>
      <c r="N130" s="54">
        <f ca="1">IF(OR(N$33&lt;$B28,N$33&gt;$C28),0,OFFSET(Проект!N$1200,0,1-$B28))</f>
        <v>4935.4347409324864</v>
      </c>
      <c r="O130" s="54">
        <f ca="1">IF(OR(O$33&lt;$B28,O$33&gt;$C28),0,OFFSET(Проект!O$1200,0,1-$B28))</f>
        <v>5827.1771500095974</v>
      </c>
      <c r="P130" s="54">
        <f ca="1">IF(OR(P$33&lt;$B28,P$33&gt;$C28),0,OFFSET(Проект!P$1200,0,1-$B28))</f>
        <v>5827.1771500095974</v>
      </c>
      <c r="Q130" s="54">
        <f ca="1">IF(OR(Q$33&lt;$B28,Q$33&gt;$C28),0,OFFSET(Проект!Q$1200,0,1-$B28))</f>
        <v>5827.1771500095974</v>
      </c>
      <c r="R130" s="54">
        <f ca="1">IF(OR(R$33&lt;$B28,R$33&gt;$C28),0,OFFSET(Проект!R$1200,0,1-$B28))</f>
        <v>5827.1771500095974</v>
      </c>
      <c r="S130" s="54">
        <f ca="1">IF(OR(S$33&lt;$B28,S$33&gt;$C28),0,OFFSET(Проект!S$1200,0,1-$B28))</f>
        <v>5827.1771500095974</v>
      </c>
      <c r="T130" s="54">
        <f ca="1">IF(OR(T$33&lt;$B28,T$33&gt;$C28),0,OFFSET(Проект!T$1200,0,1-$B28))</f>
        <v>5827.1771500095974</v>
      </c>
      <c r="U130" s="54">
        <f ca="1">IF(OR(U$33&lt;$B28,U$33&gt;$C28),0,OFFSET(Проект!U$1200,0,1-$B28))</f>
        <v>5827.1771500095974</v>
      </c>
      <c r="V130" s="54">
        <f ca="1">IF(OR(V$33&lt;$B28,V$33&gt;$C28),0,OFFSET(Проект!V$1200,0,1-$B28))</f>
        <v>5827.1771500095974</v>
      </c>
      <c r="W130" s="54">
        <f ca="1">IF(OR(W$33&lt;$B28,W$33&gt;$C28),0,OFFSET(Проект!W$1200,0,1-$B28))</f>
        <v>5827.1771500095974</v>
      </c>
      <c r="X130" s="54">
        <f ca="1">IF(OR(X$33&lt;$B28,X$33&gt;$C28),0,OFFSET(Проект!X$1200,0,1-$B28))</f>
        <v>5827.1771500095974</v>
      </c>
      <c r="Y130" s="54">
        <f ca="1">IF(OR(Y$33&lt;$B28,Y$33&gt;$C28),0,OFFSET(Проект!AC$1200,0,1-$B28))</f>
        <v>5827.1771500095974</v>
      </c>
      <c r="AA130" s="202">
        <f t="shared" ca="1" si="16"/>
        <v>76610.437096432666</v>
      </c>
    </row>
    <row r="131" spans="1:27" outlineLevel="1" x14ac:dyDescent="0.2">
      <c r="A131" t="str">
        <f ca="1">Language!A710</f>
        <v>в том числе</v>
      </c>
      <c r="C131" s="114"/>
      <c r="AA131" s="202"/>
    </row>
    <row r="132" spans="1:27" outlineLevel="1" collapsed="1" x14ac:dyDescent="0.2">
      <c r="A132" t="str">
        <f ca="1">Language!A711</f>
        <v xml:space="preserve">    Сырье и материалы</v>
      </c>
      <c r="C132" s="114" t="str">
        <f t="shared" ref="C132:C167" ca="1" si="17">CUR_Report</f>
        <v>тыс. EUR</v>
      </c>
      <c r="D132" s="204" t="s">
        <v>2615</v>
      </c>
      <c r="F132" s="43">
        <f ca="1">SUMPRODUCT($B12:OFFSET($B13,-1,0),F133:OFFSET(F134,-1,0))</f>
        <v>0</v>
      </c>
      <c r="G132" s="43">
        <f ca="1">SUMPRODUCT($B12:OFFSET($B13,-1,0),G133:OFFSET(G134,-1,0))</f>
        <v>0</v>
      </c>
      <c r="H132" s="43">
        <f ca="1">SUMPRODUCT($B12:OFFSET($B13,-1,0),H133:OFFSET(H134,-1,0))</f>
        <v>0</v>
      </c>
      <c r="I132" s="43">
        <f ca="1">SUMPRODUCT($B12:OFFSET($B13,-1,0),I133:OFFSET(I134,-1,0))</f>
        <v>0</v>
      </c>
      <c r="J132" s="43">
        <f ca="1">SUMPRODUCT($B12:OFFSET($B13,-1,0),J133:OFFSET(J134,-1,0))</f>
        <v>0</v>
      </c>
      <c r="K132" s="43">
        <f ca="1">SUMPRODUCT($B12:OFFSET($B13,-1,0),K133:OFFSET(K134,-1,0))</f>
        <v>473.16364375002166</v>
      </c>
      <c r="L132" s="43">
        <f ca="1">SUMPRODUCT($B12:OFFSET($B13,-1,0),L133:OFFSET(L134,-1,0))</f>
        <v>1847.0848948830612</v>
      </c>
      <c r="M132" s="43">
        <f ca="1">SUMPRODUCT($B12:OFFSET($B13,-1,0),M133:OFFSET(M134,-1,0))</f>
        <v>2966.9894638861606</v>
      </c>
      <c r="N132" s="43">
        <f ca="1">SUMPRODUCT($B12:OFFSET($B13,-1,0),N133:OFFSET(N134,-1,0))</f>
        <v>4236.0357088816163</v>
      </c>
      <c r="O132" s="43">
        <f ca="1">SUMPRODUCT($B12:OFFSET($B13,-1,0),O133:OFFSET(O134,-1,0))</f>
        <v>5113.7349304142062</v>
      </c>
      <c r="P132" s="43">
        <f ca="1">SUMPRODUCT($B12:OFFSET($B13,-1,0),P133:OFFSET(P134,-1,0))</f>
        <v>5113.7349304142062</v>
      </c>
      <c r="Q132" s="43">
        <f ca="1">SUMPRODUCT($B12:OFFSET($B13,-1,0),Q133:OFFSET(Q134,-1,0))</f>
        <v>5113.7349304142062</v>
      </c>
      <c r="R132" s="43">
        <f ca="1">SUMPRODUCT($B12:OFFSET($B13,-1,0),R133:OFFSET(R134,-1,0))</f>
        <v>5113.7349304142062</v>
      </c>
      <c r="S132" s="43">
        <f ca="1">SUMPRODUCT($B12:OFFSET($B13,-1,0),S133:OFFSET(S134,-1,0))</f>
        <v>5113.7349304142062</v>
      </c>
      <c r="T132" s="43">
        <f ca="1">SUMPRODUCT($B12:OFFSET($B13,-1,0),T133:OFFSET(T134,-1,0))</f>
        <v>5113.7349304142062</v>
      </c>
      <c r="U132" s="43">
        <f ca="1">SUMPRODUCT($B12:OFFSET($B13,-1,0),U133:OFFSET(U134,-1,0))</f>
        <v>5113.7349304142062</v>
      </c>
      <c r="V132" s="43">
        <f ca="1">SUMPRODUCT($B12:OFFSET($B13,-1,0),V133:OFFSET(V134,-1,0))</f>
        <v>5113.7349304142062</v>
      </c>
      <c r="W132" s="43">
        <f ca="1">SUMPRODUCT($B12:OFFSET($B13,-1,0),W133:OFFSET(W134,-1,0))</f>
        <v>5113.7349304142062</v>
      </c>
      <c r="X132" s="43">
        <f ca="1">SUMPRODUCT($B12:OFFSET($B13,-1,0),X133:OFFSET(X134,-1,0))</f>
        <v>5113.7349304142062</v>
      </c>
      <c r="Y132" s="43">
        <f ca="1">SUMPRODUCT($B12:OFFSET($B13,-1,0),Y133:OFFSET(Y134,-1,0))</f>
        <v>5113.7349304142062</v>
      </c>
      <c r="AA132" s="202">
        <f t="shared" ca="1" si="16"/>
        <v>65774.357945957119</v>
      </c>
    </row>
    <row r="133" spans="1:27" s="11" customFormat="1" hidden="1" outlineLevel="2" x14ac:dyDescent="0.2">
      <c r="A133" s="11" t="str">
        <f ca="1">"        " &amp; A12</f>
        <v xml:space="preserve">        Проект 1</v>
      </c>
      <c r="C133" s="198" t="str">
        <f t="shared" ca="1" si="17"/>
        <v>тыс. EUR</v>
      </c>
      <c r="D133" s="11" t="e">
        <f ca="1">"[" &amp; F12 &amp; "];int_sum"</f>
        <v>#NAME?</v>
      </c>
      <c r="F133" s="54">
        <f ca="1">IF(OR(F$33&lt;$B28,F$33&gt;$C28),0,OFFSET(Проект!F$1202,0,1-$B28))</f>
        <v>0</v>
      </c>
      <c r="G133" s="54">
        <f ca="1">IF(OR(G$33&lt;$B28,G$33&gt;$C28),0,OFFSET(Проект!G$1202,0,1-$B28))</f>
        <v>0</v>
      </c>
      <c r="H133" s="54">
        <f ca="1">IF(OR(H$33&lt;$B28,H$33&gt;$C28),0,OFFSET(Проект!H$1202,0,1-$B28))</f>
        <v>0</v>
      </c>
      <c r="I133" s="54">
        <f ca="1">IF(OR(I$33&lt;$B28,I$33&gt;$C28),0,OFFSET(Проект!I$1202,0,1-$B28))</f>
        <v>0</v>
      </c>
      <c r="J133" s="54">
        <f ca="1">IF(OR(J$33&lt;$B28,J$33&gt;$C28),0,OFFSET(Проект!J$1202,0,1-$B28))</f>
        <v>0</v>
      </c>
      <c r="K133" s="54">
        <f ca="1">IF(OR(K$33&lt;$B28,K$33&gt;$C28),0,OFFSET(Проект!K$1202,0,1-$B28))</f>
        <v>473.16364375002166</v>
      </c>
      <c r="L133" s="54">
        <f ca="1">IF(OR(L$33&lt;$B28,L$33&gt;$C28),0,OFFSET(Проект!L$1202,0,1-$B28))</f>
        <v>1847.0848948830612</v>
      </c>
      <c r="M133" s="54">
        <f ca="1">IF(OR(M$33&lt;$B28,M$33&gt;$C28),0,OFFSET(Проект!M$1202,0,1-$B28))</f>
        <v>2966.9894638861606</v>
      </c>
      <c r="N133" s="54">
        <f ca="1">IF(OR(N$33&lt;$B28,N$33&gt;$C28),0,OFFSET(Проект!N$1202,0,1-$B28))</f>
        <v>4236.0357088816163</v>
      </c>
      <c r="O133" s="54">
        <f ca="1">IF(OR(O$33&lt;$B28,O$33&gt;$C28),0,OFFSET(Проект!O$1202,0,1-$B28))</f>
        <v>5113.7349304142062</v>
      </c>
      <c r="P133" s="54">
        <f ca="1">IF(OR(P$33&lt;$B28,P$33&gt;$C28),0,OFFSET(Проект!P$1202,0,1-$B28))</f>
        <v>5113.7349304142062</v>
      </c>
      <c r="Q133" s="54">
        <f ca="1">IF(OR(Q$33&lt;$B28,Q$33&gt;$C28),0,OFFSET(Проект!Q$1202,0,1-$B28))</f>
        <v>5113.7349304142062</v>
      </c>
      <c r="R133" s="54">
        <f ca="1">IF(OR(R$33&lt;$B28,R$33&gt;$C28),0,OFFSET(Проект!R$1202,0,1-$B28))</f>
        <v>5113.7349304142062</v>
      </c>
      <c r="S133" s="54">
        <f ca="1">IF(OR(S$33&lt;$B28,S$33&gt;$C28),0,OFFSET(Проект!S$1202,0,1-$B28))</f>
        <v>5113.7349304142062</v>
      </c>
      <c r="T133" s="54">
        <f ca="1">IF(OR(T$33&lt;$B28,T$33&gt;$C28),0,OFFSET(Проект!T$1202,0,1-$B28))</f>
        <v>5113.7349304142062</v>
      </c>
      <c r="U133" s="54">
        <f ca="1">IF(OR(U$33&lt;$B28,U$33&gt;$C28),0,OFFSET(Проект!U$1202,0,1-$B28))</f>
        <v>5113.7349304142062</v>
      </c>
      <c r="V133" s="54">
        <f ca="1">IF(OR(V$33&lt;$B28,V$33&gt;$C28),0,OFFSET(Проект!V$1202,0,1-$B28))</f>
        <v>5113.7349304142062</v>
      </c>
      <c r="W133" s="54">
        <f ca="1">IF(OR(W$33&lt;$B28,W$33&gt;$C28),0,OFFSET(Проект!W$1202,0,1-$B28))</f>
        <v>5113.7349304142062</v>
      </c>
      <c r="X133" s="54">
        <f ca="1">IF(OR(X$33&lt;$B28,X$33&gt;$C28),0,OFFSET(Проект!X$1202,0,1-$B28))</f>
        <v>5113.7349304142062</v>
      </c>
      <c r="Y133" s="54">
        <f ca="1">IF(OR(Y$33&lt;$B28,Y$33&gt;$C28),0,OFFSET(Проект!AC$1202,0,1-$B28))</f>
        <v>5113.7349304142062</v>
      </c>
      <c r="AA133" s="202">
        <f t="shared" ca="1" si="16"/>
        <v>65774.357945957119</v>
      </c>
    </row>
    <row r="134" spans="1:27" outlineLevel="1" collapsed="1" x14ac:dyDescent="0.2">
      <c r="A134" t="str">
        <f ca="1">Language!A712</f>
        <v xml:space="preserve">    Прочие переменные расходы</v>
      </c>
      <c r="C134" s="114" t="str">
        <f t="shared" ca="1" si="17"/>
        <v>тыс. EUR</v>
      </c>
      <c r="D134" s="204" t="s">
        <v>2615</v>
      </c>
      <c r="F134" s="43">
        <f ca="1">SUMPRODUCT($B12:OFFSET($B13,-1,0),F135:OFFSET(F136,-1,0))</f>
        <v>0</v>
      </c>
      <c r="G134" s="43">
        <f ca="1">SUMPRODUCT($B12:OFFSET($B13,-1,0),G135:OFFSET(G136,-1,0))</f>
        <v>0</v>
      </c>
      <c r="H134" s="43">
        <f ca="1">SUMPRODUCT($B12:OFFSET($B13,-1,0),H135:OFFSET(H136,-1,0))</f>
        <v>0</v>
      </c>
      <c r="I134" s="43">
        <f ca="1">SUMPRODUCT($B12:OFFSET($B13,-1,0),I135:OFFSET(I136,-1,0))</f>
        <v>0</v>
      </c>
      <c r="J134" s="43">
        <f ca="1">SUMPRODUCT($B12:OFFSET($B13,-1,0),J135:OFFSET(J136,-1,0))</f>
        <v>0</v>
      </c>
      <c r="K134" s="43">
        <f ca="1">SUMPRODUCT($B12:OFFSET($B13,-1,0),K135:OFFSET(K136,-1,0))</f>
        <v>0</v>
      </c>
      <c r="L134" s="43">
        <f ca="1">SUMPRODUCT($B12:OFFSET($B13,-1,0),L135:OFFSET(L136,-1,0))</f>
        <v>0</v>
      </c>
      <c r="M134" s="43">
        <f ca="1">SUMPRODUCT($B12:OFFSET($B13,-1,0),M135:OFFSET(M136,-1,0))</f>
        <v>0</v>
      </c>
      <c r="N134" s="43">
        <f ca="1">SUMPRODUCT($B12:OFFSET($B13,-1,0),N135:OFFSET(N136,-1,0))</f>
        <v>0</v>
      </c>
      <c r="O134" s="43">
        <f ca="1">SUMPRODUCT($B12:OFFSET($B13,-1,0),O135:OFFSET(O136,-1,0))</f>
        <v>0</v>
      </c>
      <c r="P134" s="43">
        <f ca="1">SUMPRODUCT($B12:OFFSET($B13,-1,0),P135:OFFSET(P136,-1,0))</f>
        <v>0</v>
      </c>
      <c r="Q134" s="43">
        <f ca="1">SUMPRODUCT($B12:OFFSET($B13,-1,0),Q135:OFFSET(Q136,-1,0))</f>
        <v>0</v>
      </c>
      <c r="R134" s="43">
        <f ca="1">SUMPRODUCT($B12:OFFSET($B13,-1,0),R135:OFFSET(R136,-1,0))</f>
        <v>0</v>
      </c>
      <c r="S134" s="43">
        <f ca="1">SUMPRODUCT($B12:OFFSET($B13,-1,0),S135:OFFSET(S136,-1,0))</f>
        <v>0</v>
      </c>
      <c r="T134" s="43">
        <f ca="1">SUMPRODUCT($B12:OFFSET($B13,-1,0),T135:OFFSET(T136,-1,0))</f>
        <v>0</v>
      </c>
      <c r="U134" s="43">
        <f ca="1">SUMPRODUCT($B12:OFFSET($B13,-1,0),U135:OFFSET(U136,-1,0))</f>
        <v>0</v>
      </c>
      <c r="V134" s="43">
        <f ca="1">SUMPRODUCT($B12:OFFSET($B13,-1,0),V135:OFFSET(V136,-1,0))</f>
        <v>0</v>
      </c>
      <c r="W134" s="43">
        <f ca="1">SUMPRODUCT($B12:OFFSET($B13,-1,0),W135:OFFSET(W136,-1,0))</f>
        <v>0</v>
      </c>
      <c r="X134" s="43">
        <f ca="1">SUMPRODUCT($B12:OFFSET($B13,-1,0),X135:OFFSET(X136,-1,0))</f>
        <v>0</v>
      </c>
      <c r="Y134" s="43">
        <f ca="1">SUMPRODUCT($B12:OFFSET($B13,-1,0),Y135:OFFSET(Y136,-1,0))</f>
        <v>0</v>
      </c>
      <c r="AA134" s="202">
        <f t="shared" ca="1" si="16"/>
        <v>0</v>
      </c>
    </row>
    <row r="135" spans="1:27" s="11" customFormat="1" hidden="1" outlineLevel="2" x14ac:dyDescent="0.2">
      <c r="A135" s="11" t="str">
        <f ca="1">"        " &amp; A12</f>
        <v xml:space="preserve">        Проект 1</v>
      </c>
      <c r="C135" s="198" t="str">
        <f t="shared" ca="1" si="17"/>
        <v>тыс. EUR</v>
      </c>
      <c r="D135" s="11" t="e">
        <f ca="1">"[" &amp; F12 &amp; "];int_sum"</f>
        <v>#NAME?</v>
      </c>
      <c r="F135" s="54">
        <f ca="1">IF(OR(F$33&lt;$B28,F$33&gt;$C28),0,OFFSET(Проект!F$1203,0,1-$B28))</f>
        <v>0</v>
      </c>
      <c r="G135" s="54">
        <f ca="1">IF(OR(G$33&lt;$B28,G$33&gt;$C28),0,OFFSET(Проект!G$1203,0,1-$B28))</f>
        <v>0</v>
      </c>
      <c r="H135" s="54">
        <f ca="1">IF(OR(H$33&lt;$B28,H$33&gt;$C28),0,OFFSET(Проект!H$1203,0,1-$B28))</f>
        <v>0</v>
      </c>
      <c r="I135" s="54">
        <f ca="1">IF(OR(I$33&lt;$B28,I$33&gt;$C28),0,OFFSET(Проект!I$1203,0,1-$B28))</f>
        <v>0</v>
      </c>
      <c r="J135" s="54">
        <f ca="1">IF(OR(J$33&lt;$B28,J$33&gt;$C28),0,OFFSET(Проект!J$1203,0,1-$B28))</f>
        <v>0</v>
      </c>
      <c r="K135" s="54">
        <f ca="1">IF(OR(K$33&lt;$B28,K$33&gt;$C28),0,OFFSET(Проект!K$1203,0,1-$B28))</f>
        <v>0</v>
      </c>
      <c r="L135" s="54">
        <f ca="1">IF(OR(L$33&lt;$B28,L$33&gt;$C28),0,OFFSET(Проект!L$1203,0,1-$B28))</f>
        <v>0</v>
      </c>
      <c r="M135" s="54">
        <f ca="1">IF(OR(M$33&lt;$B28,M$33&gt;$C28),0,OFFSET(Проект!M$1203,0,1-$B28))</f>
        <v>0</v>
      </c>
      <c r="N135" s="54">
        <f ca="1">IF(OR(N$33&lt;$B28,N$33&gt;$C28),0,OFFSET(Проект!N$1203,0,1-$B28))</f>
        <v>0</v>
      </c>
      <c r="O135" s="54">
        <f ca="1">IF(OR(O$33&lt;$B28,O$33&gt;$C28),0,OFFSET(Проект!O$1203,0,1-$B28))</f>
        <v>0</v>
      </c>
      <c r="P135" s="54">
        <f ca="1">IF(OR(P$33&lt;$B28,P$33&gt;$C28),0,OFFSET(Проект!P$1203,0,1-$B28))</f>
        <v>0</v>
      </c>
      <c r="Q135" s="54">
        <f ca="1">IF(OR(Q$33&lt;$B28,Q$33&gt;$C28),0,OFFSET(Проект!Q$1203,0,1-$B28))</f>
        <v>0</v>
      </c>
      <c r="R135" s="54">
        <f ca="1">IF(OR(R$33&lt;$B28,R$33&gt;$C28),0,OFFSET(Проект!R$1203,0,1-$B28))</f>
        <v>0</v>
      </c>
      <c r="S135" s="54">
        <f ca="1">IF(OR(S$33&lt;$B28,S$33&gt;$C28),0,OFFSET(Проект!S$1203,0,1-$B28))</f>
        <v>0</v>
      </c>
      <c r="T135" s="54">
        <f ca="1">IF(OR(T$33&lt;$B28,T$33&gt;$C28),0,OFFSET(Проект!T$1203,0,1-$B28))</f>
        <v>0</v>
      </c>
      <c r="U135" s="54">
        <f ca="1">IF(OR(U$33&lt;$B28,U$33&gt;$C28),0,OFFSET(Проект!U$1203,0,1-$B28))</f>
        <v>0</v>
      </c>
      <c r="V135" s="54">
        <f ca="1">IF(OR(V$33&lt;$B28,V$33&gt;$C28),0,OFFSET(Проект!V$1203,0,1-$B28))</f>
        <v>0</v>
      </c>
      <c r="W135" s="54">
        <f ca="1">IF(OR(W$33&lt;$B28,W$33&gt;$C28),0,OFFSET(Проект!W$1203,0,1-$B28))</f>
        <v>0</v>
      </c>
      <c r="X135" s="54">
        <f ca="1">IF(OR(X$33&lt;$B28,X$33&gt;$C28),0,OFFSET(Проект!X$1203,0,1-$B28))</f>
        <v>0</v>
      </c>
      <c r="Y135" s="54">
        <f ca="1">IF(OR(Y$33&lt;$B28,Y$33&gt;$C28),0,OFFSET(Проект!AC$1203,0,1-$B28))</f>
        <v>0</v>
      </c>
      <c r="AA135" s="202">
        <f t="shared" ca="1" si="16"/>
        <v>0</v>
      </c>
    </row>
    <row r="136" spans="1:27" outlineLevel="1" collapsed="1" x14ac:dyDescent="0.2">
      <c r="A136" t="str">
        <f ca="1">Language!A713</f>
        <v xml:space="preserve">    Оплата производственного персонала</v>
      </c>
      <c r="C136" s="114" t="str">
        <f t="shared" ca="1" si="17"/>
        <v>тыс. EUR</v>
      </c>
      <c r="D136" s="204" t="s">
        <v>2615</v>
      </c>
      <c r="F136" s="43">
        <f ca="1">SUMPRODUCT($B12:OFFSET($B13,-1,0),F137:OFFSET(F138,-1,0))</f>
        <v>0</v>
      </c>
      <c r="G136" s="43">
        <f ca="1">SUMPRODUCT($B12:OFFSET($B13,-1,0),G137:OFFSET(G138,-1,0))</f>
        <v>0</v>
      </c>
      <c r="H136" s="43">
        <f ca="1">SUMPRODUCT($B12:OFFSET($B13,-1,0),H137:OFFSET(H138,-1,0))</f>
        <v>0</v>
      </c>
      <c r="I136" s="43">
        <f ca="1">SUMPRODUCT($B12:OFFSET($B13,-1,0),I137:OFFSET(I138,-1,0))</f>
        <v>0</v>
      </c>
      <c r="J136" s="43">
        <f ca="1">SUMPRODUCT($B12:OFFSET($B13,-1,0),J137:OFFSET(J138,-1,0))</f>
        <v>0</v>
      </c>
      <c r="K136" s="43">
        <f ca="1">SUMPRODUCT($B12:OFFSET($B13,-1,0),K137:OFFSET(K138,-1,0))</f>
        <v>322.269948</v>
      </c>
      <c r="L136" s="43">
        <f ca="1">SUMPRODUCT($B12:OFFSET($B13,-1,0),L137:OFFSET(L138,-1,0))</f>
        <v>322.269948</v>
      </c>
      <c r="M136" s="43">
        <f ca="1">SUMPRODUCT($B12:OFFSET($B13,-1,0),M137:OFFSET(M138,-1,0))</f>
        <v>322.269948</v>
      </c>
      <c r="N136" s="43">
        <f ca="1">SUMPRODUCT($B12:OFFSET($B13,-1,0),N137:OFFSET(N138,-1,0))</f>
        <v>322.269948</v>
      </c>
      <c r="O136" s="43">
        <f ca="1">SUMPRODUCT($B12:OFFSET($B13,-1,0),O137:OFFSET(O138,-1,0))</f>
        <v>322.269948</v>
      </c>
      <c r="P136" s="43">
        <f ca="1">SUMPRODUCT($B12:OFFSET($B13,-1,0),P137:OFFSET(P138,-1,0))</f>
        <v>322.269948</v>
      </c>
      <c r="Q136" s="43">
        <f ca="1">SUMPRODUCT($B12:OFFSET($B13,-1,0),Q137:OFFSET(Q138,-1,0))</f>
        <v>322.269948</v>
      </c>
      <c r="R136" s="43">
        <f ca="1">SUMPRODUCT($B12:OFFSET($B13,-1,0),R137:OFFSET(R138,-1,0))</f>
        <v>322.269948</v>
      </c>
      <c r="S136" s="43">
        <f ca="1">SUMPRODUCT($B12:OFFSET($B13,-1,0),S137:OFFSET(S138,-1,0))</f>
        <v>322.269948</v>
      </c>
      <c r="T136" s="43">
        <f ca="1">SUMPRODUCT($B12:OFFSET($B13,-1,0),T137:OFFSET(T138,-1,0))</f>
        <v>322.269948</v>
      </c>
      <c r="U136" s="43">
        <f ca="1">SUMPRODUCT($B12:OFFSET($B13,-1,0),U137:OFFSET(U138,-1,0))</f>
        <v>322.269948</v>
      </c>
      <c r="V136" s="43">
        <f ca="1">SUMPRODUCT($B12:OFFSET($B13,-1,0),V137:OFFSET(V138,-1,0))</f>
        <v>322.269948</v>
      </c>
      <c r="W136" s="43">
        <f ca="1">SUMPRODUCT($B12:OFFSET($B13,-1,0),W137:OFFSET(W138,-1,0))</f>
        <v>322.269948</v>
      </c>
      <c r="X136" s="43">
        <f ca="1">SUMPRODUCT($B12:OFFSET($B13,-1,0),X137:OFFSET(X138,-1,0))</f>
        <v>322.269948</v>
      </c>
      <c r="Y136" s="43">
        <f ca="1">SUMPRODUCT($B12:OFFSET($B13,-1,0),Y137:OFFSET(Y138,-1,0))</f>
        <v>322.269948</v>
      </c>
      <c r="AA136" s="202">
        <f t="shared" ca="1" si="16"/>
        <v>4834.0492200000008</v>
      </c>
    </row>
    <row r="137" spans="1:27" s="11" customFormat="1" hidden="1" outlineLevel="2" x14ac:dyDescent="0.2">
      <c r="A137" s="11" t="str">
        <f ca="1">"        " &amp; A12</f>
        <v xml:space="preserve">        Проект 1</v>
      </c>
      <c r="C137" s="198" t="str">
        <f t="shared" ca="1" si="17"/>
        <v>тыс. EUR</v>
      </c>
      <c r="D137" s="11" t="e">
        <f ca="1">"[" &amp; F12 &amp; "];int_sum"</f>
        <v>#NAME?</v>
      </c>
      <c r="F137" s="54">
        <f ca="1">IF(OR(F$33&lt;$B28,F$33&gt;$C28),0,OFFSET(Проект!F$1204,0,1-$B28))</f>
        <v>0</v>
      </c>
      <c r="G137" s="54">
        <f ca="1">IF(OR(G$33&lt;$B28,G$33&gt;$C28),0,OFFSET(Проект!G$1204,0,1-$B28))</f>
        <v>0</v>
      </c>
      <c r="H137" s="54">
        <f ca="1">IF(OR(H$33&lt;$B28,H$33&gt;$C28),0,OFFSET(Проект!H$1204,0,1-$B28))</f>
        <v>0</v>
      </c>
      <c r="I137" s="54">
        <f ca="1">IF(OR(I$33&lt;$B28,I$33&gt;$C28),0,OFFSET(Проект!I$1204,0,1-$B28))</f>
        <v>0</v>
      </c>
      <c r="J137" s="54">
        <f ca="1">IF(OR(J$33&lt;$B28,J$33&gt;$C28),0,OFFSET(Проект!J$1204,0,1-$B28))</f>
        <v>0</v>
      </c>
      <c r="K137" s="54">
        <f ca="1">IF(OR(K$33&lt;$B28,K$33&gt;$C28),0,OFFSET(Проект!K$1204,0,1-$B28))</f>
        <v>322.269948</v>
      </c>
      <c r="L137" s="54">
        <f ca="1">IF(OR(L$33&lt;$B28,L$33&gt;$C28),0,OFFSET(Проект!L$1204,0,1-$B28))</f>
        <v>322.269948</v>
      </c>
      <c r="M137" s="54">
        <f ca="1">IF(OR(M$33&lt;$B28,M$33&gt;$C28),0,OFFSET(Проект!M$1204,0,1-$B28))</f>
        <v>322.269948</v>
      </c>
      <c r="N137" s="54">
        <f ca="1">IF(OR(N$33&lt;$B28,N$33&gt;$C28),0,OFFSET(Проект!N$1204,0,1-$B28))</f>
        <v>322.269948</v>
      </c>
      <c r="O137" s="54">
        <f ca="1">IF(OR(O$33&lt;$B28,O$33&gt;$C28),0,OFFSET(Проект!O$1204,0,1-$B28))</f>
        <v>322.269948</v>
      </c>
      <c r="P137" s="54">
        <f ca="1">IF(OR(P$33&lt;$B28,P$33&gt;$C28),0,OFFSET(Проект!P$1204,0,1-$B28))</f>
        <v>322.269948</v>
      </c>
      <c r="Q137" s="54">
        <f ca="1">IF(OR(Q$33&lt;$B28,Q$33&gt;$C28),0,OFFSET(Проект!Q$1204,0,1-$B28))</f>
        <v>322.269948</v>
      </c>
      <c r="R137" s="54">
        <f ca="1">IF(OR(R$33&lt;$B28,R$33&gt;$C28),0,OFFSET(Проект!R$1204,0,1-$B28))</f>
        <v>322.269948</v>
      </c>
      <c r="S137" s="54">
        <f ca="1">IF(OR(S$33&lt;$B28,S$33&gt;$C28),0,OFFSET(Проект!S$1204,0,1-$B28))</f>
        <v>322.269948</v>
      </c>
      <c r="T137" s="54">
        <f ca="1">IF(OR(T$33&lt;$B28,T$33&gt;$C28),0,OFFSET(Проект!T$1204,0,1-$B28))</f>
        <v>322.269948</v>
      </c>
      <c r="U137" s="54">
        <f ca="1">IF(OR(U$33&lt;$B28,U$33&gt;$C28),0,OFFSET(Проект!U$1204,0,1-$B28))</f>
        <v>322.269948</v>
      </c>
      <c r="V137" s="54">
        <f ca="1">IF(OR(V$33&lt;$B28,V$33&gt;$C28),0,OFFSET(Проект!V$1204,0,1-$B28))</f>
        <v>322.269948</v>
      </c>
      <c r="W137" s="54">
        <f ca="1">IF(OR(W$33&lt;$B28,W$33&gt;$C28),0,OFFSET(Проект!W$1204,0,1-$B28))</f>
        <v>322.269948</v>
      </c>
      <c r="X137" s="54">
        <f ca="1">IF(OR(X$33&lt;$B28,X$33&gt;$C28),0,OFFSET(Проект!X$1204,0,1-$B28))</f>
        <v>322.269948</v>
      </c>
      <c r="Y137" s="54">
        <f ca="1">IF(OR(Y$33&lt;$B28,Y$33&gt;$C28),0,OFFSET(Проект!AC$1204,0,1-$B28))</f>
        <v>322.269948</v>
      </c>
      <c r="AA137" s="202">
        <f t="shared" ca="1" si="16"/>
        <v>4834.0492200000008</v>
      </c>
    </row>
    <row r="138" spans="1:27" outlineLevel="1" collapsed="1" x14ac:dyDescent="0.2">
      <c r="A138" t="str">
        <f ca="1">Language!A714</f>
        <v xml:space="preserve">    Лизинговые платежи</v>
      </c>
      <c r="C138" s="114" t="str">
        <f t="shared" ca="1" si="17"/>
        <v>тыс. EUR</v>
      </c>
      <c r="D138" s="204" t="s">
        <v>2615</v>
      </c>
      <c r="F138" s="43">
        <f ca="1">SUMPRODUCT($B12:OFFSET($B13,-1,0),F139:OFFSET(F140,-1,0))</f>
        <v>0</v>
      </c>
      <c r="G138" s="43">
        <f ca="1">SUMPRODUCT($B12:OFFSET($B13,-1,0),G139:OFFSET(G140,-1,0))</f>
        <v>0</v>
      </c>
      <c r="H138" s="43">
        <f ca="1">SUMPRODUCT($B12:OFFSET($B13,-1,0),H139:OFFSET(H140,-1,0))</f>
        <v>0</v>
      </c>
      <c r="I138" s="43">
        <f ca="1">SUMPRODUCT($B12:OFFSET($B13,-1,0),I139:OFFSET(I140,-1,0))</f>
        <v>0</v>
      </c>
      <c r="J138" s="43">
        <f ca="1">SUMPRODUCT($B12:OFFSET($B13,-1,0),J139:OFFSET(J140,-1,0))</f>
        <v>0</v>
      </c>
      <c r="K138" s="43">
        <f ca="1">SUMPRODUCT($B12:OFFSET($B13,-1,0),K139:OFFSET(K140,-1,0))</f>
        <v>0</v>
      </c>
      <c r="L138" s="43">
        <f ca="1">SUMPRODUCT($B12:OFFSET($B13,-1,0),L139:OFFSET(L140,-1,0))</f>
        <v>0</v>
      </c>
      <c r="M138" s="43">
        <f ca="1">SUMPRODUCT($B12:OFFSET($B13,-1,0),M139:OFFSET(M140,-1,0))</f>
        <v>0</v>
      </c>
      <c r="N138" s="43">
        <f ca="1">SUMPRODUCT($B12:OFFSET($B13,-1,0),N139:OFFSET(N140,-1,0))</f>
        <v>0</v>
      </c>
      <c r="O138" s="43">
        <f ca="1">SUMPRODUCT($B12:OFFSET($B13,-1,0),O139:OFFSET(O140,-1,0))</f>
        <v>0</v>
      </c>
      <c r="P138" s="43">
        <f ca="1">SUMPRODUCT($B12:OFFSET($B13,-1,0),P139:OFFSET(P140,-1,0))</f>
        <v>0</v>
      </c>
      <c r="Q138" s="43">
        <f ca="1">SUMPRODUCT($B12:OFFSET($B13,-1,0),Q139:OFFSET(Q140,-1,0))</f>
        <v>0</v>
      </c>
      <c r="R138" s="43">
        <f ca="1">SUMPRODUCT($B12:OFFSET($B13,-1,0),R139:OFFSET(R140,-1,0))</f>
        <v>0</v>
      </c>
      <c r="S138" s="43">
        <f ca="1">SUMPRODUCT($B12:OFFSET($B13,-1,0),S139:OFFSET(S140,-1,0))</f>
        <v>0</v>
      </c>
      <c r="T138" s="43">
        <f ca="1">SUMPRODUCT($B12:OFFSET($B13,-1,0),T139:OFFSET(T140,-1,0))</f>
        <v>0</v>
      </c>
      <c r="U138" s="43">
        <f ca="1">SUMPRODUCT($B12:OFFSET($B13,-1,0),U139:OFFSET(U140,-1,0))</f>
        <v>0</v>
      </c>
      <c r="V138" s="43">
        <f ca="1">SUMPRODUCT($B12:OFFSET($B13,-1,0),V139:OFFSET(V140,-1,0))</f>
        <v>0</v>
      </c>
      <c r="W138" s="43">
        <f ca="1">SUMPRODUCT($B12:OFFSET($B13,-1,0),W139:OFFSET(W140,-1,0))</f>
        <v>0</v>
      </c>
      <c r="X138" s="43">
        <f ca="1">SUMPRODUCT($B12:OFFSET($B13,-1,0),X139:OFFSET(X140,-1,0))</f>
        <v>0</v>
      </c>
      <c r="Y138" s="43">
        <f ca="1">SUMPRODUCT($B12:OFFSET($B13,-1,0),Y139:OFFSET(Y140,-1,0))</f>
        <v>0</v>
      </c>
      <c r="AA138" s="202">
        <f t="shared" ca="1" si="16"/>
        <v>0</v>
      </c>
    </row>
    <row r="139" spans="1:27" s="11" customFormat="1" hidden="1" outlineLevel="2" x14ac:dyDescent="0.2">
      <c r="A139" s="11" t="str">
        <f ca="1">"        " &amp; A12</f>
        <v xml:space="preserve">        Проект 1</v>
      </c>
      <c r="C139" s="198" t="str">
        <f t="shared" ca="1" si="17"/>
        <v>тыс. EUR</v>
      </c>
      <c r="D139" s="11" t="e">
        <f ca="1">"[" &amp; F12 &amp; "];int_sum"</f>
        <v>#NAME?</v>
      </c>
      <c r="F139" s="54">
        <f ca="1">IF(OR(F$33&lt;$B28,F$33&gt;$C28),0,OFFSET(Проект!F$1205,0,1-$B28))</f>
        <v>0</v>
      </c>
      <c r="G139" s="54">
        <f ca="1">IF(OR(G$33&lt;$B28,G$33&gt;$C28),0,OFFSET(Проект!G$1205,0,1-$B28))</f>
        <v>0</v>
      </c>
      <c r="H139" s="54">
        <f ca="1">IF(OR(H$33&lt;$B28,H$33&gt;$C28),0,OFFSET(Проект!H$1205,0,1-$B28))</f>
        <v>0</v>
      </c>
      <c r="I139" s="54">
        <f ca="1">IF(OR(I$33&lt;$B28,I$33&gt;$C28),0,OFFSET(Проект!I$1205,0,1-$B28))</f>
        <v>0</v>
      </c>
      <c r="J139" s="54">
        <f ca="1">IF(OR(J$33&lt;$B28,J$33&gt;$C28),0,OFFSET(Проект!J$1205,0,1-$B28))</f>
        <v>0</v>
      </c>
      <c r="K139" s="54">
        <f ca="1">IF(OR(K$33&lt;$B28,K$33&gt;$C28),0,OFFSET(Проект!K$1205,0,1-$B28))</f>
        <v>0</v>
      </c>
      <c r="L139" s="54">
        <f ca="1">IF(OR(L$33&lt;$B28,L$33&gt;$C28),0,OFFSET(Проект!L$1205,0,1-$B28))</f>
        <v>0</v>
      </c>
      <c r="M139" s="54">
        <f ca="1">IF(OR(M$33&lt;$B28,M$33&gt;$C28),0,OFFSET(Проект!M$1205,0,1-$B28))</f>
        <v>0</v>
      </c>
      <c r="N139" s="54">
        <f ca="1">IF(OR(N$33&lt;$B28,N$33&gt;$C28),0,OFFSET(Проект!N$1205,0,1-$B28))</f>
        <v>0</v>
      </c>
      <c r="O139" s="54">
        <f ca="1">IF(OR(O$33&lt;$B28,O$33&gt;$C28),0,OFFSET(Проект!O$1205,0,1-$B28))</f>
        <v>0</v>
      </c>
      <c r="P139" s="54">
        <f ca="1">IF(OR(P$33&lt;$B28,P$33&gt;$C28),0,OFFSET(Проект!P$1205,0,1-$B28))</f>
        <v>0</v>
      </c>
      <c r="Q139" s="54">
        <f ca="1">IF(OR(Q$33&lt;$B28,Q$33&gt;$C28),0,OFFSET(Проект!Q$1205,0,1-$B28))</f>
        <v>0</v>
      </c>
      <c r="R139" s="54">
        <f ca="1">IF(OR(R$33&lt;$B28,R$33&gt;$C28),0,OFFSET(Проект!R$1205,0,1-$B28))</f>
        <v>0</v>
      </c>
      <c r="S139" s="54">
        <f ca="1">IF(OR(S$33&lt;$B28,S$33&gt;$C28),0,OFFSET(Проект!S$1205,0,1-$B28))</f>
        <v>0</v>
      </c>
      <c r="T139" s="54">
        <f ca="1">IF(OR(T$33&lt;$B28,T$33&gt;$C28),0,OFFSET(Проект!T$1205,0,1-$B28))</f>
        <v>0</v>
      </c>
      <c r="U139" s="54">
        <f ca="1">IF(OR(U$33&lt;$B28,U$33&gt;$C28),0,OFFSET(Проект!U$1205,0,1-$B28))</f>
        <v>0</v>
      </c>
      <c r="V139" s="54">
        <f ca="1">IF(OR(V$33&lt;$B28,V$33&gt;$C28),0,OFFSET(Проект!V$1205,0,1-$B28))</f>
        <v>0</v>
      </c>
      <c r="W139" s="54">
        <f ca="1">IF(OR(W$33&lt;$B28,W$33&gt;$C28),0,OFFSET(Проект!W$1205,0,1-$B28))</f>
        <v>0</v>
      </c>
      <c r="X139" s="54">
        <f ca="1">IF(OR(X$33&lt;$B28,X$33&gt;$C28),0,OFFSET(Проект!X$1205,0,1-$B28))</f>
        <v>0</v>
      </c>
      <c r="Y139" s="54">
        <f ca="1">IF(OR(Y$33&lt;$B28,Y$33&gt;$C28),0,OFFSET(Проект!AC$1205,0,1-$B28))</f>
        <v>0</v>
      </c>
      <c r="AA139" s="202">
        <f t="shared" ca="1" si="16"/>
        <v>0</v>
      </c>
    </row>
    <row r="140" spans="1:27" outlineLevel="1" collapsed="1" x14ac:dyDescent="0.2">
      <c r="A140" t="str">
        <f ca="1">Language!A715</f>
        <v xml:space="preserve">    Прочие производственные расходы</v>
      </c>
      <c r="C140" s="114" t="str">
        <f t="shared" ca="1" si="17"/>
        <v>тыс. EUR</v>
      </c>
      <c r="D140" s="204" t="s">
        <v>2615</v>
      </c>
      <c r="F140" s="43">
        <f ca="1">SUMPRODUCT($B12:OFFSET($B13,-1,0),F141:OFFSET(F142,-1,0))</f>
        <v>0</v>
      </c>
      <c r="G140" s="43">
        <f ca="1">SUMPRODUCT($B12:OFFSET($B13,-1,0),G141:OFFSET(G142,-1,0))</f>
        <v>0</v>
      </c>
      <c r="H140" s="43">
        <f ca="1">SUMPRODUCT($B12:OFFSET($B13,-1,0),H141:OFFSET(H142,-1,0))</f>
        <v>0</v>
      </c>
      <c r="I140" s="43">
        <f ca="1">SUMPRODUCT($B12:OFFSET($B13,-1,0),I141:OFFSET(I142,-1,0))</f>
        <v>0</v>
      </c>
      <c r="J140" s="43">
        <f ca="1">SUMPRODUCT($B12:OFFSET($B13,-1,0),J141:OFFSET(J142,-1,0))</f>
        <v>0</v>
      </c>
      <c r="K140" s="43">
        <f ca="1">SUMPRODUCT($B12:OFFSET($B13,-1,0),K141:OFFSET(K142,-1,0))</f>
        <v>7.5706183000003486</v>
      </c>
      <c r="L140" s="43">
        <f ca="1">SUMPRODUCT($B12:OFFSET($B13,-1,0),L141:OFFSET(L142,-1,0))</f>
        <v>29.553358318128979</v>
      </c>
      <c r="M140" s="43">
        <f ca="1">SUMPRODUCT($B12:OFFSET($B13,-1,0),M141:OFFSET(M142,-1,0))</f>
        <v>47.471831422178568</v>
      </c>
      <c r="N140" s="43">
        <f ca="1">SUMPRODUCT($B12:OFFSET($B13,-1,0),N141:OFFSET(N142,-1,0))</f>
        <v>67.776571342105868</v>
      </c>
      <c r="O140" s="43">
        <f ca="1">SUMPRODUCT($B12:OFFSET($B13,-1,0),O141:OFFSET(O142,-1,0))</f>
        <v>81.819758886627284</v>
      </c>
      <c r="P140" s="43">
        <f ca="1">SUMPRODUCT($B12:OFFSET($B13,-1,0),P141:OFFSET(P142,-1,0))</f>
        <v>81.819758886627284</v>
      </c>
      <c r="Q140" s="43">
        <f ca="1">SUMPRODUCT($B12:OFFSET($B13,-1,0),Q141:OFFSET(Q142,-1,0))</f>
        <v>81.819758886627284</v>
      </c>
      <c r="R140" s="43">
        <f ca="1">SUMPRODUCT($B12:OFFSET($B13,-1,0),R141:OFFSET(R142,-1,0))</f>
        <v>81.819758886627284</v>
      </c>
      <c r="S140" s="43">
        <f ca="1">SUMPRODUCT($B12:OFFSET($B13,-1,0),S141:OFFSET(S142,-1,0))</f>
        <v>81.819758886627284</v>
      </c>
      <c r="T140" s="43">
        <f ca="1">SUMPRODUCT($B12:OFFSET($B13,-1,0),T141:OFFSET(T142,-1,0))</f>
        <v>81.819758886627284</v>
      </c>
      <c r="U140" s="43">
        <f ca="1">SUMPRODUCT($B12:OFFSET($B13,-1,0),U141:OFFSET(U142,-1,0))</f>
        <v>81.819758886627284</v>
      </c>
      <c r="V140" s="43">
        <f ca="1">SUMPRODUCT($B12:OFFSET($B13,-1,0),V141:OFFSET(V142,-1,0))</f>
        <v>81.819758886627284</v>
      </c>
      <c r="W140" s="43">
        <f ca="1">SUMPRODUCT($B12:OFFSET($B13,-1,0),W141:OFFSET(W142,-1,0))</f>
        <v>81.819758886627284</v>
      </c>
      <c r="X140" s="43">
        <f ca="1">SUMPRODUCT($B12:OFFSET($B13,-1,0),X141:OFFSET(X142,-1,0))</f>
        <v>81.819758886627284</v>
      </c>
      <c r="Y140" s="43">
        <f ca="1">SUMPRODUCT($B12:OFFSET($B13,-1,0),Y141:OFFSET(Y142,-1,0))</f>
        <v>81.819758886627284</v>
      </c>
      <c r="AA140" s="202">
        <f t="shared" ca="1" si="16"/>
        <v>1052.3897271353137</v>
      </c>
    </row>
    <row r="141" spans="1:27" s="11" customFormat="1" hidden="1" outlineLevel="2" x14ac:dyDescent="0.2">
      <c r="A141" s="11" t="str">
        <f ca="1">"        " &amp; A12</f>
        <v xml:space="preserve">        Проект 1</v>
      </c>
      <c r="C141" s="198" t="str">
        <f t="shared" ca="1" si="17"/>
        <v>тыс. EUR</v>
      </c>
      <c r="D141" s="11" t="e">
        <f ca="1">"[" &amp; F12 &amp; "];int_sum"</f>
        <v>#NAME?</v>
      </c>
      <c r="F141" s="54">
        <f ca="1">IF(OR(F$33&lt;$B28,F$33&gt;$C28),0,OFFSET(Проект!F$1206,0,1-$B28))</f>
        <v>0</v>
      </c>
      <c r="G141" s="54">
        <f ca="1">IF(OR(G$33&lt;$B28,G$33&gt;$C28),0,OFFSET(Проект!G$1206,0,1-$B28))</f>
        <v>0</v>
      </c>
      <c r="H141" s="54">
        <f ca="1">IF(OR(H$33&lt;$B28,H$33&gt;$C28),0,OFFSET(Проект!H$1206,0,1-$B28))</f>
        <v>0</v>
      </c>
      <c r="I141" s="54">
        <f ca="1">IF(OR(I$33&lt;$B28,I$33&gt;$C28),0,OFFSET(Проект!I$1206,0,1-$B28))</f>
        <v>0</v>
      </c>
      <c r="J141" s="54">
        <f ca="1">IF(OR(J$33&lt;$B28,J$33&gt;$C28),0,OFFSET(Проект!J$1206,0,1-$B28))</f>
        <v>0</v>
      </c>
      <c r="K141" s="54">
        <f ca="1">IF(OR(K$33&lt;$B28,K$33&gt;$C28),0,OFFSET(Проект!K$1206,0,1-$B28))</f>
        <v>7.5706183000003486</v>
      </c>
      <c r="L141" s="54">
        <f ca="1">IF(OR(L$33&lt;$B28,L$33&gt;$C28),0,OFFSET(Проект!L$1206,0,1-$B28))</f>
        <v>29.553358318128979</v>
      </c>
      <c r="M141" s="54">
        <f ca="1">IF(OR(M$33&lt;$B28,M$33&gt;$C28),0,OFFSET(Проект!M$1206,0,1-$B28))</f>
        <v>47.471831422178568</v>
      </c>
      <c r="N141" s="54">
        <f ca="1">IF(OR(N$33&lt;$B28,N$33&gt;$C28),0,OFFSET(Проект!N$1206,0,1-$B28))</f>
        <v>67.776571342105868</v>
      </c>
      <c r="O141" s="54">
        <f ca="1">IF(OR(O$33&lt;$B28,O$33&gt;$C28),0,OFFSET(Проект!O$1206,0,1-$B28))</f>
        <v>81.819758886627284</v>
      </c>
      <c r="P141" s="54">
        <f ca="1">IF(OR(P$33&lt;$B28,P$33&gt;$C28),0,OFFSET(Проект!P$1206,0,1-$B28))</f>
        <v>81.819758886627284</v>
      </c>
      <c r="Q141" s="54">
        <f ca="1">IF(OR(Q$33&lt;$B28,Q$33&gt;$C28),0,OFFSET(Проект!Q$1206,0,1-$B28))</f>
        <v>81.819758886627284</v>
      </c>
      <c r="R141" s="54">
        <f ca="1">IF(OR(R$33&lt;$B28,R$33&gt;$C28),0,OFFSET(Проект!R$1206,0,1-$B28))</f>
        <v>81.819758886627284</v>
      </c>
      <c r="S141" s="54">
        <f ca="1">IF(OR(S$33&lt;$B28,S$33&gt;$C28),0,OFFSET(Проект!S$1206,0,1-$B28))</f>
        <v>81.819758886627284</v>
      </c>
      <c r="T141" s="54">
        <f ca="1">IF(OR(T$33&lt;$B28,T$33&gt;$C28),0,OFFSET(Проект!T$1206,0,1-$B28))</f>
        <v>81.819758886627284</v>
      </c>
      <c r="U141" s="54">
        <f ca="1">IF(OR(U$33&lt;$B28,U$33&gt;$C28),0,OFFSET(Проект!U$1206,0,1-$B28))</f>
        <v>81.819758886627284</v>
      </c>
      <c r="V141" s="54">
        <f ca="1">IF(OR(V$33&lt;$B28,V$33&gt;$C28),0,OFFSET(Проект!V$1206,0,1-$B28))</f>
        <v>81.819758886627284</v>
      </c>
      <c r="W141" s="54">
        <f ca="1">IF(OR(W$33&lt;$B28,W$33&gt;$C28),0,OFFSET(Проект!W$1206,0,1-$B28))</f>
        <v>81.819758886627284</v>
      </c>
      <c r="X141" s="54">
        <f ca="1">IF(OR(X$33&lt;$B28,X$33&gt;$C28),0,OFFSET(Проект!X$1206,0,1-$B28))</f>
        <v>81.819758886627284</v>
      </c>
      <c r="Y141" s="54">
        <f ca="1">IF(OR(Y$33&lt;$B28,Y$33&gt;$C28),0,OFFSET(Проект!AC$1206,0,1-$B28))</f>
        <v>81.819758886627284</v>
      </c>
      <c r="AA141" s="202">
        <f t="shared" ca="1" si="16"/>
        <v>1052.3897271353137</v>
      </c>
    </row>
    <row r="142" spans="1:27" outlineLevel="1" collapsed="1" x14ac:dyDescent="0.2">
      <c r="A142" t="str">
        <f ca="1">Language!A729</f>
        <v xml:space="preserve">    Амортизация</v>
      </c>
      <c r="C142" s="114" t="str">
        <f ca="1">CUR_Report</f>
        <v>тыс. EUR</v>
      </c>
      <c r="D142" s="204" t="s">
        <v>2615</v>
      </c>
      <c r="F142" s="43">
        <f ca="1">SUMPRODUCT($B12:OFFSET($B13,-1,0),F143:OFFSET(F144,-1,0))</f>
        <v>0</v>
      </c>
      <c r="G142" s="43">
        <f ca="1">SUMPRODUCT($B12:OFFSET($B13,-1,0),G143:OFFSET(G144,-1,0))</f>
        <v>0</v>
      </c>
      <c r="H142" s="43">
        <f ca="1">SUMPRODUCT($B12:OFFSET($B13,-1,0),H143:OFFSET(H144,-1,0))</f>
        <v>0</v>
      </c>
      <c r="I142" s="43">
        <f ca="1">SUMPRODUCT($B12:OFFSET($B13,-1,0),I143:OFFSET(I144,-1,0))</f>
        <v>0</v>
      </c>
      <c r="J142" s="43">
        <f ca="1">SUMPRODUCT($B12:OFFSET($B13,-1,0),J143:OFFSET(J144,-1,0))</f>
        <v>309.35251270876392</v>
      </c>
      <c r="K142" s="43">
        <f ca="1">SUMPRODUCT($B12:OFFSET($B13,-1,0),K143:OFFSET(K144,-1,0))</f>
        <v>309.35251270876392</v>
      </c>
      <c r="L142" s="43">
        <f ca="1">SUMPRODUCT($B12:OFFSET($B13,-1,0),L143:OFFSET(L144,-1,0))</f>
        <v>309.35251270876392</v>
      </c>
      <c r="M142" s="43">
        <f ca="1">SUMPRODUCT($B12:OFFSET($B13,-1,0),M143:OFFSET(M144,-1,0))</f>
        <v>309.35251270876392</v>
      </c>
      <c r="N142" s="43">
        <f ca="1">SUMPRODUCT($B12:OFFSET($B13,-1,0),N143:OFFSET(N144,-1,0))</f>
        <v>309.35251270876392</v>
      </c>
      <c r="O142" s="43">
        <f ca="1">SUMPRODUCT($B12:OFFSET($B13,-1,0),O143:OFFSET(O144,-1,0))</f>
        <v>309.35251270876392</v>
      </c>
      <c r="P142" s="43">
        <f ca="1">SUMPRODUCT($B12:OFFSET($B13,-1,0),P143:OFFSET(P144,-1,0))</f>
        <v>309.35251270876392</v>
      </c>
      <c r="Q142" s="43">
        <f ca="1">SUMPRODUCT($B12:OFFSET($B13,-1,0),Q143:OFFSET(Q144,-1,0))</f>
        <v>309.35251270876392</v>
      </c>
      <c r="R142" s="43">
        <f ca="1">SUMPRODUCT($B12:OFFSET($B13,-1,0),R143:OFFSET(R144,-1,0))</f>
        <v>309.35251270876392</v>
      </c>
      <c r="S142" s="43">
        <f ca="1">SUMPRODUCT($B12:OFFSET($B13,-1,0),S143:OFFSET(S144,-1,0))</f>
        <v>309.35251270876392</v>
      </c>
      <c r="T142" s="43">
        <f ca="1">SUMPRODUCT($B12:OFFSET($B13,-1,0),T143:OFFSET(T144,-1,0))</f>
        <v>309.35251270876392</v>
      </c>
      <c r="U142" s="43">
        <f ca="1">SUMPRODUCT($B12:OFFSET($B13,-1,0),U143:OFFSET(U144,-1,0))</f>
        <v>309.35251270876392</v>
      </c>
      <c r="V142" s="43">
        <f ca="1">SUMPRODUCT($B12:OFFSET($B13,-1,0),V143:OFFSET(V144,-1,0))</f>
        <v>309.35251270876392</v>
      </c>
      <c r="W142" s="43">
        <f ca="1">SUMPRODUCT($B12:OFFSET($B13,-1,0),W143:OFFSET(W144,-1,0))</f>
        <v>309.35251270876392</v>
      </c>
      <c r="X142" s="43">
        <f ca="1">SUMPRODUCT($B12:OFFSET($B13,-1,0),X143:OFFSET(X144,-1,0))</f>
        <v>309.35251270876392</v>
      </c>
      <c r="Y142" s="43">
        <f ca="1">SUMPRODUCT($B12:OFFSET($B13,-1,0),Y143:OFFSET(Y144,-1,0))</f>
        <v>309.35251270876392</v>
      </c>
      <c r="AA142" s="202">
        <f ca="1">SUM(F142:Y142)</f>
        <v>4949.6402033402246</v>
      </c>
    </row>
    <row r="143" spans="1:27" s="11" customFormat="1" hidden="1" outlineLevel="2" x14ac:dyDescent="0.2">
      <c r="A143" s="11" t="str">
        <f ca="1">"        " &amp; A12</f>
        <v xml:space="preserve">        Проект 1</v>
      </c>
      <c r="C143" s="198" t="str">
        <f ca="1">CUR_Report</f>
        <v>тыс. EUR</v>
      </c>
      <c r="D143" s="11" t="e">
        <f ca="1">"[" &amp; F12 &amp; "];int_sum"</f>
        <v>#NAME?</v>
      </c>
      <c r="F143" s="54">
        <f ca="1">IF(OR(F$33&lt;$B28,F$33&gt;$C28),0,OFFSET(Проект!F$1207,0,1-$B28))</f>
        <v>0</v>
      </c>
      <c r="G143" s="54">
        <f ca="1">IF(OR(G$33&lt;$B28,G$33&gt;$C28),0,OFFSET(Проект!G$1207,0,1-$B28))</f>
        <v>0</v>
      </c>
      <c r="H143" s="54">
        <f ca="1">IF(OR(H$33&lt;$B28,H$33&gt;$C28),0,OFFSET(Проект!H$1207,0,1-$B28))</f>
        <v>0</v>
      </c>
      <c r="I143" s="54">
        <f ca="1">IF(OR(I$33&lt;$B28,I$33&gt;$C28),0,OFFSET(Проект!I$1207,0,1-$B28))</f>
        <v>0</v>
      </c>
      <c r="J143" s="54">
        <f ca="1">IF(OR(J$33&lt;$B28,J$33&gt;$C28),0,OFFSET(Проект!J$1207,0,1-$B28))</f>
        <v>309.35251270876392</v>
      </c>
      <c r="K143" s="54">
        <f ca="1">IF(OR(K$33&lt;$B28,K$33&gt;$C28),0,OFFSET(Проект!K$1207,0,1-$B28))</f>
        <v>309.35251270876392</v>
      </c>
      <c r="L143" s="54">
        <f ca="1">IF(OR(L$33&lt;$B28,L$33&gt;$C28),0,OFFSET(Проект!L$1207,0,1-$B28))</f>
        <v>309.35251270876392</v>
      </c>
      <c r="M143" s="54">
        <f ca="1">IF(OR(M$33&lt;$B28,M$33&gt;$C28),0,OFFSET(Проект!M$1207,0,1-$B28))</f>
        <v>309.35251270876392</v>
      </c>
      <c r="N143" s="54">
        <f ca="1">IF(OR(N$33&lt;$B28,N$33&gt;$C28),0,OFFSET(Проект!N$1207,0,1-$B28))</f>
        <v>309.35251270876392</v>
      </c>
      <c r="O143" s="54">
        <f ca="1">IF(OR(O$33&lt;$B28,O$33&gt;$C28),0,OFFSET(Проект!O$1207,0,1-$B28))</f>
        <v>309.35251270876392</v>
      </c>
      <c r="P143" s="54">
        <f ca="1">IF(OR(P$33&lt;$B28,P$33&gt;$C28),0,OFFSET(Проект!P$1207,0,1-$B28))</f>
        <v>309.35251270876392</v>
      </c>
      <c r="Q143" s="54">
        <f ca="1">IF(OR(Q$33&lt;$B28,Q$33&gt;$C28),0,OFFSET(Проект!Q$1207,0,1-$B28))</f>
        <v>309.35251270876392</v>
      </c>
      <c r="R143" s="54">
        <f ca="1">IF(OR(R$33&lt;$B28,R$33&gt;$C28),0,OFFSET(Проект!R$1207,0,1-$B28))</f>
        <v>309.35251270876392</v>
      </c>
      <c r="S143" s="54">
        <f ca="1">IF(OR(S$33&lt;$B28,S$33&gt;$C28),0,OFFSET(Проект!S$1207,0,1-$B28))</f>
        <v>309.35251270876392</v>
      </c>
      <c r="T143" s="54">
        <f ca="1">IF(OR(T$33&lt;$B28,T$33&gt;$C28),0,OFFSET(Проект!T$1207,0,1-$B28))</f>
        <v>309.35251270876392</v>
      </c>
      <c r="U143" s="54">
        <f ca="1">IF(OR(U$33&lt;$B28,U$33&gt;$C28),0,OFFSET(Проект!U$1207,0,1-$B28))</f>
        <v>309.35251270876392</v>
      </c>
      <c r="V143" s="54">
        <f ca="1">IF(OR(V$33&lt;$B28,V$33&gt;$C28),0,OFFSET(Проект!V$1207,0,1-$B28))</f>
        <v>309.35251270876392</v>
      </c>
      <c r="W143" s="54">
        <f ca="1">IF(OR(W$33&lt;$B28,W$33&gt;$C28),0,OFFSET(Проект!W$1207,0,1-$B28))</f>
        <v>309.35251270876392</v>
      </c>
      <c r="X143" s="54">
        <f ca="1">IF(OR(X$33&lt;$B28,X$33&gt;$C28),0,OFFSET(Проект!X$1207,0,1-$B28))</f>
        <v>309.35251270876392</v>
      </c>
      <c r="Y143" s="54">
        <f ca="1">IF(OR(Y$33&lt;$B28,Y$33&gt;$C28),0,OFFSET(Проект!AC$1207,0,1-$B28))</f>
        <v>309.35251270876392</v>
      </c>
      <c r="AA143" s="202">
        <f ca="1">SUM(F143:Y143)</f>
        <v>4949.6402033402246</v>
      </c>
    </row>
    <row r="144" spans="1:27" outlineLevel="1" collapsed="1" x14ac:dyDescent="0.2">
      <c r="A144" s="178" t="str">
        <f ca="1">Language!A716</f>
        <v>Валовая прибыль</v>
      </c>
      <c r="C144" s="114" t="str">
        <f t="shared" ca="1" si="17"/>
        <v>тыс. EUR</v>
      </c>
      <c r="D144" s="204" t="s">
        <v>2615</v>
      </c>
      <c r="F144" s="206">
        <f ca="1">SUMPRODUCT($B12:OFFSET($B13,-1,0),F145:OFFSET(F146,-1,0))</f>
        <v>0</v>
      </c>
      <c r="G144" s="206">
        <f ca="1">SUMPRODUCT($B12:OFFSET($B13,-1,0),G145:OFFSET(G146,-1,0))</f>
        <v>0</v>
      </c>
      <c r="H144" s="206">
        <f ca="1">SUMPRODUCT($B12:OFFSET($B13,-1,0),H145:OFFSET(H146,-1,0))</f>
        <v>0</v>
      </c>
      <c r="I144" s="206">
        <f ca="1">SUMPRODUCT($B12:OFFSET($B13,-1,0),I145:OFFSET(I146,-1,0))</f>
        <v>0</v>
      </c>
      <c r="J144" s="206">
        <f ca="1">SUMPRODUCT($B12:OFFSET($B13,-1,0),J145:OFFSET(J146,-1,0))</f>
        <v>-309.35251270876392</v>
      </c>
      <c r="K144" s="206">
        <f ca="1">SUMPRODUCT($B12:OFFSET($B13,-1,0),K145:OFFSET(K146,-1,0))</f>
        <v>-397.79579806750633</v>
      </c>
      <c r="L144" s="206">
        <f ca="1">SUMPRODUCT($B12:OFFSET($B13,-1,0),L145:OFFSET(L146,-1,0))</f>
        <v>222.95257240369892</v>
      </c>
      <c r="M144" s="206">
        <f ca="1">SUMPRODUCT($B12:OFFSET($B13,-1,0),M145:OFFSET(M146,-1,0))</f>
        <v>735.61704866529817</v>
      </c>
      <c r="N144" s="206">
        <f ca="1">SUMPRODUCT($B12:OFFSET($B13,-1,0),N145:OFFSET(N146,-1,0))</f>
        <v>1313.5858568747362</v>
      </c>
      <c r="O144" s="206">
        <f ca="1">SUMPRODUCT($B12:OFFSET($B13,-1,0),O145:OFFSET(O146,-1,0))</f>
        <v>1698.2448023676397</v>
      </c>
      <c r="P144" s="206">
        <f ca="1">SUMPRODUCT($B12:OFFSET($B13,-1,0),P145:OFFSET(P146,-1,0))</f>
        <v>1698.2448023676397</v>
      </c>
      <c r="Q144" s="206">
        <f ca="1">SUMPRODUCT($B12:OFFSET($B13,-1,0),Q145:OFFSET(Q146,-1,0))</f>
        <v>1698.2448023676397</v>
      </c>
      <c r="R144" s="206">
        <f ca="1">SUMPRODUCT($B12:OFFSET($B13,-1,0),R145:OFFSET(R146,-1,0))</f>
        <v>1698.2448023676397</v>
      </c>
      <c r="S144" s="206">
        <f ca="1">SUMPRODUCT($B12:OFFSET($B13,-1,0),S145:OFFSET(S146,-1,0))</f>
        <v>1698.2448023676397</v>
      </c>
      <c r="T144" s="206">
        <f ca="1">SUMPRODUCT($B12:OFFSET($B13,-1,0),T145:OFFSET(T146,-1,0))</f>
        <v>1698.2448023676397</v>
      </c>
      <c r="U144" s="206">
        <f ca="1">SUMPRODUCT($B12:OFFSET($B13,-1,0),U145:OFFSET(U146,-1,0))</f>
        <v>1698.2448023676397</v>
      </c>
      <c r="V144" s="206">
        <f ca="1">SUMPRODUCT($B12:OFFSET($B13,-1,0),V145:OFFSET(V146,-1,0))</f>
        <v>1698.2448023676397</v>
      </c>
      <c r="W144" s="206">
        <f ca="1">SUMPRODUCT($B12:OFFSET($B13,-1,0),W145:OFFSET(W146,-1,0))</f>
        <v>1698.2448023676397</v>
      </c>
      <c r="X144" s="206">
        <f ca="1">SUMPRODUCT($B12:OFFSET($B13,-1,0),X145:OFFSET(X146,-1,0))</f>
        <v>1698.2448023676397</v>
      </c>
      <c r="Y144" s="206">
        <f ca="1">SUMPRODUCT($B12:OFFSET($B13,-1,0),Y145:OFFSET(Y146,-1,0))</f>
        <v>1698.2448023676397</v>
      </c>
      <c r="Z144" s="178"/>
      <c r="AA144" s="57">
        <f t="shared" ca="1" si="16"/>
        <v>20245.699993211507</v>
      </c>
    </row>
    <row r="145" spans="1:27" s="11" customFormat="1" hidden="1" outlineLevel="2" x14ac:dyDescent="0.2">
      <c r="A145" s="11" t="str">
        <f ca="1">"        " &amp; A12</f>
        <v xml:space="preserve">        Проект 1</v>
      </c>
      <c r="C145" s="198" t="str">
        <f t="shared" ca="1" si="17"/>
        <v>тыс. EUR</v>
      </c>
      <c r="D145" s="11" t="e">
        <f ca="1">"[" &amp; F12 &amp; "];int_sum"</f>
        <v>#NAME?</v>
      </c>
      <c r="F145" s="54">
        <f ca="1">IF(OR(F$33&lt;$B28,F$33&gt;$C28),0,OFFSET(Проект!F$1208,0,1-$B28))</f>
        <v>0</v>
      </c>
      <c r="G145" s="54">
        <f ca="1">IF(OR(G$33&lt;$B28,G$33&gt;$C28),0,OFFSET(Проект!G$1208,0,1-$B28))</f>
        <v>0</v>
      </c>
      <c r="H145" s="54">
        <f ca="1">IF(OR(H$33&lt;$B28,H$33&gt;$C28),0,OFFSET(Проект!H$1208,0,1-$B28))</f>
        <v>0</v>
      </c>
      <c r="I145" s="54">
        <f ca="1">IF(OR(I$33&lt;$B28,I$33&gt;$C28),0,OFFSET(Проект!I$1208,0,1-$B28))</f>
        <v>0</v>
      </c>
      <c r="J145" s="54">
        <f ca="1">IF(OR(J$33&lt;$B28,J$33&gt;$C28),0,OFFSET(Проект!J$1208,0,1-$B28))</f>
        <v>-309.35251270876392</v>
      </c>
      <c r="K145" s="54">
        <f ca="1">IF(OR(K$33&lt;$B28,K$33&gt;$C28),0,OFFSET(Проект!K$1208,0,1-$B28))</f>
        <v>-397.79579806750633</v>
      </c>
      <c r="L145" s="54">
        <f ca="1">IF(OR(L$33&lt;$B28,L$33&gt;$C28),0,OFFSET(Проект!L$1208,0,1-$B28))</f>
        <v>222.95257240369892</v>
      </c>
      <c r="M145" s="54">
        <f ca="1">IF(OR(M$33&lt;$B28,M$33&gt;$C28),0,OFFSET(Проект!M$1208,0,1-$B28))</f>
        <v>735.61704866529817</v>
      </c>
      <c r="N145" s="54">
        <f ca="1">IF(OR(N$33&lt;$B28,N$33&gt;$C28),0,OFFSET(Проект!N$1208,0,1-$B28))</f>
        <v>1313.5858568747362</v>
      </c>
      <c r="O145" s="54">
        <f ca="1">IF(OR(O$33&lt;$B28,O$33&gt;$C28),0,OFFSET(Проект!O$1208,0,1-$B28))</f>
        <v>1698.2448023676397</v>
      </c>
      <c r="P145" s="54">
        <f ca="1">IF(OR(P$33&lt;$B28,P$33&gt;$C28),0,OFFSET(Проект!P$1208,0,1-$B28))</f>
        <v>1698.2448023676397</v>
      </c>
      <c r="Q145" s="54">
        <f ca="1">IF(OR(Q$33&lt;$B28,Q$33&gt;$C28),0,OFFSET(Проект!Q$1208,0,1-$B28))</f>
        <v>1698.2448023676397</v>
      </c>
      <c r="R145" s="54">
        <f ca="1">IF(OR(R$33&lt;$B28,R$33&gt;$C28),0,OFFSET(Проект!R$1208,0,1-$B28))</f>
        <v>1698.2448023676397</v>
      </c>
      <c r="S145" s="54">
        <f ca="1">IF(OR(S$33&lt;$B28,S$33&gt;$C28),0,OFFSET(Проект!S$1208,0,1-$B28))</f>
        <v>1698.2448023676397</v>
      </c>
      <c r="T145" s="54">
        <f ca="1">IF(OR(T$33&lt;$B28,T$33&gt;$C28),0,OFFSET(Проект!T$1208,0,1-$B28))</f>
        <v>1698.2448023676397</v>
      </c>
      <c r="U145" s="54">
        <f ca="1">IF(OR(U$33&lt;$B28,U$33&gt;$C28),0,OFFSET(Проект!U$1208,0,1-$B28))</f>
        <v>1698.2448023676397</v>
      </c>
      <c r="V145" s="54">
        <f ca="1">IF(OR(V$33&lt;$B28,V$33&gt;$C28),0,OFFSET(Проект!V$1208,0,1-$B28))</f>
        <v>1698.2448023676397</v>
      </c>
      <c r="W145" s="54">
        <f ca="1">IF(OR(W$33&lt;$B28,W$33&gt;$C28),0,OFFSET(Проект!W$1208,0,1-$B28))</f>
        <v>1698.2448023676397</v>
      </c>
      <c r="X145" s="54">
        <f ca="1">IF(OR(X$33&lt;$B28,X$33&gt;$C28),0,OFFSET(Проект!X$1208,0,1-$B28))</f>
        <v>1698.2448023676397</v>
      </c>
      <c r="Y145" s="54">
        <f ca="1">IF(OR(Y$33&lt;$B28,Y$33&gt;$C28),0,OFFSET(Проект!AC$1208,0,1-$B28))</f>
        <v>1698.2448023676397</v>
      </c>
      <c r="AA145" s="202">
        <f t="shared" ca="1" si="16"/>
        <v>20245.699993211507</v>
      </c>
    </row>
    <row r="146" spans="1:27" outlineLevel="1" collapsed="1" x14ac:dyDescent="0.2">
      <c r="A146" t="str">
        <f ca="1">Language!A717</f>
        <v>Оплата административного и коммерческого персонала</v>
      </c>
      <c r="C146" s="114" t="str">
        <f t="shared" ca="1" si="17"/>
        <v>тыс. EUR</v>
      </c>
      <c r="D146" s="204" t="s">
        <v>2615</v>
      </c>
      <c r="F146" s="43">
        <f ca="1">SUMPRODUCT($B12:OFFSET($B13,-1,0),F147:OFFSET(F148,-1,0))</f>
        <v>0</v>
      </c>
      <c r="G146" s="43">
        <f ca="1">SUMPRODUCT($B12:OFFSET($B13,-1,0),G147:OFFSET(G148,-1,0))</f>
        <v>0</v>
      </c>
      <c r="H146" s="43">
        <f ca="1">SUMPRODUCT($B12:OFFSET($B13,-1,0),H147:OFFSET(H148,-1,0))</f>
        <v>0</v>
      </c>
      <c r="I146" s="43">
        <f ca="1">SUMPRODUCT($B12:OFFSET($B13,-1,0),I147:OFFSET(I148,-1,0))</f>
        <v>0</v>
      </c>
      <c r="J146" s="43">
        <f ca="1">SUMPRODUCT($B12:OFFSET($B13,-1,0),J147:OFFSET(J148,-1,0))</f>
        <v>0</v>
      </c>
      <c r="K146" s="43">
        <f ca="1">SUMPRODUCT($B12:OFFSET($B13,-1,0),K147:OFFSET(K148,-1,0))</f>
        <v>117.54943199999998</v>
      </c>
      <c r="L146" s="43">
        <f ca="1">SUMPRODUCT($B12:OFFSET($B13,-1,0),L147:OFFSET(L148,-1,0))</f>
        <v>117.54943199999998</v>
      </c>
      <c r="M146" s="43">
        <f ca="1">SUMPRODUCT($B12:OFFSET($B13,-1,0),M147:OFFSET(M148,-1,0))</f>
        <v>117.54943199999998</v>
      </c>
      <c r="N146" s="43">
        <f ca="1">SUMPRODUCT($B12:OFFSET($B13,-1,0),N147:OFFSET(N148,-1,0))</f>
        <v>117.54943199999998</v>
      </c>
      <c r="O146" s="43">
        <f ca="1">SUMPRODUCT($B12:OFFSET($B13,-1,0),O147:OFFSET(O148,-1,0))</f>
        <v>117.54943199999998</v>
      </c>
      <c r="P146" s="43">
        <f ca="1">SUMPRODUCT($B12:OFFSET($B13,-1,0),P147:OFFSET(P148,-1,0))</f>
        <v>117.54943199999998</v>
      </c>
      <c r="Q146" s="43">
        <f ca="1">SUMPRODUCT($B12:OFFSET($B13,-1,0),Q147:OFFSET(Q148,-1,0))</f>
        <v>117.54943199999998</v>
      </c>
      <c r="R146" s="43">
        <f ca="1">SUMPRODUCT($B12:OFFSET($B13,-1,0),R147:OFFSET(R148,-1,0))</f>
        <v>117.54943199999998</v>
      </c>
      <c r="S146" s="43">
        <f ca="1">SUMPRODUCT($B12:OFFSET($B13,-1,0),S147:OFFSET(S148,-1,0))</f>
        <v>117.54943199999998</v>
      </c>
      <c r="T146" s="43">
        <f ca="1">SUMPRODUCT($B12:OFFSET($B13,-1,0),T147:OFFSET(T148,-1,0))</f>
        <v>117.54943199999998</v>
      </c>
      <c r="U146" s="43">
        <f ca="1">SUMPRODUCT($B12:OFFSET($B13,-1,0),U147:OFFSET(U148,-1,0))</f>
        <v>117.54943199999998</v>
      </c>
      <c r="V146" s="43">
        <f ca="1">SUMPRODUCT($B12:OFFSET($B13,-1,0),V147:OFFSET(V148,-1,0))</f>
        <v>117.54943199999998</v>
      </c>
      <c r="W146" s="43">
        <f ca="1">SUMPRODUCT($B12:OFFSET($B13,-1,0),W147:OFFSET(W148,-1,0))</f>
        <v>117.54943199999998</v>
      </c>
      <c r="X146" s="43">
        <f ca="1">SUMPRODUCT($B12:OFFSET($B13,-1,0),X147:OFFSET(X148,-1,0))</f>
        <v>117.54943199999998</v>
      </c>
      <c r="Y146" s="43">
        <f ca="1">SUMPRODUCT($B12:OFFSET($B13,-1,0),Y147:OFFSET(Y148,-1,0))</f>
        <v>117.54943199999998</v>
      </c>
      <c r="AA146" s="202">
        <f t="shared" ca="1" si="16"/>
        <v>1763.2414800000001</v>
      </c>
    </row>
    <row r="147" spans="1:27" s="11" customFormat="1" hidden="1" outlineLevel="2" x14ac:dyDescent="0.2">
      <c r="A147" s="11" t="str">
        <f ca="1">"        " &amp; A12</f>
        <v xml:space="preserve">        Проект 1</v>
      </c>
      <c r="C147" s="198" t="str">
        <f t="shared" ca="1" si="17"/>
        <v>тыс. EUR</v>
      </c>
      <c r="D147" s="11" t="e">
        <f ca="1">"[" &amp; F12 &amp; "];int_sum"</f>
        <v>#NAME?</v>
      </c>
      <c r="F147" s="54">
        <f ca="1">IF(OR(F$33&lt;$B28,F$33&gt;$C28),0,OFFSET(Проект!F$1209,0,1-$B28))</f>
        <v>0</v>
      </c>
      <c r="G147" s="54">
        <f ca="1">IF(OR(G$33&lt;$B28,G$33&gt;$C28),0,OFFSET(Проект!G$1209,0,1-$B28))</f>
        <v>0</v>
      </c>
      <c r="H147" s="54">
        <f ca="1">IF(OR(H$33&lt;$B28,H$33&gt;$C28),0,OFFSET(Проект!H$1209,0,1-$B28))</f>
        <v>0</v>
      </c>
      <c r="I147" s="54">
        <f ca="1">IF(OR(I$33&lt;$B28,I$33&gt;$C28),0,OFFSET(Проект!I$1209,0,1-$B28))</f>
        <v>0</v>
      </c>
      <c r="J147" s="54">
        <f ca="1">IF(OR(J$33&lt;$B28,J$33&gt;$C28),0,OFFSET(Проект!J$1209,0,1-$B28))</f>
        <v>0</v>
      </c>
      <c r="K147" s="54">
        <f ca="1">IF(OR(K$33&lt;$B28,K$33&gt;$C28),0,OFFSET(Проект!K$1209,0,1-$B28))</f>
        <v>117.54943199999998</v>
      </c>
      <c r="L147" s="54">
        <f ca="1">IF(OR(L$33&lt;$B28,L$33&gt;$C28),0,OFFSET(Проект!L$1209,0,1-$B28))</f>
        <v>117.54943199999998</v>
      </c>
      <c r="M147" s="54">
        <f ca="1">IF(OR(M$33&lt;$B28,M$33&gt;$C28),0,OFFSET(Проект!M$1209,0,1-$B28))</f>
        <v>117.54943199999998</v>
      </c>
      <c r="N147" s="54">
        <f ca="1">IF(OR(N$33&lt;$B28,N$33&gt;$C28),0,OFFSET(Проект!N$1209,0,1-$B28))</f>
        <v>117.54943199999998</v>
      </c>
      <c r="O147" s="54">
        <f ca="1">IF(OR(O$33&lt;$B28,O$33&gt;$C28),0,OFFSET(Проект!O$1209,0,1-$B28))</f>
        <v>117.54943199999998</v>
      </c>
      <c r="P147" s="54">
        <f ca="1">IF(OR(P$33&lt;$B28,P$33&gt;$C28),0,OFFSET(Проект!P$1209,0,1-$B28))</f>
        <v>117.54943199999998</v>
      </c>
      <c r="Q147" s="54">
        <f ca="1">IF(OR(Q$33&lt;$B28,Q$33&gt;$C28),0,OFFSET(Проект!Q$1209,0,1-$B28))</f>
        <v>117.54943199999998</v>
      </c>
      <c r="R147" s="54">
        <f ca="1">IF(OR(R$33&lt;$B28,R$33&gt;$C28),0,OFFSET(Проект!R$1209,0,1-$B28))</f>
        <v>117.54943199999998</v>
      </c>
      <c r="S147" s="54">
        <f ca="1">IF(OR(S$33&lt;$B28,S$33&gt;$C28),0,OFFSET(Проект!S$1209,0,1-$B28))</f>
        <v>117.54943199999998</v>
      </c>
      <c r="T147" s="54">
        <f ca="1">IF(OR(T$33&lt;$B28,T$33&gt;$C28),0,OFFSET(Проект!T$1209,0,1-$B28))</f>
        <v>117.54943199999998</v>
      </c>
      <c r="U147" s="54">
        <f ca="1">IF(OR(U$33&lt;$B28,U$33&gt;$C28),0,OFFSET(Проект!U$1209,0,1-$B28))</f>
        <v>117.54943199999998</v>
      </c>
      <c r="V147" s="54">
        <f ca="1">IF(OR(V$33&lt;$B28,V$33&gt;$C28),0,OFFSET(Проект!V$1209,0,1-$B28))</f>
        <v>117.54943199999998</v>
      </c>
      <c r="W147" s="54">
        <f ca="1">IF(OR(W$33&lt;$B28,W$33&gt;$C28),0,OFFSET(Проект!W$1209,0,1-$B28))</f>
        <v>117.54943199999998</v>
      </c>
      <c r="X147" s="54">
        <f ca="1">IF(OR(X$33&lt;$B28,X$33&gt;$C28),0,OFFSET(Проект!X$1209,0,1-$B28))</f>
        <v>117.54943199999998</v>
      </c>
      <c r="Y147" s="54">
        <f ca="1">IF(OR(Y$33&lt;$B28,Y$33&gt;$C28),0,OFFSET(Проект!AC$1209,0,1-$B28))</f>
        <v>117.54943199999998</v>
      </c>
      <c r="AA147" s="202">
        <f t="shared" ca="1" si="16"/>
        <v>1763.2414800000001</v>
      </c>
    </row>
    <row r="148" spans="1:27" outlineLevel="1" collapsed="1" x14ac:dyDescent="0.2">
      <c r="A148" t="str">
        <f ca="1">Language!A718</f>
        <v>Административные расходы</v>
      </c>
      <c r="C148" s="114" t="str">
        <f t="shared" ca="1" si="17"/>
        <v>тыс. EUR</v>
      </c>
      <c r="D148" s="204" t="s">
        <v>2615</v>
      </c>
      <c r="F148" s="43">
        <f ca="1">SUMPRODUCT($B12:OFFSET($B13,-1,0),F149:OFFSET(F150,-1,0))</f>
        <v>0</v>
      </c>
      <c r="G148" s="43">
        <f ca="1">SUMPRODUCT($B12:OFFSET($B13,-1,0),G149:OFFSET(G150,-1,0))</f>
        <v>0</v>
      </c>
      <c r="H148" s="43">
        <f ca="1">SUMPRODUCT($B12:OFFSET($B13,-1,0),H149:OFFSET(H150,-1,0))</f>
        <v>0</v>
      </c>
      <c r="I148" s="43">
        <f ca="1">SUMPRODUCT($B12:OFFSET($B13,-1,0),I149:OFFSET(I150,-1,0))</f>
        <v>0</v>
      </c>
      <c r="J148" s="43">
        <f ca="1">SUMPRODUCT($B12:OFFSET($B13,-1,0),J149:OFFSET(J150,-1,0))</f>
        <v>0</v>
      </c>
      <c r="K148" s="43">
        <f ca="1">SUMPRODUCT($B12:OFFSET($B13,-1,0),K149:OFFSET(K150,-1,0))</f>
        <v>2.3658182187501087</v>
      </c>
      <c r="L148" s="43">
        <f ca="1">SUMPRODUCT($B12:OFFSET($B13,-1,0),L149:OFFSET(L150,-1,0))</f>
        <v>9.2354244744153071</v>
      </c>
      <c r="M148" s="43">
        <f ca="1">SUMPRODUCT($B12:OFFSET($B13,-1,0),M149:OFFSET(M150,-1,0))</f>
        <v>14.834947319430801</v>
      </c>
      <c r="N148" s="43">
        <f ca="1">SUMPRODUCT($B12:OFFSET($B13,-1,0),N149:OFFSET(N150,-1,0))</f>
        <v>21.180178544408086</v>
      </c>
      <c r="O148" s="43">
        <f ca="1">SUMPRODUCT($B12:OFFSET($B13,-1,0),O149:OFFSET(O150,-1,0))</f>
        <v>25.568674652071024</v>
      </c>
      <c r="P148" s="43">
        <f ca="1">SUMPRODUCT($B12:OFFSET($B13,-1,0),P149:OFFSET(P150,-1,0))</f>
        <v>25.568674652071024</v>
      </c>
      <c r="Q148" s="43">
        <f ca="1">SUMPRODUCT($B12:OFFSET($B13,-1,0),Q149:OFFSET(Q150,-1,0))</f>
        <v>25.568674652071024</v>
      </c>
      <c r="R148" s="43">
        <f ca="1">SUMPRODUCT($B12:OFFSET($B13,-1,0),R149:OFFSET(R150,-1,0))</f>
        <v>25.568674652071024</v>
      </c>
      <c r="S148" s="43">
        <f ca="1">SUMPRODUCT($B12:OFFSET($B13,-1,0),S149:OFFSET(S150,-1,0))</f>
        <v>25.568674652071024</v>
      </c>
      <c r="T148" s="43">
        <f ca="1">SUMPRODUCT($B12:OFFSET($B13,-1,0),T149:OFFSET(T150,-1,0))</f>
        <v>25.568674652071024</v>
      </c>
      <c r="U148" s="43">
        <f ca="1">SUMPRODUCT($B12:OFFSET($B13,-1,0),U149:OFFSET(U150,-1,0))</f>
        <v>25.568674652071024</v>
      </c>
      <c r="V148" s="43">
        <f ca="1">SUMPRODUCT($B12:OFFSET($B13,-1,0),V149:OFFSET(V150,-1,0))</f>
        <v>25.568674652071024</v>
      </c>
      <c r="W148" s="43">
        <f ca="1">SUMPRODUCT($B12:OFFSET($B13,-1,0),W149:OFFSET(W150,-1,0))</f>
        <v>25.568674652071024</v>
      </c>
      <c r="X148" s="43">
        <f ca="1">SUMPRODUCT($B12:OFFSET($B13,-1,0),X149:OFFSET(X150,-1,0))</f>
        <v>25.568674652071024</v>
      </c>
      <c r="Y148" s="43">
        <f ca="1">SUMPRODUCT($B12:OFFSET($B13,-1,0),Y149:OFFSET(Y150,-1,0))</f>
        <v>25.568674652071024</v>
      </c>
      <c r="AA148" s="202">
        <f t="shared" ca="1" si="16"/>
        <v>328.87178972978558</v>
      </c>
    </row>
    <row r="149" spans="1:27" s="11" customFormat="1" hidden="1" outlineLevel="2" x14ac:dyDescent="0.2">
      <c r="A149" s="11" t="str">
        <f ca="1">"        " &amp; A12</f>
        <v xml:space="preserve">        Проект 1</v>
      </c>
      <c r="C149" s="198" t="str">
        <f t="shared" ca="1" si="17"/>
        <v>тыс. EUR</v>
      </c>
      <c r="D149" s="11" t="e">
        <f ca="1">"[" &amp; F12 &amp; "];int_sum"</f>
        <v>#NAME?</v>
      </c>
      <c r="F149" s="54">
        <f ca="1">IF(OR(F$33&lt;$B28,F$33&gt;$C28),0,OFFSET(Проект!F$1210,0,1-$B28))</f>
        <v>0</v>
      </c>
      <c r="G149" s="54">
        <f ca="1">IF(OR(G$33&lt;$B28,G$33&gt;$C28),0,OFFSET(Проект!G$1210,0,1-$B28))</f>
        <v>0</v>
      </c>
      <c r="H149" s="54">
        <f ca="1">IF(OR(H$33&lt;$B28,H$33&gt;$C28),0,OFFSET(Проект!H$1210,0,1-$B28))</f>
        <v>0</v>
      </c>
      <c r="I149" s="54">
        <f ca="1">IF(OR(I$33&lt;$B28,I$33&gt;$C28),0,OFFSET(Проект!I$1210,0,1-$B28))</f>
        <v>0</v>
      </c>
      <c r="J149" s="54">
        <f ca="1">IF(OR(J$33&lt;$B28,J$33&gt;$C28),0,OFFSET(Проект!J$1210,0,1-$B28))</f>
        <v>0</v>
      </c>
      <c r="K149" s="54">
        <f ca="1">IF(OR(K$33&lt;$B28,K$33&gt;$C28),0,OFFSET(Проект!K$1210,0,1-$B28))</f>
        <v>2.3658182187501087</v>
      </c>
      <c r="L149" s="54">
        <f ca="1">IF(OR(L$33&lt;$B28,L$33&gt;$C28),0,OFFSET(Проект!L$1210,0,1-$B28))</f>
        <v>9.2354244744153071</v>
      </c>
      <c r="M149" s="54">
        <f ca="1">IF(OR(M$33&lt;$B28,M$33&gt;$C28),0,OFFSET(Проект!M$1210,0,1-$B28))</f>
        <v>14.834947319430801</v>
      </c>
      <c r="N149" s="54">
        <f ca="1">IF(OR(N$33&lt;$B28,N$33&gt;$C28),0,OFFSET(Проект!N$1210,0,1-$B28))</f>
        <v>21.180178544408086</v>
      </c>
      <c r="O149" s="54">
        <f ca="1">IF(OR(O$33&lt;$B28,O$33&gt;$C28),0,OFFSET(Проект!O$1210,0,1-$B28))</f>
        <v>25.568674652071024</v>
      </c>
      <c r="P149" s="54">
        <f ca="1">IF(OR(P$33&lt;$B28,P$33&gt;$C28),0,OFFSET(Проект!P$1210,0,1-$B28))</f>
        <v>25.568674652071024</v>
      </c>
      <c r="Q149" s="54">
        <f ca="1">IF(OR(Q$33&lt;$B28,Q$33&gt;$C28),0,OFFSET(Проект!Q$1210,0,1-$B28))</f>
        <v>25.568674652071024</v>
      </c>
      <c r="R149" s="54">
        <f ca="1">IF(OR(R$33&lt;$B28,R$33&gt;$C28),0,OFFSET(Проект!R$1210,0,1-$B28))</f>
        <v>25.568674652071024</v>
      </c>
      <c r="S149" s="54">
        <f ca="1">IF(OR(S$33&lt;$B28,S$33&gt;$C28),0,OFFSET(Проект!S$1210,0,1-$B28))</f>
        <v>25.568674652071024</v>
      </c>
      <c r="T149" s="54">
        <f ca="1">IF(OR(T$33&lt;$B28,T$33&gt;$C28),0,OFFSET(Проект!T$1210,0,1-$B28))</f>
        <v>25.568674652071024</v>
      </c>
      <c r="U149" s="54">
        <f ca="1">IF(OR(U$33&lt;$B28,U$33&gt;$C28),0,OFFSET(Проект!U$1210,0,1-$B28))</f>
        <v>25.568674652071024</v>
      </c>
      <c r="V149" s="54">
        <f ca="1">IF(OR(V$33&lt;$B28,V$33&gt;$C28),0,OFFSET(Проект!V$1210,0,1-$B28))</f>
        <v>25.568674652071024</v>
      </c>
      <c r="W149" s="54">
        <f ca="1">IF(OR(W$33&lt;$B28,W$33&gt;$C28),0,OFFSET(Проект!W$1210,0,1-$B28))</f>
        <v>25.568674652071024</v>
      </c>
      <c r="X149" s="54">
        <f ca="1">IF(OR(X$33&lt;$B28,X$33&gt;$C28),0,OFFSET(Проект!X$1210,0,1-$B28))</f>
        <v>25.568674652071024</v>
      </c>
      <c r="Y149" s="54">
        <f ca="1">IF(OR(Y$33&lt;$B28,Y$33&gt;$C28),0,OFFSET(Проект!AC$1210,0,1-$B28))</f>
        <v>25.568674652071024</v>
      </c>
      <c r="AA149" s="202">
        <f t="shared" ca="1" si="16"/>
        <v>328.87178972978558</v>
      </c>
    </row>
    <row r="150" spans="1:27" outlineLevel="1" collapsed="1" x14ac:dyDescent="0.2">
      <c r="A150" t="str">
        <f ca="1">Language!A719</f>
        <v>Коммерческие расходы</v>
      </c>
      <c r="C150" s="114" t="str">
        <f t="shared" ca="1" si="17"/>
        <v>тыс. EUR</v>
      </c>
      <c r="D150" s="204" t="s">
        <v>2615</v>
      </c>
      <c r="F150" s="43">
        <f ca="1">SUMPRODUCT($B12:OFFSET($B13,-1,0),F151:OFFSET(F152,-1,0))</f>
        <v>0</v>
      </c>
      <c r="G150" s="43">
        <f ca="1">SUMPRODUCT($B12:OFFSET($B13,-1,0),G151:OFFSET(G152,-1,0))</f>
        <v>0</v>
      </c>
      <c r="H150" s="43">
        <f ca="1">SUMPRODUCT($B12:OFFSET($B13,-1,0),H151:OFFSET(H152,-1,0))</f>
        <v>0</v>
      </c>
      <c r="I150" s="43">
        <f ca="1">SUMPRODUCT($B12:OFFSET($B13,-1,0),I151:OFFSET(I152,-1,0))</f>
        <v>0</v>
      </c>
      <c r="J150" s="43">
        <f ca="1">SUMPRODUCT($B12:OFFSET($B13,-1,0),J151:OFFSET(J152,-1,0))</f>
        <v>0</v>
      </c>
      <c r="K150" s="43">
        <f ca="1">SUMPRODUCT($B12:OFFSET($B13,-1,0),K151:OFFSET(K152,-1,0))</f>
        <v>11.829091093750543</v>
      </c>
      <c r="L150" s="43">
        <f ca="1">SUMPRODUCT($B12:OFFSET($B13,-1,0),L151:OFFSET(L152,-1,0))</f>
        <v>46.177122372076532</v>
      </c>
      <c r="M150" s="43">
        <f ca="1">SUMPRODUCT($B12:OFFSET($B13,-1,0),M151:OFFSET(M152,-1,0))</f>
        <v>74.174736597154009</v>
      </c>
      <c r="N150" s="43">
        <f ca="1">SUMPRODUCT($B12:OFFSET($B13,-1,0),N151:OFFSET(N152,-1,0))</f>
        <v>105.90089272204042</v>
      </c>
      <c r="O150" s="43">
        <f ca="1">SUMPRODUCT($B12:OFFSET($B13,-1,0),O151:OFFSET(O152,-1,0))</f>
        <v>127.84337326035515</v>
      </c>
      <c r="P150" s="43">
        <f ca="1">SUMPRODUCT($B12:OFFSET($B13,-1,0),P151:OFFSET(P152,-1,0))</f>
        <v>127.84337326035515</v>
      </c>
      <c r="Q150" s="43">
        <f ca="1">SUMPRODUCT($B12:OFFSET($B13,-1,0),Q151:OFFSET(Q152,-1,0))</f>
        <v>127.84337326035515</v>
      </c>
      <c r="R150" s="43">
        <f ca="1">SUMPRODUCT($B12:OFFSET($B13,-1,0),R151:OFFSET(R152,-1,0))</f>
        <v>127.84337326035515</v>
      </c>
      <c r="S150" s="43">
        <f ca="1">SUMPRODUCT($B12:OFFSET($B13,-1,0),S151:OFFSET(S152,-1,0))</f>
        <v>127.84337326035515</v>
      </c>
      <c r="T150" s="43">
        <f ca="1">SUMPRODUCT($B12:OFFSET($B13,-1,0),T151:OFFSET(T152,-1,0))</f>
        <v>127.84337326035515</v>
      </c>
      <c r="U150" s="43">
        <f ca="1">SUMPRODUCT($B12:OFFSET($B13,-1,0),U151:OFFSET(U152,-1,0))</f>
        <v>127.84337326035515</v>
      </c>
      <c r="V150" s="43">
        <f ca="1">SUMPRODUCT($B12:OFFSET($B13,-1,0),V151:OFFSET(V152,-1,0))</f>
        <v>127.84337326035515</v>
      </c>
      <c r="W150" s="43">
        <f ca="1">SUMPRODUCT($B12:OFFSET($B13,-1,0),W151:OFFSET(W152,-1,0))</f>
        <v>127.84337326035515</v>
      </c>
      <c r="X150" s="43">
        <f ca="1">SUMPRODUCT($B12:OFFSET($B13,-1,0),X151:OFFSET(X152,-1,0))</f>
        <v>127.84337326035515</v>
      </c>
      <c r="Y150" s="43">
        <f ca="1">SUMPRODUCT($B12:OFFSET($B13,-1,0),Y151:OFFSET(Y152,-1,0))</f>
        <v>127.84337326035515</v>
      </c>
      <c r="AA150" s="202">
        <f t="shared" ca="1" si="16"/>
        <v>1644.3589486489279</v>
      </c>
    </row>
    <row r="151" spans="1:27" s="11" customFormat="1" hidden="1" outlineLevel="2" x14ac:dyDescent="0.2">
      <c r="A151" s="11" t="str">
        <f ca="1">"        " &amp; A12</f>
        <v xml:space="preserve">        Проект 1</v>
      </c>
      <c r="C151" s="198" t="str">
        <f t="shared" ca="1" si="17"/>
        <v>тыс. EUR</v>
      </c>
      <c r="D151" s="11" t="e">
        <f ca="1">"[" &amp; F12 &amp; "];int_sum"</f>
        <v>#NAME?</v>
      </c>
      <c r="F151" s="54">
        <f ca="1">IF(OR(F$33&lt;$B28,F$33&gt;$C28),0,OFFSET(Проект!F$1211,0,1-$B28))</f>
        <v>0</v>
      </c>
      <c r="G151" s="54">
        <f ca="1">IF(OR(G$33&lt;$B28,G$33&gt;$C28),0,OFFSET(Проект!G$1211,0,1-$B28))</f>
        <v>0</v>
      </c>
      <c r="H151" s="54">
        <f ca="1">IF(OR(H$33&lt;$B28,H$33&gt;$C28),0,OFFSET(Проект!H$1211,0,1-$B28))</f>
        <v>0</v>
      </c>
      <c r="I151" s="54">
        <f ca="1">IF(OR(I$33&lt;$B28,I$33&gt;$C28),0,OFFSET(Проект!I$1211,0,1-$B28))</f>
        <v>0</v>
      </c>
      <c r="J151" s="54">
        <f ca="1">IF(OR(J$33&lt;$B28,J$33&gt;$C28),0,OFFSET(Проект!J$1211,0,1-$B28))</f>
        <v>0</v>
      </c>
      <c r="K151" s="54">
        <f ca="1">IF(OR(K$33&lt;$B28,K$33&gt;$C28),0,OFFSET(Проект!K$1211,0,1-$B28))</f>
        <v>11.829091093750543</v>
      </c>
      <c r="L151" s="54">
        <f ca="1">IF(OR(L$33&lt;$B28,L$33&gt;$C28),0,OFFSET(Проект!L$1211,0,1-$B28))</f>
        <v>46.177122372076532</v>
      </c>
      <c r="M151" s="54">
        <f ca="1">IF(OR(M$33&lt;$B28,M$33&gt;$C28),0,OFFSET(Проект!M$1211,0,1-$B28))</f>
        <v>74.174736597154009</v>
      </c>
      <c r="N151" s="54">
        <f ca="1">IF(OR(N$33&lt;$B28,N$33&gt;$C28),0,OFFSET(Проект!N$1211,0,1-$B28))</f>
        <v>105.90089272204042</v>
      </c>
      <c r="O151" s="54">
        <f ca="1">IF(OR(O$33&lt;$B28,O$33&gt;$C28),0,OFFSET(Проект!O$1211,0,1-$B28))</f>
        <v>127.84337326035515</v>
      </c>
      <c r="P151" s="54">
        <f ca="1">IF(OR(P$33&lt;$B28,P$33&gt;$C28),0,OFFSET(Проект!P$1211,0,1-$B28))</f>
        <v>127.84337326035515</v>
      </c>
      <c r="Q151" s="54">
        <f ca="1">IF(OR(Q$33&lt;$B28,Q$33&gt;$C28),0,OFFSET(Проект!Q$1211,0,1-$B28))</f>
        <v>127.84337326035515</v>
      </c>
      <c r="R151" s="54">
        <f ca="1">IF(OR(R$33&lt;$B28,R$33&gt;$C28),0,OFFSET(Проект!R$1211,0,1-$B28))</f>
        <v>127.84337326035515</v>
      </c>
      <c r="S151" s="54">
        <f ca="1">IF(OR(S$33&lt;$B28,S$33&gt;$C28),0,OFFSET(Проект!S$1211,0,1-$B28))</f>
        <v>127.84337326035515</v>
      </c>
      <c r="T151" s="54">
        <f ca="1">IF(OR(T$33&lt;$B28,T$33&gt;$C28),0,OFFSET(Проект!T$1211,0,1-$B28))</f>
        <v>127.84337326035515</v>
      </c>
      <c r="U151" s="54">
        <f ca="1">IF(OR(U$33&lt;$B28,U$33&gt;$C28),0,OFFSET(Проект!U$1211,0,1-$B28))</f>
        <v>127.84337326035515</v>
      </c>
      <c r="V151" s="54">
        <f ca="1">IF(OR(V$33&lt;$B28,V$33&gt;$C28),0,OFFSET(Проект!V$1211,0,1-$B28))</f>
        <v>127.84337326035515</v>
      </c>
      <c r="W151" s="54">
        <f ca="1">IF(OR(W$33&lt;$B28,W$33&gt;$C28),0,OFFSET(Проект!W$1211,0,1-$B28))</f>
        <v>127.84337326035515</v>
      </c>
      <c r="X151" s="54">
        <f ca="1">IF(OR(X$33&lt;$B28,X$33&gt;$C28),0,OFFSET(Проект!X$1211,0,1-$B28))</f>
        <v>127.84337326035515</v>
      </c>
      <c r="Y151" s="54">
        <f ca="1">IF(OR(Y$33&lt;$B28,Y$33&gt;$C28),0,OFFSET(Проект!AC$1211,0,1-$B28))</f>
        <v>127.84337326035515</v>
      </c>
      <c r="AA151" s="202">
        <f t="shared" ca="1" si="16"/>
        <v>1644.3589486489279</v>
      </c>
    </row>
    <row r="152" spans="1:27" outlineLevel="1" collapsed="1" x14ac:dyDescent="0.2">
      <c r="A152" t="str">
        <f ca="1">Language!A720</f>
        <v>Налоги, кроме налога на прибыль</v>
      </c>
      <c r="C152" s="114" t="str">
        <f t="shared" ca="1" si="17"/>
        <v>тыс. EUR</v>
      </c>
      <c r="D152" s="204" t="s">
        <v>2615</v>
      </c>
      <c r="F152" s="43">
        <f ca="1">SUMPRODUCT($B12:OFFSET($B13,-1,0),F153:OFFSET(F154,-1,0))</f>
        <v>0</v>
      </c>
      <c r="G152" s="43">
        <f ca="1">SUMPRODUCT($B12:OFFSET($B13,-1,0),G153:OFFSET(G154,-1,0))</f>
        <v>0</v>
      </c>
      <c r="H152" s="43">
        <f ca="1">SUMPRODUCT($B12:OFFSET($B13,-1,0),H153:OFFSET(H154,-1,0))</f>
        <v>0</v>
      </c>
      <c r="I152" s="43">
        <f ca="1">SUMPRODUCT($B12:OFFSET($B13,-1,0),I153:OFFSET(I154,-1,0))</f>
        <v>0</v>
      </c>
      <c r="J152" s="43">
        <f ca="1">SUMPRODUCT($B12:OFFSET($B13,-1,0),J153:OFFSET(J154,-1,0))</f>
        <v>0</v>
      </c>
      <c r="K152" s="43">
        <f ca="1">SUMPRODUCT($B12:OFFSET($B13,-1,0),K153:OFFSET(K154,-1,0))</f>
        <v>13.18186976744186</v>
      </c>
      <c r="L152" s="43">
        <f ca="1">SUMPRODUCT($B12:OFFSET($B13,-1,0),L153:OFFSET(L154,-1,0))</f>
        <v>13.18186976744186</v>
      </c>
      <c r="M152" s="43">
        <f ca="1">SUMPRODUCT($B12:OFFSET($B13,-1,0),M153:OFFSET(M154,-1,0))</f>
        <v>13.18186976744186</v>
      </c>
      <c r="N152" s="43">
        <f ca="1">SUMPRODUCT($B12:OFFSET($B13,-1,0),N153:OFFSET(N154,-1,0))</f>
        <v>13.18186976744186</v>
      </c>
      <c r="O152" s="43">
        <f ca="1">SUMPRODUCT($B12:OFFSET($B13,-1,0),O153:OFFSET(O154,-1,0))</f>
        <v>13.18186976744186</v>
      </c>
      <c r="P152" s="43">
        <f ca="1">SUMPRODUCT($B12:OFFSET($B13,-1,0),P153:OFFSET(P154,-1,0))</f>
        <v>13.18186976744186</v>
      </c>
      <c r="Q152" s="43">
        <f ca="1">SUMPRODUCT($B12:OFFSET($B13,-1,0),Q153:OFFSET(Q154,-1,0))</f>
        <v>13.18186976744186</v>
      </c>
      <c r="R152" s="43">
        <f ca="1">SUMPRODUCT($B12:OFFSET($B13,-1,0),R153:OFFSET(R154,-1,0))</f>
        <v>13.18186976744186</v>
      </c>
      <c r="S152" s="43">
        <f ca="1">SUMPRODUCT($B12:OFFSET($B13,-1,0),S153:OFFSET(S154,-1,0))</f>
        <v>13.18186976744186</v>
      </c>
      <c r="T152" s="43">
        <f ca="1">SUMPRODUCT($B12:OFFSET($B13,-1,0),T153:OFFSET(T154,-1,0))</f>
        <v>13.18186976744186</v>
      </c>
      <c r="U152" s="43">
        <f ca="1">SUMPRODUCT($B12:OFFSET($B13,-1,0),U153:OFFSET(U154,-1,0))</f>
        <v>13.18186976744186</v>
      </c>
      <c r="V152" s="43">
        <f ca="1">SUMPRODUCT($B12:OFFSET($B13,-1,0),V153:OFFSET(V154,-1,0))</f>
        <v>13.18186976744186</v>
      </c>
      <c r="W152" s="43">
        <f ca="1">SUMPRODUCT($B12:OFFSET($B13,-1,0),W153:OFFSET(W154,-1,0))</f>
        <v>13.18186976744186</v>
      </c>
      <c r="X152" s="43">
        <f ca="1">SUMPRODUCT($B12:OFFSET($B13,-1,0),X153:OFFSET(X154,-1,0))</f>
        <v>13.18186976744186</v>
      </c>
      <c r="Y152" s="43">
        <f ca="1">SUMPRODUCT($B12:OFFSET($B13,-1,0),Y153:OFFSET(Y154,-1,0))</f>
        <v>13.18186976744186</v>
      </c>
      <c r="AA152" s="202">
        <f t="shared" ca="1" si="16"/>
        <v>197.72804651162798</v>
      </c>
    </row>
    <row r="153" spans="1:27" s="11" customFormat="1" hidden="1" outlineLevel="2" x14ac:dyDescent="0.2">
      <c r="A153" s="11" t="str">
        <f ca="1">"        " &amp; A12</f>
        <v xml:space="preserve">        Проект 1</v>
      </c>
      <c r="C153" s="198" t="str">
        <f t="shared" ca="1" si="17"/>
        <v>тыс. EUR</v>
      </c>
      <c r="D153" s="11" t="e">
        <f ca="1">"[" &amp; F12 &amp; "];int_sum"</f>
        <v>#NAME?</v>
      </c>
      <c r="F153" s="54">
        <f ca="1">IF(OR(F$33&lt;$B28,F$33&gt;$C28),0,OFFSET(Проект!F$1212,0,1-$B28))</f>
        <v>0</v>
      </c>
      <c r="G153" s="54">
        <f ca="1">IF(OR(G$33&lt;$B28,G$33&gt;$C28),0,OFFSET(Проект!G$1212,0,1-$B28))</f>
        <v>0</v>
      </c>
      <c r="H153" s="54">
        <f ca="1">IF(OR(H$33&lt;$B28,H$33&gt;$C28),0,OFFSET(Проект!H$1212,0,1-$B28))</f>
        <v>0</v>
      </c>
      <c r="I153" s="54">
        <f ca="1">IF(OR(I$33&lt;$B28,I$33&gt;$C28),0,OFFSET(Проект!I$1212,0,1-$B28))</f>
        <v>0</v>
      </c>
      <c r="J153" s="54">
        <f ca="1">IF(OR(J$33&lt;$B28,J$33&gt;$C28),0,OFFSET(Проект!J$1212,0,1-$B28))</f>
        <v>0</v>
      </c>
      <c r="K153" s="54">
        <f ca="1">IF(OR(K$33&lt;$B28,K$33&gt;$C28),0,OFFSET(Проект!K$1212,0,1-$B28))</f>
        <v>13.18186976744186</v>
      </c>
      <c r="L153" s="54">
        <f ca="1">IF(OR(L$33&lt;$B28,L$33&gt;$C28),0,OFFSET(Проект!L$1212,0,1-$B28))</f>
        <v>13.18186976744186</v>
      </c>
      <c r="M153" s="54">
        <f ca="1">IF(OR(M$33&lt;$B28,M$33&gt;$C28),0,OFFSET(Проект!M$1212,0,1-$B28))</f>
        <v>13.18186976744186</v>
      </c>
      <c r="N153" s="54">
        <f ca="1">IF(OR(N$33&lt;$B28,N$33&gt;$C28),0,OFFSET(Проект!N$1212,0,1-$B28))</f>
        <v>13.18186976744186</v>
      </c>
      <c r="O153" s="54">
        <f ca="1">IF(OR(O$33&lt;$B28,O$33&gt;$C28),0,OFFSET(Проект!O$1212,0,1-$B28))</f>
        <v>13.18186976744186</v>
      </c>
      <c r="P153" s="54">
        <f ca="1">IF(OR(P$33&lt;$B28,P$33&gt;$C28),0,OFFSET(Проект!P$1212,0,1-$B28))</f>
        <v>13.18186976744186</v>
      </c>
      <c r="Q153" s="54">
        <f ca="1">IF(OR(Q$33&lt;$B28,Q$33&gt;$C28),0,OFFSET(Проект!Q$1212,0,1-$B28))</f>
        <v>13.18186976744186</v>
      </c>
      <c r="R153" s="54">
        <f ca="1">IF(OR(R$33&lt;$B28,R$33&gt;$C28),0,OFFSET(Проект!R$1212,0,1-$B28))</f>
        <v>13.18186976744186</v>
      </c>
      <c r="S153" s="54">
        <f ca="1">IF(OR(S$33&lt;$B28,S$33&gt;$C28),0,OFFSET(Проект!S$1212,0,1-$B28))</f>
        <v>13.18186976744186</v>
      </c>
      <c r="T153" s="54">
        <f ca="1">IF(OR(T$33&lt;$B28,T$33&gt;$C28),0,OFFSET(Проект!T$1212,0,1-$B28))</f>
        <v>13.18186976744186</v>
      </c>
      <c r="U153" s="54">
        <f ca="1">IF(OR(U$33&lt;$B28,U$33&gt;$C28),0,OFFSET(Проект!U$1212,0,1-$B28))</f>
        <v>13.18186976744186</v>
      </c>
      <c r="V153" s="54">
        <f ca="1">IF(OR(V$33&lt;$B28,V$33&gt;$C28),0,OFFSET(Проект!V$1212,0,1-$B28))</f>
        <v>13.18186976744186</v>
      </c>
      <c r="W153" s="54">
        <f ca="1">IF(OR(W$33&lt;$B28,W$33&gt;$C28),0,OFFSET(Проект!W$1212,0,1-$B28))</f>
        <v>13.18186976744186</v>
      </c>
      <c r="X153" s="54">
        <f ca="1">IF(OR(X$33&lt;$B28,X$33&gt;$C28),0,OFFSET(Проект!X$1212,0,1-$B28))</f>
        <v>13.18186976744186</v>
      </c>
      <c r="Y153" s="54">
        <f ca="1">IF(OR(Y$33&lt;$B28,Y$33&gt;$C28),0,OFFSET(Проект!AC$1212,0,1-$B28))</f>
        <v>13.18186976744186</v>
      </c>
      <c r="AA153" s="202">
        <f t="shared" ca="1" si="16"/>
        <v>197.72804651162798</v>
      </c>
    </row>
    <row r="154" spans="1:27" outlineLevel="1" collapsed="1" x14ac:dyDescent="0.2">
      <c r="A154" t="str">
        <f ca="1">Language!A731</f>
        <v>Проценты</v>
      </c>
      <c r="C154" s="114" t="str">
        <f ca="1">CUR_Report</f>
        <v>тыс. EUR</v>
      </c>
      <c r="D154" s="204" t="s">
        <v>2615</v>
      </c>
      <c r="F154" s="43">
        <f ca="1">SUMPRODUCT($B12:OFFSET($B13,-1,0),F155:OFFSET(F156,-1,0))</f>
        <v>0</v>
      </c>
      <c r="G154" s="43">
        <f ca="1">SUMPRODUCT($B12:OFFSET($B13,-1,0),G155:OFFSET(G156,-1,0))</f>
        <v>0</v>
      </c>
      <c r="H154" s="43">
        <f ca="1">SUMPRODUCT($B12:OFFSET($B13,-1,0),H155:OFFSET(H156,-1,0))</f>
        <v>0</v>
      </c>
      <c r="I154" s="43">
        <f ca="1">SUMPRODUCT($B12:OFFSET($B13,-1,0),I155:OFFSET(I156,-1,0))</f>
        <v>0</v>
      </c>
      <c r="J154" s="43">
        <f ca="1">SUMPRODUCT($B12:OFFSET($B13,-1,0),J155:OFFSET(J156,-1,0))</f>
        <v>0</v>
      </c>
      <c r="K154" s="43">
        <f ca="1">SUMPRODUCT($B12:OFFSET($B13,-1,0),K155:OFFSET(K156,-1,0))</f>
        <v>0</v>
      </c>
      <c r="L154" s="43">
        <f ca="1">SUMPRODUCT($B12:OFFSET($B13,-1,0),L155:OFFSET(L156,-1,0))</f>
        <v>0</v>
      </c>
      <c r="M154" s="43">
        <f ca="1">SUMPRODUCT($B12:OFFSET($B13,-1,0),M155:OFFSET(M156,-1,0))</f>
        <v>0</v>
      </c>
      <c r="N154" s="43">
        <f ca="1">SUMPRODUCT($B12:OFFSET($B13,-1,0),N155:OFFSET(N156,-1,0))</f>
        <v>0</v>
      </c>
      <c r="O154" s="43">
        <f ca="1">SUMPRODUCT($B12:OFFSET($B13,-1,0),O155:OFFSET(O156,-1,0))</f>
        <v>0</v>
      </c>
      <c r="P154" s="43">
        <f ca="1">SUMPRODUCT($B12:OFFSET($B13,-1,0),P155:OFFSET(P156,-1,0))</f>
        <v>0</v>
      </c>
      <c r="Q154" s="43">
        <f ca="1">SUMPRODUCT($B12:OFFSET($B13,-1,0),Q155:OFFSET(Q156,-1,0))</f>
        <v>0</v>
      </c>
      <c r="R154" s="43">
        <f ca="1">SUMPRODUCT($B12:OFFSET($B13,-1,0),R155:OFFSET(R156,-1,0))</f>
        <v>0</v>
      </c>
      <c r="S154" s="43">
        <f ca="1">SUMPRODUCT($B12:OFFSET($B13,-1,0),S155:OFFSET(S156,-1,0))</f>
        <v>0</v>
      </c>
      <c r="T154" s="43">
        <f ca="1">SUMPRODUCT($B12:OFFSET($B13,-1,0),T155:OFFSET(T156,-1,0))</f>
        <v>0</v>
      </c>
      <c r="U154" s="43">
        <f ca="1">SUMPRODUCT($B12:OFFSET($B13,-1,0),U155:OFFSET(U156,-1,0))</f>
        <v>0</v>
      </c>
      <c r="V154" s="43">
        <f ca="1">SUMPRODUCT($B12:OFFSET($B13,-1,0),V155:OFFSET(V156,-1,0))</f>
        <v>0</v>
      </c>
      <c r="W154" s="43">
        <f ca="1">SUMPRODUCT($B12:OFFSET($B13,-1,0),W155:OFFSET(W156,-1,0))</f>
        <v>0</v>
      </c>
      <c r="X154" s="43">
        <f ca="1">SUMPRODUCT($B12:OFFSET($B13,-1,0),X155:OFFSET(X156,-1,0))</f>
        <v>0</v>
      </c>
      <c r="Y154" s="43">
        <f ca="1">SUMPRODUCT($B12:OFFSET($B13,-1,0),Y155:OFFSET(Y156,-1,0))</f>
        <v>0</v>
      </c>
      <c r="AA154" s="202">
        <f ca="1">SUM(F154:Y154)</f>
        <v>0</v>
      </c>
    </row>
    <row r="155" spans="1:27" s="11" customFormat="1" hidden="1" outlineLevel="2" x14ac:dyDescent="0.2">
      <c r="A155" s="11" t="str">
        <f ca="1">"        " &amp; A12</f>
        <v xml:space="preserve">        Проект 1</v>
      </c>
      <c r="C155" s="198" t="str">
        <f ca="1">CUR_Report</f>
        <v>тыс. EUR</v>
      </c>
      <c r="D155" s="11" t="e">
        <f ca="1">"[" &amp; F12 &amp; "];int_sum"</f>
        <v>#NAME?</v>
      </c>
      <c r="F155" s="54">
        <f ca="1">IF(OR(F$33&lt;$B28,F$33&gt;$C28),0,OFFSET(Проект!F$1213,0,1-$B28))</f>
        <v>0</v>
      </c>
      <c r="G155" s="54">
        <f ca="1">IF(OR(G$33&lt;$B28,G$33&gt;$C28),0,OFFSET(Проект!G$1213,0,1-$B28))</f>
        <v>0</v>
      </c>
      <c r="H155" s="54">
        <f ca="1">IF(OR(H$33&lt;$B28,H$33&gt;$C28),0,OFFSET(Проект!H$1213,0,1-$B28))</f>
        <v>0</v>
      </c>
      <c r="I155" s="54">
        <f ca="1">IF(OR(I$33&lt;$B28,I$33&gt;$C28),0,OFFSET(Проект!I$1213,0,1-$B28))</f>
        <v>0</v>
      </c>
      <c r="J155" s="54">
        <f ca="1">IF(OR(J$33&lt;$B28,J$33&gt;$C28),0,OFFSET(Проект!J$1213,0,1-$B28))</f>
        <v>0</v>
      </c>
      <c r="K155" s="54">
        <f ca="1">IF(OR(K$33&lt;$B28,K$33&gt;$C28),0,OFFSET(Проект!K$1213,0,1-$B28))</f>
        <v>0</v>
      </c>
      <c r="L155" s="54">
        <f ca="1">IF(OR(L$33&lt;$B28,L$33&gt;$C28),0,OFFSET(Проект!L$1213,0,1-$B28))</f>
        <v>0</v>
      </c>
      <c r="M155" s="54">
        <f ca="1">IF(OR(M$33&lt;$B28,M$33&gt;$C28),0,OFFSET(Проект!M$1213,0,1-$B28))</f>
        <v>0</v>
      </c>
      <c r="N155" s="54">
        <f ca="1">IF(OR(N$33&lt;$B28,N$33&gt;$C28),0,OFFSET(Проект!N$1213,0,1-$B28))</f>
        <v>0</v>
      </c>
      <c r="O155" s="54">
        <f ca="1">IF(OR(O$33&lt;$B28,O$33&gt;$C28),0,OFFSET(Проект!O$1213,0,1-$B28))</f>
        <v>0</v>
      </c>
      <c r="P155" s="54">
        <f ca="1">IF(OR(P$33&lt;$B28,P$33&gt;$C28),0,OFFSET(Проект!P$1213,0,1-$B28))</f>
        <v>0</v>
      </c>
      <c r="Q155" s="54">
        <f ca="1">IF(OR(Q$33&lt;$B28,Q$33&gt;$C28),0,OFFSET(Проект!Q$1213,0,1-$B28))</f>
        <v>0</v>
      </c>
      <c r="R155" s="54">
        <f ca="1">IF(OR(R$33&lt;$B28,R$33&gt;$C28),0,OFFSET(Проект!R$1213,0,1-$B28))</f>
        <v>0</v>
      </c>
      <c r="S155" s="54">
        <f ca="1">IF(OR(S$33&lt;$B28,S$33&gt;$C28),0,OFFSET(Проект!S$1213,0,1-$B28))</f>
        <v>0</v>
      </c>
      <c r="T155" s="54">
        <f ca="1">IF(OR(T$33&lt;$B28,T$33&gt;$C28),0,OFFSET(Проект!T$1213,0,1-$B28))</f>
        <v>0</v>
      </c>
      <c r="U155" s="54">
        <f ca="1">IF(OR(U$33&lt;$B28,U$33&gt;$C28),0,OFFSET(Проект!U$1213,0,1-$B28))</f>
        <v>0</v>
      </c>
      <c r="V155" s="54">
        <f ca="1">IF(OR(V$33&lt;$B28,V$33&gt;$C28),0,OFFSET(Проект!V$1213,0,1-$B28))</f>
        <v>0</v>
      </c>
      <c r="W155" s="54">
        <f ca="1">IF(OR(W$33&lt;$B28,W$33&gt;$C28),0,OFFSET(Проект!W$1213,0,1-$B28))</f>
        <v>0</v>
      </c>
      <c r="X155" s="54">
        <f ca="1">IF(OR(X$33&lt;$B28,X$33&gt;$C28),0,OFFSET(Проект!X$1213,0,1-$B28))</f>
        <v>0</v>
      </c>
      <c r="Y155" s="54">
        <f ca="1">IF(OR(Y$33&lt;$B28,Y$33&gt;$C28),0,OFFSET(Проект!AC$1213,0,1-$B28))</f>
        <v>0</v>
      </c>
      <c r="AA155" s="202">
        <f ca="1">SUM(F155:Y155)</f>
        <v>0</v>
      </c>
    </row>
    <row r="156" spans="1:27" outlineLevel="1" collapsed="1" x14ac:dyDescent="0.2">
      <c r="A156" s="178" t="str">
        <f ca="1">Language!A721</f>
        <v>Прибыль (убыток) от операционной деятельности</v>
      </c>
      <c r="C156" s="114" t="str">
        <f t="shared" ca="1" si="17"/>
        <v>тыс. EUR</v>
      </c>
      <c r="D156" s="204" t="s">
        <v>2615</v>
      </c>
      <c r="F156" s="206">
        <f ca="1">SUMPRODUCT($B12:OFFSET($B13,-1,0),F157:OFFSET(F158,-1,0))</f>
        <v>0</v>
      </c>
      <c r="G156" s="206">
        <f ca="1">SUMPRODUCT($B12:OFFSET($B13,-1,0),G157:OFFSET(G158,-1,0))</f>
        <v>0</v>
      </c>
      <c r="H156" s="206">
        <f ca="1">SUMPRODUCT($B12:OFFSET($B13,-1,0),H157:OFFSET(H158,-1,0))</f>
        <v>0</v>
      </c>
      <c r="I156" s="206">
        <f ca="1">SUMPRODUCT($B12:OFFSET($B13,-1,0),I157:OFFSET(I158,-1,0))</f>
        <v>0</v>
      </c>
      <c r="J156" s="206">
        <f ca="1">SUMPRODUCT($B12:OFFSET($B13,-1,0),J157:OFFSET(J158,-1,0))</f>
        <v>-309.35251270876392</v>
      </c>
      <c r="K156" s="206">
        <f ca="1">SUMPRODUCT($B12:OFFSET($B13,-1,0),K157:OFFSET(K158,-1,0))</f>
        <v>-542.72200914744883</v>
      </c>
      <c r="L156" s="206">
        <f ca="1">SUMPRODUCT($B12:OFFSET($B13,-1,0),L157:OFFSET(L158,-1,0))</f>
        <v>36.808723789765239</v>
      </c>
      <c r="M156" s="206">
        <f ca="1">SUMPRODUCT($B12:OFFSET($B13,-1,0),M157:OFFSET(M158,-1,0))</f>
        <v>515.87606298127139</v>
      </c>
      <c r="N156" s="206">
        <f ca="1">SUMPRODUCT($B12:OFFSET($B13,-1,0),N157:OFFSET(N158,-1,0))</f>
        <v>1055.7734838408458</v>
      </c>
      <c r="O156" s="206">
        <f ca="1">SUMPRODUCT($B12:OFFSET($B13,-1,0),O157:OFFSET(O158,-1,0))</f>
        <v>1414.1014526877718</v>
      </c>
      <c r="P156" s="206">
        <f ca="1">SUMPRODUCT($B12:OFFSET($B13,-1,0),P157:OFFSET(P158,-1,0))</f>
        <v>1414.1014526877718</v>
      </c>
      <c r="Q156" s="206">
        <f ca="1">SUMPRODUCT($B12:OFFSET($B13,-1,0),Q157:OFFSET(Q158,-1,0))</f>
        <v>1414.1014526877718</v>
      </c>
      <c r="R156" s="206">
        <f ca="1">SUMPRODUCT($B12:OFFSET($B13,-1,0),R157:OFFSET(R158,-1,0))</f>
        <v>1414.1014526877718</v>
      </c>
      <c r="S156" s="206">
        <f ca="1">SUMPRODUCT($B12:OFFSET($B13,-1,0),S157:OFFSET(S158,-1,0))</f>
        <v>1414.1014526877718</v>
      </c>
      <c r="T156" s="206">
        <f ca="1">SUMPRODUCT($B12:OFFSET($B13,-1,0),T157:OFFSET(T158,-1,0))</f>
        <v>1414.1014526877718</v>
      </c>
      <c r="U156" s="206">
        <f ca="1">SUMPRODUCT($B12:OFFSET($B13,-1,0),U157:OFFSET(U158,-1,0))</f>
        <v>1414.1014526877718</v>
      </c>
      <c r="V156" s="206">
        <f ca="1">SUMPRODUCT($B12:OFFSET($B13,-1,0),V157:OFFSET(V158,-1,0))</f>
        <v>1414.1014526877718</v>
      </c>
      <c r="W156" s="206">
        <f ca="1">SUMPRODUCT($B12:OFFSET($B13,-1,0),W157:OFFSET(W158,-1,0))</f>
        <v>1414.1014526877718</v>
      </c>
      <c r="X156" s="206">
        <f ca="1">SUMPRODUCT($B12:OFFSET($B13,-1,0),X157:OFFSET(X158,-1,0))</f>
        <v>1414.1014526877718</v>
      </c>
      <c r="Y156" s="206">
        <f ca="1">SUMPRODUCT($B12:OFFSET($B13,-1,0),Y157:OFFSET(Y158,-1,0))</f>
        <v>1414.1014526877718</v>
      </c>
      <c r="Z156" s="178"/>
      <c r="AA156" s="57">
        <f t="shared" ca="1" si="16"/>
        <v>16311.499728321158</v>
      </c>
    </row>
    <row r="157" spans="1:27" s="11" customFormat="1" hidden="1" outlineLevel="2" x14ac:dyDescent="0.2">
      <c r="A157" s="11" t="str">
        <f ca="1">"        " &amp; A12</f>
        <v xml:space="preserve">        Проект 1</v>
      </c>
      <c r="C157" s="198" t="str">
        <f t="shared" ca="1" si="17"/>
        <v>тыс. EUR</v>
      </c>
      <c r="D157" s="11" t="e">
        <f ca="1">"[" &amp; F12 &amp; "];int_sum"</f>
        <v>#NAME?</v>
      </c>
      <c r="F157" s="54">
        <f ca="1">IF(OR(F$33&lt;$B28,F$33&gt;$C28),0,OFFSET(Проект!F$1214,0,1-$B28))</f>
        <v>0</v>
      </c>
      <c r="G157" s="54">
        <f ca="1">IF(OR(G$33&lt;$B28,G$33&gt;$C28),0,OFFSET(Проект!G$1214,0,1-$B28))</f>
        <v>0</v>
      </c>
      <c r="H157" s="54">
        <f ca="1">IF(OR(H$33&lt;$B28,H$33&gt;$C28),0,OFFSET(Проект!H$1214,0,1-$B28))</f>
        <v>0</v>
      </c>
      <c r="I157" s="54">
        <f ca="1">IF(OR(I$33&lt;$B28,I$33&gt;$C28),0,OFFSET(Проект!I$1214,0,1-$B28))</f>
        <v>0</v>
      </c>
      <c r="J157" s="54">
        <f ca="1">IF(OR(J$33&lt;$B28,J$33&gt;$C28),0,OFFSET(Проект!J$1214,0,1-$B28))</f>
        <v>-309.35251270876392</v>
      </c>
      <c r="K157" s="54">
        <f ca="1">IF(OR(K$33&lt;$B28,K$33&gt;$C28),0,OFFSET(Проект!K$1214,0,1-$B28))</f>
        <v>-542.72200914744883</v>
      </c>
      <c r="L157" s="54">
        <f ca="1">IF(OR(L$33&lt;$B28,L$33&gt;$C28),0,OFFSET(Проект!L$1214,0,1-$B28))</f>
        <v>36.808723789765239</v>
      </c>
      <c r="M157" s="54">
        <f ca="1">IF(OR(M$33&lt;$B28,M$33&gt;$C28),0,OFFSET(Проект!M$1214,0,1-$B28))</f>
        <v>515.87606298127139</v>
      </c>
      <c r="N157" s="54">
        <f ca="1">IF(OR(N$33&lt;$B28,N$33&gt;$C28),0,OFFSET(Проект!N$1214,0,1-$B28))</f>
        <v>1055.7734838408458</v>
      </c>
      <c r="O157" s="54">
        <f ca="1">IF(OR(O$33&lt;$B28,O$33&gt;$C28),0,OFFSET(Проект!O$1214,0,1-$B28))</f>
        <v>1414.1014526877718</v>
      </c>
      <c r="P157" s="54">
        <f ca="1">IF(OR(P$33&lt;$B28,P$33&gt;$C28),0,OFFSET(Проект!P$1214,0,1-$B28))</f>
        <v>1414.1014526877718</v>
      </c>
      <c r="Q157" s="54">
        <f ca="1">IF(OR(Q$33&lt;$B28,Q$33&gt;$C28),0,OFFSET(Проект!Q$1214,0,1-$B28))</f>
        <v>1414.1014526877718</v>
      </c>
      <c r="R157" s="54">
        <f ca="1">IF(OR(R$33&lt;$B28,R$33&gt;$C28),0,OFFSET(Проект!R$1214,0,1-$B28))</f>
        <v>1414.1014526877718</v>
      </c>
      <c r="S157" s="54">
        <f ca="1">IF(OR(S$33&lt;$B28,S$33&gt;$C28),0,OFFSET(Проект!S$1214,0,1-$B28))</f>
        <v>1414.1014526877718</v>
      </c>
      <c r="T157" s="54">
        <f ca="1">IF(OR(T$33&lt;$B28,T$33&gt;$C28),0,OFFSET(Проект!T$1214,0,1-$B28))</f>
        <v>1414.1014526877718</v>
      </c>
      <c r="U157" s="54">
        <f ca="1">IF(OR(U$33&lt;$B28,U$33&gt;$C28),0,OFFSET(Проект!U$1214,0,1-$B28))</f>
        <v>1414.1014526877718</v>
      </c>
      <c r="V157" s="54">
        <f ca="1">IF(OR(V$33&lt;$B28,V$33&gt;$C28),0,OFFSET(Проект!V$1214,0,1-$B28))</f>
        <v>1414.1014526877718</v>
      </c>
      <c r="W157" s="54">
        <f ca="1">IF(OR(W$33&lt;$B28,W$33&gt;$C28),0,OFFSET(Проект!W$1214,0,1-$B28))</f>
        <v>1414.1014526877718</v>
      </c>
      <c r="X157" s="54">
        <f ca="1">IF(OR(X$33&lt;$B28,X$33&gt;$C28),0,OFFSET(Проект!X$1214,0,1-$B28))</f>
        <v>1414.1014526877718</v>
      </c>
      <c r="Y157" s="54">
        <f ca="1">IF(OR(Y$33&lt;$B28,Y$33&gt;$C28),0,OFFSET(Проект!AC$1214,0,1-$B28))</f>
        <v>1414.1014526877718</v>
      </c>
      <c r="AA157" s="202">
        <f t="shared" ca="1" si="16"/>
        <v>16311.499728321158</v>
      </c>
    </row>
    <row r="158" spans="1:27" outlineLevel="1" collapsed="1" x14ac:dyDescent="0.2">
      <c r="A158" t="str">
        <f ca="1">Language!A723</f>
        <v>Прибыль / убыток от реализации внеоборотных активов</v>
      </c>
      <c r="C158" s="114" t="str">
        <f t="shared" ca="1" si="17"/>
        <v>тыс. EUR</v>
      </c>
      <c r="D158" s="204" t="s">
        <v>2615</v>
      </c>
      <c r="F158" s="43">
        <f ca="1">SUMPRODUCT($B12:OFFSET($B13,-1,0),F159:OFFSET(F160,-1,0))</f>
        <v>0</v>
      </c>
      <c r="G158" s="43">
        <f ca="1">SUMPRODUCT($B12:OFFSET($B13,-1,0),G159:OFFSET(G160,-1,0))</f>
        <v>0</v>
      </c>
      <c r="H158" s="43">
        <f ca="1">SUMPRODUCT($B12:OFFSET($B13,-1,0),H159:OFFSET(H160,-1,0))</f>
        <v>0</v>
      </c>
      <c r="I158" s="43">
        <f ca="1">SUMPRODUCT($B12:OFFSET($B13,-1,0),I159:OFFSET(I160,-1,0))</f>
        <v>0</v>
      </c>
      <c r="J158" s="43">
        <f ca="1">SUMPRODUCT($B12:OFFSET($B13,-1,0),J159:OFFSET(J160,-1,0))</f>
        <v>0</v>
      </c>
      <c r="K158" s="43">
        <f ca="1">SUMPRODUCT($B12:OFFSET($B13,-1,0),K159:OFFSET(K160,-1,0))</f>
        <v>0</v>
      </c>
      <c r="L158" s="43">
        <f ca="1">SUMPRODUCT($B12:OFFSET($B13,-1,0),L159:OFFSET(L160,-1,0))</f>
        <v>0</v>
      </c>
      <c r="M158" s="43">
        <f ca="1">SUMPRODUCT($B12:OFFSET($B13,-1,0),M159:OFFSET(M160,-1,0))</f>
        <v>0</v>
      </c>
      <c r="N158" s="43">
        <f ca="1">SUMPRODUCT($B12:OFFSET($B13,-1,0),N159:OFFSET(N160,-1,0))</f>
        <v>0</v>
      </c>
      <c r="O158" s="43">
        <f ca="1">SUMPRODUCT($B12:OFFSET($B13,-1,0),O159:OFFSET(O160,-1,0))</f>
        <v>0</v>
      </c>
      <c r="P158" s="43">
        <f ca="1">SUMPRODUCT($B12:OFFSET($B13,-1,0),P159:OFFSET(P160,-1,0))</f>
        <v>0</v>
      </c>
      <c r="Q158" s="43">
        <f ca="1">SUMPRODUCT($B12:OFFSET($B13,-1,0),Q159:OFFSET(Q160,-1,0))</f>
        <v>0</v>
      </c>
      <c r="R158" s="43">
        <f ca="1">SUMPRODUCT($B12:OFFSET($B13,-1,0),R159:OFFSET(R160,-1,0))</f>
        <v>0</v>
      </c>
      <c r="S158" s="43">
        <f ca="1">SUMPRODUCT($B12:OFFSET($B13,-1,0),S159:OFFSET(S160,-1,0))</f>
        <v>0</v>
      </c>
      <c r="T158" s="43">
        <f ca="1">SUMPRODUCT($B12:OFFSET($B13,-1,0),T159:OFFSET(T160,-1,0))</f>
        <v>0</v>
      </c>
      <c r="U158" s="43">
        <f ca="1">SUMPRODUCT($B12:OFFSET($B13,-1,0),U159:OFFSET(U160,-1,0))</f>
        <v>0</v>
      </c>
      <c r="V158" s="43">
        <f ca="1">SUMPRODUCT($B12:OFFSET($B13,-1,0),V159:OFFSET(V160,-1,0))</f>
        <v>0</v>
      </c>
      <c r="W158" s="43">
        <f ca="1">SUMPRODUCT($B12:OFFSET($B13,-1,0),W159:OFFSET(W160,-1,0))</f>
        <v>0</v>
      </c>
      <c r="X158" s="43">
        <f ca="1">SUMPRODUCT($B12:OFFSET($B13,-1,0),X159:OFFSET(X160,-1,0))</f>
        <v>0</v>
      </c>
      <c r="Y158" s="43">
        <f ca="1">SUMPRODUCT($B12:OFFSET($B13,-1,0),Y159:OFFSET(Y160,-1,0))</f>
        <v>0</v>
      </c>
      <c r="AA158" s="202">
        <f t="shared" ca="1" si="16"/>
        <v>0</v>
      </c>
    </row>
    <row r="159" spans="1:27" s="11" customFormat="1" hidden="1" outlineLevel="2" x14ac:dyDescent="0.2">
      <c r="A159" s="11" t="str">
        <f ca="1">"        " &amp; A12</f>
        <v xml:space="preserve">        Проект 1</v>
      </c>
      <c r="C159" s="198" t="str">
        <f t="shared" ca="1" si="17"/>
        <v>тыс. EUR</v>
      </c>
      <c r="D159" s="11" t="e">
        <f ca="1">"[" &amp; F12 &amp; "];int_sum"</f>
        <v>#NAME?</v>
      </c>
      <c r="F159" s="54">
        <f ca="1">IF(OR(F$33&lt;$B28,F$33&gt;$C28),0,OFFSET(Проект!F$1215,0,1-$B28))</f>
        <v>0</v>
      </c>
      <c r="G159" s="54">
        <f ca="1">IF(OR(G$33&lt;$B28,G$33&gt;$C28),0,OFFSET(Проект!G$1215,0,1-$B28))</f>
        <v>0</v>
      </c>
      <c r="H159" s="54">
        <f ca="1">IF(OR(H$33&lt;$B28,H$33&gt;$C28),0,OFFSET(Проект!H$1215,0,1-$B28))</f>
        <v>0</v>
      </c>
      <c r="I159" s="54">
        <f ca="1">IF(OR(I$33&lt;$B28,I$33&gt;$C28),0,OFFSET(Проект!I$1215,0,1-$B28))</f>
        <v>0</v>
      </c>
      <c r="J159" s="54">
        <f ca="1">IF(OR(J$33&lt;$B28,J$33&gt;$C28),0,OFFSET(Проект!J$1215,0,1-$B28))</f>
        <v>0</v>
      </c>
      <c r="K159" s="54">
        <f ca="1">IF(OR(K$33&lt;$B28,K$33&gt;$C28),0,OFFSET(Проект!K$1215,0,1-$B28))</f>
        <v>0</v>
      </c>
      <c r="L159" s="54">
        <f ca="1">IF(OR(L$33&lt;$B28,L$33&gt;$C28),0,OFFSET(Проект!L$1215,0,1-$B28))</f>
        <v>0</v>
      </c>
      <c r="M159" s="54">
        <f ca="1">IF(OR(M$33&lt;$B28,M$33&gt;$C28),0,OFFSET(Проект!M$1215,0,1-$B28))</f>
        <v>0</v>
      </c>
      <c r="N159" s="54">
        <f ca="1">IF(OR(N$33&lt;$B28,N$33&gt;$C28),0,OFFSET(Проект!N$1215,0,1-$B28))</f>
        <v>0</v>
      </c>
      <c r="O159" s="54">
        <f ca="1">IF(OR(O$33&lt;$B28,O$33&gt;$C28),0,OFFSET(Проект!O$1215,0,1-$B28))</f>
        <v>0</v>
      </c>
      <c r="P159" s="54">
        <f ca="1">IF(OR(P$33&lt;$B28,P$33&gt;$C28),0,OFFSET(Проект!P$1215,0,1-$B28))</f>
        <v>0</v>
      </c>
      <c r="Q159" s="54">
        <f ca="1">IF(OR(Q$33&lt;$B28,Q$33&gt;$C28),0,OFFSET(Проект!Q$1215,0,1-$B28))</f>
        <v>0</v>
      </c>
      <c r="R159" s="54">
        <f ca="1">IF(OR(R$33&lt;$B28,R$33&gt;$C28),0,OFFSET(Проект!R$1215,0,1-$B28))</f>
        <v>0</v>
      </c>
      <c r="S159" s="54">
        <f ca="1">IF(OR(S$33&lt;$B28,S$33&gt;$C28),0,OFFSET(Проект!S$1215,0,1-$B28))</f>
        <v>0</v>
      </c>
      <c r="T159" s="54">
        <f ca="1">IF(OR(T$33&lt;$B28,T$33&gt;$C28),0,OFFSET(Проект!T$1215,0,1-$B28))</f>
        <v>0</v>
      </c>
      <c r="U159" s="54">
        <f ca="1">IF(OR(U$33&lt;$B28,U$33&gt;$C28),0,OFFSET(Проект!U$1215,0,1-$B28))</f>
        <v>0</v>
      </c>
      <c r="V159" s="54">
        <f ca="1">IF(OR(V$33&lt;$B28,V$33&gt;$C28),0,OFFSET(Проект!V$1215,0,1-$B28))</f>
        <v>0</v>
      </c>
      <c r="W159" s="54">
        <f ca="1">IF(OR(W$33&lt;$B28,W$33&gt;$C28),0,OFFSET(Проект!W$1215,0,1-$B28))</f>
        <v>0</v>
      </c>
      <c r="X159" s="54">
        <f ca="1">IF(OR(X$33&lt;$B28,X$33&gt;$C28),0,OFFSET(Проект!X$1215,0,1-$B28))</f>
        <v>0</v>
      </c>
      <c r="Y159" s="54">
        <f ca="1">IF(OR(Y$33&lt;$B28,Y$33&gt;$C28),0,OFFSET(Проект!AC$1215,0,1-$B28))</f>
        <v>0</v>
      </c>
      <c r="AA159" s="202">
        <f t="shared" ca="1" si="16"/>
        <v>0</v>
      </c>
    </row>
    <row r="160" spans="1:27" s="11" customFormat="1" outlineLevel="1" collapsed="1" x14ac:dyDescent="0.2">
      <c r="A160" t="str">
        <f ca="1">Language!A724</f>
        <v>Прибыль / убыток от строительной деятельности</v>
      </c>
      <c r="C160" s="114" t="str">
        <f t="shared" ca="1" si="17"/>
        <v>тыс. EUR</v>
      </c>
      <c r="D160" s="204" t="s">
        <v>2615</v>
      </c>
      <c r="F160" s="43">
        <f ca="1">SUMPRODUCT($B12:OFFSET($B13,-1,0),F161:OFFSET(F162,-1,0))</f>
        <v>0</v>
      </c>
      <c r="G160" s="43">
        <f ca="1">SUMPRODUCT($B12:OFFSET($B13,-1,0),G161:OFFSET(G162,-1,0))</f>
        <v>0</v>
      </c>
      <c r="H160" s="43">
        <f ca="1">SUMPRODUCT($B12:OFFSET($B13,-1,0),H161:OFFSET(H162,-1,0))</f>
        <v>0</v>
      </c>
      <c r="I160" s="43">
        <f ca="1">SUMPRODUCT($B12:OFFSET($B13,-1,0),I161:OFFSET(I162,-1,0))</f>
        <v>0</v>
      </c>
      <c r="J160" s="43">
        <f ca="1">SUMPRODUCT($B12:OFFSET($B13,-1,0),J161:OFFSET(J162,-1,0))</f>
        <v>0</v>
      </c>
      <c r="K160" s="43">
        <f ca="1">SUMPRODUCT($B12:OFFSET($B13,-1,0),K161:OFFSET(K162,-1,0))</f>
        <v>0</v>
      </c>
      <c r="L160" s="43">
        <f ca="1">SUMPRODUCT($B12:OFFSET($B13,-1,0),L161:OFFSET(L162,-1,0))</f>
        <v>0</v>
      </c>
      <c r="M160" s="43">
        <f ca="1">SUMPRODUCT($B12:OFFSET($B13,-1,0),M161:OFFSET(M162,-1,0))</f>
        <v>0</v>
      </c>
      <c r="N160" s="43">
        <f ca="1">SUMPRODUCT($B12:OFFSET($B13,-1,0),N161:OFFSET(N162,-1,0))</f>
        <v>0</v>
      </c>
      <c r="O160" s="43">
        <f ca="1">SUMPRODUCT($B12:OFFSET($B13,-1,0),O161:OFFSET(O162,-1,0))</f>
        <v>0</v>
      </c>
      <c r="P160" s="43">
        <f ca="1">SUMPRODUCT($B12:OFFSET($B13,-1,0),P161:OFFSET(P162,-1,0))</f>
        <v>0</v>
      </c>
      <c r="Q160" s="43">
        <f ca="1">SUMPRODUCT($B12:OFFSET($B13,-1,0),Q161:OFFSET(Q162,-1,0))</f>
        <v>0</v>
      </c>
      <c r="R160" s="43">
        <f ca="1">SUMPRODUCT($B12:OFFSET($B13,-1,0),R161:OFFSET(R162,-1,0))</f>
        <v>0</v>
      </c>
      <c r="S160" s="43">
        <f ca="1">SUMPRODUCT($B12:OFFSET($B13,-1,0),S161:OFFSET(S162,-1,0))</f>
        <v>0</v>
      </c>
      <c r="T160" s="43">
        <f ca="1">SUMPRODUCT($B12:OFFSET($B13,-1,0),T161:OFFSET(T162,-1,0))</f>
        <v>0</v>
      </c>
      <c r="U160" s="43">
        <f ca="1">SUMPRODUCT($B12:OFFSET($B13,-1,0),U161:OFFSET(U162,-1,0))</f>
        <v>0</v>
      </c>
      <c r="V160" s="43">
        <f ca="1">SUMPRODUCT($B12:OFFSET($B13,-1,0),V161:OFFSET(V162,-1,0))</f>
        <v>0</v>
      </c>
      <c r="W160" s="43">
        <f ca="1">SUMPRODUCT($B12:OFFSET($B13,-1,0),W161:OFFSET(W162,-1,0))</f>
        <v>0</v>
      </c>
      <c r="X160" s="43">
        <f ca="1">SUMPRODUCT($B12:OFFSET($B13,-1,0),X161:OFFSET(X162,-1,0))</f>
        <v>0</v>
      </c>
      <c r="Y160" s="43">
        <f ca="1">SUMPRODUCT($B12:OFFSET($B13,-1,0),Y161:OFFSET(Y162,-1,0))</f>
        <v>0</v>
      </c>
      <c r="AA160" s="202">
        <f t="shared" ca="1" si="16"/>
        <v>0</v>
      </c>
    </row>
    <row r="161" spans="1:27" s="11" customFormat="1" hidden="1" outlineLevel="2" x14ac:dyDescent="0.2">
      <c r="A161" s="11" t="str">
        <f ca="1">"        " &amp; A12</f>
        <v xml:space="preserve">        Проект 1</v>
      </c>
      <c r="C161" s="198" t="str">
        <f t="shared" ca="1" si="17"/>
        <v>тыс. EUR</v>
      </c>
      <c r="D161" s="11" t="e">
        <f ca="1">"[" &amp; F12 &amp; "];int_sum"</f>
        <v>#NAME?</v>
      </c>
      <c r="F161" s="54">
        <f ca="1">IF(OR(F$33&lt;$B28,F$33&gt;$C28),0,OFFSET(Проект!F$1216,0,1-$B28))</f>
        <v>0</v>
      </c>
      <c r="G161" s="54">
        <f ca="1">IF(OR(G$33&lt;$B28,G$33&gt;$C28),0,OFFSET(Проект!G$1216,0,1-$B28))</f>
        <v>0</v>
      </c>
      <c r="H161" s="54">
        <f ca="1">IF(OR(H$33&lt;$B28,H$33&gt;$C28),0,OFFSET(Проект!H$1216,0,1-$B28))</f>
        <v>0</v>
      </c>
      <c r="I161" s="54">
        <f ca="1">IF(OR(I$33&lt;$B28,I$33&gt;$C28),0,OFFSET(Проект!I$1216,0,1-$B28))</f>
        <v>0</v>
      </c>
      <c r="J161" s="54">
        <f ca="1">IF(OR(J$33&lt;$B28,J$33&gt;$C28),0,OFFSET(Проект!J$1216,0,1-$B28))</f>
        <v>0</v>
      </c>
      <c r="K161" s="54">
        <f ca="1">IF(OR(K$33&lt;$B28,K$33&gt;$C28),0,OFFSET(Проект!K$1216,0,1-$B28))</f>
        <v>0</v>
      </c>
      <c r="L161" s="54">
        <f ca="1">IF(OR(L$33&lt;$B28,L$33&gt;$C28),0,OFFSET(Проект!L$1216,0,1-$B28))</f>
        <v>0</v>
      </c>
      <c r="M161" s="54">
        <f ca="1">IF(OR(M$33&lt;$B28,M$33&gt;$C28),0,OFFSET(Проект!M$1216,0,1-$B28))</f>
        <v>0</v>
      </c>
      <c r="N161" s="54">
        <f ca="1">IF(OR(N$33&lt;$B28,N$33&gt;$C28),0,OFFSET(Проект!N$1216,0,1-$B28))</f>
        <v>0</v>
      </c>
      <c r="O161" s="54">
        <f ca="1">IF(OR(O$33&lt;$B28,O$33&gt;$C28),0,OFFSET(Проект!O$1216,0,1-$B28))</f>
        <v>0</v>
      </c>
      <c r="P161" s="54">
        <f ca="1">IF(OR(P$33&lt;$B28,P$33&gt;$C28),0,OFFSET(Проект!P$1216,0,1-$B28))</f>
        <v>0</v>
      </c>
      <c r="Q161" s="54">
        <f ca="1">IF(OR(Q$33&lt;$B28,Q$33&gt;$C28),0,OFFSET(Проект!Q$1216,0,1-$B28))</f>
        <v>0</v>
      </c>
      <c r="R161" s="54">
        <f ca="1">IF(OR(R$33&lt;$B28,R$33&gt;$C28),0,OFFSET(Проект!R$1216,0,1-$B28))</f>
        <v>0</v>
      </c>
      <c r="S161" s="54">
        <f ca="1">IF(OR(S$33&lt;$B28,S$33&gt;$C28),0,OFFSET(Проект!S$1216,0,1-$B28))</f>
        <v>0</v>
      </c>
      <c r="T161" s="54">
        <f ca="1">IF(OR(T$33&lt;$B28,T$33&gt;$C28),0,OFFSET(Проект!T$1216,0,1-$B28))</f>
        <v>0</v>
      </c>
      <c r="U161" s="54">
        <f ca="1">IF(OR(U$33&lt;$B28,U$33&gt;$C28),0,OFFSET(Проект!U$1216,0,1-$B28))</f>
        <v>0</v>
      </c>
      <c r="V161" s="54">
        <f ca="1">IF(OR(V$33&lt;$B28,V$33&gt;$C28),0,OFFSET(Проект!V$1216,0,1-$B28))</f>
        <v>0</v>
      </c>
      <c r="W161" s="54">
        <f ca="1">IF(OR(W$33&lt;$B28,W$33&gt;$C28),0,OFFSET(Проект!W$1216,0,1-$B28))</f>
        <v>0</v>
      </c>
      <c r="X161" s="54">
        <f ca="1">IF(OR(X$33&lt;$B28,X$33&gt;$C28),0,OFFSET(Проект!X$1216,0,1-$B28))</f>
        <v>0</v>
      </c>
      <c r="Y161" s="54">
        <f ca="1">IF(OR(Y$33&lt;$B28,Y$33&gt;$C28),0,OFFSET(Проект!AC$1216,0,1-$B28))</f>
        <v>0</v>
      </c>
      <c r="AA161" s="202">
        <f t="shared" ca="1" si="16"/>
        <v>0</v>
      </c>
    </row>
    <row r="162" spans="1:27" outlineLevel="1" collapsed="1" x14ac:dyDescent="0.2">
      <c r="A162" t="str">
        <f ca="1">Language!A725</f>
        <v>Курсовые разницы</v>
      </c>
      <c r="C162" s="114" t="str">
        <f t="shared" ca="1" si="17"/>
        <v>тыс. EUR</v>
      </c>
      <c r="D162" s="204" t="s">
        <v>2615</v>
      </c>
      <c r="F162" s="43">
        <f ca="1">SUMPRODUCT($B12:OFFSET($B13,-1,0),F163:OFFSET(F164,-1,0))</f>
        <v>0</v>
      </c>
      <c r="G162" s="43">
        <f ca="1">SUMPRODUCT($B12:OFFSET($B13,-1,0),G163:OFFSET(G164,-1,0))</f>
        <v>0</v>
      </c>
      <c r="H162" s="43">
        <f ca="1">SUMPRODUCT($B12:OFFSET($B13,-1,0),H163:OFFSET(H164,-1,0))</f>
        <v>0</v>
      </c>
      <c r="I162" s="43">
        <f ca="1">SUMPRODUCT($B12:OFFSET($B13,-1,0),I163:OFFSET(I164,-1,0))</f>
        <v>0</v>
      </c>
      <c r="J162" s="43">
        <f ca="1">SUMPRODUCT($B12:OFFSET($B13,-1,0),J163:OFFSET(J164,-1,0))</f>
        <v>0</v>
      </c>
      <c r="K162" s="43">
        <f ca="1">SUMPRODUCT($B12:OFFSET($B13,-1,0),K163:OFFSET(K164,-1,0))</f>
        <v>0</v>
      </c>
      <c r="L162" s="43">
        <f ca="1">SUMPRODUCT($B12:OFFSET($B13,-1,0),L163:OFFSET(L164,-1,0))</f>
        <v>0</v>
      </c>
      <c r="M162" s="43">
        <f ca="1">SUMPRODUCT($B12:OFFSET($B13,-1,0),M163:OFFSET(M164,-1,0))</f>
        <v>0</v>
      </c>
      <c r="N162" s="43">
        <f ca="1">SUMPRODUCT($B12:OFFSET($B13,-1,0),N163:OFFSET(N164,-1,0))</f>
        <v>0</v>
      </c>
      <c r="O162" s="43">
        <f ca="1">SUMPRODUCT($B12:OFFSET($B13,-1,0),O163:OFFSET(O164,-1,0))</f>
        <v>0</v>
      </c>
      <c r="P162" s="43">
        <f ca="1">SUMPRODUCT($B12:OFFSET($B13,-1,0),P163:OFFSET(P164,-1,0))</f>
        <v>0</v>
      </c>
      <c r="Q162" s="43">
        <f ca="1">SUMPRODUCT($B12:OFFSET($B13,-1,0),Q163:OFFSET(Q164,-1,0))</f>
        <v>0</v>
      </c>
      <c r="R162" s="43">
        <f ca="1">SUMPRODUCT($B12:OFFSET($B13,-1,0),R163:OFFSET(R164,-1,0))</f>
        <v>0</v>
      </c>
      <c r="S162" s="43">
        <f ca="1">SUMPRODUCT($B12:OFFSET($B13,-1,0),S163:OFFSET(S164,-1,0))</f>
        <v>0</v>
      </c>
      <c r="T162" s="43">
        <f ca="1">SUMPRODUCT($B12:OFFSET($B13,-1,0),T163:OFFSET(T164,-1,0))</f>
        <v>0</v>
      </c>
      <c r="U162" s="43">
        <f ca="1">SUMPRODUCT($B12:OFFSET($B13,-1,0),U163:OFFSET(U164,-1,0))</f>
        <v>0</v>
      </c>
      <c r="V162" s="43">
        <f ca="1">SUMPRODUCT($B12:OFFSET($B13,-1,0),V163:OFFSET(V164,-1,0))</f>
        <v>0</v>
      </c>
      <c r="W162" s="43">
        <f ca="1">SUMPRODUCT($B12:OFFSET($B13,-1,0),W163:OFFSET(W164,-1,0))</f>
        <v>0</v>
      </c>
      <c r="X162" s="43">
        <f ca="1">SUMPRODUCT($B12:OFFSET($B13,-1,0),X163:OFFSET(X164,-1,0))</f>
        <v>0</v>
      </c>
      <c r="Y162" s="43">
        <f ca="1">SUMPRODUCT($B12:OFFSET($B13,-1,0),Y163:OFFSET(Y164,-1,0))</f>
        <v>0</v>
      </c>
      <c r="AA162" s="202">
        <f t="shared" ca="1" si="16"/>
        <v>0</v>
      </c>
    </row>
    <row r="163" spans="1:27" s="11" customFormat="1" hidden="1" outlineLevel="2" x14ac:dyDescent="0.2">
      <c r="A163" s="11" t="str">
        <f ca="1">"        " &amp; A12</f>
        <v xml:space="preserve">        Проект 1</v>
      </c>
      <c r="C163" s="198" t="str">
        <f t="shared" ca="1" si="17"/>
        <v>тыс. EUR</v>
      </c>
      <c r="D163" s="11" t="e">
        <f ca="1">"[" &amp; F12 &amp; "];int_sum"</f>
        <v>#NAME?</v>
      </c>
      <c r="F163" s="54">
        <f ca="1">IF(OR(F$33&lt;$B28,F$33&gt;$C28),0,OFFSET(Проект!F$1217,0,1-$B28))</f>
        <v>0</v>
      </c>
      <c r="G163" s="54">
        <f ca="1">IF(OR(G$33&lt;$B28,G$33&gt;$C28),0,OFFSET(Проект!G$1217,0,1-$B28))</f>
        <v>0</v>
      </c>
      <c r="H163" s="54">
        <f ca="1">IF(OR(H$33&lt;$B28,H$33&gt;$C28),0,OFFSET(Проект!H$1217,0,1-$B28))</f>
        <v>0</v>
      </c>
      <c r="I163" s="54">
        <f ca="1">IF(OR(I$33&lt;$B28,I$33&gt;$C28),0,OFFSET(Проект!I$1217,0,1-$B28))</f>
        <v>0</v>
      </c>
      <c r="J163" s="54">
        <f ca="1">IF(OR(J$33&lt;$B28,J$33&gt;$C28),0,OFFSET(Проект!J$1217,0,1-$B28))</f>
        <v>0</v>
      </c>
      <c r="K163" s="54">
        <f ca="1">IF(OR(K$33&lt;$B28,K$33&gt;$C28),0,OFFSET(Проект!K$1217,0,1-$B28))</f>
        <v>0</v>
      </c>
      <c r="L163" s="54">
        <f ca="1">IF(OR(L$33&lt;$B28,L$33&gt;$C28),0,OFFSET(Проект!L$1217,0,1-$B28))</f>
        <v>0</v>
      </c>
      <c r="M163" s="54">
        <f ca="1">IF(OR(M$33&lt;$B28,M$33&gt;$C28),0,OFFSET(Проект!M$1217,0,1-$B28))</f>
        <v>0</v>
      </c>
      <c r="N163" s="54">
        <f ca="1">IF(OR(N$33&lt;$B28,N$33&gt;$C28),0,OFFSET(Проект!N$1217,0,1-$B28))</f>
        <v>0</v>
      </c>
      <c r="O163" s="54">
        <f ca="1">IF(OR(O$33&lt;$B28,O$33&gt;$C28),0,OFFSET(Проект!O$1217,0,1-$B28))</f>
        <v>0</v>
      </c>
      <c r="P163" s="54">
        <f ca="1">IF(OR(P$33&lt;$B28,P$33&gt;$C28),0,OFFSET(Проект!P$1217,0,1-$B28))</f>
        <v>0</v>
      </c>
      <c r="Q163" s="54">
        <f ca="1">IF(OR(Q$33&lt;$B28,Q$33&gt;$C28),0,OFFSET(Проект!Q$1217,0,1-$B28))</f>
        <v>0</v>
      </c>
      <c r="R163" s="54">
        <f ca="1">IF(OR(R$33&lt;$B28,R$33&gt;$C28),0,OFFSET(Проект!R$1217,0,1-$B28))</f>
        <v>0</v>
      </c>
      <c r="S163" s="54">
        <f ca="1">IF(OR(S$33&lt;$B28,S$33&gt;$C28),0,OFFSET(Проект!S$1217,0,1-$B28))</f>
        <v>0</v>
      </c>
      <c r="T163" s="54">
        <f ca="1">IF(OR(T$33&lt;$B28,T$33&gt;$C28),0,OFFSET(Проект!T$1217,0,1-$B28))</f>
        <v>0</v>
      </c>
      <c r="U163" s="54">
        <f ca="1">IF(OR(U$33&lt;$B28,U$33&gt;$C28),0,OFFSET(Проект!U$1217,0,1-$B28))</f>
        <v>0</v>
      </c>
      <c r="V163" s="54">
        <f ca="1">IF(OR(V$33&lt;$B28,V$33&gt;$C28),0,OFFSET(Проект!V$1217,0,1-$B28))</f>
        <v>0</v>
      </c>
      <c r="W163" s="54">
        <f ca="1">IF(OR(W$33&lt;$B28,W$33&gt;$C28),0,OFFSET(Проект!W$1217,0,1-$B28))</f>
        <v>0</v>
      </c>
      <c r="X163" s="54">
        <f ca="1">IF(OR(X$33&lt;$B28,X$33&gt;$C28),0,OFFSET(Проект!X$1217,0,1-$B28))</f>
        <v>0</v>
      </c>
      <c r="Y163" s="54">
        <f ca="1">IF(OR(Y$33&lt;$B28,Y$33&gt;$C28),0,OFFSET(Проект!AC$1217,0,1-$B28))</f>
        <v>0</v>
      </c>
      <c r="AA163" s="202">
        <f t="shared" ca="1" si="16"/>
        <v>0</v>
      </c>
    </row>
    <row r="164" spans="1:27" outlineLevel="1" collapsed="1" x14ac:dyDescent="0.2">
      <c r="A164" t="str">
        <f ca="1">Language!A726</f>
        <v>Прочие доходы</v>
      </c>
      <c r="C164" s="114" t="str">
        <f t="shared" ca="1" si="17"/>
        <v>тыс. EUR</v>
      </c>
      <c r="D164" s="204" t="s">
        <v>2615</v>
      </c>
      <c r="F164" s="43">
        <f ca="1">SUMPRODUCT($B12:OFFSET($B13,-1,0),F165:OFFSET(F166,-1,0))</f>
        <v>0</v>
      </c>
      <c r="G164" s="43">
        <f ca="1">SUMPRODUCT($B12:OFFSET($B13,-1,0),G165:OFFSET(G166,-1,0))</f>
        <v>0</v>
      </c>
      <c r="H164" s="43">
        <f ca="1">SUMPRODUCT($B12:OFFSET($B13,-1,0),H165:OFFSET(H166,-1,0))</f>
        <v>0</v>
      </c>
      <c r="I164" s="43">
        <f ca="1">SUMPRODUCT($B12:OFFSET($B13,-1,0),I165:OFFSET(I166,-1,0))</f>
        <v>0</v>
      </c>
      <c r="J164" s="43">
        <f ca="1">SUMPRODUCT($B12:OFFSET($B13,-1,0),J165:OFFSET(J166,-1,0))</f>
        <v>0</v>
      </c>
      <c r="K164" s="43">
        <f ca="1">SUMPRODUCT($B12:OFFSET($B13,-1,0),K165:OFFSET(K166,-1,0))</f>
        <v>0</v>
      </c>
      <c r="L164" s="43">
        <f ca="1">SUMPRODUCT($B12:OFFSET($B13,-1,0),L165:OFFSET(L166,-1,0))</f>
        <v>0</v>
      </c>
      <c r="M164" s="43">
        <f ca="1">SUMPRODUCT($B12:OFFSET($B13,-1,0),M165:OFFSET(M166,-1,0))</f>
        <v>0</v>
      </c>
      <c r="N164" s="43">
        <f ca="1">SUMPRODUCT($B12:OFFSET($B13,-1,0),N165:OFFSET(N166,-1,0))</f>
        <v>0</v>
      </c>
      <c r="O164" s="43">
        <f ca="1">SUMPRODUCT($B12:OFFSET($B13,-1,0),O165:OFFSET(O166,-1,0))</f>
        <v>0</v>
      </c>
      <c r="P164" s="43">
        <f ca="1">SUMPRODUCT($B12:OFFSET($B13,-1,0),P165:OFFSET(P166,-1,0))</f>
        <v>0</v>
      </c>
      <c r="Q164" s="43">
        <f ca="1">SUMPRODUCT($B12:OFFSET($B13,-1,0),Q165:OFFSET(Q166,-1,0))</f>
        <v>0</v>
      </c>
      <c r="R164" s="43">
        <f ca="1">SUMPRODUCT($B12:OFFSET($B13,-1,0),R165:OFFSET(R166,-1,0))</f>
        <v>0</v>
      </c>
      <c r="S164" s="43">
        <f ca="1">SUMPRODUCT($B12:OFFSET($B13,-1,0),S165:OFFSET(S166,-1,0))</f>
        <v>0</v>
      </c>
      <c r="T164" s="43">
        <f ca="1">SUMPRODUCT($B12:OFFSET($B13,-1,0),T165:OFFSET(T166,-1,0))</f>
        <v>0</v>
      </c>
      <c r="U164" s="43">
        <f ca="1">SUMPRODUCT($B12:OFFSET($B13,-1,0),U165:OFFSET(U166,-1,0))</f>
        <v>0</v>
      </c>
      <c r="V164" s="43">
        <f ca="1">SUMPRODUCT($B12:OFFSET($B13,-1,0),V165:OFFSET(V166,-1,0))</f>
        <v>0</v>
      </c>
      <c r="W164" s="43">
        <f ca="1">SUMPRODUCT($B12:OFFSET($B13,-1,0),W165:OFFSET(W166,-1,0))</f>
        <v>0</v>
      </c>
      <c r="X164" s="43">
        <f ca="1">SUMPRODUCT($B12:OFFSET($B13,-1,0),X165:OFFSET(X166,-1,0))</f>
        <v>0</v>
      </c>
      <c r="Y164" s="43">
        <f ca="1">SUMPRODUCT($B12:OFFSET($B13,-1,0),Y165:OFFSET(Y166,-1,0))</f>
        <v>0</v>
      </c>
      <c r="AA164" s="202">
        <f t="shared" ca="1" si="16"/>
        <v>0</v>
      </c>
    </row>
    <row r="165" spans="1:27" s="11" customFormat="1" hidden="1" outlineLevel="2" x14ac:dyDescent="0.2">
      <c r="A165" s="11" t="str">
        <f ca="1">"        " &amp; A12</f>
        <v xml:space="preserve">        Проект 1</v>
      </c>
      <c r="C165" s="198" t="str">
        <f t="shared" ca="1" si="17"/>
        <v>тыс. EUR</v>
      </c>
      <c r="D165" s="11" t="e">
        <f ca="1">"[" &amp; F12 &amp; "];int_sum"</f>
        <v>#NAME?</v>
      </c>
      <c r="F165" s="54">
        <f ca="1">IF(OR(F$33&lt;$B28,F$33&gt;$C28),0,OFFSET(Проект!F$1218,0,1-$B28))</f>
        <v>0</v>
      </c>
      <c r="G165" s="54">
        <f ca="1">IF(OR(G$33&lt;$B28,G$33&gt;$C28),0,OFFSET(Проект!G$1218,0,1-$B28))</f>
        <v>0</v>
      </c>
      <c r="H165" s="54">
        <f ca="1">IF(OR(H$33&lt;$B28,H$33&gt;$C28),0,OFFSET(Проект!H$1218,0,1-$B28))</f>
        <v>0</v>
      </c>
      <c r="I165" s="54">
        <f ca="1">IF(OR(I$33&lt;$B28,I$33&gt;$C28),0,OFFSET(Проект!I$1218,0,1-$B28))</f>
        <v>0</v>
      </c>
      <c r="J165" s="54">
        <f ca="1">IF(OR(J$33&lt;$B28,J$33&gt;$C28),0,OFFSET(Проект!J$1218,0,1-$B28))</f>
        <v>0</v>
      </c>
      <c r="K165" s="54">
        <f ca="1">IF(OR(K$33&lt;$B28,K$33&gt;$C28),0,OFFSET(Проект!K$1218,0,1-$B28))</f>
        <v>0</v>
      </c>
      <c r="L165" s="54">
        <f ca="1">IF(OR(L$33&lt;$B28,L$33&gt;$C28),0,OFFSET(Проект!L$1218,0,1-$B28))</f>
        <v>0</v>
      </c>
      <c r="M165" s="54">
        <f ca="1">IF(OR(M$33&lt;$B28,M$33&gt;$C28),0,OFFSET(Проект!M$1218,0,1-$B28))</f>
        <v>0</v>
      </c>
      <c r="N165" s="54">
        <f ca="1">IF(OR(N$33&lt;$B28,N$33&gt;$C28),0,OFFSET(Проект!N$1218,0,1-$B28))</f>
        <v>0</v>
      </c>
      <c r="O165" s="54">
        <f ca="1">IF(OR(O$33&lt;$B28,O$33&gt;$C28),0,OFFSET(Проект!O$1218,0,1-$B28))</f>
        <v>0</v>
      </c>
      <c r="P165" s="54">
        <f ca="1">IF(OR(P$33&lt;$B28,P$33&gt;$C28),0,OFFSET(Проект!P$1218,0,1-$B28))</f>
        <v>0</v>
      </c>
      <c r="Q165" s="54">
        <f ca="1">IF(OR(Q$33&lt;$B28,Q$33&gt;$C28),0,OFFSET(Проект!Q$1218,0,1-$B28))</f>
        <v>0</v>
      </c>
      <c r="R165" s="54">
        <f ca="1">IF(OR(R$33&lt;$B28,R$33&gt;$C28),0,OFFSET(Проект!R$1218,0,1-$B28))</f>
        <v>0</v>
      </c>
      <c r="S165" s="54">
        <f ca="1">IF(OR(S$33&lt;$B28,S$33&gt;$C28),0,OFFSET(Проект!S$1218,0,1-$B28))</f>
        <v>0</v>
      </c>
      <c r="T165" s="54">
        <f ca="1">IF(OR(T$33&lt;$B28,T$33&gt;$C28),0,OFFSET(Проект!T$1218,0,1-$B28))</f>
        <v>0</v>
      </c>
      <c r="U165" s="54">
        <f ca="1">IF(OR(U$33&lt;$B28,U$33&gt;$C28),0,OFFSET(Проект!U$1218,0,1-$B28))</f>
        <v>0</v>
      </c>
      <c r="V165" s="54">
        <f ca="1">IF(OR(V$33&lt;$B28,V$33&gt;$C28),0,OFFSET(Проект!V$1218,0,1-$B28))</f>
        <v>0</v>
      </c>
      <c r="W165" s="54">
        <f ca="1">IF(OR(W$33&lt;$B28,W$33&gt;$C28),0,OFFSET(Проект!W$1218,0,1-$B28))</f>
        <v>0</v>
      </c>
      <c r="X165" s="54">
        <f ca="1">IF(OR(X$33&lt;$B28,X$33&gt;$C28),0,OFFSET(Проект!X$1218,0,1-$B28))</f>
        <v>0</v>
      </c>
      <c r="Y165" s="54">
        <f ca="1">IF(OR(Y$33&lt;$B28,Y$33&gt;$C28),0,OFFSET(Проект!AC$1218,0,1-$B28))</f>
        <v>0</v>
      </c>
      <c r="AA165" s="202">
        <f t="shared" ca="1" si="16"/>
        <v>0</v>
      </c>
    </row>
    <row r="166" spans="1:27" s="11" customFormat="1" outlineLevel="1" collapsed="1" x14ac:dyDescent="0.2">
      <c r="A166" t="str">
        <f ca="1">Language!A727</f>
        <v>Прочие расходы</v>
      </c>
      <c r="C166" s="114" t="str">
        <f t="shared" ca="1" si="17"/>
        <v>тыс. EUR</v>
      </c>
      <c r="D166" s="204" t="s">
        <v>2615</v>
      </c>
      <c r="F166" s="43">
        <f ca="1">SUMPRODUCT($B12:OFFSET($B13,-1,0),F167:OFFSET(F168,-1,0))</f>
        <v>0</v>
      </c>
      <c r="G166" s="43">
        <f ca="1">SUMPRODUCT($B12:OFFSET($B13,-1,0),G167:OFFSET(G168,-1,0))</f>
        <v>0</v>
      </c>
      <c r="H166" s="43">
        <f ca="1">SUMPRODUCT($B12:OFFSET($B13,-1,0),H167:OFFSET(H168,-1,0))</f>
        <v>0</v>
      </c>
      <c r="I166" s="43">
        <f ca="1">SUMPRODUCT($B12:OFFSET($B13,-1,0),I167:OFFSET(I168,-1,0))</f>
        <v>0</v>
      </c>
      <c r="J166" s="43">
        <f ca="1">SUMPRODUCT($B12:OFFSET($B13,-1,0),J167:OFFSET(J168,-1,0))</f>
        <v>0</v>
      </c>
      <c r="K166" s="43">
        <f ca="1">SUMPRODUCT($B12:OFFSET($B13,-1,0),K167:OFFSET(K168,-1,0))</f>
        <v>0</v>
      </c>
      <c r="L166" s="43">
        <f ca="1">SUMPRODUCT($B12:OFFSET($B13,-1,0),L167:OFFSET(L168,-1,0))</f>
        <v>0</v>
      </c>
      <c r="M166" s="43">
        <f ca="1">SUMPRODUCT($B12:OFFSET($B13,-1,0),M167:OFFSET(M168,-1,0))</f>
        <v>0</v>
      </c>
      <c r="N166" s="43">
        <f ca="1">SUMPRODUCT($B12:OFFSET($B13,-1,0),N167:OFFSET(N168,-1,0))</f>
        <v>0</v>
      </c>
      <c r="O166" s="43">
        <f ca="1">SUMPRODUCT($B12:OFFSET($B13,-1,0),O167:OFFSET(O168,-1,0))</f>
        <v>0</v>
      </c>
      <c r="P166" s="43">
        <f ca="1">SUMPRODUCT($B12:OFFSET($B13,-1,0),P167:OFFSET(P168,-1,0))</f>
        <v>0</v>
      </c>
      <c r="Q166" s="43">
        <f ca="1">SUMPRODUCT($B12:OFFSET($B13,-1,0),Q167:OFFSET(Q168,-1,0))</f>
        <v>0</v>
      </c>
      <c r="R166" s="43">
        <f ca="1">SUMPRODUCT($B12:OFFSET($B13,-1,0),R167:OFFSET(R168,-1,0))</f>
        <v>0</v>
      </c>
      <c r="S166" s="43">
        <f ca="1">SUMPRODUCT($B12:OFFSET($B13,-1,0),S167:OFFSET(S168,-1,0))</f>
        <v>0</v>
      </c>
      <c r="T166" s="43">
        <f ca="1">SUMPRODUCT($B12:OFFSET($B13,-1,0),T167:OFFSET(T168,-1,0))</f>
        <v>0</v>
      </c>
      <c r="U166" s="43">
        <f ca="1">SUMPRODUCT($B12:OFFSET($B13,-1,0),U167:OFFSET(U168,-1,0))</f>
        <v>0</v>
      </c>
      <c r="V166" s="43">
        <f ca="1">SUMPRODUCT($B12:OFFSET($B13,-1,0),V167:OFFSET(V168,-1,0))</f>
        <v>0</v>
      </c>
      <c r="W166" s="43">
        <f ca="1">SUMPRODUCT($B12:OFFSET($B13,-1,0),W167:OFFSET(W168,-1,0))</f>
        <v>0</v>
      </c>
      <c r="X166" s="43">
        <f ca="1">SUMPRODUCT($B12:OFFSET($B13,-1,0),X167:OFFSET(X168,-1,0))</f>
        <v>0</v>
      </c>
      <c r="Y166" s="43">
        <f ca="1">SUMPRODUCT($B12:OFFSET($B13,-1,0),Y167:OFFSET(Y168,-1,0))</f>
        <v>0</v>
      </c>
      <c r="AA166" s="202">
        <f t="shared" ca="1" si="16"/>
        <v>0</v>
      </c>
    </row>
    <row r="167" spans="1:27" s="11" customFormat="1" hidden="1" outlineLevel="2" x14ac:dyDescent="0.2">
      <c r="A167" s="11" t="str">
        <f ca="1">"        " &amp; A12</f>
        <v xml:space="preserve">        Проект 1</v>
      </c>
      <c r="C167" s="198" t="str">
        <f t="shared" ca="1" si="17"/>
        <v>тыс. EUR</v>
      </c>
      <c r="D167" s="11" t="e">
        <f ca="1">"[" &amp; F12 &amp; "];int_sum"</f>
        <v>#NAME?</v>
      </c>
      <c r="F167" s="54">
        <f ca="1">IF(OR(F$33&lt;$B28,F$33&gt;$C28),0,OFFSET(Проект!F$1219,0,1-$B28))</f>
        <v>0</v>
      </c>
      <c r="G167" s="54">
        <f ca="1">IF(OR(G$33&lt;$B28,G$33&gt;$C28),0,OFFSET(Проект!G$1219,0,1-$B28))</f>
        <v>0</v>
      </c>
      <c r="H167" s="54">
        <f ca="1">IF(OR(H$33&lt;$B28,H$33&gt;$C28),0,OFFSET(Проект!H$1219,0,1-$B28))</f>
        <v>0</v>
      </c>
      <c r="I167" s="54">
        <f ca="1">IF(OR(I$33&lt;$B28,I$33&gt;$C28),0,OFFSET(Проект!I$1219,0,1-$B28))</f>
        <v>0</v>
      </c>
      <c r="J167" s="54">
        <f ca="1">IF(OR(J$33&lt;$B28,J$33&gt;$C28),0,OFFSET(Проект!J$1219,0,1-$B28))</f>
        <v>0</v>
      </c>
      <c r="K167" s="54">
        <f ca="1">IF(OR(K$33&lt;$B28,K$33&gt;$C28),0,OFFSET(Проект!K$1219,0,1-$B28))</f>
        <v>0</v>
      </c>
      <c r="L167" s="54">
        <f ca="1">IF(OR(L$33&lt;$B28,L$33&gt;$C28),0,OFFSET(Проект!L$1219,0,1-$B28))</f>
        <v>0</v>
      </c>
      <c r="M167" s="54">
        <f ca="1">IF(OR(M$33&lt;$B28,M$33&gt;$C28),0,OFFSET(Проект!M$1219,0,1-$B28))</f>
        <v>0</v>
      </c>
      <c r="N167" s="54">
        <f ca="1">IF(OR(N$33&lt;$B28,N$33&gt;$C28),0,OFFSET(Проект!N$1219,0,1-$B28))</f>
        <v>0</v>
      </c>
      <c r="O167" s="54">
        <f ca="1">IF(OR(O$33&lt;$B28,O$33&gt;$C28),0,OFFSET(Проект!O$1219,0,1-$B28))</f>
        <v>0</v>
      </c>
      <c r="P167" s="54">
        <f ca="1">IF(OR(P$33&lt;$B28,P$33&gt;$C28),0,OFFSET(Проект!P$1219,0,1-$B28))</f>
        <v>0</v>
      </c>
      <c r="Q167" s="54">
        <f ca="1">IF(OR(Q$33&lt;$B28,Q$33&gt;$C28),0,OFFSET(Проект!Q$1219,0,1-$B28))</f>
        <v>0</v>
      </c>
      <c r="R167" s="54">
        <f ca="1">IF(OR(R$33&lt;$B28,R$33&gt;$C28),0,OFFSET(Проект!R$1219,0,1-$B28))</f>
        <v>0</v>
      </c>
      <c r="S167" s="54">
        <f ca="1">IF(OR(S$33&lt;$B28,S$33&gt;$C28),0,OFFSET(Проект!S$1219,0,1-$B28))</f>
        <v>0</v>
      </c>
      <c r="T167" s="54">
        <f ca="1">IF(OR(T$33&lt;$B28,T$33&gt;$C28),0,OFFSET(Проект!T$1219,0,1-$B28))</f>
        <v>0</v>
      </c>
      <c r="U167" s="54">
        <f ca="1">IF(OR(U$33&lt;$B28,U$33&gt;$C28),0,OFFSET(Проект!U$1219,0,1-$B28))</f>
        <v>0</v>
      </c>
      <c r="V167" s="54">
        <f ca="1">IF(OR(V$33&lt;$B28,V$33&gt;$C28),0,OFFSET(Проект!V$1219,0,1-$B28))</f>
        <v>0</v>
      </c>
      <c r="W167" s="54">
        <f ca="1">IF(OR(W$33&lt;$B28,W$33&gt;$C28),0,OFFSET(Проект!W$1219,0,1-$B28))</f>
        <v>0</v>
      </c>
      <c r="X167" s="54">
        <f ca="1">IF(OR(X$33&lt;$B28,X$33&gt;$C28),0,OFFSET(Проект!X$1219,0,1-$B28))</f>
        <v>0</v>
      </c>
      <c r="Y167" s="54">
        <f ca="1">IF(OR(Y$33&lt;$B28,Y$33&gt;$C28),0,OFFSET(Проект!AC$1219,0,1-$B28))</f>
        <v>0</v>
      </c>
      <c r="AA167" s="202">
        <f t="shared" ca="1" si="16"/>
        <v>0</v>
      </c>
    </row>
    <row r="168" spans="1:27" outlineLevel="1" collapsed="1" x14ac:dyDescent="0.2">
      <c r="A168" s="35" t="str">
        <f ca="1">Language!A732</f>
        <v>Прибыль до налогообложения</v>
      </c>
      <c r="C168" s="114" t="str">
        <f t="shared" ref="C168:C190" ca="1" si="18">CUR_Report</f>
        <v>тыс. EUR</v>
      </c>
      <c r="D168" s="204" t="s">
        <v>2615</v>
      </c>
      <c r="F168" s="58">
        <f ca="1">SUMPRODUCT($B12:OFFSET($B13,-1,0),F169:OFFSET(F170,-1,0))</f>
        <v>0</v>
      </c>
      <c r="G168" s="58">
        <f ca="1">SUMPRODUCT($B12:OFFSET($B13,-1,0),G169:OFFSET(G170,-1,0))</f>
        <v>0</v>
      </c>
      <c r="H168" s="58">
        <f ca="1">SUMPRODUCT($B12:OFFSET($B13,-1,0),H169:OFFSET(H170,-1,0))</f>
        <v>0</v>
      </c>
      <c r="I168" s="58">
        <f ca="1">SUMPRODUCT($B12:OFFSET($B13,-1,0),I169:OFFSET(I170,-1,0))</f>
        <v>0</v>
      </c>
      <c r="J168" s="58">
        <f ca="1">SUMPRODUCT($B12:OFFSET($B13,-1,0),J169:OFFSET(J170,-1,0))</f>
        <v>-309.35251270876392</v>
      </c>
      <c r="K168" s="58">
        <f ca="1">SUMPRODUCT($B12:OFFSET($B13,-1,0),K169:OFFSET(K170,-1,0))</f>
        <v>-542.72200914744883</v>
      </c>
      <c r="L168" s="58">
        <f ca="1">SUMPRODUCT($B12:OFFSET($B13,-1,0),L169:OFFSET(L170,-1,0))</f>
        <v>36.808723789765239</v>
      </c>
      <c r="M168" s="58">
        <f ca="1">SUMPRODUCT($B12:OFFSET($B13,-1,0),M169:OFFSET(M170,-1,0))</f>
        <v>515.87606298127139</v>
      </c>
      <c r="N168" s="58">
        <f ca="1">SUMPRODUCT($B12:OFFSET($B13,-1,0),N169:OFFSET(N170,-1,0))</f>
        <v>1055.7734838408458</v>
      </c>
      <c r="O168" s="58">
        <f ca="1">SUMPRODUCT($B12:OFFSET($B13,-1,0),O169:OFFSET(O170,-1,0))</f>
        <v>1414.1014526877718</v>
      </c>
      <c r="P168" s="58">
        <f ca="1">SUMPRODUCT($B12:OFFSET($B13,-1,0),P169:OFFSET(P170,-1,0))</f>
        <v>1414.1014526877718</v>
      </c>
      <c r="Q168" s="58">
        <f ca="1">SUMPRODUCT($B12:OFFSET($B13,-1,0),Q169:OFFSET(Q170,-1,0))</f>
        <v>1414.1014526877718</v>
      </c>
      <c r="R168" s="58">
        <f ca="1">SUMPRODUCT($B12:OFFSET($B13,-1,0),R169:OFFSET(R170,-1,0))</f>
        <v>1414.1014526877718</v>
      </c>
      <c r="S168" s="58">
        <f ca="1">SUMPRODUCT($B12:OFFSET($B13,-1,0),S169:OFFSET(S170,-1,0))</f>
        <v>1414.1014526877718</v>
      </c>
      <c r="T168" s="58">
        <f ca="1">SUMPRODUCT($B12:OFFSET($B13,-1,0),T169:OFFSET(T170,-1,0))</f>
        <v>1414.1014526877718</v>
      </c>
      <c r="U168" s="58">
        <f ca="1">SUMPRODUCT($B12:OFFSET($B13,-1,0),U169:OFFSET(U170,-1,0))</f>
        <v>1414.1014526877718</v>
      </c>
      <c r="V168" s="58">
        <f ca="1">SUMPRODUCT($B12:OFFSET($B13,-1,0),V169:OFFSET(V170,-1,0))</f>
        <v>1414.1014526877718</v>
      </c>
      <c r="W168" s="58">
        <f ca="1">SUMPRODUCT($B12:OFFSET($B13,-1,0),W169:OFFSET(W170,-1,0))</f>
        <v>1414.1014526877718</v>
      </c>
      <c r="X168" s="58">
        <f ca="1">SUMPRODUCT($B12:OFFSET($B13,-1,0),X169:OFFSET(X170,-1,0))</f>
        <v>1414.1014526877718</v>
      </c>
      <c r="Y168" s="58">
        <f ca="1">SUMPRODUCT($B12:OFFSET($B13,-1,0),Y169:OFFSET(Y170,-1,0))</f>
        <v>1414.1014526877718</v>
      </c>
      <c r="Z168" s="35"/>
      <c r="AA168" s="57">
        <f t="shared" ca="1" si="16"/>
        <v>16311.499728321158</v>
      </c>
    </row>
    <row r="169" spans="1:27" s="11" customFormat="1" hidden="1" outlineLevel="2" x14ac:dyDescent="0.2">
      <c r="A169" s="11" t="str">
        <f ca="1">"        " &amp; A12</f>
        <v xml:space="preserve">        Проект 1</v>
      </c>
      <c r="C169" s="198" t="str">
        <f t="shared" ca="1" si="18"/>
        <v>тыс. EUR</v>
      </c>
      <c r="D169" s="11" t="e">
        <f ca="1">"[" &amp; F12 &amp; "];int_sum"</f>
        <v>#NAME?</v>
      </c>
      <c r="F169" s="54">
        <f ca="1">IF(OR(F$33&lt;$B28,F$33&gt;$C28),0,OFFSET(Проект!F$1220,0,1-$B28))</f>
        <v>0</v>
      </c>
      <c r="G169" s="54">
        <f ca="1">IF(OR(G$33&lt;$B28,G$33&gt;$C28),0,OFFSET(Проект!G$1220,0,1-$B28))</f>
        <v>0</v>
      </c>
      <c r="H169" s="54">
        <f ca="1">IF(OR(H$33&lt;$B28,H$33&gt;$C28),0,OFFSET(Проект!H$1220,0,1-$B28))</f>
        <v>0</v>
      </c>
      <c r="I169" s="54">
        <f ca="1">IF(OR(I$33&lt;$B28,I$33&gt;$C28),0,OFFSET(Проект!I$1220,0,1-$B28))</f>
        <v>0</v>
      </c>
      <c r="J169" s="54">
        <f ca="1">IF(OR(J$33&lt;$B28,J$33&gt;$C28),0,OFFSET(Проект!J$1220,0,1-$B28))</f>
        <v>-309.35251270876392</v>
      </c>
      <c r="K169" s="54">
        <f ca="1">IF(OR(K$33&lt;$B28,K$33&gt;$C28),0,OFFSET(Проект!K$1220,0,1-$B28))</f>
        <v>-542.72200914744883</v>
      </c>
      <c r="L169" s="54">
        <f ca="1">IF(OR(L$33&lt;$B28,L$33&gt;$C28),0,OFFSET(Проект!L$1220,0,1-$B28))</f>
        <v>36.808723789765239</v>
      </c>
      <c r="M169" s="54">
        <f ca="1">IF(OR(M$33&lt;$B28,M$33&gt;$C28),0,OFFSET(Проект!M$1220,0,1-$B28))</f>
        <v>515.87606298127139</v>
      </c>
      <c r="N169" s="54">
        <f ca="1">IF(OR(N$33&lt;$B28,N$33&gt;$C28),0,OFFSET(Проект!N$1220,0,1-$B28))</f>
        <v>1055.7734838408458</v>
      </c>
      <c r="O169" s="54">
        <f ca="1">IF(OR(O$33&lt;$B28,O$33&gt;$C28),0,OFFSET(Проект!O$1220,0,1-$B28))</f>
        <v>1414.1014526877718</v>
      </c>
      <c r="P169" s="54">
        <f ca="1">IF(OR(P$33&lt;$B28,P$33&gt;$C28),0,OFFSET(Проект!P$1220,0,1-$B28))</f>
        <v>1414.1014526877718</v>
      </c>
      <c r="Q169" s="54">
        <f ca="1">IF(OR(Q$33&lt;$B28,Q$33&gt;$C28),0,OFFSET(Проект!Q$1220,0,1-$B28))</f>
        <v>1414.1014526877718</v>
      </c>
      <c r="R169" s="54">
        <f ca="1">IF(OR(R$33&lt;$B28,R$33&gt;$C28),0,OFFSET(Проект!R$1220,0,1-$B28))</f>
        <v>1414.1014526877718</v>
      </c>
      <c r="S169" s="54">
        <f ca="1">IF(OR(S$33&lt;$B28,S$33&gt;$C28),0,OFFSET(Проект!S$1220,0,1-$B28))</f>
        <v>1414.1014526877718</v>
      </c>
      <c r="T169" s="54">
        <f ca="1">IF(OR(T$33&lt;$B28,T$33&gt;$C28),0,OFFSET(Проект!T$1220,0,1-$B28))</f>
        <v>1414.1014526877718</v>
      </c>
      <c r="U169" s="54">
        <f ca="1">IF(OR(U$33&lt;$B28,U$33&gt;$C28),0,OFFSET(Проект!U$1220,0,1-$B28))</f>
        <v>1414.1014526877718</v>
      </c>
      <c r="V169" s="54">
        <f ca="1">IF(OR(V$33&lt;$B28,V$33&gt;$C28),0,OFFSET(Проект!V$1220,0,1-$B28))</f>
        <v>1414.1014526877718</v>
      </c>
      <c r="W169" s="54">
        <f ca="1">IF(OR(W$33&lt;$B28,W$33&gt;$C28),0,OFFSET(Проект!W$1220,0,1-$B28))</f>
        <v>1414.1014526877718</v>
      </c>
      <c r="X169" s="54">
        <f ca="1">IF(OR(X$33&lt;$B28,X$33&gt;$C28),0,OFFSET(Проект!X$1220,0,1-$B28))</f>
        <v>1414.1014526877718</v>
      </c>
      <c r="Y169" s="54">
        <f ca="1">IF(OR(Y$33&lt;$B28,Y$33&gt;$C28),0,OFFSET(Проект!AC$1220,0,1-$B28))</f>
        <v>1414.1014526877718</v>
      </c>
      <c r="AA169" s="202">
        <f t="shared" ca="1" si="16"/>
        <v>16311.499728321158</v>
      </c>
    </row>
    <row r="170" spans="1:27" outlineLevel="1" collapsed="1" x14ac:dyDescent="0.2">
      <c r="A170" t="str">
        <f ca="1">Language!A733</f>
        <v>Налог на прибыль</v>
      </c>
      <c r="C170" s="114" t="str">
        <f t="shared" ca="1" si="18"/>
        <v>тыс. EUR</v>
      </c>
      <c r="D170" s="204" t="s">
        <v>2615</v>
      </c>
      <c r="F170" s="108">
        <f ca="1">IF($B12=2,SUMPRODUCT($B12:OFFSET($B13,-1,0),F171:OFFSET(F172,-1,0)),F44+F61)</f>
        <v>0</v>
      </c>
      <c r="G170" s="108">
        <f ca="1">IF($B12=2,SUMPRODUCT($B12:OFFSET($B13,-1,0),G171:OFFSET(G172,-1,0)),G44+G61)</f>
        <v>0</v>
      </c>
      <c r="H170" s="108">
        <f ca="1">IF($B12=2,SUMPRODUCT($B12:OFFSET($B13,-1,0),H171:OFFSET(H172,-1,0)),H44+H61)</f>
        <v>0</v>
      </c>
      <c r="I170" s="108">
        <f ca="1">IF($B12=2,SUMPRODUCT($B12:OFFSET($B13,-1,0),I171:OFFSET(I172,-1,0)),I44+I61)</f>
        <v>0</v>
      </c>
      <c r="J170" s="108">
        <f ca="1">IF($B12=2,SUMPRODUCT($B12:OFFSET($B13,-1,0),J171:OFFSET(J172,-1,0)),J44+J61)</f>
        <v>0</v>
      </c>
      <c r="K170" s="108">
        <f ca="1">IF($B12=2,SUMPRODUCT($B12:OFFSET($B13,-1,0),K171:OFFSET(K172,-1,0)),K44+K61)</f>
        <v>0</v>
      </c>
      <c r="L170" s="108">
        <f ca="1">IF($B12=2,SUMPRODUCT($B12:OFFSET($B13,-1,0),L171:OFFSET(L172,-1,0)),L44+L61)</f>
        <v>0</v>
      </c>
      <c r="M170" s="108">
        <f ca="1">IF($B12=2,SUMPRODUCT($B12:OFFSET($B13,-1,0),M171:OFFSET(M172,-1,0)),M44+M61)</f>
        <v>0</v>
      </c>
      <c r="N170" s="108">
        <f ca="1">IF($B12=2,SUMPRODUCT($B12:OFFSET($B13,-1,0),N171:OFFSET(N172,-1,0)),N44+N61)</f>
        <v>143.71291226357724</v>
      </c>
      <c r="O170" s="108">
        <f ca="1">IF($B12=2,SUMPRODUCT($B12:OFFSET($B13,-1,0),O171:OFFSET(O172,-1,0)),O44+O61)</f>
        <v>268.67927601067663</v>
      </c>
      <c r="P170" s="108">
        <f ca="1">IF($B12=2,SUMPRODUCT($B12:OFFSET($B13,-1,0),P171:OFFSET(P172,-1,0)),P44+P61)</f>
        <v>268.67927601067663</v>
      </c>
      <c r="Q170" s="108">
        <f ca="1">IF($B12=2,SUMPRODUCT($B12:OFFSET($B13,-1,0),Q171:OFFSET(Q172,-1,0)),Q44+Q61)</f>
        <v>268.67927601067663</v>
      </c>
      <c r="R170" s="108">
        <f ca="1">IF($B12=2,SUMPRODUCT($B12:OFFSET($B13,-1,0),R171:OFFSET(R172,-1,0)),R44+R61)</f>
        <v>268.67927601067663</v>
      </c>
      <c r="S170" s="108">
        <f ca="1">IF($B12=2,SUMPRODUCT($B12:OFFSET($B13,-1,0),S171:OFFSET(S172,-1,0)),S44+S61)</f>
        <v>268.67927601067663</v>
      </c>
      <c r="T170" s="108">
        <f ca="1">IF($B12=2,SUMPRODUCT($B12:OFFSET($B13,-1,0),T171:OFFSET(T172,-1,0)),T44+T61)</f>
        <v>268.67927601067663</v>
      </c>
      <c r="U170" s="108">
        <f ca="1">IF($B12=2,SUMPRODUCT($B12:OFFSET($B13,-1,0),U171:OFFSET(U172,-1,0)),U44+U61)</f>
        <v>268.67927601067663</v>
      </c>
      <c r="V170" s="108">
        <f ca="1">IF($B12=2,SUMPRODUCT($B12:OFFSET($B13,-1,0),V171:OFFSET(V172,-1,0)),V44+V61)</f>
        <v>268.67927601067663</v>
      </c>
      <c r="W170" s="108">
        <f ca="1">IF($B12=2,SUMPRODUCT($B12:OFFSET($B13,-1,0),W171:OFFSET(W172,-1,0)),W44+W61)</f>
        <v>268.67927601067663</v>
      </c>
      <c r="X170" s="108">
        <f ca="1">IF($B12=2,SUMPRODUCT($B12:OFFSET($B13,-1,0),X171:OFFSET(X172,-1,0)),X44+X61)</f>
        <v>268.67927601067663</v>
      </c>
      <c r="Y170" s="108">
        <f ca="1">IF($B12=2,SUMPRODUCT($B12:OFFSET($B13,-1,0),Y171:OFFSET(Y172,-1,0)),Y44+Y61)</f>
        <v>268.67927601067663</v>
      </c>
      <c r="AA170" s="202">
        <f t="shared" ca="1" si="16"/>
        <v>3099.1849483810192</v>
      </c>
    </row>
    <row r="171" spans="1:27" s="11" customFormat="1" hidden="1" outlineLevel="2" x14ac:dyDescent="0.2">
      <c r="A171" s="11" t="str">
        <f ca="1">"        " &amp; A12</f>
        <v xml:space="preserve">        Проект 1</v>
      </c>
      <c r="C171" s="198" t="str">
        <f t="shared" ca="1" si="18"/>
        <v>тыс. EUR</v>
      </c>
      <c r="D171" s="11" t="e">
        <f ca="1">"[" &amp; F12 &amp; "];int_sum"</f>
        <v>#NAME?</v>
      </c>
      <c r="F171" s="54">
        <f ca="1">IF(OR(F$33&lt;$B28,F$33&gt;$C28),0,OFFSET(Проект!F$1221,0,1-$B28))</f>
        <v>0</v>
      </c>
      <c r="G171" s="54">
        <f ca="1">IF(OR(G$33&lt;$B28,G$33&gt;$C28),0,OFFSET(Проект!G$1221,0,1-$B28))</f>
        <v>0</v>
      </c>
      <c r="H171" s="54">
        <f ca="1">IF(OR(H$33&lt;$B28,H$33&gt;$C28),0,OFFSET(Проект!H$1221,0,1-$B28))</f>
        <v>0</v>
      </c>
      <c r="I171" s="54">
        <f ca="1">IF(OR(I$33&lt;$B28,I$33&gt;$C28),0,OFFSET(Проект!I$1221,0,1-$B28))</f>
        <v>0</v>
      </c>
      <c r="J171" s="54">
        <f ca="1">IF(OR(J$33&lt;$B28,J$33&gt;$C28),0,OFFSET(Проект!J$1221,0,1-$B28))</f>
        <v>0</v>
      </c>
      <c r="K171" s="54">
        <f ca="1">IF(OR(K$33&lt;$B28,K$33&gt;$C28),0,OFFSET(Проект!K$1221,0,1-$B28))</f>
        <v>0</v>
      </c>
      <c r="L171" s="54">
        <f ca="1">IF(OR(L$33&lt;$B28,L$33&gt;$C28),0,OFFSET(Проект!L$1221,0,1-$B28))</f>
        <v>0</v>
      </c>
      <c r="M171" s="54">
        <f ca="1">IF(OR(M$33&lt;$B28,M$33&gt;$C28),0,OFFSET(Проект!M$1221,0,1-$B28))</f>
        <v>0</v>
      </c>
      <c r="N171" s="54">
        <f ca="1">IF(OR(N$33&lt;$B28,N$33&gt;$C28),0,OFFSET(Проект!N$1221,0,1-$B28))</f>
        <v>143.71291226357724</v>
      </c>
      <c r="O171" s="54">
        <f ca="1">IF(OR(O$33&lt;$B28,O$33&gt;$C28),0,OFFSET(Проект!O$1221,0,1-$B28))</f>
        <v>268.67927601067663</v>
      </c>
      <c r="P171" s="54">
        <f ca="1">IF(OR(P$33&lt;$B28,P$33&gt;$C28),0,OFFSET(Проект!P$1221,0,1-$B28))</f>
        <v>268.67927601067663</v>
      </c>
      <c r="Q171" s="54">
        <f ca="1">IF(OR(Q$33&lt;$B28,Q$33&gt;$C28),0,OFFSET(Проект!Q$1221,0,1-$B28))</f>
        <v>268.67927601067663</v>
      </c>
      <c r="R171" s="54">
        <f ca="1">IF(OR(R$33&lt;$B28,R$33&gt;$C28),0,OFFSET(Проект!R$1221,0,1-$B28))</f>
        <v>268.67927601067663</v>
      </c>
      <c r="S171" s="54">
        <f ca="1">IF(OR(S$33&lt;$B28,S$33&gt;$C28),0,OFFSET(Проект!S$1221,0,1-$B28))</f>
        <v>268.67927601067663</v>
      </c>
      <c r="T171" s="54">
        <f ca="1">IF(OR(T$33&lt;$B28,T$33&gt;$C28),0,OFFSET(Проект!T$1221,0,1-$B28))</f>
        <v>268.67927601067663</v>
      </c>
      <c r="U171" s="54">
        <f ca="1">IF(OR(U$33&lt;$B28,U$33&gt;$C28),0,OFFSET(Проект!U$1221,0,1-$B28))</f>
        <v>268.67927601067663</v>
      </c>
      <c r="V171" s="54">
        <f ca="1">IF(OR(V$33&lt;$B28,V$33&gt;$C28),0,OFFSET(Проект!V$1221,0,1-$B28))</f>
        <v>268.67927601067663</v>
      </c>
      <c r="W171" s="54">
        <f ca="1">IF(OR(W$33&lt;$B28,W$33&gt;$C28),0,OFFSET(Проект!W$1221,0,1-$B28))</f>
        <v>268.67927601067663</v>
      </c>
      <c r="X171" s="54">
        <f ca="1">IF(OR(X$33&lt;$B28,X$33&gt;$C28),0,OFFSET(Проект!X$1221,0,1-$B28))</f>
        <v>268.67927601067663</v>
      </c>
      <c r="Y171" s="54">
        <f ca="1">IF(OR(Y$33&lt;$B28,Y$33&gt;$C28),0,OFFSET(Проект!AC$1221,0,1-$B28))</f>
        <v>268.67927601067663</v>
      </c>
      <c r="AA171" s="202">
        <f t="shared" ca="1" si="16"/>
        <v>3099.1849483810192</v>
      </c>
    </row>
    <row r="172" spans="1:27" outlineLevel="1" collapsed="1" x14ac:dyDescent="0.2">
      <c r="A172" s="178" t="str">
        <f ca="1">Language!A734</f>
        <v>Чистая прибыль (убыток)</v>
      </c>
      <c r="C172" s="114" t="str">
        <f t="shared" ca="1" si="18"/>
        <v>тыс. EUR</v>
      </c>
      <c r="D172" s="204" t="s">
        <v>2615</v>
      </c>
      <c r="F172" s="206">
        <f ca="1">IF($B41=2,SUMPRODUCT($B12:OFFSET($B13,-1,0),F173:OFFSET(F174,-1,0)),F168-F170)</f>
        <v>0</v>
      </c>
      <c r="G172" s="206">
        <f ca="1">IF($B41=2,SUMPRODUCT($B12:OFFSET($B13,-1,0),G173:OFFSET(G174,-1,0)),G168-G170)</f>
        <v>0</v>
      </c>
      <c r="H172" s="206">
        <f ca="1">IF($B41=2,SUMPRODUCT($B12:OFFSET($B13,-1,0),H173:OFFSET(H174,-1,0)),H168-H170)</f>
        <v>0</v>
      </c>
      <c r="I172" s="206">
        <f ca="1">IF($B41=2,SUMPRODUCT($B12:OFFSET($B13,-1,0),I173:OFFSET(I174,-1,0)),I168-I170)</f>
        <v>0</v>
      </c>
      <c r="J172" s="206">
        <f ca="1">IF($B41=2,SUMPRODUCT($B12:OFFSET($B13,-1,0),J173:OFFSET(J174,-1,0)),J168-J170)</f>
        <v>-309.35251270876392</v>
      </c>
      <c r="K172" s="206">
        <f ca="1">IF($B41=2,SUMPRODUCT($B12:OFFSET($B13,-1,0),K173:OFFSET(K174,-1,0)),K168-K170)</f>
        <v>-542.72200914744883</v>
      </c>
      <c r="L172" s="206">
        <f ca="1">IF($B41=2,SUMPRODUCT($B12:OFFSET($B13,-1,0),L173:OFFSET(L174,-1,0)),L168-L170)</f>
        <v>36.808723789765239</v>
      </c>
      <c r="M172" s="206">
        <f ca="1">IF($B41=2,SUMPRODUCT($B12:OFFSET($B13,-1,0),M173:OFFSET(M174,-1,0)),M168-M170)</f>
        <v>515.87606298127139</v>
      </c>
      <c r="N172" s="206">
        <f ca="1">IF($B41=2,SUMPRODUCT($B12:OFFSET($B13,-1,0),N173:OFFSET(N174,-1,0)),N168-N170)</f>
        <v>912.06057157726855</v>
      </c>
      <c r="O172" s="206">
        <f ca="1">IF($B41=2,SUMPRODUCT($B12:OFFSET($B13,-1,0),O173:OFFSET(O174,-1,0)),O168-O170)</f>
        <v>1145.4221766770952</v>
      </c>
      <c r="P172" s="206">
        <f ca="1">IF($B41=2,SUMPRODUCT($B12:OFFSET($B13,-1,0),P173:OFFSET(P174,-1,0)),P168-P170)</f>
        <v>1145.4221766770952</v>
      </c>
      <c r="Q172" s="206">
        <f ca="1">IF($B41=2,SUMPRODUCT($B12:OFFSET($B13,-1,0),Q173:OFFSET(Q174,-1,0)),Q168-Q170)</f>
        <v>1145.4221766770952</v>
      </c>
      <c r="R172" s="206">
        <f ca="1">IF($B41=2,SUMPRODUCT($B12:OFFSET($B13,-1,0),R173:OFFSET(R174,-1,0)),R168-R170)</f>
        <v>1145.4221766770952</v>
      </c>
      <c r="S172" s="206">
        <f ca="1">IF($B41=2,SUMPRODUCT($B12:OFFSET($B13,-1,0),S173:OFFSET(S174,-1,0)),S168-S170)</f>
        <v>1145.4221766770952</v>
      </c>
      <c r="T172" s="206">
        <f ca="1">IF($B41=2,SUMPRODUCT($B12:OFFSET($B13,-1,0),T173:OFFSET(T174,-1,0)),T168-T170)</f>
        <v>1145.4221766770952</v>
      </c>
      <c r="U172" s="206">
        <f ca="1">IF($B41=2,SUMPRODUCT($B12:OFFSET($B13,-1,0),U173:OFFSET(U174,-1,0)),U168-U170)</f>
        <v>1145.4221766770952</v>
      </c>
      <c r="V172" s="206">
        <f ca="1">IF($B41=2,SUMPRODUCT($B12:OFFSET($B13,-1,0),V173:OFFSET(V174,-1,0)),V168-V170)</f>
        <v>1145.4221766770952</v>
      </c>
      <c r="W172" s="206">
        <f ca="1">IF($B41=2,SUMPRODUCT($B12:OFFSET($B13,-1,0),W173:OFFSET(W174,-1,0)),W168-W170)</f>
        <v>1145.4221766770952</v>
      </c>
      <c r="X172" s="206">
        <f ca="1">IF($B41=2,SUMPRODUCT($B12:OFFSET($B13,-1,0),X173:OFFSET(X174,-1,0)),X168-X170)</f>
        <v>1145.4221766770952</v>
      </c>
      <c r="Y172" s="206">
        <f ca="1">IF($B41=2,SUMPRODUCT($B12:OFFSET($B13,-1,0),Y173:OFFSET(Y174,-1,0)),Y168-Y170)</f>
        <v>1145.4221766770952</v>
      </c>
      <c r="Z172" s="178"/>
      <c r="AA172" s="57">
        <f t="shared" ca="1" si="16"/>
        <v>13212.314779940139</v>
      </c>
    </row>
    <row r="173" spans="1:27" s="11" customFormat="1" hidden="1" outlineLevel="2" x14ac:dyDescent="0.2">
      <c r="A173" s="11" t="str">
        <f ca="1">"        " &amp; A12</f>
        <v xml:space="preserve">        Проект 1</v>
      </c>
      <c r="C173" s="198" t="str">
        <f t="shared" ca="1" si="18"/>
        <v>тыс. EUR</v>
      </c>
      <c r="D173" s="11" t="e">
        <f ca="1">"[" &amp; F12 &amp; "];int_sum"</f>
        <v>#NAME?</v>
      </c>
      <c r="F173" s="54">
        <f ca="1">IF(OR(F$33&lt;$B28,F$33&gt;$C28),0,OFFSET(Проект!F$1222,0,1-$B28))</f>
        <v>0</v>
      </c>
      <c r="G173" s="54">
        <f ca="1">IF(OR(G$33&lt;$B28,G$33&gt;$C28),0,OFFSET(Проект!G$1222,0,1-$B28))</f>
        <v>0</v>
      </c>
      <c r="H173" s="54">
        <f ca="1">IF(OR(H$33&lt;$B28,H$33&gt;$C28),0,OFFSET(Проект!H$1222,0,1-$B28))</f>
        <v>0</v>
      </c>
      <c r="I173" s="54">
        <f ca="1">IF(OR(I$33&lt;$B28,I$33&gt;$C28),0,OFFSET(Проект!I$1222,0,1-$B28))</f>
        <v>0</v>
      </c>
      <c r="J173" s="54">
        <f ca="1">IF(OR(J$33&lt;$B28,J$33&gt;$C28),0,OFFSET(Проект!J$1222,0,1-$B28))</f>
        <v>-309.35251270876392</v>
      </c>
      <c r="K173" s="54">
        <f ca="1">IF(OR(K$33&lt;$B28,K$33&gt;$C28),0,OFFSET(Проект!K$1222,0,1-$B28))</f>
        <v>-542.72200914744883</v>
      </c>
      <c r="L173" s="54">
        <f ca="1">IF(OR(L$33&lt;$B28,L$33&gt;$C28),0,OFFSET(Проект!L$1222,0,1-$B28))</f>
        <v>36.808723789765239</v>
      </c>
      <c r="M173" s="54">
        <f ca="1">IF(OR(M$33&lt;$B28,M$33&gt;$C28),0,OFFSET(Проект!M$1222,0,1-$B28))</f>
        <v>515.87606298127139</v>
      </c>
      <c r="N173" s="54">
        <f ca="1">IF(OR(N$33&lt;$B28,N$33&gt;$C28),0,OFFSET(Проект!N$1222,0,1-$B28))</f>
        <v>912.06057157726855</v>
      </c>
      <c r="O173" s="54">
        <f ca="1">IF(OR(O$33&lt;$B28,O$33&gt;$C28),0,OFFSET(Проект!O$1222,0,1-$B28))</f>
        <v>1145.4221766770952</v>
      </c>
      <c r="P173" s="54">
        <f ca="1">IF(OR(P$33&lt;$B28,P$33&gt;$C28),0,OFFSET(Проект!P$1222,0,1-$B28))</f>
        <v>1145.4221766770952</v>
      </c>
      <c r="Q173" s="54">
        <f ca="1">IF(OR(Q$33&lt;$B28,Q$33&gt;$C28),0,OFFSET(Проект!Q$1222,0,1-$B28))</f>
        <v>1145.4221766770952</v>
      </c>
      <c r="R173" s="54">
        <f ca="1">IF(OR(R$33&lt;$B28,R$33&gt;$C28),0,OFFSET(Проект!R$1222,0,1-$B28))</f>
        <v>1145.4221766770952</v>
      </c>
      <c r="S173" s="54">
        <f ca="1">IF(OR(S$33&lt;$B28,S$33&gt;$C28),0,OFFSET(Проект!S$1222,0,1-$B28))</f>
        <v>1145.4221766770952</v>
      </c>
      <c r="T173" s="54">
        <f ca="1">IF(OR(T$33&lt;$B28,T$33&gt;$C28),0,OFFSET(Проект!T$1222,0,1-$B28))</f>
        <v>1145.4221766770952</v>
      </c>
      <c r="U173" s="54">
        <f ca="1">IF(OR(U$33&lt;$B28,U$33&gt;$C28),0,OFFSET(Проект!U$1222,0,1-$B28))</f>
        <v>1145.4221766770952</v>
      </c>
      <c r="V173" s="54">
        <f ca="1">IF(OR(V$33&lt;$B28,V$33&gt;$C28),0,OFFSET(Проект!V$1222,0,1-$B28))</f>
        <v>1145.4221766770952</v>
      </c>
      <c r="W173" s="54">
        <f ca="1">IF(OR(W$33&lt;$B28,W$33&gt;$C28),0,OFFSET(Проект!W$1222,0,1-$B28))</f>
        <v>1145.4221766770952</v>
      </c>
      <c r="X173" s="54">
        <f ca="1">IF(OR(X$33&lt;$B28,X$33&gt;$C28),0,OFFSET(Проект!X$1222,0,1-$B28))</f>
        <v>1145.4221766770952</v>
      </c>
      <c r="Y173" s="54">
        <f ca="1">IF(OR(Y$33&lt;$B28,Y$33&gt;$C28),0,OFFSET(Проект!AC$1222,0,1-$B28))</f>
        <v>1145.4221766770952</v>
      </c>
      <c r="AA173" s="202">
        <f t="shared" ca="1" si="16"/>
        <v>13212.314779940139</v>
      </c>
    </row>
    <row r="174" spans="1:27" s="11" customFormat="1" outlineLevel="1" x14ac:dyDescent="0.2">
      <c r="C174" s="198"/>
      <c r="F174" s="54"/>
      <c r="G174" s="54"/>
      <c r="H174" s="54"/>
      <c r="I174" s="54"/>
      <c r="J174" s="54"/>
      <c r="K174" s="54"/>
      <c r="L174" s="54"/>
      <c r="M174" s="54"/>
      <c r="N174" s="54"/>
      <c r="O174" s="54"/>
      <c r="P174" s="54"/>
      <c r="Q174" s="54"/>
      <c r="R174" s="54"/>
      <c r="S174" s="54"/>
      <c r="T174" s="54"/>
      <c r="U174" s="54"/>
      <c r="V174" s="54"/>
      <c r="W174" s="54"/>
      <c r="X174" s="54"/>
      <c r="Y174" s="54"/>
      <c r="AA174" s="202"/>
    </row>
    <row r="175" spans="1:27" s="11" customFormat="1" outlineLevel="1" x14ac:dyDescent="0.2">
      <c r="A175" s="11" t="s">
        <v>2280</v>
      </c>
      <c r="C175" s="198"/>
      <c r="F175" s="54"/>
      <c r="G175" s="54"/>
      <c r="H175" s="54"/>
      <c r="I175" s="54"/>
      <c r="J175" s="54"/>
      <c r="K175" s="54"/>
      <c r="L175" s="54"/>
      <c r="M175" s="54"/>
      <c r="N175" s="54"/>
      <c r="O175" s="54"/>
      <c r="P175" s="54"/>
      <c r="Q175" s="54"/>
      <c r="R175" s="54"/>
      <c r="S175" s="54"/>
      <c r="T175" s="54"/>
      <c r="U175" s="54"/>
      <c r="V175" s="54"/>
      <c r="W175" s="54"/>
      <c r="X175" s="54"/>
      <c r="Y175" s="54"/>
      <c r="AA175" s="202"/>
    </row>
    <row r="176" spans="1:27" outlineLevel="1" collapsed="1" x14ac:dyDescent="0.2">
      <c r="A176" s="23" t="str">
        <f ca="1">Language!A728</f>
        <v>Прибыль до налога, процентов и амортизации (EBITDA)</v>
      </c>
      <c r="C176" s="114" t="str">
        <f t="shared" ref="C176:C181" ca="1" si="19">CUR_Report</f>
        <v>тыс. EUR</v>
      </c>
      <c r="D176" s="204" t="s">
        <v>2615</v>
      </c>
      <c r="F176" s="108">
        <f t="shared" ref="F176:T176" ca="1" si="20">F168+F154+F142</f>
        <v>0</v>
      </c>
      <c r="G176" s="108">
        <f t="shared" ca="1" si="20"/>
        <v>0</v>
      </c>
      <c r="H176" s="108">
        <f t="shared" ca="1" si="20"/>
        <v>0</v>
      </c>
      <c r="I176" s="108">
        <f t="shared" ca="1" si="20"/>
        <v>0</v>
      </c>
      <c r="J176" s="108">
        <f t="shared" ca="1" si="20"/>
        <v>0</v>
      </c>
      <c r="K176" s="108">
        <f t="shared" ca="1" si="20"/>
        <v>-233.36949643868491</v>
      </c>
      <c r="L176" s="108">
        <f t="shared" ca="1" si="20"/>
        <v>346.16123649852915</v>
      </c>
      <c r="M176" s="108">
        <f t="shared" ca="1" si="20"/>
        <v>825.22857569003531</v>
      </c>
      <c r="N176" s="108">
        <f t="shared" ca="1" si="20"/>
        <v>1365.1259965496097</v>
      </c>
      <c r="O176" s="108">
        <f t="shared" ca="1" si="20"/>
        <v>1723.4539653965358</v>
      </c>
      <c r="P176" s="108">
        <f t="shared" ca="1" si="20"/>
        <v>1723.4539653965358</v>
      </c>
      <c r="Q176" s="108">
        <f t="shared" ca="1" si="20"/>
        <v>1723.4539653965358</v>
      </c>
      <c r="R176" s="108">
        <f t="shared" ca="1" si="20"/>
        <v>1723.4539653965358</v>
      </c>
      <c r="S176" s="108">
        <f t="shared" ca="1" si="20"/>
        <v>1723.4539653965358</v>
      </c>
      <c r="T176" s="108">
        <f t="shared" ca="1" si="20"/>
        <v>1723.4539653965358</v>
      </c>
      <c r="U176" s="108">
        <f t="shared" ref="U176" ca="1" si="21">U168+U154+U142</f>
        <v>1723.4539653965358</v>
      </c>
      <c r="V176" s="108">
        <f t="shared" ref="V176" ca="1" si="22">V168+V154+V142</f>
        <v>1723.4539653965358</v>
      </c>
      <c r="W176" s="108">
        <f t="shared" ref="W176" ca="1" si="23">W168+W154+W142</f>
        <v>1723.4539653965358</v>
      </c>
      <c r="X176" s="108">
        <f t="shared" ref="X176:Y176" ca="1" si="24">X168+X154+X142</f>
        <v>1723.4539653965358</v>
      </c>
      <c r="Y176" s="108">
        <f t="shared" ca="1" si="24"/>
        <v>1723.4539653965358</v>
      </c>
      <c r="Z176" s="23"/>
      <c r="AA176" s="54">
        <f t="shared" ref="AA176:AA181" ca="1" si="25">SUM(F176:Y176)</f>
        <v>21261.13993166139</v>
      </c>
    </row>
    <row r="177" spans="1:27" s="11" customFormat="1" hidden="1" outlineLevel="2" x14ac:dyDescent="0.2">
      <c r="A177" s="11" t="str">
        <f ca="1">"        " &amp; A12</f>
        <v xml:space="preserve">        Проект 1</v>
      </c>
      <c r="C177" s="198" t="str">
        <f t="shared" ca="1" si="19"/>
        <v>тыс. EUR</v>
      </c>
      <c r="D177" s="11" t="e">
        <f ca="1">"[" &amp; F12 &amp; "];int_sum"</f>
        <v>#NAME?</v>
      </c>
      <c r="F177" s="54">
        <f ca="1">IF(OR(F$33&lt;$B28,F$33&gt;$C28),0,OFFSET(Проект!F$1285,0,1-$B28))</f>
        <v>0</v>
      </c>
      <c r="G177" s="54">
        <f ca="1">IF(OR(G$33&lt;$B28,G$33&gt;$C28),0,OFFSET(Проект!G$1285,0,1-$B28))</f>
        <v>0</v>
      </c>
      <c r="H177" s="54">
        <f ca="1">IF(OR(H$33&lt;$B28,H$33&gt;$C28),0,OFFSET(Проект!H$1285,0,1-$B28))</f>
        <v>0</v>
      </c>
      <c r="I177" s="54">
        <f ca="1">IF(OR(I$33&lt;$B28,I$33&gt;$C28),0,OFFSET(Проект!I$1285,0,1-$B28))</f>
        <v>0</v>
      </c>
      <c r="J177" s="54">
        <f ca="1">IF(OR(J$33&lt;$B28,J$33&gt;$C28),0,OFFSET(Проект!J$1285,0,1-$B28))</f>
        <v>0</v>
      </c>
      <c r="K177" s="54">
        <f ca="1">IF(OR(K$33&lt;$B28,K$33&gt;$C28),0,OFFSET(Проект!K$1285,0,1-$B28))</f>
        <v>-233.36949643868491</v>
      </c>
      <c r="L177" s="54">
        <f ca="1">IF(OR(L$33&lt;$B28,L$33&gt;$C28),0,OFFSET(Проект!L$1285,0,1-$B28))</f>
        <v>346.16123649852915</v>
      </c>
      <c r="M177" s="54">
        <f ca="1">IF(OR(M$33&lt;$B28,M$33&gt;$C28),0,OFFSET(Проект!M$1285,0,1-$B28))</f>
        <v>825.22857569003531</v>
      </c>
      <c r="N177" s="54">
        <f ca="1">IF(OR(N$33&lt;$B28,N$33&gt;$C28),0,OFFSET(Проект!N$1285,0,1-$B28))</f>
        <v>1365.1259965496097</v>
      </c>
      <c r="O177" s="54">
        <f ca="1">IF(OR(O$33&lt;$B28,O$33&gt;$C28),0,OFFSET(Проект!O$1285,0,1-$B28))</f>
        <v>1723.4539653965358</v>
      </c>
      <c r="P177" s="54">
        <f ca="1">IF(OR(P$33&lt;$B28,P$33&gt;$C28),0,OFFSET(Проект!P$1285,0,1-$B28))</f>
        <v>1723.4539653965358</v>
      </c>
      <c r="Q177" s="54">
        <f ca="1">IF(OR(Q$33&lt;$B28,Q$33&gt;$C28),0,OFFSET(Проект!Q$1285,0,1-$B28))</f>
        <v>1723.4539653965358</v>
      </c>
      <c r="R177" s="54">
        <f ca="1">IF(OR(R$33&lt;$B28,R$33&gt;$C28),0,OFFSET(Проект!R$1285,0,1-$B28))</f>
        <v>1723.4539653965358</v>
      </c>
      <c r="S177" s="54">
        <f ca="1">IF(OR(S$33&lt;$B28,S$33&gt;$C28),0,OFFSET(Проект!S$1285,0,1-$B28))</f>
        <v>1723.4539653965358</v>
      </c>
      <c r="T177" s="54">
        <f ca="1">IF(OR(T$33&lt;$B28,T$33&gt;$C28),0,OFFSET(Проект!T$1285,0,1-$B28))</f>
        <v>1723.4539653965358</v>
      </c>
      <c r="U177" s="54">
        <f ca="1">IF(OR(U$33&lt;$B28,U$33&gt;$C28),0,OFFSET(Проект!U$1285,0,1-$B28))</f>
        <v>1723.4539653965358</v>
      </c>
      <c r="V177" s="54">
        <f ca="1">IF(OR(V$33&lt;$B28,V$33&gt;$C28),0,OFFSET(Проект!V$1285,0,1-$B28))</f>
        <v>1723.4539653965358</v>
      </c>
      <c r="W177" s="54">
        <f ca="1">IF(OR(W$33&lt;$B28,W$33&gt;$C28),0,OFFSET(Проект!W$1285,0,1-$B28))</f>
        <v>1723.4539653965358</v>
      </c>
      <c r="X177" s="54">
        <f ca="1">IF(OR(X$33&lt;$B28,X$33&gt;$C28),0,OFFSET(Проект!X$1285,0,1-$B28))</f>
        <v>1723.4539653965358</v>
      </c>
      <c r="Y177" s="54">
        <f ca="1">IF(OR(Y$33&lt;$B28,Y$33&gt;$C28),0,OFFSET(Проект!AC$1285,0,1-$B28))</f>
        <v>1723.4539653965358</v>
      </c>
      <c r="AA177" s="202">
        <f t="shared" ca="1" si="25"/>
        <v>21261.13993166139</v>
      </c>
    </row>
    <row r="178" spans="1:27" outlineLevel="1" collapsed="1" x14ac:dyDescent="0.2">
      <c r="A178" s="23" t="str">
        <f ca="1">Language!A730</f>
        <v>Прибыль до процентов и налога (EBIT)</v>
      </c>
      <c r="C178" s="114" t="str">
        <f t="shared" ca="1" si="19"/>
        <v>тыс. EUR</v>
      </c>
      <c r="D178" s="204" t="s">
        <v>2615</v>
      </c>
      <c r="F178" s="108">
        <f t="shared" ref="F178:T178" ca="1" si="26">F176-F142</f>
        <v>0</v>
      </c>
      <c r="G178" s="108">
        <f t="shared" ca="1" si="26"/>
        <v>0</v>
      </c>
      <c r="H178" s="108">
        <f t="shared" ca="1" si="26"/>
        <v>0</v>
      </c>
      <c r="I178" s="108">
        <f t="shared" ca="1" si="26"/>
        <v>0</v>
      </c>
      <c r="J178" s="108">
        <f t="shared" ca="1" si="26"/>
        <v>-309.35251270876392</v>
      </c>
      <c r="K178" s="108">
        <f t="shared" ca="1" si="26"/>
        <v>-542.72200914744883</v>
      </c>
      <c r="L178" s="108">
        <f t="shared" ca="1" si="26"/>
        <v>36.808723789765224</v>
      </c>
      <c r="M178" s="108">
        <f t="shared" ca="1" si="26"/>
        <v>515.87606298127139</v>
      </c>
      <c r="N178" s="108">
        <f t="shared" ca="1" si="26"/>
        <v>1055.7734838408458</v>
      </c>
      <c r="O178" s="108">
        <f t="shared" ca="1" si="26"/>
        <v>1414.1014526877718</v>
      </c>
      <c r="P178" s="108">
        <f t="shared" ca="1" si="26"/>
        <v>1414.1014526877718</v>
      </c>
      <c r="Q178" s="108">
        <f t="shared" ca="1" si="26"/>
        <v>1414.1014526877718</v>
      </c>
      <c r="R178" s="108">
        <f t="shared" ca="1" si="26"/>
        <v>1414.1014526877718</v>
      </c>
      <c r="S178" s="108">
        <f t="shared" ca="1" si="26"/>
        <v>1414.1014526877718</v>
      </c>
      <c r="T178" s="108">
        <f t="shared" ca="1" si="26"/>
        <v>1414.1014526877718</v>
      </c>
      <c r="U178" s="108">
        <f t="shared" ref="U178" ca="1" si="27">U176-U142</f>
        <v>1414.1014526877718</v>
      </c>
      <c r="V178" s="108">
        <f t="shared" ref="V178" ca="1" si="28">V176-V142</f>
        <v>1414.1014526877718</v>
      </c>
      <c r="W178" s="108">
        <f t="shared" ref="W178" ca="1" si="29">W176-W142</f>
        <v>1414.1014526877718</v>
      </c>
      <c r="X178" s="108">
        <f t="shared" ref="X178:Y178" ca="1" si="30">X176-X142</f>
        <v>1414.1014526877718</v>
      </c>
      <c r="Y178" s="108">
        <f t="shared" ca="1" si="30"/>
        <v>1414.1014526877718</v>
      </c>
      <c r="Z178" s="23"/>
      <c r="AA178" s="54">
        <f t="shared" ca="1" si="25"/>
        <v>16311.499728321158</v>
      </c>
    </row>
    <row r="179" spans="1:27" s="11" customFormat="1" hidden="1" outlineLevel="2" x14ac:dyDescent="0.2">
      <c r="A179" s="11" t="str">
        <f ca="1">"        " &amp; A12</f>
        <v xml:space="preserve">        Проект 1</v>
      </c>
      <c r="C179" s="198" t="str">
        <f t="shared" ca="1" si="19"/>
        <v>тыс. EUR</v>
      </c>
      <c r="D179" s="11" t="e">
        <f ca="1">"[" &amp; F12 &amp; "];int_sum"</f>
        <v>#NAME?</v>
      </c>
      <c r="F179" s="54">
        <f ca="1">IF(OR(F$33&lt;$B28,F$33&gt;$C28),0,OFFSET(Проект!F$1286,0,1-$B28))</f>
        <v>0</v>
      </c>
      <c r="G179" s="54">
        <f ca="1">IF(OR(G$33&lt;$B28,G$33&gt;$C28),0,OFFSET(Проект!G$1286,0,1-$B28))</f>
        <v>0</v>
      </c>
      <c r="H179" s="54">
        <f ca="1">IF(OR(H$33&lt;$B28,H$33&gt;$C28),0,OFFSET(Проект!H$1286,0,1-$B28))</f>
        <v>0</v>
      </c>
      <c r="I179" s="54">
        <f ca="1">IF(OR(I$33&lt;$B28,I$33&gt;$C28),0,OFFSET(Проект!I$1286,0,1-$B28))</f>
        <v>0</v>
      </c>
      <c r="J179" s="54">
        <f ca="1">IF(OR(J$33&lt;$B28,J$33&gt;$C28),0,OFFSET(Проект!J$1286,0,1-$B28))</f>
        <v>-309.35251270876392</v>
      </c>
      <c r="K179" s="54">
        <f ca="1">IF(OR(K$33&lt;$B28,K$33&gt;$C28),0,OFFSET(Проект!K$1286,0,1-$B28))</f>
        <v>-542.72200914744883</v>
      </c>
      <c r="L179" s="54">
        <f ca="1">IF(OR(L$33&lt;$B28,L$33&gt;$C28),0,OFFSET(Проект!L$1286,0,1-$B28))</f>
        <v>36.808723789765224</v>
      </c>
      <c r="M179" s="54">
        <f ca="1">IF(OR(M$33&lt;$B28,M$33&gt;$C28),0,OFFSET(Проект!M$1286,0,1-$B28))</f>
        <v>515.87606298127139</v>
      </c>
      <c r="N179" s="54">
        <f ca="1">IF(OR(N$33&lt;$B28,N$33&gt;$C28),0,OFFSET(Проект!N$1286,0,1-$B28))</f>
        <v>1055.7734838408458</v>
      </c>
      <c r="O179" s="54">
        <f ca="1">IF(OR(O$33&lt;$B28,O$33&gt;$C28),0,OFFSET(Проект!O$1286,0,1-$B28))</f>
        <v>1414.1014526877718</v>
      </c>
      <c r="P179" s="54">
        <f ca="1">IF(OR(P$33&lt;$B28,P$33&gt;$C28),0,OFFSET(Проект!P$1286,0,1-$B28))</f>
        <v>1414.1014526877718</v>
      </c>
      <c r="Q179" s="54">
        <f ca="1">IF(OR(Q$33&lt;$B28,Q$33&gt;$C28),0,OFFSET(Проект!Q$1286,0,1-$B28))</f>
        <v>1414.1014526877718</v>
      </c>
      <c r="R179" s="54">
        <f ca="1">IF(OR(R$33&lt;$B28,R$33&gt;$C28),0,OFFSET(Проект!R$1286,0,1-$B28))</f>
        <v>1414.1014526877718</v>
      </c>
      <c r="S179" s="54">
        <f ca="1">IF(OR(S$33&lt;$B28,S$33&gt;$C28),0,OFFSET(Проект!S$1286,0,1-$B28))</f>
        <v>1414.1014526877718</v>
      </c>
      <c r="T179" s="54">
        <f ca="1">IF(OR(T$33&lt;$B28,T$33&gt;$C28),0,OFFSET(Проект!T$1286,0,1-$B28))</f>
        <v>1414.1014526877718</v>
      </c>
      <c r="U179" s="54">
        <f ca="1">IF(OR(U$33&lt;$B28,U$33&gt;$C28),0,OFFSET(Проект!U$1286,0,1-$B28))</f>
        <v>1414.1014526877718</v>
      </c>
      <c r="V179" s="54">
        <f ca="1">IF(OR(V$33&lt;$B28,V$33&gt;$C28),0,OFFSET(Проект!V$1286,0,1-$B28))</f>
        <v>1414.1014526877718</v>
      </c>
      <c r="W179" s="54">
        <f ca="1">IF(OR(W$33&lt;$B28,W$33&gt;$C28),0,OFFSET(Проект!W$1286,0,1-$B28))</f>
        <v>1414.1014526877718</v>
      </c>
      <c r="X179" s="54">
        <f ca="1">IF(OR(X$33&lt;$B28,X$33&gt;$C28),0,OFFSET(Проект!X$1286,0,1-$B28))</f>
        <v>1414.1014526877718</v>
      </c>
      <c r="Y179" s="54">
        <f ca="1">IF(OR(Y$33&lt;$B28,Y$33&gt;$C28),0,OFFSET(Проект!AC$1286,0,1-$B28))</f>
        <v>1414.1014526877718</v>
      </c>
      <c r="AA179" s="202">
        <f t="shared" ca="1" si="25"/>
        <v>16311.499728321158</v>
      </c>
    </row>
    <row r="180" spans="1:27" outlineLevel="1" collapsed="1" x14ac:dyDescent="0.2">
      <c r="A180" s="23" t="str">
        <f ca="1">Language!A894</f>
        <v>Посленалоговая операционная прибыль (NOPLAT)</v>
      </c>
      <c r="C180" s="114" t="str">
        <f t="shared" ca="1" si="19"/>
        <v>тыс. EUR</v>
      </c>
      <c r="D180" s="204" t="s">
        <v>2615</v>
      </c>
      <c r="F180" s="108">
        <f t="shared" ref="F180:T180" ca="1" si="31">F178-F178*F42</f>
        <v>0</v>
      </c>
      <c r="G180" s="108">
        <f t="shared" ca="1" si="31"/>
        <v>0</v>
      </c>
      <c r="H180" s="108">
        <f t="shared" ca="1" si="31"/>
        <v>0</v>
      </c>
      <c r="I180" s="108">
        <f t="shared" ca="1" si="31"/>
        <v>0</v>
      </c>
      <c r="J180" s="108">
        <f t="shared" ca="1" si="31"/>
        <v>-250.57553529409878</v>
      </c>
      <c r="K180" s="108">
        <f t="shared" ca="1" si="31"/>
        <v>-439.60482740943354</v>
      </c>
      <c r="L180" s="108">
        <f t="shared" ca="1" si="31"/>
        <v>29.815066269709831</v>
      </c>
      <c r="M180" s="108">
        <f t="shared" ca="1" si="31"/>
        <v>417.85961101482985</v>
      </c>
      <c r="N180" s="108">
        <f t="shared" ca="1" si="31"/>
        <v>855.17652191108505</v>
      </c>
      <c r="O180" s="108">
        <f t="shared" ca="1" si="31"/>
        <v>1145.4221766770952</v>
      </c>
      <c r="P180" s="108">
        <f t="shared" ca="1" si="31"/>
        <v>1145.4221766770952</v>
      </c>
      <c r="Q180" s="108">
        <f t="shared" ca="1" si="31"/>
        <v>1145.4221766770952</v>
      </c>
      <c r="R180" s="108">
        <f t="shared" ca="1" si="31"/>
        <v>1145.4221766770952</v>
      </c>
      <c r="S180" s="108">
        <f t="shared" ca="1" si="31"/>
        <v>1145.4221766770952</v>
      </c>
      <c r="T180" s="108">
        <f t="shared" ca="1" si="31"/>
        <v>1145.4221766770952</v>
      </c>
      <c r="U180" s="108">
        <f t="shared" ref="U180" ca="1" si="32">U178-U178*U42</f>
        <v>1145.4221766770952</v>
      </c>
      <c r="V180" s="108">
        <f t="shared" ref="V180" ca="1" si="33">V178-V178*V42</f>
        <v>1145.4221766770952</v>
      </c>
      <c r="W180" s="108">
        <f t="shared" ref="W180" ca="1" si="34">W178-W178*W42</f>
        <v>1145.4221766770952</v>
      </c>
      <c r="X180" s="108">
        <f t="shared" ref="X180:Y180" ca="1" si="35">X178-X178*X42</f>
        <v>1145.4221766770952</v>
      </c>
      <c r="Y180" s="108">
        <f t="shared" ca="1" si="35"/>
        <v>1145.4221766770952</v>
      </c>
      <c r="Z180" s="23"/>
      <c r="AA180" s="54">
        <f t="shared" ca="1" si="25"/>
        <v>13212.314779940139</v>
      </c>
    </row>
    <row r="181" spans="1:27" s="11" customFormat="1" hidden="1" outlineLevel="2" x14ac:dyDescent="0.2">
      <c r="A181" s="11" t="str">
        <f ca="1">"        " &amp; A12</f>
        <v xml:space="preserve">        Проект 1</v>
      </c>
      <c r="C181" s="198" t="str">
        <f t="shared" ca="1" si="19"/>
        <v>тыс. EUR</v>
      </c>
      <c r="D181" s="11" t="e">
        <f ca="1">"[" &amp; F12 &amp; "];int_sum"</f>
        <v>#NAME?</v>
      </c>
      <c r="F181" s="54">
        <f ca="1">IF(OR(F$33&lt;$B28,F$33&gt;$C28),0,OFFSET(Проект!F1287,0,1-$B28))</f>
        <v>0</v>
      </c>
      <c r="G181" s="54">
        <f ca="1">IF(OR(G$33&lt;$B28,G$33&gt;$C28),0,OFFSET(Проект!G1287,0,1-$B28))</f>
        <v>0</v>
      </c>
      <c r="H181" s="54">
        <f ca="1">IF(OR(H$33&lt;$B28,H$33&gt;$C28),0,OFFSET(Проект!H1287,0,1-$B28))</f>
        <v>0</v>
      </c>
      <c r="I181" s="54">
        <f ca="1">IF(OR(I$33&lt;$B28,I$33&gt;$C28),0,OFFSET(Проект!I1287,0,1-$B28))</f>
        <v>0</v>
      </c>
      <c r="J181" s="54">
        <f ca="1">IF(OR(J$33&lt;$B28,J$33&gt;$C28),0,OFFSET(Проект!J1287,0,1-$B28))</f>
        <v>-250.57553529409878</v>
      </c>
      <c r="K181" s="54">
        <f ca="1">IF(OR(K$33&lt;$B28,K$33&gt;$C28),0,OFFSET(Проект!K1287,0,1-$B28))</f>
        <v>-439.60482740943354</v>
      </c>
      <c r="L181" s="54">
        <f ca="1">IF(OR(L$33&lt;$B28,L$33&gt;$C28),0,OFFSET(Проект!L1287,0,1-$B28))</f>
        <v>29.815066269709831</v>
      </c>
      <c r="M181" s="54">
        <f ca="1">IF(OR(M$33&lt;$B28,M$33&gt;$C28),0,OFFSET(Проект!M1287,0,1-$B28))</f>
        <v>417.85961101482985</v>
      </c>
      <c r="N181" s="54">
        <f ca="1">IF(OR(N$33&lt;$B28,N$33&gt;$C28),0,OFFSET(Проект!N1287,0,1-$B28))</f>
        <v>855.17652191108505</v>
      </c>
      <c r="O181" s="54">
        <f ca="1">IF(OR(O$33&lt;$B28,O$33&gt;$C28),0,OFFSET(Проект!O1287,0,1-$B28))</f>
        <v>1145.4221766770952</v>
      </c>
      <c r="P181" s="54">
        <f ca="1">IF(OR(P$33&lt;$B28,P$33&gt;$C28),0,OFFSET(Проект!P1287,0,1-$B28))</f>
        <v>1145.4221766770952</v>
      </c>
      <c r="Q181" s="54">
        <f ca="1">IF(OR(Q$33&lt;$B28,Q$33&gt;$C28),0,OFFSET(Проект!Q1287,0,1-$B28))</f>
        <v>1145.4221766770952</v>
      </c>
      <c r="R181" s="54">
        <f ca="1">IF(OR(R$33&lt;$B28,R$33&gt;$C28),0,OFFSET(Проект!R1287,0,1-$B28))</f>
        <v>1145.4221766770952</v>
      </c>
      <c r="S181" s="54">
        <f ca="1">IF(OR(S$33&lt;$B28,S$33&gt;$C28),0,OFFSET(Проект!S1287,0,1-$B28))</f>
        <v>1145.4221766770952</v>
      </c>
      <c r="T181" s="54">
        <f ca="1">IF(OR(T$33&lt;$B28,T$33&gt;$C28),0,OFFSET(Проект!T1287,0,1-$B28))</f>
        <v>1145.4221766770952</v>
      </c>
      <c r="U181" s="54">
        <f ca="1">IF(OR(U$33&lt;$B28,U$33&gt;$C28),0,OFFSET(Проект!U1287,0,1-$B28))</f>
        <v>1145.4221766770952</v>
      </c>
      <c r="V181" s="54">
        <f ca="1">IF(OR(V$33&lt;$B28,V$33&gt;$C28),0,OFFSET(Проект!V1287,0,1-$B28))</f>
        <v>1145.4221766770952</v>
      </c>
      <c r="W181" s="54">
        <f ca="1">IF(OR(W$33&lt;$B28,W$33&gt;$C28),0,OFFSET(Проект!W1287,0,1-$B28))</f>
        <v>1145.4221766770952</v>
      </c>
      <c r="X181" s="54">
        <f ca="1">IF(OR(X$33&lt;$B28,X$33&gt;$C28),0,OFFSET(Проект!X1287,0,1-$B28))</f>
        <v>1145.4221766770952</v>
      </c>
      <c r="Y181" s="54">
        <f ca="1">IF(OR(Y$33&lt;$B28,Y$33&gt;$C28),0,OFFSET(Проект!AC1287,0,1-$B28))</f>
        <v>1145.4221766770952</v>
      </c>
      <c r="AA181" s="202">
        <f t="shared" ca="1" si="25"/>
        <v>13212.314779940139</v>
      </c>
    </row>
    <row r="182" spans="1:27" s="11" customFormat="1" outlineLevel="1" x14ac:dyDescent="0.2">
      <c r="C182" s="198"/>
      <c r="F182" s="54"/>
      <c r="G182" s="54"/>
      <c r="H182" s="54"/>
      <c r="I182" s="54"/>
      <c r="J182" s="54"/>
      <c r="K182" s="54"/>
      <c r="L182" s="54"/>
      <c r="M182" s="54"/>
      <c r="N182" s="54"/>
      <c r="O182" s="54"/>
      <c r="P182" s="54"/>
      <c r="Q182" s="54"/>
      <c r="R182" s="54"/>
      <c r="S182" s="54"/>
      <c r="T182" s="54"/>
      <c r="U182" s="54"/>
      <c r="V182" s="54"/>
      <c r="W182" s="54"/>
      <c r="X182" s="54"/>
      <c r="Y182" s="54"/>
      <c r="AA182" s="202"/>
    </row>
    <row r="183" spans="1:27" s="11" customFormat="1" outlineLevel="1" collapsed="1" x14ac:dyDescent="0.2">
      <c r="A183" t="str">
        <f ca="1">Language!A742</f>
        <v>Дивиденды</v>
      </c>
      <c r="C183" s="114" t="str">
        <f t="shared" ca="1" si="18"/>
        <v>тыс. EUR</v>
      </c>
      <c r="D183" s="204" t="s">
        <v>2615</v>
      </c>
      <c r="F183" s="108">
        <f ca="1">SUMPRODUCT($B12:OFFSET($B13,-1,0),F184:OFFSET(F185,-1,0))</f>
        <v>0</v>
      </c>
      <c r="G183" s="108">
        <f ca="1">SUMPRODUCT($B12:OFFSET($B13,-1,0),G184:OFFSET(G185,-1,0))</f>
        <v>0</v>
      </c>
      <c r="H183" s="108">
        <f ca="1">SUMPRODUCT($B12:OFFSET($B13,-1,0),H184:OFFSET(H185,-1,0))</f>
        <v>0</v>
      </c>
      <c r="I183" s="108">
        <f ca="1">SUMPRODUCT($B12:OFFSET($B13,-1,0),I184:OFFSET(I185,-1,0))</f>
        <v>0</v>
      </c>
      <c r="J183" s="108">
        <f ca="1">SUMPRODUCT($B12:OFFSET($B13,-1,0),J184:OFFSET(J185,-1,0))</f>
        <v>0</v>
      </c>
      <c r="K183" s="108">
        <f ca="1">SUMPRODUCT($B12:OFFSET($B13,-1,0),K184:OFFSET(K185,-1,0))</f>
        <v>0</v>
      </c>
      <c r="L183" s="108">
        <f ca="1">SUMPRODUCT($B12:OFFSET($B13,-1,0),L184:OFFSET(L185,-1,0))</f>
        <v>0</v>
      </c>
      <c r="M183" s="108">
        <f ca="1">SUMPRODUCT($B12:OFFSET($B13,-1,0),M184:OFFSET(M185,-1,0))</f>
        <v>0</v>
      </c>
      <c r="N183" s="108">
        <f ca="1">SUMPRODUCT($B12:OFFSET($B13,-1,0),N184:OFFSET(N185,-1,0))</f>
        <v>0</v>
      </c>
      <c r="O183" s="108">
        <f ca="1">SUMPRODUCT($B12:OFFSET($B13,-1,0),O184:OFFSET(O185,-1,0))</f>
        <v>0</v>
      </c>
      <c r="P183" s="108">
        <f ca="1">SUMPRODUCT($B12:OFFSET($B13,-1,0),P184:OFFSET(P185,-1,0))</f>
        <v>0</v>
      </c>
      <c r="Q183" s="108">
        <f ca="1">SUMPRODUCT($B12:OFFSET($B13,-1,0),Q184:OFFSET(Q185,-1,0))</f>
        <v>0</v>
      </c>
      <c r="R183" s="108">
        <f ca="1">SUMPRODUCT($B12:OFFSET($B13,-1,0),R184:OFFSET(R185,-1,0))</f>
        <v>0</v>
      </c>
      <c r="S183" s="108">
        <f ca="1">SUMPRODUCT($B12:OFFSET($B13,-1,0),S184:OFFSET(S185,-1,0))</f>
        <v>0</v>
      </c>
      <c r="T183" s="108">
        <f ca="1">SUMPRODUCT($B12:OFFSET($B13,-1,0),T184:OFFSET(T185,-1,0))</f>
        <v>0</v>
      </c>
      <c r="U183" s="108">
        <f ca="1">SUMPRODUCT($B12:OFFSET($B13,-1,0),U184:OFFSET(U185,-1,0))</f>
        <v>0</v>
      </c>
      <c r="V183" s="108">
        <f ca="1">SUMPRODUCT($B12:OFFSET($B13,-1,0),V184:OFFSET(V185,-1,0))</f>
        <v>0</v>
      </c>
      <c r="W183" s="108">
        <f ca="1">SUMPRODUCT($B12:OFFSET($B13,-1,0),W184:OFFSET(W185,-1,0))</f>
        <v>0</v>
      </c>
      <c r="X183" s="108">
        <f ca="1">SUMPRODUCT($B12:OFFSET($B13,-1,0),X184:OFFSET(X185,-1,0))</f>
        <v>0</v>
      </c>
      <c r="Y183" s="108">
        <f ca="1">SUMPRODUCT($B12:OFFSET($B13,-1,0),Y184:OFFSET(Y185,-1,0))</f>
        <v>0</v>
      </c>
      <c r="AA183" s="202">
        <f t="shared" ca="1" si="16"/>
        <v>0</v>
      </c>
    </row>
    <row r="184" spans="1:27" s="11" customFormat="1" hidden="1" outlineLevel="2" x14ac:dyDescent="0.2">
      <c r="A184" s="11" t="str">
        <f ca="1">"        " &amp; A12</f>
        <v xml:space="preserve">        Проект 1</v>
      </c>
      <c r="C184" s="198" t="str">
        <f t="shared" ca="1" si="18"/>
        <v>тыс. EUR</v>
      </c>
      <c r="D184" s="11" t="e">
        <f ca="1">"[" &amp; F12 &amp; "];int_sum"</f>
        <v>#NAME?</v>
      </c>
      <c r="F184" s="54">
        <f ca="1">IF(OR(F$33&lt;$B28,F$33&gt;$C28),0,OFFSET(Проект!F$1283,0,1-$B28))</f>
        <v>0</v>
      </c>
      <c r="G184" s="54">
        <f ca="1">IF(OR(G$33&lt;$B28,G$33&gt;$C28),0,OFFSET(Проект!G$1283,0,1-$B28))</f>
        <v>0</v>
      </c>
      <c r="H184" s="54">
        <f ca="1">IF(OR(H$33&lt;$B28,H$33&gt;$C28),0,OFFSET(Проект!H$1283,0,1-$B28))</f>
        <v>0</v>
      </c>
      <c r="I184" s="54">
        <f ca="1">IF(OR(I$33&lt;$B28,I$33&gt;$C28),0,OFFSET(Проект!I$1283,0,1-$B28))</f>
        <v>0</v>
      </c>
      <c r="J184" s="54">
        <f ca="1">IF(OR(J$33&lt;$B28,J$33&gt;$C28),0,OFFSET(Проект!J$1283,0,1-$B28))</f>
        <v>0</v>
      </c>
      <c r="K184" s="54">
        <f ca="1">IF(OR(K$33&lt;$B28,K$33&gt;$C28),0,OFFSET(Проект!K$1283,0,1-$B28))</f>
        <v>0</v>
      </c>
      <c r="L184" s="54">
        <f ca="1">IF(OR(L$33&lt;$B28,L$33&gt;$C28),0,OFFSET(Проект!L$1283,0,1-$B28))</f>
        <v>0</v>
      </c>
      <c r="M184" s="54">
        <f ca="1">IF(OR(M$33&lt;$B28,M$33&gt;$C28),0,OFFSET(Проект!M$1283,0,1-$B28))</f>
        <v>0</v>
      </c>
      <c r="N184" s="54">
        <f ca="1">IF(OR(N$33&lt;$B28,N$33&gt;$C28),0,OFFSET(Проект!N$1283,0,1-$B28))</f>
        <v>0</v>
      </c>
      <c r="O184" s="54">
        <f ca="1">IF(OR(O$33&lt;$B28,O$33&gt;$C28),0,OFFSET(Проект!O$1283,0,1-$B28))</f>
        <v>0</v>
      </c>
      <c r="P184" s="54">
        <f ca="1">IF(OR(P$33&lt;$B28,P$33&gt;$C28),0,OFFSET(Проект!P$1283,0,1-$B28))</f>
        <v>0</v>
      </c>
      <c r="Q184" s="54">
        <f ca="1">IF(OR(Q$33&lt;$B28,Q$33&gt;$C28),0,OFFSET(Проект!Q$1283,0,1-$B28))</f>
        <v>0</v>
      </c>
      <c r="R184" s="54">
        <f ca="1">IF(OR(R$33&lt;$B28,R$33&gt;$C28),0,OFFSET(Проект!R$1283,0,1-$B28))</f>
        <v>0</v>
      </c>
      <c r="S184" s="54">
        <f ca="1">IF(OR(S$33&lt;$B28,S$33&gt;$C28),0,OFFSET(Проект!S$1283,0,1-$B28))</f>
        <v>0</v>
      </c>
      <c r="T184" s="54">
        <f ca="1">IF(OR(T$33&lt;$B28,T$33&gt;$C28),0,OFFSET(Проект!T$1283,0,1-$B28))</f>
        <v>0</v>
      </c>
      <c r="U184" s="54">
        <f ca="1">IF(OR(U$33&lt;$B28,U$33&gt;$C28),0,OFFSET(Проект!U$1283,0,1-$B28))</f>
        <v>0</v>
      </c>
      <c r="V184" s="54">
        <f ca="1">IF(OR(V$33&lt;$B28,V$33&gt;$C28),0,OFFSET(Проект!V$1283,0,1-$B28))</f>
        <v>0</v>
      </c>
      <c r="W184" s="54">
        <f ca="1">IF(OR(W$33&lt;$B28,W$33&gt;$C28),0,OFFSET(Проект!W$1283,0,1-$B28))</f>
        <v>0</v>
      </c>
      <c r="X184" s="54">
        <f ca="1">IF(OR(X$33&lt;$B28,X$33&gt;$C28),0,OFFSET(Проект!X$1283,0,1-$B28))</f>
        <v>0</v>
      </c>
      <c r="Y184" s="54">
        <f ca="1">IF(OR(Y$33&lt;$B28,Y$33&gt;$C28),0,OFFSET(Проект!AC$1283,0,1-$B28))</f>
        <v>0</v>
      </c>
      <c r="AA184" s="202">
        <f t="shared" ca="1" si="16"/>
        <v>0</v>
      </c>
    </row>
    <row r="185" spans="1:27" s="11" customFormat="1" outlineLevel="1" collapsed="1" x14ac:dyDescent="0.2">
      <c r="A185" s="23" t="str">
        <f ca="1">Language!A743</f>
        <v>Нераспределенная прибыль (за период)</v>
      </c>
      <c r="C185" s="114" t="str">
        <f t="shared" ca="1" si="18"/>
        <v>тыс. EUR</v>
      </c>
      <c r="D185" s="204" t="s">
        <v>2615</v>
      </c>
      <c r="F185" s="108">
        <f ca="1">IF($B41=2,SUMPRODUCT($B12:OFFSET($B13,-1,0),F186:OFFSET(F187,-1,0)),F172-F183)</f>
        <v>0</v>
      </c>
      <c r="G185" s="108">
        <f ca="1">IF($B41=2,SUMPRODUCT($B12:OFFSET($B13,-1,0),G186:OFFSET(G187,-1,0)),G172-G183)</f>
        <v>0</v>
      </c>
      <c r="H185" s="108">
        <f ca="1">IF($B41=2,SUMPRODUCT($B12:OFFSET($B13,-1,0),H186:OFFSET(H187,-1,0)),H172-H183)</f>
        <v>0</v>
      </c>
      <c r="I185" s="108">
        <f ca="1">IF($B41=2,SUMPRODUCT($B12:OFFSET($B13,-1,0),I186:OFFSET(I187,-1,0)),I172-I183)</f>
        <v>0</v>
      </c>
      <c r="J185" s="108">
        <f ca="1">IF($B41=2,SUMPRODUCT($B12:OFFSET($B13,-1,0),J186:OFFSET(J187,-1,0)),J172-J183)</f>
        <v>-309.35251270876392</v>
      </c>
      <c r="K185" s="108">
        <f ca="1">IF($B41=2,SUMPRODUCT($B12:OFFSET($B13,-1,0),K186:OFFSET(K187,-1,0)),K172-K183)</f>
        <v>-542.72200914744883</v>
      </c>
      <c r="L185" s="108">
        <f ca="1">IF($B41=2,SUMPRODUCT($B12:OFFSET($B13,-1,0),L186:OFFSET(L187,-1,0)),L172-L183)</f>
        <v>36.808723789765239</v>
      </c>
      <c r="M185" s="108">
        <f ca="1">IF($B41=2,SUMPRODUCT($B12:OFFSET($B13,-1,0),M186:OFFSET(M187,-1,0)),M172-M183)</f>
        <v>515.87606298127139</v>
      </c>
      <c r="N185" s="108">
        <f ca="1">IF($B41=2,SUMPRODUCT($B12:OFFSET($B13,-1,0),N186:OFFSET(N187,-1,0)),N172-N183)</f>
        <v>912.06057157726855</v>
      </c>
      <c r="O185" s="108">
        <f ca="1">IF($B41=2,SUMPRODUCT($B12:OFFSET($B13,-1,0),O186:OFFSET(O187,-1,0)),O172-O183)</f>
        <v>1145.4221766770952</v>
      </c>
      <c r="P185" s="108">
        <f ca="1">IF($B41=2,SUMPRODUCT($B12:OFFSET($B13,-1,0),P186:OFFSET(P187,-1,0)),P172-P183)</f>
        <v>1145.4221766770952</v>
      </c>
      <c r="Q185" s="108">
        <f ca="1">IF($B41=2,SUMPRODUCT($B12:OFFSET($B13,-1,0),Q186:OFFSET(Q187,-1,0)),Q172-Q183)</f>
        <v>1145.4221766770952</v>
      </c>
      <c r="R185" s="108">
        <f ca="1">IF($B41=2,SUMPRODUCT($B12:OFFSET($B13,-1,0),R186:OFFSET(R187,-1,0)),R172-R183)</f>
        <v>1145.4221766770952</v>
      </c>
      <c r="S185" s="108">
        <f ca="1">IF($B41=2,SUMPRODUCT($B12:OFFSET($B13,-1,0),S186:OFFSET(S187,-1,0)),S172-S183)</f>
        <v>1145.4221766770952</v>
      </c>
      <c r="T185" s="108">
        <f ca="1">IF($B41=2,SUMPRODUCT($B12:OFFSET($B13,-1,0),T186:OFFSET(T187,-1,0)),T172-T183)</f>
        <v>1145.4221766770952</v>
      </c>
      <c r="U185" s="108">
        <f ca="1">IF($B41=2,SUMPRODUCT($B12:OFFSET($B13,-1,0),U186:OFFSET(U187,-1,0)),U172-U183)</f>
        <v>1145.4221766770952</v>
      </c>
      <c r="V185" s="108">
        <f ca="1">IF($B41=2,SUMPRODUCT($B12:OFFSET($B13,-1,0),V186:OFFSET(V187,-1,0)),V172-V183)</f>
        <v>1145.4221766770952</v>
      </c>
      <c r="W185" s="108">
        <f ca="1">IF($B41=2,SUMPRODUCT($B12:OFFSET($B13,-1,0),W186:OFFSET(W187,-1,0)),W172-W183)</f>
        <v>1145.4221766770952</v>
      </c>
      <c r="X185" s="108">
        <f ca="1">IF($B41=2,SUMPRODUCT($B12:OFFSET($B13,-1,0),X186:OFFSET(X187,-1,0)),X172-X183)</f>
        <v>1145.4221766770952</v>
      </c>
      <c r="Y185" s="108">
        <f ca="1">IF($B41=2,SUMPRODUCT($B12:OFFSET($B13,-1,0),Y186:OFFSET(Y187,-1,0)),Y172-Y183)</f>
        <v>1145.4221766770952</v>
      </c>
      <c r="AA185" s="202">
        <f t="shared" ca="1" si="16"/>
        <v>13212.314779940139</v>
      </c>
    </row>
    <row r="186" spans="1:27" s="11" customFormat="1" hidden="1" outlineLevel="2" x14ac:dyDescent="0.2">
      <c r="A186" s="11" t="str">
        <f ca="1">"        " &amp; A12</f>
        <v xml:space="preserve">        Проект 1</v>
      </c>
      <c r="C186" s="198" t="str">
        <f t="shared" ca="1" si="18"/>
        <v>тыс. EUR</v>
      </c>
      <c r="D186" s="11" t="e">
        <f ca="1">"[" &amp; F12 &amp; "];int_sum"</f>
        <v>#NAME?</v>
      </c>
      <c r="F186" s="54">
        <f ca="1">IF(OR(F$33&lt;$B28,F$33&gt;$C28),0,OFFSET(Проект!F$1289,0,1-$B28))</f>
        <v>0</v>
      </c>
      <c r="G186" s="54">
        <f ca="1">IF(OR(G$33&lt;$B28,G$33&gt;$C28),0,OFFSET(Проект!G$1289,0,1-$B28))</f>
        <v>0</v>
      </c>
      <c r="H186" s="54">
        <f ca="1">IF(OR(H$33&lt;$B28,H$33&gt;$C28),0,OFFSET(Проект!H$1289,0,1-$B28))</f>
        <v>0</v>
      </c>
      <c r="I186" s="54">
        <f ca="1">IF(OR(I$33&lt;$B28,I$33&gt;$C28),0,OFFSET(Проект!I$1289,0,1-$B28))</f>
        <v>0</v>
      </c>
      <c r="J186" s="54">
        <f ca="1">IF(OR(J$33&lt;$B28,J$33&gt;$C28),0,OFFSET(Проект!J$1289,0,1-$B28))</f>
        <v>-309.35251270876392</v>
      </c>
      <c r="K186" s="54">
        <f ca="1">IF(OR(K$33&lt;$B28,K$33&gt;$C28),0,OFFSET(Проект!K$1289,0,1-$B28))</f>
        <v>-542.72200914744883</v>
      </c>
      <c r="L186" s="54">
        <f ca="1">IF(OR(L$33&lt;$B28,L$33&gt;$C28),0,OFFSET(Проект!L$1289,0,1-$B28))</f>
        <v>36.808723789765239</v>
      </c>
      <c r="M186" s="54">
        <f ca="1">IF(OR(M$33&lt;$B28,M$33&gt;$C28),0,OFFSET(Проект!M$1289,0,1-$B28))</f>
        <v>515.87606298127139</v>
      </c>
      <c r="N186" s="54">
        <f ca="1">IF(OR(N$33&lt;$B28,N$33&gt;$C28),0,OFFSET(Проект!N$1289,0,1-$B28))</f>
        <v>912.06057157726855</v>
      </c>
      <c r="O186" s="54">
        <f ca="1">IF(OR(O$33&lt;$B28,O$33&gt;$C28),0,OFFSET(Проект!O$1289,0,1-$B28))</f>
        <v>1145.4221766770952</v>
      </c>
      <c r="P186" s="54">
        <f ca="1">IF(OR(P$33&lt;$B28,P$33&gt;$C28),0,OFFSET(Проект!P$1289,0,1-$B28))</f>
        <v>1145.4221766770952</v>
      </c>
      <c r="Q186" s="54">
        <f ca="1">IF(OR(Q$33&lt;$B28,Q$33&gt;$C28),0,OFFSET(Проект!Q$1289,0,1-$B28))</f>
        <v>1145.4221766770952</v>
      </c>
      <c r="R186" s="54">
        <f ca="1">IF(OR(R$33&lt;$B28,R$33&gt;$C28),0,OFFSET(Проект!R$1289,0,1-$B28))</f>
        <v>1145.4221766770952</v>
      </c>
      <c r="S186" s="54">
        <f ca="1">IF(OR(S$33&lt;$B28,S$33&gt;$C28),0,OFFSET(Проект!S$1289,0,1-$B28))</f>
        <v>1145.4221766770952</v>
      </c>
      <c r="T186" s="54">
        <f ca="1">IF(OR(T$33&lt;$B28,T$33&gt;$C28),0,OFFSET(Проект!T$1289,0,1-$B28))</f>
        <v>1145.4221766770952</v>
      </c>
      <c r="U186" s="54">
        <f ca="1">IF(OR(U$33&lt;$B28,U$33&gt;$C28),0,OFFSET(Проект!U$1289,0,1-$B28))</f>
        <v>1145.4221766770952</v>
      </c>
      <c r="V186" s="54">
        <f ca="1">IF(OR(V$33&lt;$B28,V$33&gt;$C28),0,OFFSET(Проект!V$1289,0,1-$B28))</f>
        <v>1145.4221766770952</v>
      </c>
      <c r="W186" s="54">
        <f ca="1">IF(OR(W$33&lt;$B28,W$33&gt;$C28),0,OFFSET(Проект!W$1289,0,1-$B28))</f>
        <v>1145.4221766770952</v>
      </c>
      <c r="X186" s="54">
        <f ca="1">IF(OR(X$33&lt;$B28,X$33&gt;$C28),0,OFFSET(Проект!X$1289,0,1-$B28))</f>
        <v>1145.4221766770952</v>
      </c>
      <c r="Y186" s="54">
        <f ca="1">IF(OR(Y$33&lt;$B28,Y$33&gt;$C28),0,OFFSET(Проект!AC$1289,0,1-$B28))</f>
        <v>1145.4221766770952</v>
      </c>
      <c r="AA186" s="202">
        <f t="shared" ca="1" si="16"/>
        <v>13212.314779940139</v>
      </c>
    </row>
    <row r="187" spans="1:27" s="11" customFormat="1" outlineLevel="1" collapsed="1" x14ac:dyDescent="0.2">
      <c r="A187" s="23" t="str">
        <f ca="1">Language!A744</f>
        <v>Нераспределенная прибыль (на начало периода, нарастающим итогом)</v>
      </c>
      <c r="C187" s="114" t="str">
        <f t="shared" ca="1" si="18"/>
        <v>тыс. EUR</v>
      </c>
      <c r="D187" s="204" t="s">
        <v>1264</v>
      </c>
      <c r="F187" s="209">
        <f ca="1">IF($B41=2,SUMPRODUCT($B12:OFFSET($B13,-1,0),F188:OFFSET(F189,-1,0)),SUMPRODUCT($B12:OFFSET($B13,-1,0),F188:OFFSET(F189,-1,0))+0)</f>
        <v>0</v>
      </c>
      <c r="G187" s="209">
        <f ca="1">IF($B41=2,SUMPRODUCT($B12:OFFSET($B13,-1,0),G188:OFFSET(G189,-1,0)),SUMPRODUCT($B12:OFFSET($B13,-1,0),G188:OFFSET(G189,-1,0))+SUMPRODUCT($B12:OFFSET($B13,-1,0),F47:OFFSET(F48,-1,0))-F46)</f>
        <v>0</v>
      </c>
      <c r="H187" s="209">
        <f ca="1">IF($B41=2,SUMPRODUCT($B12:OFFSET($B13,-1,0),H188:OFFSET(H189,-1,0)),SUMPRODUCT($B12:OFFSET($B13,-1,0),H188:OFFSET(H189,-1,0))+SUMPRODUCT($B12:OFFSET($B13,-1,0),G47:OFFSET(G48,-1,0))-G46)</f>
        <v>0</v>
      </c>
      <c r="I187" s="209">
        <f ca="1">IF($B41=2,SUMPRODUCT($B12:OFFSET($B13,-1,0),I188:OFFSET(I189,-1,0)),SUMPRODUCT($B12:OFFSET($B13,-1,0),I188:OFFSET(I189,-1,0))+SUMPRODUCT($B12:OFFSET($B13,-1,0),H47:OFFSET(H48,-1,0))-H46)</f>
        <v>0</v>
      </c>
      <c r="J187" s="209">
        <f ca="1">IF($B41=2,SUMPRODUCT($B12:OFFSET($B13,-1,0),J188:OFFSET(J189,-1,0)),SUMPRODUCT($B12:OFFSET($B13,-1,0),J188:OFFSET(J189,-1,0))+SUMPRODUCT($B12:OFFSET($B13,-1,0),I47:OFFSET(I48,-1,0))-I46)</f>
        <v>0</v>
      </c>
      <c r="K187" s="209">
        <f ca="1">IF($B41=2,SUMPRODUCT($B12:OFFSET($B13,-1,0),K188:OFFSET(K189,-1,0)),SUMPRODUCT($B12:OFFSET($B13,-1,0),K188:OFFSET(K189,-1,0))+SUMPRODUCT($B12:OFFSET($B13,-1,0),J47:OFFSET(J48,-1,0))-J46)</f>
        <v>-309.35251270876392</v>
      </c>
      <c r="L187" s="209">
        <f ca="1">IF($B41=2,SUMPRODUCT($B12:OFFSET($B13,-1,0),L188:OFFSET(L189,-1,0)),SUMPRODUCT($B12:OFFSET($B13,-1,0),L188:OFFSET(L189,-1,0))+SUMPRODUCT($B12:OFFSET($B13,-1,0),K47:OFFSET(K48,-1,0))-K46)</f>
        <v>-852.07452185621275</v>
      </c>
      <c r="M187" s="209">
        <f ca="1">IF($B41=2,SUMPRODUCT($B12:OFFSET($B13,-1,0),M188:OFFSET(M189,-1,0)),SUMPRODUCT($B12:OFFSET($B13,-1,0),M188:OFFSET(M189,-1,0))+SUMPRODUCT($B12:OFFSET($B13,-1,0),L47:OFFSET(L48,-1,0))-L46)</f>
        <v>-815.26579806644747</v>
      </c>
      <c r="N187" s="209">
        <f ca="1">IF($B41=2,SUMPRODUCT($B12:OFFSET($B13,-1,0),N188:OFFSET(N189,-1,0)),SUMPRODUCT($B12:OFFSET($B13,-1,0),N188:OFFSET(N189,-1,0))+SUMPRODUCT($B12:OFFSET($B13,-1,0),M47:OFFSET(M48,-1,0))-M46)</f>
        <v>-299.38973508517608</v>
      </c>
      <c r="O187" s="209">
        <f ca="1">IF($B41=2,SUMPRODUCT($B12:OFFSET($B13,-1,0),O188:OFFSET(O189,-1,0)),SUMPRODUCT($B12:OFFSET($B13,-1,0),O188:OFFSET(O189,-1,0))+SUMPRODUCT($B12:OFFSET($B13,-1,0),N47:OFFSET(N48,-1,0))-N46)</f>
        <v>612.67083649209246</v>
      </c>
      <c r="P187" s="209">
        <f ca="1">IF($B41=2,SUMPRODUCT($B12:OFFSET($B13,-1,0),P188:OFFSET(P189,-1,0)),SUMPRODUCT($B12:OFFSET($B13,-1,0),P188:OFFSET(P189,-1,0))+SUMPRODUCT($B12:OFFSET($B13,-1,0),O47:OFFSET(O48,-1,0))-O46)</f>
        <v>1758.0930131691875</v>
      </c>
      <c r="Q187" s="209">
        <f ca="1">IF($B41=2,SUMPRODUCT($B12:OFFSET($B13,-1,0),Q188:OFFSET(Q189,-1,0)),SUMPRODUCT($B12:OFFSET($B13,-1,0),Q188:OFFSET(Q189,-1,0))+SUMPRODUCT($B12:OFFSET($B13,-1,0),P47:OFFSET(P48,-1,0))-P46)</f>
        <v>2903.5151898462827</v>
      </c>
      <c r="R187" s="209">
        <f ca="1">IF($B41=2,SUMPRODUCT($B12:OFFSET($B13,-1,0),R188:OFFSET(R189,-1,0)),SUMPRODUCT($B12:OFFSET($B13,-1,0),R188:OFFSET(R189,-1,0))+SUMPRODUCT($B12:OFFSET($B13,-1,0),Q47:OFFSET(Q48,-1,0))-Q46)</f>
        <v>4048.9373665233779</v>
      </c>
      <c r="S187" s="209">
        <f ca="1">IF($B41=2,SUMPRODUCT($B12:OFFSET($B13,-1,0),S188:OFFSET(S189,-1,0)),SUMPRODUCT($B12:OFFSET($B13,-1,0),S188:OFFSET(S189,-1,0))+SUMPRODUCT($B12:OFFSET($B13,-1,0),R47:OFFSET(R48,-1,0))-R46)</f>
        <v>5194.3595432004731</v>
      </c>
      <c r="T187" s="209">
        <f ca="1">IF($B41=2,SUMPRODUCT($B12:OFFSET($B13,-1,0),T188:OFFSET(T189,-1,0)),SUMPRODUCT($B12:OFFSET($B13,-1,0),T188:OFFSET(T189,-1,0))+SUMPRODUCT($B12:OFFSET($B13,-1,0),S47:OFFSET(S48,-1,0))-S46)</f>
        <v>6339.7817198775683</v>
      </c>
      <c r="U187" s="209">
        <f ca="1">IF($B41=2,SUMPRODUCT($B12:OFFSET($B13,-1,0),U188:OFFSET(U189,-1,0)),SUMPRODUCT($B12:OFFSET($B13,-1,0),U188:OFFSET(U189,-1,0))+SUMPRODUCT($B12:OFFSET($B13,-1,0),T47:OFFSET(T48,-1,0))-T46)</f>
        <v>7485.2038965546626</v>
      </c>
      <c r="V187" s="209">
        <f ca="1">IF($B41=2,SUMPRODUCT($B12:OFFSET($B13,-1,0),V188:OFFSET(V189,-1,0)),SUMPRODUCT($B12:OFFSET($B13,-1,0),V188:OFFSET(V189,-1,0))+SUMPRODUCT($B12:OFFSET($B13,-1,0),U47:OFFSET(U48,-1,0))-U46)</f>
        <v>8630.6260732317605</v>
      </c>
      <c r="W187" s="209">
        <f ca="1">IF($B41=2,SUMPRODUCT($B12:OFFSET($B13,-1,0),W188:OFFSET(W189,-1,0)),SUMPRODUCT($B12:OFFSET($B13,-1,0),W188:OFFSET(W189,-1,0))+SUMPRODUCT($B12:OFFSET($B13,-1,0),V47:OFFSET(V48,-1,0))-V46)</f>
        <v>9776.0482499088539</v>
      </c>
      <c r="X187" s="209">
        <f ca="1">IF($B41=2,SUMPRODUCT($B12:OFFSET($B13,-1,0),X188:OFFSET(X189,-1,0)),SUMPRODUCT($B12:OFFSET($B13,-1,0),X188:OFFSET(X189,-1,0))+SUMPRODUCT($B12:OFFSET($B13,-1,0),W47:OFFSET(W48,-1,0))-W46)</f>
        <v>10921.470426585951</v>
      </c>
      <c r="Y187" s="209">
        <f ca="1">IF($B41=2,SUMPRODUCT($B12:OFFSET($B13,-1,0),Y188:OFFSET(Y189,-1,0)),SUMPRODUCT($B12:OFFSET($B13,-1,0),Y188:OFFSET(Y189,-1,0))+SUMPRODUCT($B12:OFFSET($B13,-1,0),X47:OFFSET(X48,-1,0))-X46)</f>
        <v>16648.581309971425</v>
      </c>
      <c r="AA187" s="202"/>
    </row>
    <row r="188" spans="1:27" s="11" customFormat="1" hidden="1" outlineLevel="2" x14ac:dyDescent="0.2">
      <c r="A188" s="11" t="str">
        <f ca="1">"        " &amp; A12</f>
        <v xml:space="preserve">        Проект 1</v>
      </c>
      <c r="C188" s="198" t="str">
        <f t="shared" ca="1" si="18"/>
        <v>тыс. EUR</v>
      </c>
      <c r="D188" s="11" t="e">
        <f ca="1">"[" &amp; F12 &amp; "];int_end"</f>
        <v>#NAME?</v>
      </c>
      <c r="E188" s="54"/>
      <c r="F188" s="54">
        <f ca="1">IF(F$33&lt;$B28,0,IF(F$33&gt;$C28,IF(LIFE_PRJ=1,E188,0),OFFSET(Проект!F$1290,0,1-$B28)))</f>
        <v>0</v>
      </c>
      <c r="G188" s="54">
        <f ca="1">IF(G$33&lt;$B28,0,IF(G$33&gt;$C28,IF(LIFE_PRJ=1,F188,0),OFFSET(Проект!G$1290,0,1-$B28)))</f>
        <v>0</v>
      </c>
      <c r="H188" s="54">
        <f ca="1">IF(H$33&lt;$B28,0,IF(H$33&gt;$C28,IF(LIFE_PRJ=1,G188,0),OFFSET(Проект!H$1290,0,1-$B28)))</f>
        <v>0</v>
      </c>
      <c r="I188" s="54">
        <f ca="1">IF(I$33&lt;$B28,0,IF(I$33&gt;$C28,IF(LIFE_PRJ=1,H188,0),OFFSET(Проект!I$1290,0,1-$B28)))</f>
        <v>0</v>
      </c>
      <c r="J188" s="54">
        <f ca="1">IF(J$33&lt;$B28,0,IF(J$33&gt;$C28,IF(LIFE_PRJ=1,I188,0),OFFSET(Проект!J$1290,0,1-$B28)))</f>
        <v>0</v>
      </c>
      <c r="K188" s="54">
        <f ca="1">IF(K$33&lt;$B28,0,IF(K$33&gt;$C28,IF(LIFE_PRJ=1,J188,0),OFFSET(Проект!K$1290,0,1-$B28)))</f>
        <v>-309.35251270876392</v>
      </c>
      <c r="L188" s="54">
        <f ca="1">IF(L$33&lt;$B28,0,IF(L$33&gt;$C28,IF(LIFE_PRJ=1,K188,0),OFFSET(Проект!L$1290,0,1-$B28)))</f>
        <v>-852.07452185621275</v>
      </c>
      <c r="M188" s="54">
        <f ca="1">IF(M$33&lt;$B28,0,IF(M$33&gt;$C28,IF(LIFE_PRJ=1,L188,0),OFFSET(Проект!M$1290,0,1-$B28)))</f>
        <v>-815.26579806644747</v>
      </c>
      <c r="N188" s="54">
        <f ca="1">IF(N$33&lt;$B28,0,IF(N$33&gt;$C28,IF(LIFE_PRJ=1,M188,0),OFFSET(Проект!N$1290,0,1-$B28)))</f>
        <v>-299.38973508517608</v>
      </c>
      <c r="O188" s="54">
        <f ca="1">IF(O$33&lt;$B28,0,IF(O$33&gt;$C28,IF(LIFE_PRJ=1,N188,0),OFFSET(Проект!O$1290,0,1-$B28)))</f>
        <v>612.67083649209246</v>
      </c>
      <c r="P188" s="54">
        <f ca="1">IF(P$33&lt;$B28,0,IF(P$33&gt;$C28,IF(LIFE_PRJ=1,O188,0),OFFSET(Проект!P$1290,0,1-$B28)))</f>
        <v>1758.0930131691875</v>
      </c>
      <c r="Q188" s="54">
        <f ca="1">IF(Q$33&lt;$B28,0,IF(Q$33&gt;$C28,IF(LIFE_PRJ=1,P188,0),OFFSET(Проект!Q$1290,0,1-$B28)))</f>
        <v>2903.5151898462827</v>
      </c>
      <c r="R188" s="54">
        <f ca="1">IF(R$33&lt;$B28,0,IF(R$33&gt;$C28,IF(LIFE_PRJ=1,Q188,0),OFFSET(Проект!R$1290,0,1-$B28)))</f>
        <v>4048.9373665233779</v>
      </c>
      <c r="S188" s="54">
        <f ca="1">IF(S$33&lt;$B28,0,IF(S$33&gt;$C28,IF(LIFE_PRJ=1,R188,0),OFFSET(Проект!S$1290,0,1-$B28)))</f>
        <v>5194.3595432004731</v>
      </c>
      <c r="T188" s="54">
        <f ca="1">IF(T$33&lt;$B28,0,IF(T$33&gt;$C28,IF(LIFE_PRJ=1,S188,0),OFFSET(Проект!T$1290,0,1-$B28)))</f>
        <v>6339.7817198775683</v>
      </c>
      <c r="U188" s="54">
        <f ca="1">IF(U$33&lt;$B28,0,IF(U$33&gt;$C28,IF(LIFE_PRJ=1,T188,0),OFFSET(Проект!U$1290,0,1-$B28)))</f>
        <v>7485.2038965546635</v>
      </c>
      <c r="V188" s="54">
        <f ca="1">IF(V$33&lt;$B28,0,IF(V$33&gt;$C28,IF(LIFE_PRJ=1,U188,0),OFFSET(Проект!V$1290,0,1-$B28)))</f>
        <v>8630.6260732317587</v>
      </c>
      <c r="W188" s="54">
        <f ca="1">IF(W$33&lt;$B28,0,IF(W$33&gt;$C28,IF(LIFE_PRJ=1,V188,0),OFFSET(Проект!W$1290,0,1-$B28)))</f>
        <v>9776.0482499088539</v>
      </c>
      <c r="X188" s="54">
        <f ca="1">IF(X$33&lt;$B28,0,IF(X$33&gt;$C28,IF(LIFE_PRJ=1,W188,0),OFFSET(Проект!X$1290,0,1-$B28)))</f>
        <v>10921.470426585949</v>
      </c>
      <c r="Y188" s="54">
        <f ca="1">IF(Y$33&lt;$B28,0,IF(Y$33&gt;$C28,IF(LIFE_PRJ=1,X188,0),OFFSET(Проект!AC$1290,0,1-$B28)))</f>
        <v>16648.581309971425</v>
      </c>
      <c r="AA188" s="54"/>
    </row>
    <row r="189" spans="1:27" s="11" customFormat="1" outlineLevel="1" collapsed="1" x14ac:dyDescent="0.2">
      <c r="A189" s="23" t="str">
        <f ca="1">Language!A745</f>
        <v>Нераспределенная прибыль (на конец периода, нарастающим итогом)</v>
      </c>
      <c r="C189" s="114" t="str">
        <f t="shared" ca="1" si="18"/>
        <v>тыс. EUR</v>
      </c>
      <c r="D189" s="204" t="s">
        <v>2616</v>
      </c>
      <c r="F189" s="209">
        <f ca="1">IF($B41=2,SUMPRODUCT($B12:OFFSET($B13,-1,0),F190:OFFSET(F191,-1,0)),SUMPRODUCT($B12:OFFSET($B13,-1,0),F190:OFFSET(F191,-1,0))+SUMPRODUCT($B12:OFFSET($B13,-1,0),F47:OFFSET(F48,-1,0))-F46)</f>
        <v>0</v>
      </c>
      <c r="G189" s="209">
        <f ca="1">IF($B41=2,SUMPRODUCT($B12:OFFSET($B13,-1,0),G190:OFFSET(G191,-1,0)),SUMPRODUCT($B12:OFFSET($B13,-1,0),G190:OFFSET(G191,-1,0))+SUMPRODUCT($B12:OFFSET($B13,-1,0),G47:OFFSET(G48,-1,0))-G46)</f>
        <v>0</v>
      </c>
      <c r="H189" s="209">
        <f ca="1">IF($B41=2,SUMPRODUCT($B12:OFFSET($B13,-1,0),H190:OFFSET(H191,-1,0)),SUMPRODUCT($B12:OFFSET($B13,-1,0),H190:OFFSET(H191,-1,0))+SUMPRODUCT($B12:OFFSET($B13,-1,0),H47:OFFSET(H48,-1,0))-H46)</f>
        <v>0</v>
      </c>
      <c r="I189" s="209">
        <f ca="1">IF($B41=2,SUMPRODUCT($B12:OFFSET($B13,-1,0),I190:OFFSET(I191,-1,0)),SUMPRODUCT($B12:OFFSET($B13,-1,0),I190:OFFSET(I191,-1,0))+SUMPRODUCT($B12:OFFSET($B13,-1,0),I47:OFFSET(I48,-1,0))-I46)</f>
        <v>0</v>
      </c>
      <c r="J189" s="209">
        <f ca="1">IF($B41=2,SUMPRODUCT($B12:OFFSET($B13,-1,0),J190:OFFSET(J191,-1,0)),SUMPRODUCT($B12:OFFSET($B13,-1,0),J190:OFFSET(J191,-1,0))+SUMPRODUCT($B12:OFFSET($B13,-1,0),J47:OFFSET(J48,-1,0))-J46)</f>
        <v>-309.35251270876392</v>
      </c>
      <c r="K189" s="209">
        <f ca="1">IF($B41=2,SUMPRODUCT($B12:OFFSET($B13,-1,0),K190:OFFSET(K191,-1,0)),SUMPRODUCT($B12:OFFSET($B13,-1,0),K190:OFFSET(K191,-1,0))+SUMPRODUCT($B12:OFFSET($B13,-1,0),K47:OFFSET(K48,-1,0))-K46)</f>
        <v>-852.07452185621275</v>
      </c>
      <c r="L189" s="209">
        <f ca="1">IF($B41=2,SUMPRODUCT($B12:OFFSET($B13,-1,0),L190:OFFSET(L191,-1,0)),SUMPRODUCT($B12:OFFSET($B13,-1,0),L190:OFFSET(L191,-1,0))+SUMPRODUCT($B12:OFFSET($B13,-1,0),L47:OFFSET(L48,-1,0))-L46)</f>
        <v>-815.26579806644747</v>
      </c>
      <c r="M189" s="209">
        <f ca="1">IF($B41=2,SUMPRODUCT($B12:OFFSET($B13,-1,0),M190:OFFSET(M191,-1,0)),SUMPRODUCT($B12:OFFSET($B13,-1,0),M190:OFFSET(M191,-1,0))+SUMPRODUCT($B12:OFFSET($B13,-1,0),M47:OFFSET(M48,-1,0))-M46)</f>
        <v>-299.38973508517608</v>
      </c>
      <c r="N189" s="209">
        <f ca="1">IF($B41=2,SUMPRODUCT($B12:OFFSET($B13,-1,0),N190:OFFSET(N191,-1,0)),SUMPRODUCT($B12:OFFSET($B13,-1,0),N190:OFFSET(N191,-1,0))+SUMPRODUCT($B12:OFFSET($B13,-1,0),N47:OFFSET(N48,-1,0))-N46)</f>
        <v>612.67083649209246</v>
      </c>
      <c r="O189" s="209">
        <f ca="1">IF($B41=2,SUMPRODUCT($B12:OFFSET($B13,-1,0),O190:OFFSET(O191,-1,0)),SUMPRODUCT($B12:OFFSET($B13,-1,0),O190:OFFSET(O191,-1,0))+SUMPRODUCT($B12:OFFSET($B13,-1,0),O47:OFFSET(O48,-1,0))-O46)</f>
        <v>1758.0930131691875</v>
      </c>
      <c r="P189" s="209">
        <f ca="1">IF($B41=2,SUMPRODUCT($B12:OFFSET($B13,-1,0),P190:OFFSET(P191,-1,0)),SUMPRODUCT($B12:OFFSET($B13,-1,0),P190:OFFSET(P191,-1,0))+SUMPRODUCT($B12:OFFSET($B13,-1,0),P47:OFFSET(P48,-1,0))-P46)</f>
        <v>2903.5151898462827</v>
      </c>
      <c r="Q189" s="209">
        <f ca="1">IF($B41=2,SUMPRODUCT($B12:OFFSET($B13,-1,0),Q190:OFFSET(Q191,-1,0)),SUMPRODUCT($B12:OFFSET($B13,-1,0),Q190:OFFSET(Q191,-1,0))+SUMPRODUCT($B12:OFFSET($B13,-1,0),Q47:OFFSET(Q48,-1,0))-Q46)</f>
        <v>4048.9373665233779</v>
      </c>
      <c r="R189" s="209">
        <f ca="1">IF($B41=2,SUMPRODUCT($B12:OFFSET($B13,-1,0),R190:OFFSET(R191,-1,0)),SUMPRODUCT($B12:OFFSET($B13,-1,0),R190:OFFSET(R191,-1,0))+SUMPRODUCT($B12:OFFSET($B13,-1,0),R47:OFFSET(R48,-1,0))-R46)</f>
        <v>5194.3595432004731</v>
      </c>
      <c r="S189" s="209">
        <f ca="1">IF($B41=2,SUMPRODUCT($B12:OFFSET($B13,-1,0),S190:OFFSET(S191,-1,0)),SUMPRODUCT($B12:OFFSET($B13,-1,0),S190:OFFSET(S191,-1,0))+SUMPRODUCT($B12:OFFSET($B13,-1,0),S47:OFFSET(S48,-1,0))-S46)</f>
        <v>6339.7817198775683</v>
      </c>
      <c r="T189" s="209">
        <f ca="1">IF($B41=2,SUMPRODUCT($B12:OFFSET($B13,-1,0),T190:OFFSET(T191,-1,0)),SUMPRODUCT($B12:OFFSET($B13,-1,0),T190:OFFSET(T191,-1,0))+SUMPRODUCT($B12:OFFSET($B13,-1,0),T47:OFFSET(T48,-1,0))-T46)</f>
        <v>7485.2038965546626</v>
      </c>
      <c r="U189" s="209">
        <f ca="1">IF($B41=2,SUMPRODUCT($B12:OFFSET($B13,-1,0),U190:OFFSET(U191,-1,0)),SUMPRODUCT($B12:OFFSET($B13,-1,0),U190:OFFSET(U191,-1,0))+SUMPRODUCT($B12:OFFSET($B13,-1,0),U47:OFFSET(U48,-1,0))-U46)</f>
        <v>8630.6260732317605</v>
      </c>
      <c r="V189" s="209">
        <f ca="1">IF($B41=2,SUMPRODUCT($B12:OFFSET($B13,-1,0),V190:OFFSET(V191,-1,0)),SUMPRODUCT($B12:OFFSET($B13,-1,0),V190:OFFSET(V191,-1,0))+SUMPRODUCT($B12:OFFSET($B13,-1,0),V47:OFFSET(V48,-1,0))-V46)</f>
        <v>9776.0482499088539</v>
      </c>
      <c r="W189" s="209">
        <f ca="1">IF($B41=2,SUMPRODUCT($B12:OFFSET($B13,-1,0),W190:OFFSET(W191,-1,0)),SUMPRODUCT($B12:OFFSET($B13,-1,0),W190:OFFSET(W191,-1,0))+SUMPRODUCT($B12:OFFSET($B13,-1,0),W47:OFFSET(W48,-1,0))-W46)</f>
        <v>10921.470426585951</v>
      </c>
      <c r="X189" s="209">
        <f ca="1">IF($B41=2,SUMPRODUCT($B12:OFFSET($B13,-1,0),X190:OFFSET(X191,-1,0)),SUMPRODUCT($B12:OFFSET($B13,-1,0),X190:OFFSET(X191,-1,0))+SUMPRODUCT($B12:OFFSET($B13,-1,0),X47:OFFSET(X48,-1,0))-X46)</f>
        <v>12066.892603263044</v>
      </c>
      <c r="Y189" s="209">
        <f ca="1">IF($B41=2,SUMPRODUCT($B12:OFFSET($B13,-1,0),Y190:OFFSET(Y191,-1,0)),SUMPRODUCT($B12:OFFSET($B13,-1,0),Y190:OFFSET(Y191,-1,0))+SUMPRODUCT($B12:OFFSET($B13,-1,0),Y47:OFFSET(Y48,-1,0))-Y46)</f>
        <v>18868.720590691228</v>
      </c>
      <c r="AA189" s="202"/>
    </row>
    <row r="190" spans="1:27" s="11" customFormat="1" hidden="1" outlineLevel="2" x14ac:dyDescent="0.2">
      <c r="A190" s="11" t="str">
        <f ca="1">"        " &amp; A12</f>
        <v xml:space="preserve">        Проект 1</v>
      </c>
      <c r="C190" s="198" t="str">
        <f t="shared" ca="1" si="18"/>
        <v>тыс. EUR</v>
      </c>
      <c r="D190" s="11" t="e">
        <f ca="1">"[" &amp; F12 &amp; "];int_end"</f>
        <v>#NAME?</v>
      </c>
      <c r="E190" s="54"/>
      <c r="F190" s="54">
        <f ca="1">IF(F$33&lt;$B28,0,IF(F$33&gt;$C28,IF(LIFE_PRJ=1,E190,0),OFFSET(Проект!F$1291,0,1-$B28)))</f>
        <v>0</v>
      </c>
      <c r="G190" s="54">
        <f ca="1">IF(G$33&lt;$B28,0,IF(G$33&gt;$C28,IF(LIFE_PRJ=1,F190,0),OFFSET(Проект!G$1291,0,1-$B28)))</f>
        <v>0</v>
      </c>
      <c r="H190" s="54">
        <f ca="1">IF(H$33&lt;$B28,0,IF(H$33&gt;$C28,IF(LIFE_PRJ=1,G190,0),OFFSET(Проект!H$1291,0,1-$B28)))</f>
        <v>0</v>
      </c>
      <c r="I190" s="54">
        <f ca="1">IF(I$33&lt;$B28,0,IF(I$33&gt;$C28,IF(LIFE_PRJ=1,H190,0),OFFSET(Проект!I$1291,0,1-$B28)))</f>
        <v>0</v>
      </c>
      <c r="J190" s="54">
        <f ca="1">IF(J$33&lt;$B28,0,IF(J$33&gt;$C28,IF(LIFE_PRJ=1,I190,0),OFFSET(Проект!J$1291,0,1-$B28)))</f>
        <v>-309.35251270876392</v>
      </c>
      <c r="K190" s="54">
        <f ca="1">IF(K$33&lt;$B28,0,IF(K$33&gt;$C28,IF(LIFE_PRJ=1,J190,0),OFFSET(Проект!K$1291,0,1-$B28)))</f>
        <v>-852.07452185621275</v>
      </c>
      <c r="L190" s="54">
        <f ca="1">IF(L$33&lt;$B28,0,IF(L$33&gt;$C28,IF(LIFE_PRJ=1,K190,0),OFFSET(Проект!L$1291,0,1-$B28)))</f>
        <v>-815.26579806644747</v>
      </c>
      <c r="M190" s="54">
        <f ca="1">IF(M$33&lt;$B28,0,IF(M$33&gt;$C28,IF(LIFE_PRJ=1,L190,0),OFFSET(Проект!M$1291,0,1-$B28)))</f>
        <v>-299.38973508517608</v>
      </c>
      <c r="N190" s="54">
        <f ca="1">IF(N$33&lt;$B28,0,IF(N$33&gt;$C28,IF(LIFE_PRJ=1,M190,0),OFFSET(Проект!N$1291,0,1-$B28)))</f>
        <v>612.67083649209246</v>
      </c>
      <c r="O190" s="54">
        <f ca="1">IF(O$33&lt;$B28,0,IF(O$33&gt;$C28,IF(LIFE_PRJ=1,N190,0),OFFSET(Проект!O$1291,0,1-$B28)))</f>
        <v>1758.0930131691875</v>
      </c>
      <c r="P190" s="54">
        <f ca="1">IF(P$33&lt;$B28,0,IF(P$33&gt;$C28,IF(LIFE_PRJ=1,O190,0),OFFSET(Проект!P$1291,0,1-$B28)))</f>
        <v>2903.5151898462827</v>
      </c>
      <c r="Q190" s="54">
        <f ca="1">IF(Q$33&lt;$B28,0,IF(Q$33&gt;$C28,IF(LIFE_PRJ=1,P190,0),OFFSET(Проект!Q$1291,0,1-$B28)))</f>
        <v>4048.9373665233779</v>
      </c>
      <c r="R190" s="54">
        <f ca="1">IF(R$33&lt;$B28,0,IF(R$33&gt;$C28,IF(LIFE_PRJ=1,Q190,0),OFFSET(Проект!R$1291,0,1-$B28)))</f>
        <v>5194.3595432004731</v>
      </c>
      <c r="S190" s="54">
        <f ca="1">IF(S$33&lt;$B28,0,IF(S$33&gt;$C28,IF(LIFE_PRJ=1,R190,0),OFFSET(Проект!S$1291,0,1-$B28)))</f>
        <v>6339.7817198775683</v>
      </c>
      <c r="T190" s="54">
        <f ca="1">IF(T$33&lt;$B28,0,IF(T$33&gt;$C28,IF(LIFE_PRJ=1,S190,0),OFFSET(Проект!T$1291,0,1-$B28)))</f>
        <v>7485.2038965546635</v>
      </c>
      <c r="U190" s="54">
        <f ca="1">IF(U$33&lt;$B28,0,IF(U$33&gt;$C28,IF(LIFE_PRJ=1,T190,0),OFFSET(Проект!U$1291,0,1-$B28)))</f>
        <v>8630.6260732317587</v>
      </c>
      <c r="V190" s="54">
        <f ca="1">IF(V$33&lt;$B28,0,IF(V$33&gt;$C28,IF(LIFE_PRJ=1,U190,0),OFFSET(Проект!V$1291,0,1-$B28)))</f>
        <v>9776.0482499088539</v>
      </c>
      <c r="W190" s="54">
        <f ca="1">IF(W$33&lt;$B28,0,IF(W$33&gt;$C28,IF(LIFE_PRJ=1,V190,0),OFFSET(Проект!W$1291,0,1-$B28)))</f>
        <v>10921.470426585949</v>
      </c>
      <c r="X190" s="54">
        <f ca="1">IF(X$33&lt;$B28,0,IF(X$33&gt;$C28,IF(LIFE_PRJ=1,W190,0),OFFSET(Проект!X$1291,0,1-$B28)))</f>
        <v>12066.892603263044</v>
      </c>
      <c r="Y190" s="54">
        <f ca="1">IF(Y$33&lt;$B28,0,IF(Y$33&gt;$C28,IF(LIFE_PRJ=1,X190,0),OFFSET(Проект!AC$1291,0,1-$B28)))</f>
        <v>17794.003486648522</v>
      </c>
      <c r="AA190" s="54"/>
    </row>
    <row r="191" spans="1:27" outlineLevel="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203"/>
    </row>
    <row r="192" spans="1:27" outlineLevel="1" collapsed="1" x14ac:dyDescent="0.2">
      <c r="A192" s="22" t="str">
        <f ca="1">Language!A$969 &amp; ", " &amp; CUR_Report</f>
        <v>График: Суммарная выручка проектов, тыс. EUR</v>
      </c>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205"/>
    </row>
    <row r="193" spans="1:27" hidden="1" outlineLevel="2"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205"/>
    </row>
    <row r="194" spans="1:27" hidden="1" outlineLevel="2" x14ac:dyDescent="0.2"/>
    <row r="195" spans="1:27" hidden="1" outlineLevel="2" x14ac:dyDescent="0.2"/>
    <row r="196" spans="1:27" hidden="1" outlineLevel="2" x14ac:dyDescent="0.2"/>
    <row r="197" spans="1:27" hidden="1" outlineLevel="2" x14ac:dyDescent="0.2"/>
    <row r="198" spans="1:27" hidden="1" outlineLevel="2" x14ac:dyDescent="0.2"/>
    <row r="199" spans="1:27" hidden="1" outlineLevel="2" x14ac:dyDescent="0.2"/>
    <row r="200" spans="1:27" hidden="1" outlineLevel="2" x14ac:dyDescent="0.2"/>
    <row r="201" spans="1:27" hidden="1" outlineLevel="2" x14ac:dyDescent="0.2"/>
    <row r="202" spans="1:27" hidden="1" outlineLevel="2" x14ac:dyDescent="0.2"/>
    <row r="203" spans="1:27" hidden="1" outlineLevel="2" x14ac:dyDescent="0.2"/>
    <row r="204" spans="1:27" hidden="1" outlineLevel="2" x14ac:dyDescent="0.2"/>
    <row r="205" spans="1:27" hidden="1" outlineLevel="2" x14ac:dyDescent="0.2"/>
    <row r="206" spans="1:27" hidden="1" outlineLevel="2" x14ac:dyDescent="0.2"/>
    <row r="207" spans="1:27" hidden="1" outlineLevel="2" x14ac:dyDescent="0.2"/>
    <row r="208" spans="1:27" hidden="1" outlineLevel="2" x14ac:dyDescent="0.2"/>
    <row r="209" spans="1:1" hidden="1" outlineLevel="2" x14ac:dyDescent="0.2"/>
    <row r="210" spans="1:1" hidden="1" outlineLevel="2" x14ac:dyDescent="0.2"/>
    <row r="211" spans="1:1" hidden="1" outlineLevel="2" x14ac:dyDescent="0.2"/>
    <row r="212" spans="1:1" hidden="1" outlineLevel="2" x14ac:dyDescent="0.2"/>
    <row r="213" spans="1:1" hidden="1" outlineLevel="2" x14ac:dyDescent="0.2"/>
    <row r="214" spans="1:1" hidden="1" outlineLevel="2" x14ac:dyDescent="0.2"/>
    <row r="215" spans="1:1" hidden="1" outlineLevel="2" x14ac:dyDescent="0.2"/>
    <row r="216" spans="1:1" outlineLevel="1" x14ac:dyDescent="0.2"/>
    <row r="217" spans="1:1" outlineLevel="1" collapsed="1" x14ac:dyDescent="0.2">
      <c r="A217" s="22" t="str">
        <f ca="1">Language!A970 &amp; ", " &amp; CUR_Report</f>
        <v>График: Прибыль проектов, тыс. EUR</v>
      </c>
    </row>
    <row r="218" spans="1:1" hidden="1" outlineLevel="2" x14ac:dyDescent="0.2"/>
    <row r="219" spans="1:1" hidden="1" outlineLevel="2" x14ac:dyDescent="0.2"/>
    <row r="220" spans="1:1" hidden="1" outlineLevel="2" x14ac:dyDescent="0.2"/>
    <row r="221" spans="1:1" hidden="1" outlineLevel="2" x14ac:dyDescent="0.2"/>
    <row r="222" spans="1:1" hidden="1" outlineLevel="2" x14ac:dyDescent="0.2"/>
    <row r="223" spans="1:1" hidden="1" outlineLevel="2" x14ac:dyDescent="0.2"/>
    <row r="224" spans="1:1" hidden="1" outlineLevel="2" x14ac:dyDescent="0.2"/>
    <row r="225" hidden="1" outlineLevel="2" x14ac:dyDescent="0.2"/>
    <row r="226" hidden="1" outlineLevel="2" x14ac:dyDescent="0.2"/>
    <row r="227" hidden="1" outlineLevel="2" x14ac:dyDescent="0.2"/>
    <row r="228" hidden="1" outlineLevel="2" x14ac:dyDescent="0.2"/>
    <row r="229" hidden="1" outlineLevel="2" x14ac:dyDescent="0.2"/>
    <row r="230" hidden="1" outlineLevel="2" x14ac:dyDescent="0.2"/>
    <row r="231" hidden="1" outlineLevel="2" x14ac:dyDescent="0.2"/>
    <row r="232" hidden="1" outlineLevel="2" x14ac:dyDescent="0.2"/>
    <row r="233" hidden="1" outlineLevel="2" x14ac:dyDescent="0.2"/>
    <row r="234" hidden="1" outlineLevel="2" x14ac:dyDescent="0.2"/>
    <row r="235" hidden="1" outlineLevel="2" x14ac:dyDescent="0.2"/>
    <row r="236" hidden="1" outlineLevel="2" x14ac:dyDescent="0.2"/>
    <row r="237" hidden="1" outlineLevel="2" x14ac:dyDescent="0.2"/>
    <row r="238" hidden="1" outlineLevel="2" x14ac:dyDescent="0.2"/>
    <row r="239" hidden="1" outlineLevel="2" x14ac:dyDescent="0.2"/>
    <row r="240" hidden="1" outlineLevel="2" x14ac:dyDescent="0.2"/>
    <row r="241" spans="1:1" outlineLevel="1" x14ac:dyDescent="0.2"/>
    <row r="242" spans="1:1" outlineLevel="1" collapsed="1" x14ac:dyDescent="0.2">
      <c r="A242" s="296" t="str">
        <f ca="1">Language!A$1015 &amp; ", " &amp; CUR_Report</f>
        <v>График: EBITDA, тыс. EUR</v>
      </c>
    </row>
    <row r="243" spans="1:1" hidden="1" outlineLevel="2" x14ac:dyDescent="0.2"/>
    <row r="244" spans="1:1" hidden="1" outlineLevel="2" x14ac:dyDescent="0.2"/>
    <row r="245" spans="1:1" hidden="1" outlineLevel="2" x14ac:dyDescent="0.2"/>
    <row r="246" spans="1:1" hidden="1" outlineLevel="2" x14ac:dyDescent="0.2"/>
    <row r="247" spans="1:1" hidden="1" outlineLevel="2" x14ac:dyDescent="0.2"/>
    <row r="248" spans="1:1" hidden="1" outlineLevel="2" x14ac:dyDescent="0.2"/>
    <row r="249" spans="1:1" hidden="1" outlineLevel="2" x14ac:dyDescent="0.2"/>
    <row r="250" spans="1:1" hidden="1" outlineLevel="2" x14ac:dyDescent="0.2"/>
    <row r="251" spans="1:1" hidden="1" outlineLevel="2" x14ac:dyDescent="0.2"/>
    <row r="252" spans="1:1" hidden="1" outlineLevel="2" x14ac:dyDescent="0.2"/>
    <row r="253" spans="1:1" hidden="1" outlineLevel="2" x14ac:dyDescent="0.2"/>
    <row r="254" spans="1:1" hidden="1" outlineLevel="2" x14ac:dyDescent="0.2"/>
    <row r="255" spans="1:1" hidden="1" outlineLevel="2" x14ac:dyDescent="0.2"/>
    <row r="256" spans="1:1" hidden="1" outlineLevel="2" x14ac:dyDescent="0.2"/>
    <row r="257" spans="1:27" hidden="1" outlineLevel="2" x14ac:dyDescent="0.2"/>
    <row r="258" spans="1:27" hidden="1" outlineLevel="2" x14ac:dyDescent="0.2"/>
    <row r="259" spans="1:27" hidden="1" outlineLevel="2" x14ac:dyDescent="0.2"/>
    <row r="260" spans="1:27" hidden="1" outlineLevel="2" x14ac:dyDescent="0.2"/>
    <row r="261" spans="1:27" hidden="1" outlineLevel="2" x14ac:dyDescent="0.2"/>
    <row r="262" spans="1:27" hidden="1" outlineLevel="2" x14ac:dyDescent="0.2"/>
    <row r="263" spans="1:27" hidden="1" outlineLevel="2" x14ac:dyDescent="0.2"/>
    <row r="264" spans="1:27" hidden="1" outlineLevel="2" x14ac:dyDescent="0.2"/>
    <row r="265" spans="1:27" hidden="1" outlineLevel="2" x14ac:dyDescent="0.2"/>
    <row r="266" spans="1:27" outlineLevel="1" x14ac:dyDescent="0.2"/>
    <row r="267" spans="1:27" outlineLevel="1" x14ac:dyDescent="0.2"/>
    <row r="268" spans="1:27" s="4" customFormat="1" ht="15.95" customHeight="1" thickBot="1" x14ac:dyDescent="0.25">
      <c r="A268" s="165" t="str">
        <f ca="1">Language!A975</f>
        <v xml:space="preserve">         СВОДНЫЙ ОТЧЕТ О ДВИЖЕНИИ ДЕНЕЖНЫХ СРЕДСТВ</v>
      </c>
      <c r="B268" s="165"/>
      <c r="C268" s="165"/>
      <c r="D268" s="165"/>
      <c r="E268" s="165"/>
      <c r="F268" s="177" t="str">
        <f ca="1">IF(Проект!ShowRealDates,F36,F34)</f>
        <v>1 кв. 2016</v>
      </c>
      <c r="G268" s="177" t="str">
        <f ca="1">IF(Проект!ShowRealDates,G36,G34)</f>
        <v>2 кв. 2016</v>
      </c>
      <c r="H268" s="177" t="str">
        <f ca="1">IF(Проект!ShowRealDates,H36,H34)</f>
        <v>3 кв. 2016</v>
      </c>
      <c r="I268" s="177" t="str">
        <f ca="1">IF(Проект!ShowRealDates,I36,I34)</f>
        <v>4 кв. 2016</v>
      </c>
      <c r="J268" s="177" t="str">
        <f ca="1">IF(Проект!ShowRealDates,J36,J34)</f>
        <v>1 кв. 2017</v>
      </c>
      <c r="K268" s="177" t="str">
        <f ca="1">IF(Проект!ShowRealDates,K36,K34)</f>
        <v>2 кв. 2017</v>
      </c>
      <c r="L268" s="177" t="str">
        <f ca="1">IF(Проект!ShowRealDates,L36,L34)</f>
        <v>3 кв. 2017</v>
      </c>
      <c r="M268" s="177" t="str">
        <f ca="1">IF(Проект!ShowRealDates,M36,M34)</f>
        <v>4 кв. 2017</v>
      </c>
      <c r="N268" s="177" t="str">
        <f ca="1">IF(Проект!ShowRealDates,N36,N34)</f>
        <v>1 кв. 2018</v>
      </c>
      <c r="O268" s="177" t="str">
        <f ca="1">IF(Проект!ShowRealDates,O36,O34)</f>
        <v>2 кв. 2018</v>
      </c>
      <c r="P268" s="177" t="str">
        <f ca="1">IF(Проект!ShowRealDates,P36,P34)</f>
        <v>3 кв. 2018</v>
      </c>
      <c r="Q268" s="177" t="str">
        <f ca="1">IF(Проект!ShowRealDates,Q36,Q34)</f>
        <v>4 кв. 2018</v>
      </c>
      <c r="R268" s="177" t="str">
        <f ca="1">IF(Проект!ShowRealDates,R36,R34)</f>
        <v>1 кв. 2019</v>
      </c>
      <c r="S268" s="177" t="str">
        <f ca="1">IF(Проект!ShowRealDates,S36,S34)</f>
        <v>2 кв. 2019</v>
      </c>
      <c r="T268" s="177" t="str">
        <f ca="1">IF(Проект!ShowRealDates,T36,T34)</f>
        <v>3 кв. 2019</v>
      </c>
      <c r="U268" s="177" t="str">
        <f ca="1">IF(Проект!ShowRealDates,U36,U34)</f>
        <v>4 кв. 2019</v>
      </c>
      <c r="V268" s="177" t="str">
        <f ca="1">IF(Проект!ShowRealDates,V36,V34)</f>
        <v>1 кв. 2020</v>
      </c>
      <c r="W268" s="177" t="str">
        <f ca="1">IF(Проект!ShowRealDates,W36,W34)</f>
        <v>2 кв. 2020</v>
      </c>
      <c r="X268" s="177" t="str">
        <f ca="1">IF(Проект!ShowRealDates,X36,X34)</f>
        <v>3 кв. 2020</v>
      </c>
      <c r="Y268" s="177" t="str">
        <f ca="1">IF(Проект!ShowRealDates,Y36,Y34)</f>
        <v>4 кв. 2020</v>
      </c>
      <c r="Z268" s="166"/>
      <c r="AA268" s="194" t="str">
        <f ca="1">Language!A$372</f>
        <v>ИТОГО</v>
      </c>
    </row>
    <row r="269" spans="1:27" ht="12" outlineLevel="1" thickTop="1" x14ac:dyDescent="0.2"/>
    <row r="270" spans="1:27" outlineLevel="1" collapsed="1" x14ac:dyDescent="0.2">
      <c r="A270" t="str">
        <f ca="1">Language!A$747</f>
        <v>Поступления от продаж</v>
      </c>
      <c r="C270" s="5" t="str">
        <f t="shared" ref="C270:C287" ca="1" si="36">CUR_Report</f>
        <v>тыс. EUR</v>
      </c>
      <c r="D270" s="204" t="s">
        <v>2615</v>
      </c>
      <c r="F270" s="43">
        <f ca="1">SUMPRODUCT($B12:OFFSET($B13,-1,0),F271:OFFSET(F272,-1,0))</f>
        <v>0</v>
      </c>
      <c r="G270" s="43">
        <f ca="1">SUMPRODUCT($B12:OFFSET($B13,-1,0),G271:OFFSET(G272,-1,0))</f>
        <v>0</v>
      </c>
      <c r="H270" s="43">
        <f ca="1">SUMPRODUCT($B12:OFFSET($B13,-1,0),H271:OFFSET(H272,-1,0))</f>
        <v>0</v>
      </c>
      <c r="I270" s="43">
        <f ca="1">SUMPRODUCT($B12:OFFSET($B13,-1,0),I271:OFFSET(I272,-1,0))</f>
        <v>0</v>
      </c>
      <c r="J270" s="43">
        <f ca="1">SUMPRODUCT($B12:OFFSET($B13,-1,0),J271:OFFSET(J272,-1,0))</f>
        <v>0</v>
      </c>
      <c r="K270" s="43">
        <f ca="1">SUMPRODUCT($B12:OFFSET($B13,-1,0),K271:OFFSET(K272,-1,0))</f>
        <v>714.56092469127964</v>
      </c>
      <c r="L270" s="43">
        <f ca="1">SUMPRODUCT($B12:OFFSET($B13,-1,0),L271:OFFSET(L272,-1,0))</f>
        <v>2731.2132863136535</v>
      </c>
      <c r="M270" s="43">
        <f ca="1">SUMPRODUCT($B12:OFFSET($B13,-1,0),M271:OFFSET(M272,-1,0))</f>
        <v>4381.7008046824012</v>
      </c>
      <c r="N270" s="43">
        <f ca="1">SUMPRODUCT($B12:OFFSET($B13,-1,0),N271:OFFSET(N272,-1,0))</f>
        <v>6249.0205978072227</v>
      </c>
      <c r="O270" s="43">
        <f ca="1">SUMPRODUCT($B12:OFFSET($B13,-1,0),O271:OFFSET(O272,-1,0))</f>
        <v>7525.4219523772372</v>
      </c>
      <c r="P270" s="43">
        <f ca="1">SUMPRODUCT($B12:OFFSET($B13,-1,0),P271:OFFSET(P272,-1,0))</f>
        <v>7525.4219523772372</v>
      </c>
      <c r="Q270" s="43">
        <f ca="1">SUMPRODUCT($B12:OFFSET($B13,-1,0),Q271:OFFSET(Q272,-1,0))</f>
        <v>7525.4219523772372</v>
      </c>
      <c r="R270" s="43">
        <f ca="1">SUMPRODUCT($B12:OFFSET($B13,-1,0),R271:OFFSET(R272,-1,0))</f>
        <v>7525.4219523772372</v>
      </c>
      <c r="S270" s="43">
        <f ca="1">SUMPRODUCT($B12:OFFSET($B13,-1,0),S271:OFFSET(S272,-1,0))</f>
        <v>7525.4219523772372</v>
      </c>
      <c r="T270" s="43">
        <f ca="1">SUMPRODUCT($B12:OFFSET($B13,-1,0),T271:OFFSET(T272,-1,0))</f>
        <v>7525.4219523772372</v>
      </c>
      <c r="U270" s="43">
        <f ca="1">SUMPRODUCT($B12:OFFSET($B13,-1,0),U271:OFFSET(U272,-1,0))</f>
        <v>7525.4219523772372</v>
      </c>
      <c r="V270" s="43">
        <f ca="1">SUMPRODUCT($B12:OFFSET($B13,-1,0),V271:OFFSET(V272,-1,0))</f>
        <v>7525.4219523772372</v>
      </c>
      <c r="W270" s="43">
        <f ca="1">SUMPRODUCT($B12:OFFSET($B13,-1,0),W271:OFFSET(W272,-1,0))</f>
        <v>7525.4219523772372</v>
      </c>
      <c r="X270" s="43">
        <f ca="1">SUMPRODUCT($B12:OFFSET($B13,-1,0),X271:OFFSET(X272,-1,0))</f>
        <v>7525.4219523772372</v>
      </c>
      <c r="Y270" s="43">
        <f ca="1">SUMPRODUCT($B12:OFFSET($B13,-1,0),Y271:OFFSET(Y272,-1,0))</f>
        <v>7525.4219523772372</v>
      </c>
      <c r="AA270" s="54">
        <f t="shared" ref="AA270:AA287" ca="1" si="37">SUM(F270:Y270)</f>
        <v>96856.137089644137</v>
      </c>
    </row>
    <row r="271" spans="1:27" s="180" customFormat="1" hidden="1" outlineLevel="2" x14ac:dyDescent="0.2">
      <c r="A271" s="11" t="str">
        <f ca="1">"        " &amp; A12</f>
        <v xml:space="preserve">        Проект 1</v>
      </c>
      <c r="B271" s="11"/>
      <c r="C271" s="36" t="str">
        <f t="shared" ca="1" si="36"/>
        <v>тыс. EUR</v>
      </c>
      <c r="D271" s="11" t="e">
        <f ca="1">"[" &amp; F12 &amp; "];int_sum"</f>
        <v>#NAME?</v>
      </c>
      <c r="E271" s="11"/>
      <c r="F271" s="54">
        <f ca="1">IF(OR(F$33&lt;$B28,F$33&gt;$C28),0,OFFSET(Проект!F$1321,0,1-$B28))</f>
        <v>0</v>
      </c>
      <c r="G271" s="54">
        <f ca="1">IF(OR(G$33&lt;$B28,G$33&gt;$C28),0,OFFSET(Проект!G$1321,0,1-$B28))</f>
        <v>0</v>
      </c>
      <c r="H271" s="54">
        <f ca="1">IF(OR(H$33&lt;$B28,H$33&gt;$C28),0,OFFSET(Проект!H$1321,0,1-$B28))</f>
        <v>0</v>
      </c>
      <c r="I271" s="54">
        <f ca="1">IF(OR(I$33&lt;$B28,I$33&gt;$C28),0,OFFSET(Проект!I$1321,0,1-$B28))</f>
        <v>0</v>
      </c>
      <c r="J271" s="54">
        <f ca="1">IF(OR(J$33&lt;$B28,J$33&gt;$C28),0,OFFSET(Проект!J$1321,0,1-$B28))</f>
        <v>0</v>
      </c>
      <c r="K271" s="54">
        <f ca="1">IF(OR(K$33&lt;$B28,K$33&gt;$C28),0,OFFSET(Проект!K$1321,0,1-$B28))</f>
        <v>714.56092469127964</v>
      </c>
      <c r="L271" s="54">
        <f ca="1">IF(OR(L$33&lt;$B28,L$33&gt;$C28),0,OFFSET(Проект!L$1321,0,1-$B28))</f>
        <v>2731.2132863136535</v>
      </c>
      <c r="M271" s="54">
        <f ca="1">IF(OR(M$33&lt;$B28,M$33&gt;$C28),0,OFFSET(Проект!M$1321,0,1-$B28))</f>
        <v>4381.7008046824012</v>
      </c>
      <c r="N271" s="54">
        <f ca="1">IF(OR(N$33&lt;$B28,N$33&gt;$C28),0,OFFSET(Проект!N$1321,0,1-$B28))</f>
        <v>6249.0205978072227</v>
      </c>
      <c r="O271" s="54">
        <f ca="1">IF(OR(O$33&lt;$B28,O$33&gt;$C28),0,OFFSET(Проект!O$1321,0,1-$B28))</f>
        <v>7525.4219523772372</v>
      </c>
      <c r="P271" s="54">
        <f ca="1">IF(OR(P$33&lt;$B28,P$33&gt;$C28),0,OFFSET(Проект!P$1321,0,1-$B28))</f>
        <v>7525.4219523772372</v>
      </c>
      <c r="Q271" s="54">
        <f ca="1">IF(OR(Q$33&lt;$B28,Q$33&gt;$C28),0,OFFSET(Проект!Q$1321,0,1-$B28))</f>
        <v>7525.4219523772372</v>
      </c>
      <c r="R271" s="54">
        <f ca="1">IF(OR(R$33&lt;$B28,R$33&gt;$C28),0,OFFSET(Проект!R$1321,0,1-$B28))</f>
        <v>7525.4219523772372</v>
      </c>
      <c r="S271" s="54">
        <f ca="1">IF(OR(S$33&lt;$B28,S$33&gt;$C28),0,OFFSET(Проект!S$1321,0,1-$B28))</f>
        <v>7525.4219523772372</v>
      </c>
      <c r="T271" s="54">
        <f ca="1">IF(OR(T$33&lt;$B28,T$33&gt;$C28),0,OFFSET(Проект!T$1321,0,1-$B28))</f>
        <v>7525.4219523772372</v>
      </c>
      <c r="U271" s="54">
        <f ca="1">IF(OR(U$33&lt;$B28,U$33&gt;$C28),0,OFFSET(Проект!U$1321,0,1-$B28))</f>
        <v>7525.4219523772372</v>
      </c>
      <c r="V271" s="54">
        <f ca="1">IF(OR(V$33&lt;$B28,V$33&gt;$C28),0,OFFSET(Проект!V$1321,0,1-$B28))</f>
        <v>7525.4219523772372</v>
      </c>
      <c r="W271" s="54">
        <f ca="1">IF(OR(W$33&lt;$B28,W$33&gt;$C28),0,OFFSET(Проект!W$1321,0,1-$B28))</f>
        <v>7525.4219523772372</v>
      </c>
      <c r="X271" s="54">
        <f ca="1">IF(OR(X$33&lt;$B28,X$33&gt;$C28),0,OFFSET(Проект!X$1321,0,1-$B28))</f>
        <v>7525.4219523772372</v>
      </c>
      <c r="Y271" s="54">
        <f ca="1">IF(OR(Y$33&lt;$B28,Y$33&gt;$C28),0,OFFSET(Проект!AC$1321,0,1-$B28))</f>
        <v>7525.4219523772372</v>
      </c>
      <c r="AA271" s="54">
        <f t="shared" ca="1" si="37"/>
        <v>96856.137089644137</v>
      </c>
    </row>
    <row r="272" spans="1:27" outlineLevel="1" collapsed="1" x14ac:dyDescent="0.2">
      <c r="A272" t="str">
        <f ca="1">Language!A$748</f>
        <v>Затраты на материалы и комплектующие</v>
      </c>
      <c r="C272" s="5" t="str">
        <f t="shared" ca="1" si="36"/>
        <v>тыс. EUR</v>
      </c>
      <c r="D272" s="204" t="s">
        <v>2615</v>
      </c>
      <c r="F272" s="43">
        <f ca="1">SUMPRODUCT($B12:OFFSET($B13,-1,0),F273:OFFSET(F274,-1,0))</f>
        <v>0</v>
      </c>
      <c r="G272" s="43">
        <f ca="1">SUMPRODUCT($B12:OFFSET($B13,-1,0),G273:OFFSET(G274,-1,0))</f>
        <v>0</v>
      </c>
      <c r="H272" s="43">
        <f ca="1">SUMPRODUCT($B12:OFFSET($B13,-1,0),H273:OFFSET(H274,-1,0))</f>
        <v>0</v>
      </c>
      <c r="I272" s="43">
        <f ca="1">SUMPRODUCT($B12:OFFSET($B13,-1,0),I273:OFFSET(I274,-1,0))</f>
        <v>0</v>
      </c>
      <c r="J272" s="43">
        <f ca="1">SUMPRODUCT($B12:OFFSET($B13,-1,0),J273:OFFSET(J274,-1,0))</f>
        <v>0</v>
      </c>
      <c r="K272" s="43">
        <f ca="1">SUMPRODUCT($B12:OFFSET($B13,-1,0),K273:OFFSET(K274,-1,0))</f>
        <v>-581.99128181252672</v>
      </c>
      <c r="L272" s="43">
        <f ca="1">SUMPRODUCT($B12:OFFSET($B13,-1,0),L273:OFFSET(L274,-1,0))</f>
        <v>-2271.9144207061654</v>
      </c>
      <c r="M272" s="43">
        <f ca="1">SUMPRODUCT($B12:OFFSET($B13,-1,0),M273:OFFSET(M274,-1,0))</f>
        <v>-3649.3970405799773</v>
      </c>
      <c r="N272" s="43">
        <f ca="1">SUMPRODUCT($B12:OFFSET($B13,-1,0),N273:OFFSET(N274,-1,0))</f>
        <v>-5210.3239219243878</v>
      </c>
      <c r="O272" s="43">
        <f ca="1">SUMPRODUCT($B12:OFFSET($B13,-1,0),O273:OFFSET(O274,-1,0))</f>
        <v>-6289.8939644094735</v>
      </c>
      <c r="P272" s="43">
        <f ca="1">SUMPRODUCT($B12:OFFSET($B13,-1,0),P273:OFFSET(P274,-1,0))</f>
        <v>-6289.8939644094735</v>
      </c>
      <c r="Q272" s="43">
        <f ca="1">SUMPRODUCT($B12:OFFSET($B13,-1,0),Q273:OFFSET(Q274,-1,0))</f>
        <v>-6289.8939644094735</v>
      </c>
      <c r="R272" s="43">
        <f ca="1">SUMPRODUCT($B12:OFFSET($B13,-1,0),R273:OFFSET(R274,-1,0))</f>
        <v>-6289.8939644094735</v>
      </c>
      <c r="S272" s="43">
        <f ca="1">SUMPRODUCT($B12:OFFSET($B13,-1,0),S273:OFFSET(S274,-1,0))</f>
        <v>-6289.8939644094735</v>
      </c>
      <c r="T272" s="43">
        <f ca="1">SUMPRODUCT($B12:OFFSET($B13,-1,0),T273:OFFSET(T274,-1,0))</f>
        <v>-6289.8939644094735</v>
      </c>
      <c r="U272" s="43">
        <f ca="1">SUMPRODUCT($B12:OFFSET($B13,-1,0),U273:OFFSET(U274,-1,0))</f>
        <v>-6289.8939644094735</v>
      </c>
      <c r="V272" s="43">
        <f ca="1">SUMPRODUCT($B12:OFFSET($B13,-1,0),V273:OFFSET(V274,-1,0))</f>
        <v>-6289.8939644094735</v>
      </c>
      <c r="W272" s="43">
        <f ca="1">SUMPRODUCT($B12:OFFSET($B13,-1,0),W273:OFFSET(W274,-1,0))</f>
        <v>-6289.8939644094735</v>
      </c>
      <c r="X272" s="43">
        <f ca="1">SUMPRODUCT($B12:OFFSET($B13,-1,0),X273:OFFSET(X274,-1,0))</f>
        <v>-6289.8939644094735</v>
      </c>
      <c r="Y272" s="43">
        <f ca="1">SUMPRODUCT($B12:OFFSET($B13,-1,0),Y273:OFFSET(Y274,-1,0))</f>
        <v>-6289.8939644094735</v>
      </c>
      <c r="AA272" s="54">
        <f t="shared" ca="1" si="37"/>
        <v>-80902.460273527264</v>
      </c>
    </row>
    <row r="273" spans="1:32" s="180" customFormat="1" hidden="1" outlineLevel="2" x14ac:dyDescent="0.2">
      <c r="A273" s="180" t="str">
        <f ca="1">"        " &amp; A12</f>
        <v xml:space="preserve">        Проект 1</v>
      </c>
      <c r="C273" s="208" t="str">
        <f t="shared" ca="1" si="36"/>
        <v>тыс. EUR</v>
      </c>
      <c r="D273" s="180" t="e">
        <f ca="1">"[" &amp; F12 &amp; "];int_sum"</f>
        <v>#NAME?</v>
      </c>
      <c r="F273" s="54">
        <f ca="1">IF(OR(F$33&lt;$B28,F$33&gt;$C28),0,OFFSET(Проект!F$1322,0,1-$B28))</f>
        <v>0</v>
      </c>
      <c r="G273" s="54">
        <f ca="1">IF(OR(G$33&lt;$B28,G$33&gt;$C28),0,OFFSET(Проект!G$1322,0,1-$B28))</f>
        <v>0</v>
      </c>
      <c r="H273" s="54">
        <f ca="1">IF(OR(H$33&lt;$B28,H$33&gt;$C28),0,OFFSET(Проект!H$1322,0,1-$B28))</f>
        <v>0</v>
      </c>
      <c r="I273" s="54">
        <f ca="1">IF(OR(I$33&lt;$B28,I$33&gt;$C28),0,OFFSET(Проект!I$1322,0,1-$B28))</f>
        <v>0</v>
      </c>
      <c r="J273" s="54">
        <f ca="1">IF(OR(J$33&lt;$B28,J$33&gt;$C28),0,OFFSET(Проект!J$1322,0,1-$B28))</f>
        <v>0</v>
      </c>
      <c r="K273" s="54">
        <f ca="1">IF(OR(K$33&lt;$B28,K$33&gt;$C28),0,OFFSET(Проект!K$1322,0,1-$B28))</f>
        <v>-581.99128181252672</v>
      </c>
      <c r="L273" s="54">
        <f ca="1">IF(OR(L$33&lt;$B28,L$33&gt;$C28),0,OFFSET(Проект!L$1322,0,1-$B28))</f>
        <v>-2271.9144207061654</v>
      </c>
      <c r="M273" s="54">
        <f ca="1">IF(OR(M$33&lt;$B28,M$33&gt;$C28),0,OFFSET(Проект!M$1322,0,1-$B28))</f>
        <v>-3649.3970405799773</v>
      </c>
      <c r="N273" s="54">
        <f ca="1">IF(OR(N$33&lt;$B28,N$33&gt;$C28),0,OFFSET(Проект!N$1322,0,1-$B28))</f>
        <v>-5210.3239219243878</v>
      </c>
      <c r="O273" s="54">
        <f ca="1">IF(OR(O$33&lt;$B28,O$33&gt;$C28),0,OFFSET(Проект!O$1322,0,1-$B28))</f>
        <v>-6289.8939644094735</v>
      </c>
      <c r="P273" s="54">
        <f ca="1">IF(OR(P$33&lt;$B28,P$33&gt;$C28),0,OFFSET(Проект!P$1322,0,1-$B28))</f>
        <v>-6289.8939644094735</v>
      </c>
      <c r="Q273" s="54">
        <f ca="1">IF(OR(Q$33&lt;$B28,Q$33&gt;$C28),0,OFFSET(Проект!Q$1322,0,1-$B28))</f>
        <v>-6289.8939644094735</v>
      </c>
      <c r="R273" s="54">
        <f ca="1">IF(OR(R$33&lt;$B28,R$33&gt;$C28),0,OFFSET(Проект!R$1322,0,1-$B28))</f>
        <v>-6289.8939644094735</v>
      </c>
      <c r="S273" s="54">
        <f ca="1">IF(OR(S$33&lt;$B28,S$33&gt;$C28),0,OFFSET(Проект!S$1322,0,1-$B28))</f>
        <v>-6289.8939644094735</v>
      </c>
      <c r="T273" s="54">
        <f ca="1">IF(OR(T$33&lt;$B28,T$33&gt;$C28),0,OFFSET(Проект!T$1322,0,1-$B28))</f>
        <v>-6289.8939644094735</v>
      </c>
      <c r="U273" s="54">
        <f ca="1">IF(OR(U$33&lt;$B28,U$33&gt;$C28),0,OFFSET(Проект!U$1322,0,1-$B28))</f>
        <v>-6289.8939644094735</v>
      </c>
      <c r="V273" s="54">
        <f ca="1">IF(OR(V$33&lt;$B28,V$33&gt;$C28),0,OFFSET(Проект!V$1322,0,1-$B28))</f>
        <v>-6289.8939644094735</v>
      </c>
      <c r="W273" s="54">
        <f ca="1">IF(OR(W$33&lt;$B28,W$33&gt;$C28),0,OFFSET(Проект!W$1322,0,1-$B28))</f>
        <v>-6289.8939644094735</v>
      </c>
      <c r="X273" s="54">
        <f ca="1">IF(OR(X$33&lt;$B28,X$33&gt;$C28),0,OFFSET(Проект!X$1322,0,1-$B28))</f>
        <v>-6289.8939644094735</v>
      </c>
      <c r="Y273" s="54">
        <f ca="1">IF(OR(Y$33&lt;$B28,Y$33&gt;$C28),0,OFFSET(Проект!AC$1322,0,1-$B28))</f>
        <v>-6289.8939644094735</v>
      </c>
      <c r="AA273" s="54">
        <f t="shared" ca="1" si="37"/>
        <v>-80902.460273527264</v>
      </c>
    </row>
    <row r="274" spans="1:32" outlineLevel="1" collapsed="1" x14ac:dyDescent="0.2">
      <c r="A274" t="str">
        <f ca="1">Language!A$600</f>
        <v>Прочие переменные затраты</v>
      </c>
      <c r="C274" s="5" t="str">
        <f t="shared" ca="1" si="36"/>
        <v>тыс. EUR</v>
      </c>
      <c r="D274" s="204" t="s">
        <v>2615</v>
      </c>
      <c r="F274" s="43">
        <f ca="1">SUMPRODUCT($B12:OFFSET($B13,-1,0),F275:OFFSET(F276,-1,0))</f>
        <v>0</v>
      </c>
      <c r="G274" s="43">
        <f ca="1">SUMPRODUCT($B12:OFFSET($B13,-1,0),G275:OFFSET(G276,-1,0))</f>
        <v>0</v>
      </c>
      <c r="H274" s="43">
        <f ca="1">SUMPRODUCT($B12:OFFSET($B13,-1,0),H275:OFFSET(H276,-1,0))</f>
        <v>0</v>
      </c>
      <c r="I274" s="43">
        <f ca="1">SUMPRODUCT($B12:OFFSET($B13,-1,0),I275:OFFSET(I276,-1,0))</f>
        <v>0</v>
      </c>
      <c r="J274" s="43">
        <f ca="1">SUMPRODUCT($B12:OFFSET($B13,-1,0),J275:OFFSET(J276,-1,0))</f>
        <v>0</v>
      </c>
      <c r="K274" s="43">
        <f ca="1">SUMPRODUCT($B12:OFFSET($B13,-1,0),K275:OFFSET(K276,-1,0))</f>
        <v>0</v>
      </c>
      <c r="L274" s="43">
        <f ca="1">SUMPRODUCT($B12:OFFSET($B13,-1,0),L275:OFFSET(L276,-1,0))</f>
        <v>0</v>
      </c>
      <c r="M274" s="43">
        <f ca="1">SUMPRODUCT($B12:OFFSET($B13,-1,0),M275:OFFSET(M276,-1,0))</f>
        <v>0</v>
      </c>
      <c r="N274" s="43">
        <f ca="1">SUMPRODUCT($B12:OFFSET($B13,-1,0),N275:OFFSET(N276,-1,0))</f>
        <v>0</v>
      </c>
      <c r="O274" s="43">
        <f ca="1">SUMPRODUCT($B12:OFFSET($B13,-1,0),O275:OFFSET(O276,-1,0))</f>
        <v>0</v>
      </c>
      <c r="P274" s="43">
        <f ca="1">SUMPRODUCT($B12:OFFSET($B13,-1,0),P275:OFFSET(P276,-1,0))</f>
        <v>0</v>
      </c>
      <c r="Q274" s="43">
        <f ca="1">SUMPRODUCT($B12:OFFSET($B13,-1,0),Q275:OFFSET(Q276,-1,0))</f>
        <v>0</v>
      </c>
      <c r="R274" s="43">
        <f ca="1">SUMPRODUCT($B12:OFFSET($B13,-1,0),R275:OFFSET(R276,-1,0))</f>
        <v>0</v>
      </c>
      <c r="S274" s="43">
        <f ca="1">SUMPRODUCT($B12:OFFSET($B13,-1,0),S275:OFFSET(S276,-1,0))</f>
        <v>0</v>
      </c>
      <c r="T274" s="43">
        <f ca="1">SUMPRODUCT($B12:OFFSET($B13,-1,0),T275:OFFSET(T276,-1,0))</f>
        <v>0</v>
      </c>
      <c r="U274" s="43">
        <f ca="1">SUMPRODUCT($B12:OFFSET($B13,-1,0),U275:OFFSET(U276,-1,0))</f>
        <v>0</v>
      </c>
      <c r="V274" s="43">
        <f ca="1">SUMPRODUCT($B12:OFFSET($B13,-1,0),V275:OFFSET(V276,-1,0))</f>
        <v>0</v>
      </c>
      <c r="W274" s="43">
        <f ca="1">SUMPRODUCT($B12:OFFSET($B13,-1,0),W275:OFFSET(W276,-1,0))</f>
        <v>0</v>
      </c>
      <c r="X274" s="43">
        <f ca="1">SUMPRODUCT($B12:OFFSET($B13,-1,0),X275:OFFSET(X276,-1,0))</f>
        <v>0</v>
      </c>
      <c r="Y274" s="43">
        <f ca="1">SUMPRODUCT($B12:OFFSET($B13,-1,0),Y275:OFFSET(Y276,-1,0))</f>
        <v>0</v>
      </c>
      <c r="AA274" s="54">
        <f t="shared" ca="1" si="37"/>
        <v>0</v>
      </c>
    </row>
    <row r="275" spans="1:32" s="180" customFormat="1" hidden="1" outlineLevel="2" x14ac:dyDescent="0.2">
      <c r="A275" s="180" t="str">
        <f ca="1">"        " &amp; A12</f>
        <v xml:space="preserve">        Проект 1</v>
      </c>
      <c r="C275" s="208" t="str">
        <f t="shared" ca="1" si="36"/>
        <v>тыс. EUR</v>
      </c>
      <c r="D275" s="180" t="e">
        <f ca="1">"[" &amp; F12 &amp; "];int_sum"</f>
        <v>#NAME?</v>
      </c>
      <c r="F275" s="54">
        <f ca="1">IF(OR(F$33&lt;$B28,F$33&gt;$C28),0,OFFSET(Проект!F$1323,0,1-$B28))</f>
        <v>0</v>
      </c>
      <c r="G275" s="54">
        <f ca="1">IF(OR(G$33&lt;$B28,G$33&gt;$C28),0,OFFSET(Проект!G$1323,0,1-$B28))</f>
        <v>0</v>
      </c>
      <c r="H275" s="54">
        <f ca="1">IF(OR(H$33&lt;$B28,H$33&gt;$C28),0,OFFSET(Проект!H$1323,0,1-$B28))</f>
        <v>0</v>
      </c>
      <c r="I275" s="54">
        <f ca="1">IF(OR(I$33&lt;$B28,I$33&gt;$C28),0,OFFSET(Проект!I$1323,0,1-$B28))</f>
        <v>0</v>
      </c>
      <c r="J275" s="54">
        <f ca="1">IF(OR(J$33&lt;$B28,J$33&gt;$C28),0,OFFSET(Проект!J$1323,0,1-$B28))</f>
        <v>0</v>
      </c>
      <c r="K275" s="54">
        <f ca="1">IF(OR(K$33&lt;$B28,K$33&gt;$C28),0,OFFSET(Проект!K$1323,0,1-$B28))</f>
        <v>0</v>
      </c>
      <c r="L275" s="54">
        <f ca="1">IF(OR(L$33&lt;$B28,L$33&gt;$C28),0,OFFSET(Проект!L$1323,0,1-$B28))</f>
        <v>0</v>
      </c>
      <c r="M275" s="54">
        <f ca="1">IF(OR(M$33&lt;$B28,M$33&gt;$C28),0,OFFSET(Проект!M$1323,0,1-$B28))</f>
        <v>0</v>
      </c>
      <c r="N275" s="54">
        <f ca="1">IF(OR(N$33&lt;$B28,N$33&gt;$C28),0,OFFSET(Проект!N$1323,0,1-$B28))</f>
        <v>0</v>
      </c>
      <c r="O275" s="54">
        <f ca="1">IF(OR(O$33&lt;$B28,O$33&gt;$C28),0,OFFSET(Проект!O$1323,0,1-$B28))</f>
        <v>0</v>
      </c>
      <c r="P275" s="54">
        <f ca="1">IF(OR(P$33&lt;$B28,P$33&gt;$C28),0,OFFSET(Проект!P$1323,0,1-$B28))</f>
        <v>0</v>
      </c>
      <c r="Q275" s="54">
        <f ca="1">IF(OR(Q$33&lt;$B28,Q$33&gt;$C28),0,OFFSET(Проект!Q$1323,0,1-$B28))</f>
        <v>0</v>
      </c>
      <c r="R275" s="54">
        <f ca="1">IF(OR(R$33&lt;$B28,R$33&gt;$C28),0,OFFSET(Проект!R$1323,0,1-$B28))</f>
        <v>0</v>
      </c>
      <c r="S275" s="54">
        <f ca="1">IF(OR(S$33&lt;$B28,S$33&gt;$C28),0,OFFSET(Проект!S$1323,0,1-$B28))</f>
        <v>0</v>
      </c>
      <c r="T275" s="54">
        <f ca="1">IF(OR(T$33&lt;$B28,T$33&gt;$C28),0,OFFSET(Проект!T$1323,0,1-$B28))</f>
        <v>0</v>
      </c>
      <c r="U275" s="54">
        <f ca="1">IF(OR(U$33&lt;$B28,U$33&gt;$C28),0,OFFSET(Проект!U$1323,0,1-$B28))</f>
        <v>0</v>
      </c>
      <c r="V275" s="54">
        <f ca="1">IF(OR(V$33&lt;$B28,V$33&gt;$C28),0,OFFSET(Проект!V$1323,0,1-$B28))</f>
        <v>0</v>
      </c>
      <c r="W275" s="54">
        <f ca="1">IF(OR(W$33&lt;$B28,W$33&gt;$C28),0,OFFSET(Проект!W$1323,0,1-$B28))</f>
        <v>0</v>
      </c>
      <c r="X275" s="54">
        <f ca="1">IF(OR(X$33&lt;$B28,X$33&gt;$C28),0,OFFSET(Проект!X$1323,0,1-$B28))</f>
        <v>0</v>
      </c>
      <c r="Y275" s="54">
        <f ca="1">IF(OR(Y$33&lt;$B28,Y$33&gt;$C28),0,OFFSET(Проект!AC$1323,0,1-$B28))</f>
        <v>0</v>
      </c>
      <c r="AA275" s="54">
        <f t="shared" ca="1" si="37"/>
        <v>0</v>
      </c>
    </row>
    <row r="276" spans="1:32" outlineLevel="1" collapsed="1" x14ac:dyDescent="0.2">
      <c r="A276" t="str">
        <f ca="1">Language!A$749</f>
        <v>Зарплата</v>
      </c>
      <c r="C276" s="5" t="str">
        <f t="shared" ca="1" si="36"/>
        <v>тыс. EUR</v>
      </c>
      <c r="D276" s="204" t="s">
        <v>2615</v>
      </c>
      <c r="F276" s="43">
        <f ca="1">SUMPRODUCT($B12:OFFSET($B13,-1,0),F277:OFFSET(F278,-1,0))</f>
        <v>0</v>
      </c>
      <c r="G276" s="43">
        <f ca="1">SUMPRODUCT($B12:OFFSET($B13,-1,0),G277:OFFSET(G278,-1,0))</f>
        <v>0</v>
      </c>
      <c r="H276" s="43">
        <f ca="1">SUMPRODUCT($B12:OFFSET($B13,-1,0),H277:OFFSET(H278,-1,0))</f>
        <v>0</v>
      </c>
      <c r="I276" s="43">
        <f ca="1">SUMPRODUCT($B12:OFFSET($B13,-1,0),I277:OFFSET(I278,-1,0))</f>
        <v>0</v>
      </c>
      <c r="J276" s="43">
        <f ca="1">SUMPRODUCT($B12:OFFSET($B13,-1,0),J277:OFFSET(J278,-1,0))</f>
        <v>0</v>
      </c>
      <c r="K276" s="43">
        <f ca="1">SUMPRODUCT($B12:OFFSET($B13,-1,0),K277:OFFSET(K278,-1,0))</f>
        <v>-366.15</v>
      </c>
      <c r="L276" s="43">
        <f ca="1">SUMPRODUCT($B12:OFFSET($B13,-1,0),L277:OFFSET(L278,-1,0))</f>
        <v>-366.15</v>
      </c>
      <c r="M276" s="43">
        <f ca="1">SUMPRODUCT($B12:OFFSET($B13,-1,0),M277:OFFSET(M278,-1,0))</f>
        <v>-366.15</v>
      </c>
      <c r="N276" s="43">
        <f ca="1">SUMPRODUCT($B12:OFFSET($B13,-1,0),N277:OFFSET(N278,-1,0))</f>
        <v>-366.15</v>
      </c>
      <c r="O276" s="43">
        <f ca="1">SUMPRODUCT($B12:OFFSET($B13,-1,0),O277:OFFSET(O278,-1,0))</f>
        <v>-366.15</v>
      </c>
      <c r="P276" s="43">
        <f ca="1">SUMPRODUCT($B12:OFFSET($B13,-1,0),P277:OFFSET(P278,-1,0))</f>
        <v>-366.15</v>
      </c>
      <c r="Q276" s="43">
        <f ca="1">SUMPRODUCT($B12:OFFSET($B13,-1,0),Q277:OFFSET(Q278,-1,0))</f>
        <v>-366.15</v>
      </c>
      <c r="R276" s="43">
        <f ca="1">SUMPRODUCT($B12:OFFSET($B13,-1,0),R277:OFFSET(R278,-1,0))</f>
        <v>-366.15</v>
      </c>
      <c r="S276" s="43">
        <f ca="1">SUMPRODUCT($B12:OFFSET($B13,-1,0),S277:OFFSET(S278,-1,0))</f>
        <v>-366.15</v>
      </c>
      <c r="T276" s="43">
        <f ca="1">SUMPRODUCT($B12:OFFSET($B13,-1,0),T277:OFFSET(T278,-1,0))</f>
        <v>-366.15</v>
      </c>
      <c r="U276" s="43">
        <f ca="1">SUMPRODUCT($B12:OFFSET($B13,-1,0),U277:OFFSET(U278,-1,0))</f>
        <v>-366.15</v>
      </c>
      <c r="V276" s="43">
        <f ca="1">SUMPRODUCT($B12:OFFSET($B13,-1,0),V277:OFFSET(V278,-1,0))</f>
        <v>-366.15</v>
      </c>
      <c r="W276" s="43">
        <f ca="1">SUMPRODUCT($B12:OFFSET($B13,-1,0),W277:OFFSET(W278,-1,0))</f>
        <v>-366.15</v>
      </c>
      <c r="X276" s="43">
        <f ca="1">SUMPRODUCT($B12:OFFSET($B13,-1,0),X277:OFFSET(X278,-1,0))</f>
        <v>-366.15</v>
      </c>
      <c r="Y276" s="43">
        <f ca="1">SUMPRODUCT($B12:OFFSET($B13,-1,0),Y277:OFFSET(Y278,-1,0))</f>
        <v>-366.15</v>
      </c>
      <c r="AA276" s="54">
        <f t="shared" ca="1" si="37"/>
        <v>-5492.2499999999991</v>
      </c>
    </row>
    <row r="277" spans="1:32" s="180" customFormat="1" hidden="1" outlineLevel="2" x14ac:dyDescent="0.2">
      <c r="A277" s="180" t="str">
        <f ca="1">"        " &amp; A12</f>
        <v xml:space="preserve">        Проект 1</v>
      </c>
      <c r="C277" s="208" t="str">
        <f t="shared" ca="1" si="36"/>
        <v>тыс. EUR</v>
      </c>
      <c r="D277" s="180" t="e">
        <f ca="1">"[" &amp; F12 &amp; "];int_sum"</f>
        <v>#NAME?</v>
      </c>
      <c r="F277" s="54">
        <f ca="1">IF(OR(F$33&lt;$B28,F$33&gt;$C28),0,OFFSET(Проект!F$1324,0,1-$B28))</f>
        <v>0</v>
      </c>
      <c r="G277" s="54">
        <f ca="1">IF(OR(G$33&lt;$B28,G$33&gt;$C28),0,OFFSET(Проект!G$1324,0,1-$B28))</f>
        <v>0</v>
      </c>
      <c r="H277" s="54">
        <f ca="1">IF(OR(H$33&lt;$B28,H$33&gt;$C28),0,OFFSET(Проект!H$1324,0,1-$B28))</f>
        <v>0</v>
      </c>
      <c r="I277" s="54">
        <f ca="1">IF(OR(I$33&lt;$B28,I$33&gt;$C28),0,OFFSET(Проект!I$1324,0,1-$B28))</f>
        <v>0</v>
      </c>
      <c r="J277" s="54">
        <f ca="1">IF(OR(J$33&lt;$B28,J$33&gt;$C28),0,OFFSET(Проект!J$1324,0,1-$B28))</f>
        <v>0</v>
      </c>
      <c r="K277" s="54">
        <f ca="1">IF(OR(K$33&lt;$B28,K$33&gt;$C28),0,OFFSET(Проект!K$1324,0,1-$B28))</f>
        <v>-366.15</v>
      </c>
      <c r="L277" s="54">
        <f ca="1">IF(OR(L$33&lt;$B28,L$33&gt;$C28),0,OFFSET(Проект!L$1324,0,1-$B28))</f>
        <v>-366.15</v>
      </c>
      <c r="M277" s="54">
        <f ca="1">IF(OR(M$33&lt;$B28,M$33&gt;$C28),0,OFFSET(Проект!M$1324,0,1-$B28))</f>
        <v>-366.15</v>
      </c>
      <c r="N277" s="54">
        <f ca="1">IF(OR(N$33&lt;$B28,N$33&gt;$C28),0,OFFSET(Проект!N$1324,0,1-$B28))</f>
        <v>-366.15</v>
      </c>
      <c r="O277" s="54">
        <f ca="1">IF(OR(O$33&lt;$B28,O$33&gt;$C28),0,OFFSET(Проект!O$1324,0,1-$B28))</f>
        <v>-366.15</v>
      </c>
      <c r="P277" s="54">
        <f ca="1">IF(OR(P$33&lt;$B28,P$33&gt;$C28),0,OFFSET(Проект!P$1324,0,1-$B28))</f>
        <v>-366.15</v>
      </c>
      <c r="Q277" s="54">
        <f ca="1">IF(OR(Q$33&lt;$B28,Q$33&gt;$C28),0,OFFSET(Проект!Q$1324,0,1-$B28))</f>
        <v>-366.15</v>
      </c>
      <c r="R277" s="54">
        <f ca="1">IF(OR(R$33&lt;$B28,R$33&gt;$C28),0,OFFSET(Проект!R$1324,0,1-$B28))</f>
        <v>-366.15</v>
      </c>
      <c r="S277" s="54">
        <f ca="1">IF(OR(S$33&lt;$B28,S$33&gt;$C28),0,OFFSET(Проект!S$1324,0,1-$B28))</f>
        <v>-366.15</v>
      </c>
      <c r="T277" s="54">
        <f ca="1">IF(OR(T$33&lt;$B28,T$33&gt;$C28),0,OFFSET(Проект!T$1324,0,1-$B28))</f>
        <v>-366.15</v>
      </c>
      <c r="U277" s="54">
        <f ca="1">IF(OR(U$33&lt;$B28,U$33&gt;$C28),0,OFFSET(Проект!U$1324,0,1-$B28))</f>
        <v>-366.15</v>
      </c>
      <c r="V277" s="54">
        <f ca="1">IF(OR(V$33&lt;$B28,V$33&gt;$C28),0,OFFSET(Проект!V$1324,0,1-$B28))</f>
        <v>-366.15</v>
      </c>
      <c r="W277" s="54">
        <f ca="1">IF(OR(W$33&lt;$B28,W$33&gt;$C28),0,OFFSET(Проект!W$1324,0,1-$B28))</f>
        <v>-366.15</v>
      </c>
      <c r="X277" s="54">
        <f ca="1">IF(OR(X$33&lt;$B28,X$33&gt;$C28),0,OFFSET(Проект!X$1324,0,1-$B28))</f>
        <v>-366.15</v>
      </c>
      <c r="Y277" s="54">
        <f ca="1">IF(OR(Y$33&lt;$B28,Y$33&gt;$C28),0,OFFSET(Проект!AC$1324,0,1-$B28))</f>
        <v>-366.15</v>
      </c>
      <c r="AA277" s="54">
        <f t="shared" ca="1" si="37"/>
        <v>-5492.2499999999991</v>
      </c>
    </row>
    <row r="278" spans="1:32" outlineLevel="1" collapsed="1" x14ac:dyDescent="0.2">
      <c r="A278" t="str">
        <f ca="1">Language!A$750</f>
        <v>Общие затраты</v>
      </c>
      <c r="C278" s="5" t="str">
        <f t="shared" ca="1" si="36"/>
        <v>тыс. EUR</v>
      </c>
      <c r="D278" s="204" t="s">
        <v>2615</v>
      </c>
      <c r="F278" s="43">
        <f ca="1">SUMPRODUCT($B12:OFFSET($B13,-1,0),F279:OFFSET(F280,-1,0))</f>
        <v>0</v>
      </c>
      <c r="G278" s="43">
        <f ca="1">SUMPRODUCT($B12:OFFSET($B13,-1,0),G279:OFFSET(G280,-1,0))</f>
        <v>0</v>
      </c>
      <c r="H278" s="43">
        <f ca="1">SUMPRODUCT($B12:OFFSET($B13,-1,0),H279:OFFSET(H280,-1,0))</f>
        <v>0</v>
      </c>
      <c r="I278" s="43">
        <f ca="1">SUMPRODUCT($B12:OFFSET($B13,-1,0),I279:OFFSET(I280,-1,0))</f>
        <v>0</v>
      </c>
      <c r="J278" s="43">
        <f ca="1">SUMPRODUCT($B12:OFFSET($B13,-1,0),J279:OFFSET(J280,-1,0))</f>
        <v>0</v>
      </c>
      <c r="K278" s="43">
        <f ca="1">SUMPRODUCT($B12:OFFSET($B13,-1,0),K279:OFFSET(K280,-1,0))</f>
        <v>-26.771598963376231</v>
      </c>
      <c r="L278" s="43">
        <f ca="1">SUMPRODUCT($B12:OFFSET($B13,-1,0),L279:OFFSET(L280,-1,0))</f>
        <v>-104.50806335248362</v>
      </c>
      <c r="M278" s="43">
        <f ca="1">SUMPRODUCT($B12:OFFSET($B13,-1,0),M279:OFFSET(M280,-1,0))</f>
        <v>-167.87226386667896</v>
      </c>
      <c r="N278" s="43">
        <f ca="1">SUMPRODUCT($B12:OFFSET($B13,-1,0),N279:OFFSET(N280,-1,0))</f>
        <v>-239.67490040852189</v>
      </c>
      <c r="O278" s="43">
        <f ca="1">SUMPRODUCT($B12:OFFSET($B13,-1,0),O279:OFFSET(O280,-1,0))</f>
        <v>-289.33512236283576</v>
      </c>
      <c r="P278" s="43">
        <f ca="1">SUMPRODUCT($B12:OFFSET($B13,-1,0),P279:OFFSET(P280,-1,0))</f>
        <v>-289.33512236283576</v>
      </c>
      <c r="Q278" s="43">
        <f ca="1">SUMPRODUCT($B12:OFFSET($B13,-1,0),Q279:OFFSET(Q280,-1,0))</f>
        <v>-289.33512236283576</v>
      </c>
      <c r="R278" s="43">
        <f ca="1">SUMPRODUCT($B12:OFFSET($B13,-1,0),R279:OFFSET(R280,-1,0))</f>
        <v>-289.33512236283576</v>
      </c>
      <c r="S278" s="43">
        <f ca="1">SUMPRODUCT($B12:OFFSET($B13,-1,0),S279:OFFSET(S280,-1,0))</f>
        <v>-289.33512236283576</v>
      </c>
      <c r="T278" s="43">
        <f ca="1">SUMPRODUCT($B12:OFFSET($B13,-1,0),T279:OFFSET(T280,-1,0))</f>
        <v>-289.33512236283576</v>
      </c>
      <c r="U278" s="43">
        <f ca="1">SUMPRODUCT($B12:OFFSET($B13,-1,0),U279:OFFSET(U280,-1,0))</f>
        <v>-289.33512236283576</v>
      </c>
      <c r="V278" s="43">
        <f ca="1">SUMPRODUCT($B12:OFFSET($B13,-1,0),V279:OFFSET(V280,-1,0))</f>
        <v>-289.33512236283576</v>
      </c>
      <c r="W278" s="43">
        <f ca="1">SUMPRODUCT($B12:OFFSET($B13,-1,0),W279:OFFSET(W280,-1,0))</f>
        <v>-289.33512236283576</v>
      </c>
      <c r="X278" s="43">
        <f ca="1">SUMPRODUCT($B12:OFFSET($B13,-1,0),X279:OFFSET(X280,-1,0))</f>
        <v>-289.33512236283576</v>
      </c>
      <c r="Y278" s="43">
        <f ca="1">SUMPRODUCT($B12:OFFSET($B13,-1,0),Y279:OFFSET(Y280,-1,0))</f>
        <v>-289.33512236283576</v>
      </c>
      <c r="AA278" s="54">
        <f t="shared" ca="1" si="37"/>
        <v>-3721.5131725822534</v>
      </c>
    </row>
    <row r="279" spans="1:32" s="180" customFormat="1" hidden="1" outlineLevel="2" x14ac:dyDescent="0.2">
      <c r="A279" s="180" t="str">
        <f ca="1">"        " &amp; A12</f>
        <v xml:space="preserve">        Проект 1</v>
      </c>
      <c r="C279" s="208" t="str">
        <f t="shared" ca="1" si="36"/>
        <v>тыс. EUR</v>
      </c>
      <c r="D279" s="180" t="e">
        <f ca="1">"[" &amp; F12 &amp; "];int_sum"</f>
        <v>#NAME?</v>
      </c>
      <c r="F279" s="54">
        <f ca="1">IF(OR(F$33&lt;$B28,F$33&gt;$C28),0,OFFSET(Проект!F$1325,0,1-$B28))</f>
        <v>0</v>
      </c>
      <c r="G279" s="54">
        <f ca="1">IF(OR(G$33&lt;$B28,G$33&gt;$C28),0,OFFSET(Проект!G$1325,0,1-$B28))</f>
        <v>0</v>
      </c>
      <c r="H279" s="54">
        <f ca="1">IF(OR(H$33&lt;$B28,H$33&gt;$C28),0,OFFSET(Проект!H$1325,0,1-$B28))</f>
        <v>0</v>
      </c>
      <c r="I279" s="54">
        <f ca="1">IF(OR(I$33&lt;$B28,I$33&gt;$C28),0,OFFSET(Проект!I$1325,0,1-$B28))</f>
        <v>0</v>
      </c>
      <c r="J279" s="54">
        <f ca="1">IF(OR(J$33&lt;$B28,J$33&gt;$C28),0,OFFSET(Проект!J$1325,0,1-$B28))</f>
        <v>0</v>
      </c>
      <c r="K279" s="54">
        <f ca="1">IF(OR(K$33&lt;$B28,K$33&gt;$C28),0,OFFSET(Проект!K$1325,0,1-$B28))</f>
        <v>-26.771598963376231</v>
      </c>
      <c r="L279" s="54">
        <f ca="1">IF(OR(L$33&lt;$B28,L$33&gt;$C28),0,OFFSET(Проект!L$1325,0,1-$B28))</f>
        <v>-104.50806335248362</v>
      </c>
      <c r="M279" s="54">
        <f ca="1">IF(OR(M$33&lt;$B28,M$33&gt;$C28),0,OFFSET(Проект!M$1325,0,1-$B28))</f>
        <v>-167.87226386667896</v>
      </c>
      <c r="N279" s="54">
        <f ca="1">IF(OR(N$33&lt;$B28,N$33&gt;$C28),0,OFFSET(Проект!N$1325,0,1-$B28))</f>
        <v>-239.67490040852189</v>
      </c>
      <c r="O279" s="54">
        <f ca="1">IF(OR(O$33&lt;$B28,O$33&gt;$C28),0,OFFSET(Проект!O$1325,0,1-$B28))</f>
        <v>-289.33512236283576</v>
      </c>
      <c r="P279" s="54">
        <f ca="1">IF(OR(P$33&lt;$B28,P$33&gt;$C28),0,OFFSET(Проект!P$1325,0,1-$B28))</f>
        <v>-289.33512236283576</v>
      </c>
      <c r="Q279" s="54">
        <f ca="1">IF(OR(Q$33&lt;$B28,Q$33&gt;$C28),0,OFFSET(Проект!Q$1325,0,1-$B28))</f>
        <v>-289.33512236283576</v>
      </c>
      <c r="R279" s="54">
        <f ca="1">IF(OR(R$33&lt;$B28,R$33&gt;$C28),0,OFFSET(Проект!R$1325,0,1-$B28))</f>
        <v>-289.33512236283576</v>
      </c>
      <c r="S279" s="54">
        <f ca="1">IF(OR(S$33&lt;$B28,S$33&gt;$C28),0,OFFSET(Проект!S$1325,0,1-$B28))</f>
        <v>-289.33512236283576</v>
      </c>
      <c r="T279" s="54">
        <f ca="1">IF(OR(T$33&lt;$B28,T$33&gt;$C28),0,OFFSET(Проект!T$1325,0,1-$B28))</f>
        <v>-289.33512236283576</v>
      </c>
      <c r="U279" s="54">
        <f ca="1">IF(OR(U$33&lt;$B28,U$33&gt;$C28),0,OFFSET(Проект!U$1325,0,1-$B28))</f>
        <v>-289.33512236283576</v>
      </c>
      <c r="V279" s="54">
        <f ca="1">IF(OR(V$33&lt;$B28,V$33&gt;$C28),0,OFFSET(Проект!V$1325,0,1-$B28))</f>
        <v>-289.33512236283576</v>
      </c>
      <c r="W279" s="54">
        <f ca="1">IF(OR(W$33&lt;$B28,W$33&gt;$C28),0,OFFSET(Проект!W$1325,0,1-$B28))</f>
        <v>-289.33512236283576</v>
      </c>
      <c r="X279" s="54">
        <f ca="1">IF(OR(X$33&lt;$B28,X$33&gt;$C28),0,OFFSET(Проект!X$1325,0,1-$B28))</f>
        <v>-289.33512236283576</v>
      </c>
      <c r="Y279" s="54">
        <f ca="1">IF(OR(Y$33&lt;$B28,Y$33&gt;$C28),0,OFFSET(Проект!AC$1325,0,1-$B28))</f>
        <v>-289.33512236283576</v>
      </c>
      <c r="AA279" s="54">
        <f t="shared" ca="1" si="37"/>
        <v>-3721.5131725822534</v>
      </c>
    </row>
    <row r="280" spans="1:32" outlineLevel="1" collapsed="1" x14ac:dyDescent="0.2">
      <c r="A280" t="str">
        <f ca="1">Language!A$751</f>
        <v>Налоги</v>
      </c>
      <c r="C280" s="5" t="str">
        <f t="shared" ca="1" si="36"/>
        <v>тыс. EUR</v>
      </c>
      <c r="D280" s="204" t="s">
        <v>2615</v>
      </c>
      <c r="F280" s="84">
        <f ca="1">IF($B12=2,SUMPRODUCT($B12:OFFSET($B13,-1,0),F281:OFFSET(F282,-1,0)),SUMPRODUCT($B12:OFFSET($B13,-1,0),F281:OFFSET(F282,-1,0))+SUMPRODUCT($B12:OFFSET($B13,-1,0),F45:OFFSET(F46,-1,0))-F44)</f>
        <v>0</v>
      </c>
      <c r="G280" s="84">
        <f ca="1">IF($B12=2,SUMPRODUCT($B12:OFFSET($B13,-1,0),G281:OFFSET(G282,-1,0)),SUMPRODUCT($B12:OFFSET($B13,-1,0),G281:OFFSET(G282,-1,0))+SUMPRODUCT($B12:OFFSET($B13,-1,0),G45:OFFSET(G46,-1,0))-G44)</f>
        <v>0</v>
      </c>
      <c r="H280" s="84">
        <f ca="1">IF($B12=2,SUMPRODUCT($B12:OFFSET($B13,-1,0),H281:OFFSET(H282,-1,0)),SUMPRODUCT($B12:OFFSET($B13,-1,0),H281:OFFSET(H282,-1,0))+SUMPRODUCT($B12:OFFSET($B13,-1,0),H45:OFFSET(H46,-1,0))-H44)</f>
        <v>0</v>
      </c>
      <c r="I280" s="84">
        <f ca="1">IF($B12=2,SUMPRODUCT($B12:OFFSET($B13,-1,0),I281:OFFSET(I282,-1,0)),SUMPRODUCT($B12:OFFSET($B13,-1,0),I281:OFFSET(I282,-1,0))+SUMPRODUCT($B12:OFFSET($B13,-1,0),I45:OFFSET(I46,-1,0))-I44)</f>
        <v>0</v>
      </c>
      <c r="J280" s="84">
        <f ca="1">IF($B12=2,SUMPRODUCT($B12:OFFSET($B13,-1,0),J281:OFFSET(J282,-1,0)),SUMPRODUCT($B12:OFFSET($B13,-1,0),J281:OFFSET(J282,-1,0))+SUMPRODUCT($B12:OFFSET($B13,-1,0),J45:OFFSET(J46,-1,0))-J44)</f>
        <v>0</v>
      </c>
      <c r="K280" s="84">
        <f ca="1">IF($B12=2,SUMPRODUCT($B12:OFFSET($B13,-1,0),K281:OFFSET(K282,-1,0)),SUMPRODUCT($B12:OFFSET($B13,-1,0),K281:OFFSET(K282,-1,0))+SUMPRODUCT($B12:OFFSET($B13,-1,0),K45:OFFSET(K46,-1,0))-K44)</f>
        <v>2989.0006576008236</v>
      </c>
      <c r="L280" s="84">
        <f ca="1">IF($B12=2,SUMPRODUCT($B12:OFFSET($B13,-1,0),L281:OFFSET(L282,-1,0)),SUMPRODUCT($B12:OFFSET($B13,-1,0),L281:OFFSET(L282,-1,0))+SUMPRODUCT($B12:OFFSET($B13,-1,0),L45:OFFSET(L46,-1,0))-L44)</f>
        <v>26.982459645938377</v>
      </c>
      <c r="M280" s="84">
        <f ca="1">IF($B12=2,SUMPRODUCT($B12:OFFSET($B13,-1,0),M281:OFFSET(M282,-1,0)),SUMPRODUCT($B12:OFFSET($B13,-1,0),M281:OFFSET(M282,-1,0))+SUMPRODUCT($B12:OFFSET($B13,-1,0),M45:OFFSET(M46,-1,0))-M44)</f>
        <v>464.71153767040261</v>
      </c>
      <c r="N280" s="84">
        <f ca="1">IF($B12=2,SUMPRODUCT($B12:OFFSET($B13,-1,0),N281:OFFSET(N282,-1,0)),SUMPRODUCT($B12:OFFSET($B13,-1,0),N281:OFFSET(N282,-1,0))+SUMPRODUCT($B12:OFFSET($B13,-1,0),N45:OFFSET(N46,-1,0))-N44)</f>
        <v>483.2341631907135</v>
      </c>
      <c r="O280" s="84">
        <f ca="1">IF($B12=2,SUMPRODUCT($B12:OFFSET($B13,-1,0),O281:OFFSET(O282,-1,0)),SUMPRODUCT($B12:OFFSET($B13,-1,0),O281:OFFSET(O282,-1,0))+SUMPRODUCT($B12:OFFSET($B13,-1,0),O45:OFFSET(O46,-1,0))-O44)</f>
        <v>663.57494506462081</v>
      </c>
      <c r="P280" s="84">
        <f ca="1">IF($B12=2,SUMPRODUCT($B12:OFFSET($B13,-1,0),P281:OFFSET(P282,-1,0)),SUMPRODUCT($B12:OFFSET($B13,-1,0),P281:OFFSET(P282,-1,0))+SUMPRODUCT($B12:OFFSET($B13,-1,0),P45:OFFSET(P46,-1,0))-P44)</f>
        <v>874.73182378093111</v>
      </c>
      <c r="Q280" s="84">
        <f ca="1">IF($B12=2,SUMPRODUCT($B12:OFFSET($B13,-1,0),Q281:OFFSET(Q282,-1,0)),SUMPRODUCT($B12:OFFSET($B13,-1,0),Q281:OFFSET(Q282,-1,0))+SUMPRODUCT($B12:OFFSET($B13,-1,0),Q45:OFFSET(Q46,-1,0))-Q44)</f>
        <v>874.73182378093111</v>
      </c>
      <c r="R280" s="84">
        <f ca="1">IF($B12=2,SUMPRODUCT($B12:OFFSET($B13,-1,0),R281:OFFSET(R282,-1,0)),SUMPRODUCT($B12:OFFSET($B13,-1,0),R281:OFFSET(R282,-1,0))+SUMPRODUCT($B12:OFFSET($B13,-1,0),R45:OFFSET(R46,-1,0))-R44)</f>
        <v>874.73182378093111</v>
      </c>
      <c r="S280" s="84">
        <f ca="1">IF($B12=2,SUMPRODUCT($B12:OFFSET($B13,-1,0),S281:OFFSET(S282,-1,0)),SUMPRODUCT($B12:OFFSET($B13,-1,0),S281:OFFSET(S282,-1,0))+SUMPRODUCT($B12:OFFSET($B13,-1,0),S45:OFFSET(S46,-1,0))-S44)</f>
        <v>874.73182378093111</v>
      </c>
      <c r="T280" s="84">
        <f ca="1">IF($B12=2,SUMPRODUCT($B12:OFFSET($B13,-1,0),T281:OFFSET(T282,-1,0)),SUMPRODUCT($B12:OFFSET($B13,-1,0),T281:OFFSET(T282,-1,0))+SUMPRODUCT($B12:OFFSET($B13,-1,0),T45:OFFSET(T46,-1,0))-T44)</f>
        <v>874.73182378093111</v>
      </c>
      <c r="U280" s="84">
        <f ca="1">IF($B12=2,SUMPRODUCT($B12:OFFSET($B13,-1,0),U281:OFFSET(U282,-1,0)),SUMPRODUCT($B12:OFFSET($B13,-1,0),U281:OFFSET(U282,-1,0))+SUMPRODUCT($B12:OFFSET($B13,-1,0),U45:OFFSET(U46,-1,0))-U44)</f>
        <v>874.73182378093111</v>
      </c>
      <c r="V280" s="84">
        <f ca="1">IF($B12=2,SUMPRODUCT($B12:OFFSET($B13,-1,0),V281:OFFSET(V282,-1,0)),SUMPRODUCT($B12:OFFSET($B13,-1,0),V281:OFFSET(V282,-1,0))+SUMPRODUCT($B12:OFFSET($B13,-1,0),V45:OFFSET(V46,-1,0))-V44)</f>
        <v>874.73182378093111</v>
      </c>
      <c r="W280" s="84">
        <f ca="1">IF($B12=2,SUMPRODUCT($B12:OFFSET($B13,-1,0),W281:OFFSET(W282,-1,0)),SUMPRODUCT($B12:OFFSET($B13,-1,0),W281:OFFSET(W282,-1,0))+SUMPRODUCT($B12:OFFSET($B13,-1,0),W45:OFFSET(W46,-1,0))-W44)</f>
        <v>874.73182378093111</v>
      </c>
      <c r="X280" s="84">
        <f ca="1">IF($B12=2,SUMPRODUCT($B12:OFFSET($B13,-1,0),X281:OFFSET(X282,-1,0)),SUMPRODUCT($B12:OFFSET($B13,-1,0),X281:OFFSET(X282,-1,0))+SUMPRODUCT($B12:OFFSET($B13,-1,0),X45:OFFSET(X46,-1,0))-X44)</f>
        <v>874.73182378093111</v>
      </c>
      <c r="Y280" s="84">
        <f ca="1">IF($B12=2,SUMPRODUCT($B12:OFFSET($B13,-1,0),Y281:OFFSET(Y282,-1,0)),SUMPRODUCT($B12:OFFSET($B13,-1,0),Y281:OFFSET(Y282,-1,0))+SUMPRODUCT($B12:OFFSET($B13,-1,0),Y45:OFFSET(Y46,-1,0))-Y44)</f>
        <v>874.73182378093111</v>
      </c>
      <c r="AA280" s="54">
        <f t="shared" ca="1" si="37"/>
        <v>13374.822000981807</v>
      </c>
    </row>
    <row r="281" spans="1:32" s="180" customFormat="1" hidden="1" outlineLevel="2" x14ac:dyDescent="0.2">
      <c r="A281" s="180" t="str">
        <f ca="1">"        " &amp; A12</f>
        <v xml:space="preserve">        Проект 1</v>
      </c>
      <c r="C281" s="208" t="str">
        <f t="shared" ca="1" si="36"/>
        <v>тыс. EUR</v>
      </c>
      <c r="D281" s="180" t="e">
        <f ca="1">"[" &amp; F12 &amp; "];int_sum"</f>
        <v>#NAME?</v>
      </c>
      <c r="F281" s="54">
        <f ca="1">IF(OR(F$33&lt;$B28,F$33&gt;$C28),0,OFFSET(Проект!F$1326,0,1-$B28))</f>
        <v>0</v>
      </c>
      <c r="G281" s="54">
        <f ca="1">IF(OR(G$33&lt;$B28,G$33&gt;$C28),0,OFFSET(Проект!G$1326,0,1-$B28))</f>
        <v>0</v>
      </c>
      <c r="H281" s="54">
        <f ca="1">IF(OR(H$33&lt;$B28,H$33&gt;$C28),0,OFFSET(Проект!H$1326,0,1-$B28))</f>
        <v>0</v>
      </c>
      <c r="I281" s="54">
        <f ca="1">IF(OR(I$33&lt;$B28,I$33&gt;$C28),0,OFFSET(Проект!I$1326,0,1-$B28))</f>
        <v>0</v>
      </c>
      <c r="J281" s="54">
        <f ca="1">IF(OR(J$33&lt;$B28,J$33&gt;$C28),0,OFFSET(Проект!J$1326,0,1-$B28))</f>
        <v>0</v>
      </c>
      <c r="K281" s="54">
        <f ca="1">IF(OR(K$33&lt;$B28,K$33&gt;$C28),0,OFFSET(Проект!K$1326,0,1-$B28))</f>
        <v>2989.0006576008236</v>
      </c>
      <c r="L281" s="54">
        <f ca="1">IF(OR(L$33&lt;$B28,L$33&gt;$C28),0,OFFSET(Проект!L$1326,0,1-$B28))</f>
        <v>26.982459645938377</v>
      </c>
      <c r="M281" s="54">
        <f ca="1">IF(OR(M$33&lt;$B28,M$33&gt;$C28),0,OFFSET(Проект!M$1326,0,1-$B28))</f>
        <v>464.71153767040261</v>
      </c>
      <c r="N281" s="54">
        <f ca="1">IF(OR(N$33&lt;$B28,N$33&gt;$C28),0,OFFSET(Проект!N$1326,0,1-$B28))</f>
        <v>483.23416319071345</v>
      </c>
      <c r="O281" s="54">
        <f ca="1">IF(OR(O$33&lt;$B28,O$33&gt;$C28),0,OFFSET(Проект!O$1326,0,1-$B28))</f>
        <v>663.57494506462081</v>
      </c>
      <c r="P281" s="54">
        <f ca="1">IF(OR(P$33&lt;$B28,P$33&gt;$C28),0,OFFSET(Проект!P$1326,0,1-$B28))</f>
        <v>874.73182378093111</v>
      </c>
      <c r="Q281" s="54">
        <f ca="1">IF(OR(Q$33&lt;$B28,Q$33&gt;$C28),0,OFFSET(Проект!Q$1326,0,1-$B28))</f>
        <v>874.73182378093111</v>
      </c>
      <c r="R281" s="54">
        <f ca="1">IF(OR(R$33&lt;$B28,R$33&gt;$C28),0,OFFSET(Проект!R$1326,0,1-$B28))</f>
        <v>874.73182378093111</v>
      </c>
      <c r="S281" s="54">
        <f ca="1">IF(OR(S$33&lt;$B28,S$33&gt;$C28),0,OFFSET(Проект!S$1326,0,1-$B28))</f>
        <v>874.73182378093111</v>
      </c>
      <c r="T281" s="54">
        <f ca="1">IF(OR(T$33&lt;$B28,T$33&gt;$C28),0,OFFSET(Проект!T$1326,0,1-$B28))</f>
        <v>874.73182378093111</v>
      </c>
      <c r="U281" s="54">
        <f ca="1">IF(OR(U$33&lt;$B28,U$33&gt;$C28),0,OFFSET(Проект!U$1326,0,1-$B28))</f>
        <v>874.73182378093111</v>
      </c>
      <c r="V281" s="54">
        <f ca="1">IF(OR(V$33&lt;$B28,V$33&gt;$C28),0,OFFSET(Проект!V$1326,0,1-$B28))</f>
        <v>874.73182378093111</v>
      </c>
      <c r="W281" s="54">
        <f ca="1">IF(OR(W$33&lt;$B28,W$33&gt;$C28),0,OFFSET(Проект!W$1326,0,1-$B28))</f>
        <v>874.73182378093111</v>
      </c>
      <c r="X281" s="54">
        <f ca="1">IF(OR(X$33&lt;$B28,X$33&gt;$C28),0,OFFSET(Проект!X$1326,0,1-$B28))</f>
        <v>874.73182378093111</v>
      </c>
      <c r="Y281" s="54">
        <f ca="1">IF(OR(Y$33&lt;$B28,Y$33&gt;$C28),0,OFFSET(Проект!AC$1326,0,1-$B28))</f>
        <v>874.73182378093111</v>
      </c>
      <c r="AA281" s="54">
        <f t="shared" ca="1" si="37"/>
        <v>13374.822000981807</v>
      </c>
    </row>
    <row r="282" spans="1:32" outlineLevel="1" collapsed="1" x14ac:dyDescent="0.2">
      <c r="A282" t="str">
        <f ca="1">Language!A$752</f>
        <v>Выплата процентов по кредитам</v>
      </c>
      <c r="C282" s="5" t="str">
        <f t="shared" ca="1" si="36"/>
        <v>тыс. EUR</v>
      </c>
      <c r="D282" s="204" t="s">
        <v>2615</v>
      </c>
      <c r="F282" s="43">
        <f ca="1">SUMPRODUCT($B12:OFFSET($B13,-1,0),F283:OFFSET(F284,-1,0))</f>
        <v>0</v>
      </c>
      <c r="G282" s="43">
        <f ca="1">SUMPRODUCT($B12:OFFSET($B13,-1,0),G283:OFFSET(G284,-1,0))</f>
        <v>0</v>
      </c>
      <c r="H282" s="43">
        <f ca="1">SUMPRODUCT($B12:OFFSET($B13,-1,0),H283:OFFSET(H284,-1,0))</f>
        <v>0</v>
      </c>
      <c r="I282" s="43">
        <f ca="1">SUMPRODUCT($B12:OFFSET($B13,-1,0),I283:OFFSET(I284,-1,0))</f>
        <v>0</v>
      </c>
      <c r="J282" s="43">
        <f ca="1">SUMPRODUCT($B12:OFFSET($B13,-1,0),J283:OFFSET(J284,-1,0))</f>
        <v>0</v>
      </c>
      <c r="K282" s="43">
        <f ca="1">SUMPRODUCT($B12:OFFSET($B13,-1,0),K283:OFFSET(K284,-1,0))</f>
        <v>0</v>
      </c>
      <c r="L282" s="43">
        <f ca="1">SUMPRODUCT($B12:OFFSET($B13,-1,0),L283:OFFSET(L284,-1,0))</f>
        <v>0</v>
      </c>
      <c r="M282" s="43">
        <f ca="1">SUMPRODUCT($B12:OFFSET($B13,-1,0),M283:OFFSET(M284,-1,0))</f>
        <v>0</v>
      </c>
      <c r="N282" s="43">
        <f ca="1">SUMPRODUCT($B12:OFFSET($B13,-1,0),N283:OFFSET(N284,-1,0))</f>
        <v>0</v>
      </c>
      <c r="O282" s="43">
        <f ca="1">SUMPRODUCT($B12:OFFSET($B13,-1,0),O283:OFFSET(O284,-1,0))</f>
        <v>0</v>
      </c>
      <c r="P282" s="43">
        <f ca="1">SUMPRODUCT($B12:OFFSET($B13,-1,0),P283:OFFSET(P284,-1,0))</f>
        <v>0</v>
      </c>
      <c r="Q282" s="43">
        <f ca="1">SUMPRODUCT($B12:OFFSET($B13,-1,0),Q283:OFFSET(Q284,-1,0))</f>
        <v>0</v>
      </c>
      <c r="R282" s="43">
        <f ca="1">SUMPRODUCT($B12:OFFSET($B13,-1,0),R283:OFFSET(R284,-1,0))</f>
        <v>0</v>
      </c>
      <c r="S282" s="43">
        <f ca="1">SUMPRODUCT($B12:OFFSET($B13,-1,0),S283:OFFSET(S284,-1,0))</f>
        <v>0</v>
      </c>
      <c r="T282" s="43">
        <f ca="1">SUMPRODUCT($B12:OFFSET($B13,-1,0),T283:OFFSET(T284,-1,0))</f>
        <v>0</v>
      </c>
      <c r="U282" s="43">
        <f ca="1">SUMPRODUCT($B12:OFFSET($B13,-1,0),U283:OFFSET(U284,-1,0))</f>
        <v>0</v>
      </c>
      <c r="V282" s="43">
        <f ca="1">SUMPRODUCT($B12:OFFSET($B13,-1,0),V283:OFFSET(V284,-1,0))</f>
        <v>0</v>
      </c>
      <c r="W282" s="43">
        <f ca="1">SUMPRODUCT($B12:OFFSET($B13,-1,0),W283:OFFSET(W284,-1,0))</f>
        <v>0</v>
      </c>
      <c r="X282" s="43">
        <f ca="1">SUMPRODUCT($B12:OFFSET($B13,-1,0),X283:OFFSET(X284,-1,0))</f>
        <v>0</v>
      </c>
      <c r="Y282" s="43">
        <f ca="1">SUMPRODUCT($B12:OFFSET($B13,-1,0),Y283:OFFSET(Y284,-1,0))</f>
        <v>0</v>
      </c>
      <c r="AA282" s="54">
        <f t="shared" ca="1" si="37"/>
        <v>0</v>
      </c>
    </row>
    <row r="283" spans="1:32" s="180" customFormat="1" hidden="1" outlineLevel="2" x14ac:dyDescent="0.2">
      <c r="A283" s="180" t="str">
        <f ca="1">"        " &amp; A12</f>
        <v xml:space="preserve">        Проект 1</v>
      </c>
      <c r="C283" s="208" t="str">
        <f t="shared" ca="1" si="36"/>
        <v>тыс. EUR</v>
      </c>
      <c r="D283" s="180" t="e">
        <f ca="1">"[" &amp; F12 &amp; "];int_sum"</f>
        <v>#NAME?</v>
      </c>
      <c r="F283" s="54">
        <f ca="1">IF(OR(F$33&lt;$B28,F$33&gt;$C28),0,OFFSET(Проект!F$1327,0,1-$B28))</f>
        <v>0</v>
      </c>
      <c r="G283" s="54">
        <f ca="1">IF(OR(G$33&lt;$B28,G$33&gt;$C28),0,OFFSET(Проект!G$1327,0,1-$B28))</f>
        <v>0</v>
      </c>
      <c r="H283" s="54">
        <f ca="1">IF(OR(H$33&lt;$B28,H$33&gt;$C28),0,OFFSET(Проект!H$1327,0,1-$B28))</f>
        <v>0</v>
      </c>
      <c r="I283" s="54">
        <f ca="1">IF(OR(I$33&lt;$B28,I$33&gt;$C28),0,OFFSET(Проект!I$1327,0,1-$B28))</f>
        <v>0</v>
      </c>
      <c r="J283" s="54">
        <f ca="1">IF(OR(J$33&lt;$B28,J$33&gt;$C28),0,OFFSET(Проект!J$1327,0,1-$B28))</f>
        <v>0</v>
      </c>
      <c r="K283" s="54">
        <f ca="1">IF(OR(K$33&lt;$B28,K$33&gt;$C28),0,OFFSET(Проект!K$1327,0,1-$B28))</f>
        <v>0</v>
      </c>
      <c r="L283" s="54">
        <f ca="1">IF(OR(L$33&lt;$B28,L$33&gt;$C28),0,OFFSET(Проект!L$1327,0,1-$B28))</f>
        <v>0</v>
      </c>
      <c r="M283" s="54">
        <f ca="1">IF(OR(M$33&lt;$B28,M$33&gt;$C28),0,OFFSET(Проект!M$1327,0,1-$B28))</f>
        <v>0</v>
      </c>
      <c r="N283" s="54">
        <f ca="1">IF(OR(N$33&lt;$B28,N$33&gt;$C28),0,OFFSET(Проект!N$1327,0,1-$B28))</f>
        <v>0</v>
      </c>
      <c r="O283" s="54">
        <f ca="1">IF(OR(O$33&lt;$B28,O$33&gt;$C28),0,OFFSET(Проект!O$1327,0,1-$B28))</f>
        <v>0</v>
      </c>
      <c r="P283" s="54">
        <f ca="1">IF(OR(P$33&lt;$B28,P$33&gt;$C28),0,OFFSET(Проект!P$1327,0,1-$B28))</f>
        <v>0</v>
      </c>
      <c r="Q283" s="54">
        <f ca="1">IF(OR(Q$33&lt;$B28,Q$33&gt;$C28),0,OFFSET(Проект!Q$1327,0,1-$B28))</f>
        <v>0</v>
      </c>
      <c r="R283" s="54">
        <f ca="1">IF(OR(R$33&lt;$B28,R$33&gt;$C28),0,OFFSET(Проект!R$1327,0,1-$B28))</f>
        <v>0</v>
      </c>
      <c r="S283" s="54">
        <f ca="1">IF(OR(S$33&lt;$B28,S$33&gt;$C28),0,OFFSET(Проект!S$1327,0,1-$B28))</f>
        <v>0</v>
      </c>
      <c r="T283" s="54">
        <f ca="1">IF(OR(T$33&lt;$B28,T$33&gt;$C28),0,OFFSET(Проект!T$1327,0,1-$B28))</f>
        <v>0</v>
      </c>
      <c r="U283" s="54">
        <f ca="1">IF(OR(U$33&lt;$B28,U$33&gt;$C28),0,OFFSET(Проект!U$1327,0,1-$B28))</f>
        <v>0</v>
      </c>
      <c r="V283" s="54">
        <f ca="1">IF(OR(V$33&lt;$B28,V$33&gt;$C28),0,OFFSET(Проект!V$1327,0,1-$B28))</f>
        <v>0</v>
      </c>
      <c r="W283" s="54">
        <f ca="1">IF(OR(W$33&lt;$B28,W$33&gt;$C28),0,OFFSET(Проект!W$1327,0,1-$B28))</f>
        <v>0</v>
      </c>
      <c r="X283" s="54">
        <f ca="1">IF(OR(X$33&lt;$B28,X$33&gt;$C28),0,OFFSET(Проект!X$1327,0,1-$B28))</f>
        <v>0</v>
      </c>
      <c r="Y283" s="54">
        <f ca="1">IF(OR(Y$33&lt;$B28,Y$33&gt;$C28),0,OFFSET(Проект!AC$1327,0,1-$B28))</f>
        <v>0</v>
      </c>
      <c r="AA283" s="54">
        <f t="shared" ca="1" si="37"/>
        <v>0</v>
      </c>
    </row>
    <row r="284" spans="1:32" outlineLevel="1" collapsed="1" x14ac:dyDescent="0.2">
      <c r="A284" t="str">
        <f ca="1">Language!A$753</f>
        <v>Прочие поступления</v>
      </c>
      <c r="C284" s="5" t="str">
        <f t="shared" ca="1" si="36"/>
        <v>тыс. EUR</v>
      </c>
      <c r="D284" s="204" t="s">
        <v>2615</v>
      </c>
      <c r="F284" s="43">
        <f ca="1">SUMPRODUCT($B12:OFFSET($B13,-1,0),F285:OFFSET(F286,-1,0))</f>
        <v>0</v>
      </c>
      <c r="G284" s="43">
        <f ca="1">SUMPRODUCT($B12:OFFSET($B13,-1,0),G285:OFFSET(G286,-1,0))</f>
        <v>0</v>
      </c>
      <c r="H284" s="43">
        <f ca="1">SUMPRODUCT($B12:OFFSET($B13,-1,0),H285:OFFSET(H286,-1,0))</f>
        <v>0</v>
      </c>
      <c r="I284" s="43">
        <f ca="1">SUMPRODUCT($B12:OFFSET($B13,-1,0),I285:OFFSET(I286,-1,0))</f>
        <v>0</v>
      </c>
      <c r="J284" s="43">
        <f ca="1">SUMPRODUCT($B12:OFFSET($B13,-1,0),J285:OFFSET(J286,-1,0))</f>
        <v>0</v>
      </c>
      <c r="K284" s="43">
        <f ca="1">SUMPRODUCT($B12:OFFSET($B13,-1,0),K285:OFFSET(K286,-1,0))</f>
        <v>0</v>
      </c>
      <c r="L284" s="43">
        <f ca="1">SUMPRODUCT($B12:OFFSET($B13,-1,0),L285:OFFSET(L286,-1,0))</f>
        <v>0</v>
      </c>
      <c r="M284" s="43">
        <f ca="1">SUMPRODUCT($B12:OFFSET($B13,-1,0),M285:OFFSET(M286,-1,0))</f>
        <v>0</v>
      </c>
      <c r="N284" s="43">
        <f ca="1">SUMPRODUCT($B12:OFFSET($B13,-1,0),N285:OFFSET(N286,-1,0))</f>
        <v>0</v>
      </c>
      <c r="O284" s="43">
        <f ca="1">SUMPRODUCT($B12:OFFSET($B13,-1,0),O285:OFFSET(O286,-1,0))</f>
        <v>0</v>
      </c>
      <c r="P284" s="43">
        <f ca="1">SUMPRODUCT($B12:OFFSET($B13,-1,0),P285:OFFSET(P286,-1,0))</f>
        <v>0</v>
      </c>
      <c r="Q284" s="43">
        <f ca="1">SUMPRODUCT($B12:OFFSET($B13,-1,0),Q285:OFFSET(Q286,-1,0))</f>
        <v>0</v>
      </c>
      <c r="R284" s="43">
        <f ca="1">SUMPRODUCT($B12:OFFSET($B13,-1,0),R285:OFFSET(R286,-1,0))</f>
        <v>0</v>
      </c>
      <c r="S284" s="43">
        <f ca="1">SUMPRODUCT($B12:OFFSET($B13,-1,0),S285:OFFSET(S286,-1,0))</f>
        <v>0</v>
      </c>
      <c r="T284" s="43">
        <f ca="1">SUMPRODUCT($B12:OFFSET($B13,-1,0),T285:OFFSET(T286,-1,0))</f>
        <v>0</v>
      </c>
      <c r="U284" s="43">
        <f ca="1">SUMPRODUCT($B12:OFFSET($B13,-1,0),U285:OFFSET(U286,-1,0))</f>
        <v>0</v>
      </c>
      <c r="V284" s="43">
        <f ca="1">SUMPRODUCT($B12:OFFSET($B13,-1,0),V285:OFFSET(V286,-1,0))</f>
        <v>0</v>
      </c>
      <c r="W284" s="43">
        <f ca="1">SUMPRODUCT($B12:OFFSET($B13,-1,0),W285:OFFSET(W286,-1,0))</f>
        <v>0</v>
      </c>
      <c r="X284" s="43">
        <f ca="1">SUMPRODUCT($B12:OFFSET($B13,-1,0),X285:OFFSET(X286,-1,0))</f>
        <v>0</v>
      </c>
      <c r="Y284" s="43">
        <f ca="1">SUMPRODUCT($B12:OFFSET($B13,-1,0),Y285:OFFSET(Y286,-1,0))</f>
        <v>0</v>
      </c>
      <c r="AA284" s="54">
        <f t="shared" ca="1" si="37"/>
        <v>0</v>
      </c>
    </row>
    <row r="285" spans="1:32" s="180" customFormat="1" hidden="1" outlineLevel="2" x14ac:dyDescent="0.2">
      <c r="A285" s="180" t="str">
        <f ca="1">"        " &amp; A12</f>
        <v xml:space="preserve">        Проект 1</v>
      </c>
      <c r="C285" s="208" t="str">
        <f t="shared" ca="1" si="36"/>
        <v>тыс. EUR</v>
      </c>
      <c r="D285" s="180" t="e">
        <f ca="1">"[" &amp; F12 &amp; "];int_sum"</f>
        <v>#NAME?</v>
      </c>
      <c r="F285" s="54">
        <f ca="1">IF(OR(F$33&lt;$B28,F$33&gt;$C28),0,OFFSET(Проект!F$1328,0,1-$B28))</f>
        <v>0</v>
      </c>
      <c r="G285" s="54">
        <f ca="1">IF(OR(G$33&lt;$B28,G$33&gt;$C28),0,OFFSET(Проект!G$1328,0,1-$B28))</f>
        <v>0</v>
      </c>
      <c r="H285" s="54">
        <f ca="1">IF(OR(H$33&lt;$B28,H$33&gt;$C28),0,OFFSET(Проект!H$1328,0,1-$B28))</f>
        <v>0</v>
      </c>
      <c r="I285" s="54">
        <f ca="1">IF(OR(I$33&lt;$B28,I$33&gt;$C28),0,OFFSET(Проект!I$1328,0,1-$B28))</f>
        <v>0</v>
      </c>
      <c r="J285" s="54">
        <f ca="1">IF(OR(J$33&lt;$B28,J$33&gt;$C28),0,OFFSET(Проект!J$1328,0,1-$B28))</f>
        <v>0</v>
      </c>
      <c r="K285" s="54">
        <f ca="1">IF(OR(K$33&lt;$B28,K$33&gt;$C28),0,OFFSET(Проект!K$1328,0,1-$B28))</f>
        <v>0</v>
      </c>
      <c r="L285" s="54">
        <f ca="1">IF(OR(L$33&lt;$B28,L$33&gt;$C28),0,OFFSET(Проект!L$1328,0,1-$B28))</f>
        <v>0</v>
      </c>
      <c r="M285" s="54">
        <f ca="1">IF(OR(M$33&lt;$B28,M$33&gt;$C28),0,OFFSET(Проект!M$1328,0,1-$B28))</f>
        <v>0</v>
      </c>
      <c r="N285" s="54">
        <f ca="1">IF(OR(N$33&lt;$B28,N$33&gt;$C28),0,OFFSET(Проект!N$1328,0,1-$B28))</f>
        <v>0</v>
      </c>
      <c r="O285" s="54">
        <f ca="1">IF(OR(O$33&lt;$B28,O$33&gt;$C28),0,OFFSET(Проект!O$1328,0,1-$B28))</f>
        <v>0</v>
      </c>
      <c r="P285" s="54">
        <f ca="1">IF(OR(P$33&lt;$B28,P$33&gt;$C28),0,OFFSET(Проект!P$1328,0,1-$B28))</f>
        <v>0</v>
      </c>
      <c r="Q285" s="54">
        <f ca="1">IF(OR(Q$33&lt;$B28,Q$33&gt;$C28),0,OFFSET(Проект!Q$1328,0,1-$B28))</f>
        <v>0</v>
      </c>
      <c r="R285" s="54">
        <f ca="1">IF(OR(R$33&lt;$B28,R$33&gt;$C28),0,OFFSET(Проект!R$1328,0,1-$B28))</f>
        <v>0</v>
      </c>
      <c r="S285" s="54">
        <f ca="1">IF(OR(S$33&lt;$B28,S$33&gt;$C28),0,OFFSET(Проект!S$1328,0,1-$B28))</f>
        <v>0</v>
      </c>
      <c r="T285" s="54">
        <f ca="1">IF(OR(T$33&lt;$B28,T$33&gt;$C28),0,OFFSET(Проект!T$1328,0,1-$B28))</f>
        <v>0</v>
      </c>
      <c r="U285" s="54">
        <f ca="1">IF(OR(U$33&lt;$B28,U$33&gt;$C28),0,OFFSET(Проект!U$1328,0,1-$B28))</f>
        <v>0</v>
      </c>
      <c r="V285" s="54">
        <f ca="1">IF(OR(V$33&lt;$B28,V$33&gt;$C28),0,OFFSET(Проект!V$1328,0,1-$B28))</f>
        <v>0</v>
      </c>
      <c r="W285" s="54">
        <f ca="1">IF(OR(W$33&lt;$B28,W$33&gt;$C28),0,OFFSET(Проект!W$1328,0,1-$B28))</f>
        <v>0</v>
      </c>
      <c r="X285" s="54">
        <f ca="1">IF(OR(X$33&lt;$B28,X$33&gt;$C28),0,OFFSET(Проект!X$1328,0,1-$B28))</f>
        <v>0</v>
      </c>
      <c r="Y285" s="54">
        <f ca="1">IF(OR(Y$33&lt;$B28,Y$33&gt;$C28),0,OFFSET(Проект!AC$1328,0,1-$B28))</f>
        <v>0</v>
      </c>
      <c r="AA285" s="54">
        <f t="shared" ca="1" si="37"/>
        <v>0</v>
      </c>
    </row>
    <row r="286" spans="1:32" outlineLevel="1" collapsed="1" x14ac:dyDescent="0.2">
      <c r="A286" t="str">
        <f ca="1">Language!A$754</f>
        <v>Прочие затраты</v>
      </c>
      <c r="C286" s="5" t="str">
        <f t="shared" ca="1" si="36"/>
        <v>тыс. EUR</v>
      </c>
      <c r="D286" s="204" t="s">
        <v>2615</v>
      </c>
      <c r="F286" s="43">
        <f ca="1">SUMPRODUCT($B12:OFFSET($B13,-1,0),F287:OFFSET(F288,-1,0))</f>
        <v>0</v>
      </c>
      <c r="G286" s="43">
        <f ca="1">SUMPRODUCT($B12:OFFSET($B13,-1,0),G287:OFFSET(G288,-1,0))</f>
        <v>0</v>
      </c>
      <c r="H286" s="43">
        <f ca="1">SUMPRODUCT($B12:OFFSET($B13,-1,0),H287:OFFSET(H288,-1,0))</f>
        <v>0</v>
      </c>
      <c r="I286" s="43">
        <f ca="1">SUMPRODUCT($B12:OFFSET($B13,-1,0),I287:OFFSET(I288,-1,0))</f>
        <v>0</v>
      </c>
      <c r="J286" s="43">
        <f ca="1">SUMPRODUCT($B12:OFFSET($B13,-1,0),J287:OFFSET(J288,-1,0))</f>
        <v>0</v>
      </c>
      <c r="K286" s="43">
        <f ca="1">SUMPRODUCT($B12:OFFSET($B13,-1,0),K287:OFFSET(K288,-1,0))</f>
        <v>0</v>
      </c>
      <c r="L286" s="43">
        <f ca="1">SUMPRODUCT($B12:OFFSET($B13,-1,0),L287:OFFSET(L288,-1,0))</f>
        <v>0</v>
      </c>
      <c r="M286" s="43">
        <f ca="1">SUMPRODUCT($B12:OFFSET($B13,-1,0),M287:OFFSET(M288,-1,0))</f>
        <v>0</v>
      </c>
      <c r="N286" s="43">
        <f ca="1">SUMPRODUCT($B12:OFFSET($B13,-1,0),N287:OFFSET(N288,-1,0))</f>
        <v>0</v>
      </c>
      <c r="O286" s="43">
        <f ca="1">SUMPRODUCT($B12:OFFSET($B13,-1,0),O287:OFFSET(O288,-1,0))</f>
        <v>0</v>
      </c>
      <c r="P286" s="43">
        <f ca="1">SUMPRODUCT($B12:OFFSET($B13,-1,0),P287:OFFSET(P288,-1,0))</f>
        <v>0</v>
      </c>
      <c r="Q286" s="43">
        <f ca="1">SUMPRODUCT($B12:OFFSET($B13,-1,0),Q287:OFFSET(Q288,-1,0))</f>
        <v>0</v>
      </c>
      <c r="R286" s="43">
        <f ca="1">SUMPRODUCT($B12:OFFSET($B13,-1,0),R287:OFFSET(R288,-1,0))</f>
        <v>0</v>
      </c>
      <c r="S286" s="43">
        <f ca="1">SUMPRODUCT($B12:OFFSET($B13,-1,0),S287:OFFSET(S288,-1,0))</f>
        <v>0</v>
      </c>
      <c r="T286" s="43">
        <f ca="1">SUMPRODUCT($B12:OFFSET($B13,-1,0),T287:OFFSET(T288,-1,0))</f>
        <v>0</v>
      </c>
      <c r="U286" s="43">
        <f ca="1">SUMPRODUCT($B12:OFFSET($B13,-1,0),U287:OFFSET(U288,-1,0))</f>
        <v>0</v>
      </c>
      <c r="V286" s="43">
        <f ca="1">SUMPRODUCT($B12:OFFSET($B13,-1,0),V287:OFFSET(V288,-1,0))</f>
        <v>0</v>
      </c>
      <c r="W286" s="43">
        <f ca="1">SUMPRODUCT($B12:OFFSET($B13,-1,0),W287:OFFSET(W288,-1,0))</f>
        <v>0</v>
      </c>
      <c r="X286" s="43">
        <f ca="1">SUMPRODUCT($B12:OFFSET($B13,-1,0),X287:OFFSET(X288,-1,0))</f>
        <v>0</v>
      </c>
      <c r="Y286" s="43">
        <f ca="1">SUMPRODUCT($B12:OFFSET($B13,-1,0),Y287:OFFSET(Y288,-1,0))</f>
        <v>0</v>
      </c>
      <c r="AA286" s="54">
        <f t="shared" ca="1" si="37"/>
        <v>0</v>
      </c>
    </row>
    <row r="287" spans="1:32" s="180" customFormat="1" hidden="1" outlineLevel="2" x14ac:dyDescent="0.2">
      <c r="A287" s="180" t="str">
        <f ca="1">"        " &amp; A12</f>
        <v xml:space="preserve">        Проект 1</v>
      </c>
      <c r="C287" s="208" t="str">
        <f t="shared" ca="1" si="36"/>
        <v>тыс. EUR</v>
      </c>
      <c r="D287" s="180" t="e">
        <f ca="1">"[" &amp; F12 &amp; "];int_sum"</f>
        <v>#NAME?</v>
      </c>
      <c r="F287" s="54">
        <f ca="1">IF(OR(F$33&lt;$B28,F$33&gt;$C28),0,OFFSET(Проект!F$1329,0,1-$B28))</f>
        <v>0</v>
      </c>
      <c r="G287" s="54">
        <f ca="1">IF(OR(G$33&lt;$B28,G$33&gt;$C28),0,OFFSET(Проект!G$1329,0,1-$B28))</f>
        <v>0</v>
      </c>
      <c r="H287" s="54">
        <f ca="1">IF(OR(H$33&lt;$B28,H$33&gt;$C28),0,OFFSET(Проект!H$1329,0,1-$B28))</f>
        <v>0</v>
      </c>
      <c r="I287" s="54">
        <f ca="1">IF(OR(I$33&lt;$B28,I$33&gt;$C28),0,OFFSET(Проект!I$1329,0,1-$B28))</f>
        <v>0</v>
      </c>
      <c r="J287" s="54">
        <f ca="1">IF(OR(J$33&lt;$B28,J$33&gt;$C28),0,OFFSET(Проект!J$1329,0,1-$B28))</f>
        <v>0</v>
      </c>
      <c r="K287" s="54">
        <f ca="1">IF(OR(K$33&lt;$B28,K$33&gt;$C28),0,OFFSET(Проект!K$1329,0,1-$B28))</f>
        <v>0</v>
      </c>
      <c r="L287" s="54">
        <f ca="1">IF(OR(L$33&lt;$B28,L$33&gt;$C28),0,OFFSET(Проект!L$1329,0,1-$B28))</f>
        <v>0</v>
      </c>
      <c r="M287" s="54">
        <f ca="1">IF(OR(M$33&lt;$B28,M$33&gt;$C28),0,OFFSET(Проект!M$1329,0,1-$B28))</f>
        <v>0</v>
      </c>
      <c r="N287" s="54">
        <f ca="1">IF(OR(N$33&lt;$B28,N$33&gt;$C28),0,OFFSET(Проект!N$1329,0,1-$B28))</f>
        <v>0</v>
      </c>
      <c r="O287" s="54">
        <f ca="1">IF(OR(O$33&lt;$B28,O$33&gt;$C28),0,OFFSET(Проект!O$1329,0,1-$B28))</f>
        <v>0</v>
      </c>
      <c r="P287" s="54">
        <f ca="1">IF(OR(P$33&lt;$B28,P$33&gt;$C28),0,OFFSET(Проект!P$1329,0,1-$B28))</f>
        <v>0</v>
      </c>
      <c r="Q287" s="54">
        <f ca="1">IF(OR(Q$33&lt;$B28,Q$33&gt;$C28),0,OFFSET(Проект!Q$1329,0,1-$B28))</f>
        <v>0</v>
      </c>
      <c r="R287" s="54">
        <f ca="1">IF(OR(R$33&lt;$B28,R$33&gt;$C28),0,OFFSET(Проект!R$1329,0,1-$B28))</f>
        <v>0</v>
      </c>
      <c r="S287" s="54">
        <f ca="1">IF(OR(S$33&lt;$B28,S$33&gt;$C28),0,OFFSET(Проект!S$1329,0,1-$B28))</f>
        <v>0</v>
      </c>
      <c r="T287" s="54">
        <f ca="1">IF(OR(T$33&lt;$B28,T$33&gt;$C28),0,OFFSET(Проект!T$1329,0,1-$B28))</f>
        <v>0</v>
      </c>
      <c r="U287" s="54">
        <f ca="1">IF(OR(U$33&lt;$B28,U$33&gt;$C28),0,OFFSET(Проект!U$1329,0,1-$B28))</f>
        <v>0</v>
      </c>
      <c r="V287" s="54">
        <f ca="1">IF(OR(V$33&lt;$B28,V$33&gt;$C28),0,OFFSET(Проект!V$1329,0,1-$B28))</f>
        <v>0</v>
      </c>
      <c r="W287" s="54">
        <f ca="1">IF(OR(W$33&lt;$B28,W$33&gt;$C28),0,OFFSET(Проект!W$1329,0,1-$B28))</f>
        <v>0</v>
      </c>
      <c r="X287" s="54">
        <f ca="1">IF(OR(X$33&lt;$B28,X$33&gt;$C28),0,OFFSET(Проект!X$1329,0,1-$B28))</f>
        <v>0</v>
      </c>
      <c r="Y287" s="54">
        <f ca="1">IF(OR(Y$33&lt;$B28,Y$33&gt;$C28),0,OFFSET(Проект!AC$1329,0,1-$B28))</f>
        <v>0</v>
      </c>
      <c r="AA287" s="54">
        <f t="shared" ca="1" si="37"/>
        <v>0</v>
      </c>
      <c r="AB287" s="57"/>
      <c r="AC287" s="57"/>
      <c r="AD287" s="57"/>
      <c r="AE287" s="57"/>
      <c r="AF287" s="57"/>
    </row>
    <row r="288" spans="1:32" outlineLevel="1" x14ac:dyDescent="0.2">
      <c r="AA288" s="57"/>
      <c r="AB288" s="58"/>
      <c r="AC288" s="58"/>
      <c r="AD288" s="58"/>
      <c r="AE288" s="58"/>
      <c r="AF288" s="58"/>
    </row>
    <row r="289" spans="1:32" outlineLevel="1" collapsed="1" x14ac:dyDescent="0.2">
      <c r="A289" s="35" t="str">
        <f ca="1">Language!A$755</f>
        <v>Денежные потоки от операционной деятельности</v>
      </c>
      <c r="C289" s="5" t="str">
        <f ca="1">CUR_Report</f>
        <v>тыс. EUR</v>
      </c>
      <c r="D289" s="204" t="s">
        <v>2615</v>
      </c>
      <c r="F289" s="159">
        <f ca="1">IF($B12=2,SUMPRODUCT($B12:OFFSET($B13,-1,0),F290:OFFSET(F291,-1,0)),F286+F284+F282+F280+F278+F276+F274+F272+F270)</f>
        <v>0</v>
      </c>
      <c r="G289" s="159">
        <f ca="1">IF($B12=2,SUMPRODUCT($B12:OFFSET($B13,-1,0),G290:OFFSET(G291,-1,0)),G286+G284+G282+G280+G278+G276+G274+G272+G270)</f>
        <v>0</v>
      </c>
      <c r="H289" s="159">
        <f ca="1">IF($B12=2,SUMPRODUCT($B12:OFFSET($B13,-1,0),H290:OFFSET(H291,-1,0)),H286+H284+H282+H280+H278+H276+H274+H272+H270)</f>
        <v>0</v>
      </c>
      <c r="I289" s="159">
        <f ca="1">IF($B12=2,SUMPRODUCT($B12:OFFSET($B13,-1,0),I290:OFFSET(I291,-1,0)),I286+I284+I282+I280+I278+I276+I274+I272+I270)</f>
        <v>0</v>
      </c>
      <c r="J289" s="159">
        <f ca="1">IF($B12=2,SUMPRODUCT($B12:OFFSET($B13,-1,0),J290:OFFSET(J291,-1,0)),J286+J284+J282+J280+J278+J276+J274+J272+J270)</f>
        <v>0</v>
      </c>
      <c r="K289" s="159">
        <f ca="1">IF($B12=2,SUMPRODUCT($B12:OFFSET($B13,-1,0),K290:OFFSET(K291,-1,0)),K286+K284+K282+K280+K278+K276+K274+K272+K270)</f>
        <v>2728.6487015162002</v>
      </c>
      <c r="L289" s="159">
        <f ca="1">IF($B12=2,SUMPRODUCT($B12:OFFSET($B13,-1,0),L290:OFFSET(L291,-1,0)),L286+L284+L282+L280+L278+L276+L274+L272+L270)</f>
        <v>15.623261900942907</v>
      </c>
      <c r="M289" s="159">
        <f ca="1">IF($B12=2,SUMPRODUCT($B12:OFFSET($B13,-1,0),M290:OFFSET(M291,-1,0)),M286+M284+M282+M280+M278+M276+M274+M272+M270)</f>
        <v>662.99303790614749</v>
      </c>
      <c r="N289" s="159">
        <f ca="1">IF($B12=2,SUMPRODUCT($B12:OFFSET($B13,-1,0),N290:OFFSET(N291,-1,0)),N286+N284+N282+N280+N278+N276+N274+N272+N270)</f>
        <v>916.10593866502677</v>
      </c>
      <c r="O289" s="159">
        <f ca="1">IF($B12=2,SUMPRODUCT($B12:OFFSET($B13,-1,0),O290:OFFSET(O291,-1,0)),O286+O284+O282+O280+O278+O276+O274+O272+O270)</f>
        <v>1243.6178106695488</v>
      </c>
      <c r="P289" s="159">
        <f ca="1">IF($B12=2,SUMPRODUCT($B12:OFFSET($B13,-1,0),P290:OFFSET(P291,-1,0)),P286+P284+P282+P280+P278+P276+P274+P272+P270)</f>
        <v>1454.7746893858593</v>
      </c>
      <c r="Q289" s="159">
        <f ca="1">IF($B12=2,SUMPRODUCT($B12:OFFSET($B13,-1,0),Q290:OFFSET(Q291,-1,0)),Q286+Q284+Q282+Q280+Q278+Q276+Q274+Q272+Q270)</f>
        <v>1454.7746893858593</v>
      </c>
      <c r="R289" s="159">
        <f ca="1">IF($B12=2,SUMPRODUCT($B12:OFFSET($B13,-1,0),R290:OFFSET(R291,-1,0)),R286+R284+R282+R280+R278+R276+R274+R272+R270)</f>
        <v>1454.7746893858593</v>
      </c>
      <c r="S289" s="159">
        <f ca="1">IF($B12=2,SUMPRODUCT($B12:OFFSET($B13,-1,0),S290:OFFSET(S291,-1,0)),S286+S284+S282+S280+S278+S276+S274+S272+S270)</f>
        <v>1454.7746893858593</v>
      </c>
      <c r="T289" s="159">
        <f ca="1">IF($B12=2,SUMPRODUCT($B12:OFFSET($B13,-1,0),T290:OFFSET(T291,-1,0)),T286+T284+T282+T280+T278+T276+T274+T272+T270)</f>
        <v>1454.7746893858593</v>
      </c>
      <c r="U289" s="159">
        <f ca="1">IF($B12=2,SUMPRODUCT($B12:OFFSET($B13,-1,0),U290:OFFSET(U291,-1,0)),U286+U284+U282+U280+U278+U276+U274+U272+U270)</f>
        <v>1454.7746893858593</v>
      </c>
      <c r="V289" s="159">
        <f ca="1">IF($B12=2,SUMPRODUCT($B12:OFFSET($B13,-1,0),V290:OFFSET(V291,-1,0)),V286+V284+V282+V280+V278+V276+V274+V272+V270)</f>
        <v>1454.7746893858593</v>
      </c>
      <c r="W289" s="159">
        <f ca="1">IF($B12=2,SUMPRODUCT($B12:OFFSET($B13,-1,0),W290:OFFSET(W291,-1,0)),W286+W284+W282+W280+W278+W276+W274+W272+W270)</f>
        <v>1454.7746893858593</v>
      </c>
      <c r="X289" s="159">
        <f ca="1">IF($B12=2,SUMPRODUCT($B12:OFFSET($B13,-1,0),X290:OFFSET(X291,-1,0)),X286+X284+X282+X280+X278+X276+X274+X272+X270)</f>
        <v>1454.7746893858593</v>
      </c>
      <c r="Y289" s="159">
        <f ca="1">IF($B12=2,SUMPRODUCT($B12:OFFSET($B13,-1,0),Y290:OFFSET(Y291,-1,0)),Y286+Y284+Y282+Y280+Y278+Y276+Y274+Y272+Y270)</f>
        <v>1454.7746893858593</v>
      </c>
      <c r="AA289" s="57">
        <f ca="1">SUM(F289:Y289)</f>
        <v>20114.735644516466</v>
      </c>
    </row>
    <row r="290" spans="1:32" s="11" customFormat="1" hidden="1" outlineLevel="2" x14ac:dyDescent="0.2">
      <c r="A290" s="11" t="str">
        <f ca="1">"        " &amp; A12</f>
        <v xml:space="preserve">        Проект 1</v>
      </c>
      <c r="C290" s="36" t="str">
        <f ca="1">CUR_Report</f>
        <v>тыс. EUR</v>
      </c>
      <c r="D290" s="11" t="e">
        <f ca="1">"[" &amp; F12 &amp; "];int_sum"</f>
        <v>#NAME?</v>
      </c>
      <c r="F290" s="54">
        <f ca="1">IF(OR(F$33&lt;$B28,F$33&gt;$C28),0,OFFSET(Проект!F$1331,0,1-$B28))</f>
        <v>0</v>
      </c>
      <c r="G290" s="54">
        <f ca="1">IF(OR(G$33&lt;$B28,G$33&gt;$C28),0,OFFSET(Проект!G$1331,0,1-$B28))</f>
        <v>0</v>
      </c>
      <c r="H290" s="54">
        <f ca="1">IF(OR(H$33&lt;$B28,H$33&gt;$C28),0,OFFSET(Проект!H$1331,0,1-$B28))</f>
        <v>0</v>
      </c>
      <c r="I290" s="54">
        <f ca="1">IF(OR(I$33&lt;$B28,I$33&gt;$C28),0,OFFSET(Проект!I$1331,0,1-$B28))</f>
        <v>0</v>
      </c>
      <c r="J290" s="54">
        <f ca="1">IF(OR(J$33&lt;$B28,J$33&gt;$C28),0,OFFSET(Проект!J$1331,0,1-$B28))</f>
        <v>0</v>
      </c>
      <c r="K290" s="54">
        <f ca="1">IF(OR(K$33&lt;$B28,K$33&gt;$C28),0,OFFSET(Проект!K$1331,0,1-$B28))</f>
        <v>2728.6487015162002</v>
      </c>
      <c r="L290" s="54">
        <f ca="1">IF(OR(L$33&lt;$B28,L$33&gt;$C28),0,OFFSET(Проект!L$1331,0,1-$B28))</f>
        <v>15.623261900942879</v>
      </c>
      <c r="M290" s="54">
        <f ca="1">IF(OR(M$33&lt;$B28,M$33&gt;$C28),0,OFFSET(Проект!M$1331,0,1-$B28))</f>
        <v>662.99303790614749</v>
      </c>
      <c r="N290" s="54">
        <f ca="1">IF(OR(N$33&lt;$B28,N$33&gt;$C28),0,OFFSET(Проект!N$1331,0,1-$B28))</f>
        <v>916.10593866502631</v>
      </c>
      <c r="O290" s="54">
        <f ca="1">IF(OR(O$33&lt;$B28,O$33&gt;$C28),0,OFFSET(Проект!O$1331,0,1-$B28))</f>
        <v>1243.6178106695488</v>
      </c>
      <c r="P290" s="54">
        <f ca="1">IF(OR(P$33&lt;$B28,P$33&gt;$C28),0,OFFSET(Проект!P$1331,0,1-$B28))</f>
        <v>1454.7746893858591</v>
      </c>
      <c r="Q290" s="54">
        <f ca="1">IF(OR(Q$33&lt;$B28,Q$33&gt;$C28),0,OFFSET(Проект!Q$1331,0,1-$B28))</f>
        <v>1454.7746893858591</v>
      </c>
      <c r="R290" s="54">
        <f ca="1">IF(OR(R$33&lt;$B28,R$33&gt;$C28),0,OFFSET(Проект!R$1331,0,1-$B28))</f>
        <v>1454.7746893858591</v>
      </c>
      <c r="S290" s="54">
        <f ca="1">IF(OR(S$33&lt;$B28,S$33&gt;$C28),0,OFFSET(Проект!S$1331,0,1-$B28))</f>
        <v>1454.7746893858591</v>
      </c>
      <c r="T290" s="54">
        <f ca="1">IF(OR(T$33&lt;$B28,T$33&gt;$C28),0,OFFSET(Проект!T$1331,0,1-$B28))</f>
        <v>1454.7746893858591</v>
      </c>
      <c r="U290" s="54">
        <f ca="1">IF(OR(U$33&lt;$B28,U$33&gt;$C28),0,OFFSET(Проект!U$1331,0,1-$B28))</f>
        <v>1454.7746893858591</v>
      </c>
      <c r="V290" s="54">
        <f ca="1">IF(OR(V$33&lt;$B28,V$33&gt;$C28),0,OFFSET(Проект!V$1331,0,1-$B28))</f>
        <v>1454.7746893858591</v>
      </c>
      <c r="W290" s="54">
        <f ca="1">IF(OR(W$33&lt;$B28,W$33&gt;$C28),0,OFFSET(Проект!W$1331,0,1-$B28))</f>
        <v>1454.7746893858591</v>
      </c>
      <c r="X290" s="54">
        <f ca="1">IF(OR(X$33&lt;$B28,X$33&gt;$C28),0,OFFSET(Проект!X$1331,0,1-$B28))</f>
        <v>1454.7746893858591</v>
      </c>
      <c r="Y290" s="54">
        <f ca="1">IF(OR(Y$33&lt;$B28,Y$33&gt;$C28),0,OFFSET(Проект!AC$1331,0,1-$B28))</f>
        <v>1454.7746893858591</v>
      </c>
      <c r="AA290" s="54">
        <f ca="1">SUM(F290:Y290)</f>
        <v>20114.735644516455</v>
      </c>
    </row>
    <row r="291" spans="1:32" outlineLevel="1" x14ac:dyDescent="0.2">
      <c r="AA291" s="57"/>
      <c r="AB291" s="58"/>
      <c r="AC291" s="58"/>
      <c r="AD291" s="58"/>
      <c r="AE291" s="58"/>
      <c r="AF291" s="58"/>
    </row>
    <row r="292" spans="1:32" outlineLevel="1" collapsed="1" x14ac:dyDescent="0.2">
      <c r="A292" t="str">
        <f ca="1">Language!A$693</f>
        <v>Инвестиции в земельные участки</v>
      </c>
      <c r="C292" s="5" t="str">
        <f t="shared" ref="C292:C307" ca="1" si="38">CUR_Report</f>
        <v>тыс. EUR</v>
      </c>
      <c r="D292" s="204" t="s">
        <v>2615</v>
      </c>
      <c r="F292" s="43">
        <f ca="1">SUMPRODUCT($B12:OFFSET($B13,-1,0),F293:OFFSET(F294,-1,0))</f>
        <v>0</v>
      </c>
      <c r="G292" s="43">
        <f ca="1">SUMPRODUCT($B12:OFFSET($B13,-1,0),G293:OFFSET(G294,-1,0))</f>
        <v>0</v>
      </c>
      <c r="H292" s="43">
        <f ca="1">SUMPRODUCT($B12:OFFSET($B13,-1,0),H293:OFFSET(H294,-1,0))</f>
        <v>-200</v>
      </c>
      <c r="I292" s="43">
        <f ca="1">SUMPRODUCT($B12:OFFSET($B13,-1,0),I293:OFFSET(I294,-1,0))</f>
        <v>0</v>
      </c>
      <c r="J292" s="43">
        <f ca="1">SUMPRODUCT($B12:OFFSET($B13,-1,0),J293:OFFSET(J294,-1,0))</f>
        <v>0</v>
      </c>
      <c r="K292" s="43">
        <f ca="1">SUMPRODUCT($B12:OFFSET($B13,-1,0),K293:OFFSET(K294,-1,0))</f>
        <v>0</v>
      </c>
      <c r="L292" s="43">
        <f ca="1">SUMPRODUCT($B12:OFFSET($B13,-1,0),L293:OFFSET(L294,-1,0))</f>
        <v>0</v>
      </c>
      <c r="M292" s="43">
        <f ca="1">SUMPRODUCT($B12:OFFSET($B13,-1,0),M293:OFFSET(M294,-1,0))</f>
        <v>0</v>
      </c>
      <c r="N292" s="43">
        <f ca="1">SUMPRODUCT($B12:OFFSET($B13,-1,0),N293:OFFSET(N294,-1,0))</f>
        <v>0</v>
      </c>
      <c r="O292" s="43">
        <f ca="1">SUMPRODUCT($B12:OFFSET($B13,-1,0),O293:OFFSET(O294,-1,0))</f>
        <v>0</v>
      </c>
      <c r="P292" s="43">
        <f ca="1">SUMPRODUCT($B12:OFFSET($B13,-1,0),P293:OFFSET(P294,-1,0))</f>
        <v>0</v>
      </c>
      <c r="Q292" s="43">
        <f ca="1">SUMPRODUCT($B12:OFFSET($B13,-1,0),Q293:OFFSET(Q294,-1,0))</f>
        <v>0</v>
      </c>
      <c r="R292" s="43">
        <f ca="1">SUMPRODUCT($B12:OFFSET($B13,-1,0),R293:OFFSET(R294,-1,0))</f>
        <v>0</v>
      </c>
      <c r="S292" s="43">
        <f ca="1">SUMPRODUCT($B12:OFFSET($B13,-1,0),S293:OFFSET(S294,-1,0))</f>
        <v>0</v>
      </c>
      <c r="T292" s="43">
        <f ca="1">SUMPRODUCT($B12:OFFSET($B13,-1,0),T293:OFFSET(T294,-1,0))</f>
        <v>0</v>
      </c>
      <c r="U292" s="43">
        <f ca="1">SUMPRODUCT($B12:OFFSET($B13,-1,0),U293:OFFSET(U294,-1,0))</f>
        <v>0</v>
      </c>
      <c r="V292" s="43">
        <f ca="1">SUMPRODUCT($B12:OFFSET($B13,-1,0),V293:OFFSET(V294,-1,0))</f>
        <v>0</v>
      </c>
      <c r="W292" s="43">
        <f ca="1">SUMPRODUCT($B12:OFFSET($B13,-1,0),W293:OFFSET(W294,-1,0))</f>
        <v>0</v>
      </c>
      <c r="X292" s="43">
        <f ca="1">SUMPRODUCT($B12:OFFSET($B13,-1,0),X293:OFFSET(X294,-1,0))</f>
        <v>0</v>
      </c>
      <c r="Y292" s="43">
        <f ca="1">SUMPRODUCT($B12:OFFSET($B13,-1,0),Y293:OFFSET(Y294,-1,0))</f>
        <v>0</v>
      </c>
      <c r="AA292" s="54">
        <f t="shared" ref="AA292:AA305" ca="1" si="39">SUM(F292:Y292)</f>
        <v>-200</v>
      </c>
    </row>
    <row r="293" spans="1:32" s="180" customFormat="1" hidden="1" outlineLevel="2" x14ac:dyDescent="0.2">
      <c r="A293" s="11" t="str">
        <f ca="1">"        " &amp; A12</f>
        <v xml:space="preserve">        Проект 1</v>
      </c>
      <c r="B293" s="11"/>
      <c r="C293" s="36" t="str">
        <f t="shared" ca="1" si="38"/>
        <v>тыс. EUR</v>
      </c>
      <c r="D293" s="11" t="e">
        <f ca="1">"[" &amp; F12 &amp; "];int_sum"</f>
        <v>#NAME?</v>
      </c>
      <c r="E293" s="11"/>
      <c r="F293" s="54">
        <f ca="1">IF(OR(F$33&lt;$B28,F$33&gt;$C28),0,OFFSET(Проект!F$1333,0,1-$B28))</f>
        <v>0</v>
      </c>
      <c r="G293" s="54">
        <f ca="1">IF(OR(G$33&lt;$B28,G$33&gt;$C28),0,OFFSET(Проект!G$1333,0,1-$B28))</f>
        <v>0</v>
      </c>
      <c r="H293" s="54">
        <f ca="1">IF(OR(H$33&lt;$B28,H$33&gt;$C28),0,OFFSET(Проект!H$1333,0,1-$B28))</f>
        <v>-200</v>
      </c>
      <c r="I293" s="54">
        <f ca="1">IF(OR(I$33&lt;$B28,I$33&gt;$C28),0,OFFSET(Проект!I$1333,0,1-$B28))</f>
        <v>0</v>
      </c>
      <c r="J293" s="54">
        <f ca="1">IF(OR(J$33&lt;$B28,J$33&gt;$C28),0,OFFSET(Проект!J$1333,0,1-$B28))</f>
        <v>0</v>
      </c>
      <c r="K293" s="54">
        <f ca="1">IF(OR(K$33&lt;$B28,K$33&gt;$C28),0,OFFSET(Проект!K$1333,0,1-$B28))</f>
        <v>0</v>
      </c>
      <c r="L293" s="54">
        <f ca="1">IF(OR(L$33&lt;$B28,L$33&gt;$C28),0,OFFSET(Проект!L$1333,0,1-$B28))</f>
        <v>0</v>
      </c>
      <c r="M293" s="54">
        <f ca="1">IF(OR(M$33&lt;$B28,M$33&gt;$C28),0,OFFSET(Проект!M$1333,0,1-$B28))</f>
        <v>0</v>
      </c>
      <c r="N293" s="54">
        <f ca="1">IF(OR(N$33&lt;$B28,N$33&gt;$C28),0,OFFSET(Проект!N$1333,0,1-$B28))</f>
        <v>0</v>
      </c>
      <c r="O293" s="54">
        <f ca="1">IF(OR(O$33&lt;$B28,O$33&gt;$C28),0,OFFSET(Проект!O$1333,0,1-$B28))</f>
        <v>0</v>
      </c>
      <c r="P293" s="54">
        <f ca="1">IF(OR(P$33&lt;$B28,P$33&gt;$C28),0,OFFSET(Проект!P$1333,0,1-$B28))</f>
        <v>0</v>
      </c>
      <c r="Q293" s="54">
        <f ca="1">IF(OR(Q$33&lt;$B28,Q$33&gt;$C28),0,OFFSET(Проект!Q$1333,0,1-$B28))</f>
        <v>0</v>
      </c>
      <c r="R293" s="54">
        <f ca="1">IF(OR(R$33&lt;$B28,R$33&gt;$C28),0,OFFSET(Проект!R$1333,0,1-$B28))</f>
        <v>0</v>
      </c>
      <c r="S293" s="54">
        <f ca="1">IF(OR(S$33&lt;$B28,S$33&gt;$C28),0,OFFSET(Проект!S$1333,0,1-$B28))</f>
        <v>0</v>
      </c>
      <c r="T293" s="54">
        <f ca="1">IF(OR(T$33&lt;$B28,T$33&gt;$C28),0,OFFSET(Проект!T$1333,0,1-$B28))</f>
        <v>0</v>
      </c>
      <c r="U293" s="54">
        <f ca="1">IF(OR(U$33&lt;$B28,U$33&gt;$C28),0,OFFSET(Проект!U$1333,0,1-$B28))</f>
        <v>0</v>
      </c>
      <c r="V293" s="54">
        <f ca="1">IF(OR(V$33&lt;$B28,V$33&gt;$C28),0,OFFSET(Проект!V$1333,0,1-$B28))</f>
        <v>0</v>
      </c>
      <c r="W293" s="54">
        <f ca="1">IF(OR(W$33&lt;$B28,W$33&gt;$C28),0,OFFSET(Проект!W$1333,0,1-$B28))</f>
        <v>0</v>
      </c>
      <c r="X293" s="54">
        <f ca="1">IF(OR(X$33&lt;$B28,X$33&gt;$C28),0,OFFSET(Проект!X$1333,0,1-$B28))</f>
        <v>0</v>
      </c>
      <c r="Y293" s="54">
        <f ca="1">IF(OR(Y$33&lt;$B28,Y$33&gt;$C28),0,OFFSET(Проект!AC$1333,0,1-$B28))</f>
        <v>0</v>
      </c>
      <c r="AA293" s="54">
        <f t="shared" ca="1" si="39"/>
        <v>-200</v>
      </c>
    </row>
    <row r="294" spans="1:32" outlineLevel="1" collapsed="1" x14ac:dyDescent="0.2">
      <c r="A294" t="str">
        <f ca="1">Language!A$696</f>
        <v>Инвестиции в здания и сооружения</v>
      </c>
      <c r="C294" s="5" t="str">
        <f t="shared" ca="1" si="38"/>
        <v>тыс. EUR</v>
      </c>
      <c r="D294" s="204" t="s">
        <v>2615</v>
      </c>
      <c r="F294" s="43">
        <f ca="1">SUMPRODUCT($B12:OFFSET($B13,-1,0),F295:OFFSET(F296,-1,0))</f>
        <v>0</v>
      </c>
      <c r="G294" s="43">
        <f ca="1">SUMPRODUCT($B12:OFFSET($B13,-1,0),G295:OFFSET(G296,-1,0))</f>
        <v>0</v>
      </c>
      <c r="H294" s="43">
        <f ca="1">SUMPRODUCT($B12:OFFSET($B13,-1,0),H295:OFFSET(H296,-1,0))</f>
        <v>-1519.56</v>
      </c>
      <c r="I294" s="43">
        <f ca="1">SUMPRODUCT($B12:OFFSET($B13,-1,0),I295:OFFSET(I296,-1,0))</f>
        <v>-1519.56</v>
      </c>
      <c r="J294" s="43">
        <f ca="1">SUMPRODUCT($B12:OFFSET($B13,-1,0),J295:OFFSET(J296,-1,0))</f>
        <v>0</v>
      </c>
      <c r="K294" s="43">
        <f ca="1">SUMPRODUCT($B12:OFFSET($B13,-1,0),K295:OFFSET(K296,-1,0))</f>
        <v>0</v>
      </c>
      <c r="L294" s="43">
        <f ca="1">SUMPRODUCT($B12:OFFSET($B13,-1,0),L295:OFFSET(L296,-1,0))</f>
        <v>0</v>
      </c>
      <c r="M294" s="43">
        <f ca="1">SUMPRODUCT($B12:OFFSET($B13,-1,0),M295:OFFSET(M296,-1,0))</f>
        <v>0</v>
      </c>
      <c r="N294" s="43">
        <f ca="1">SUMPRODUCT($B12:OFFSET($B13,-1,0),N295:OFFSET(N296,-1,0))</f>
        <v>0</v>
      </c>
      <c r="O294" s="43">
        <f ca="1">SUMPRODUCT($B12:OFFSET($B13,-1,0),O295:OFFSET(O296,-1,0))</f>
        <v>0</v>
      </c>
      <c r="P294" s="43">
        <f ca="1">SUMPRODUCT($B12:OFFSET($B13,-1,0),P295:OFFSET(P296,-1,0))</f>
        <v>0</v>
      </c>
      <c r="Q294" s="43">
        <f ca="1">SUMPRODUCT($B12:OFFSET($B13,-1,0),Q295:OFFSET(Q296,-1,0))</f>
        <v>0</v>
      </c>
      <c r="R294" s="43">
        <f ca="1">SUMPRODUCT($B12:OFFSET($B13,-1,0),R295:OFFSET(R296,-1,0))</f>
        <v>0</v>
      </c>
      <c r="S294" s="43">
        <f ca="1">SUMPRODUCT($B12:OFFSET($B13,-1,0),S295:OFFSET(S296,-1,0))</f>
        <v>0</v>
      </c>
      <c r="T294" s="43">
        <f ca="1">SUMPRODUCT($B12:OFFSET($B13,-1,0),T295:OFFSET(T296,-1,0))</f>
        <v>0</v>
      </c>
      <c r="U294" s="43">
        <f ca="1">SUMPRODUCT($B12:OFFSET($B13,-1,0),U295:OFFSET(U296,-1,0))</f>
        <v>0</v>
      </c>
      <c r="V294" s="43">
        <f ca="1">SUMPRODUCT($B12:OFFSET($B13,-1,0),V295:OFFSET(V296,-1,0))</f>
        <v>0</v>
      </c>
      <c r="W294" s="43">
        <f ca="1">SUMPRODUCT($B12:OFFSET($B13,-1,0),W295:OFFSET(W296,-1,0))</f>
        <v>0</v>
      </c>
      <c r="X294" s="43">
        <f ca="1">SUMPRODUCT($B12:OFFSET($B13,-1,0),X295:OFFSET(X296,-1,0))</f>
        <v>0</v>
      </c>
      <c r="Y294" s="43">
        <f ca="1">SUMPRODUCT($B12:OFFSET($B13,-1,0),Y295:OFFSET(Y296,-1,0))</f>
        <v>0</v>
      </c>
      <c r="AA294" s="54">
        <f t="shared" ca="1" si="39"/>
        <v>-3039.12</v>
      </c>
    </row>
    <row r="295" spans="1:32" s="180" customFormat="1" hidden="1" outlineLevel="2" x14ac:dyDescent="0.2">
      <c r="A295" s="180" t="str">
        <f ca="1">"        " &amp; A12</f>
        <v xml:space="preserve">        Проект 1</v>
      </c>
      <c r="C295" s="208" t="str">
        <f t="shared" ca="1" si="38"/>
        <v>тыс. EUR</v>
      </c>
      <c r="D295" s="180" t="e">
        <f ca="1">"[" &amp; F12 &amp; "];int_sum"</f>
        <v>#NAME?</v>
      </c>
      <c r="F295" s="54">
        <f ca="1">IF(OR(F$33&lt;$B28,F$33&gt;$C28),0,OFFSET(Проект!F$1334,0,1-$B28))</f>
        <v>0</v>
      </c>
      <c r="G295" s="54">
        <f ca="1">IF(OR(G$33&lt;$B28,G$33&gt;$C28),0,OFFSET(Проект!G$1334,0,1-$B28))</f>
        <v>0</v>
      </c>
      <c r="H295" s="54">
        <f ca="1">IF(OR(H$33&lt;$B28,H$33&gt;$C28),0,OFFSET(Проект!H$1334,0,1-$B28))</f>
        <v>-1519.56</v>
      </c>
      <c r="I295" s="54">
        <f ca="1">IF(OR(I$33&lt;$B28,I$33&gt;$C28),0,OFFSET(Проект!I$1334,0,1-$B28))</f>
        <v>-1519.56</v>
      </c>
      <c r="J295" s="54">
        <f ca="1">IF(OR(J$33&lt;$B28,J$33&gt;$C28),0,OFFSET(Проект!J$1334,0,1-$B28))</f>
        <v>0</v>
      </c>
      <c r="K295" s="54">
        <f ca="1">IF(OR(K$33&lt;$B28,K$33&gt;$C28),0,OFFSET(Проект!K$1334,0,1-$B28))</f>
        <v>0</v>
      </c>
      <c r="L295" s="54">
        <f ca="1">IF(OR(L$33&lt;$B28,L$33&gt;$C28),0,OFFSET(Проект!L$1334,0,1-$B28))</f>
        <v>0</v>
      </c>
      <c r="M295" s="54">
        <f ca="1">IF(OR(M$33&lt;$B28,M$33&gt;$C28),0,OFFSET(Проект!M$1334,0,1-$B28))</f>
        <v>0</v>
      </c>
      <c r="N295" s="54">
        <f ca="1">IF(OR(N$33&lt;$B28,N$33&gt;$C28),0,OFFSET(Проект!N$1334,0,1-$B28))</f>
        <v>0</v>
      </c>
      <c r="O295" s="54">
        <f ca="1">IF(OR(O$33&lt;$B28,O$33&gt;$C28),0,OFFSET(Проект!O$1334,0,1-$B28))</f>
        <v>0</v>
      </c>
      <c r="P295" s="54">
        <f ca="1">IF(OR(P$33&lt;$B28,P$33&gt;$C28),0,OFFSET(Проект!P$1334,0,1-$B28))</f>
        <v>0</v>
      </c>
      <c r="Q295" s="54">
        <f ca="1">IF(OR(Q$33&lt;$B28,Q$33&gt;$C28),0,OFFSET(Проект!Q$1334,0,1-$B28))</f>
        <v>0</v>
      </c>
      <c r="R295" s="54">
        <f ca="1">IF(OR(R$33&lt;$B28,R$33&gt;$C28),0,OFFSET(Проект!R$1334,0,1-$B28))</f>
        <v>0</v>
      </c>
      <c r="S295" s="54">
        <f ca="1">IF(OR(S$33&lt;$B28,S$33&gt;$C28),0,OFFSET(Проект!S$1334,0,1-$B28))</f>
        <v>0</v>
      </c>
      <c r="T295" s="54">
        <f ca="1">IF(OR(T$33&lt;$B28,T$33&gt;$C28),0,OFFSET(Проект!T$1334,0,1-$B28))</f>
        <v>0</v>
      </c>
      <c r="U295" s="54">
        <f ca="1">IF(OR(U$33&lt;$B28,U$33&gt;$C28),0,OFFSET(Проект!U$1334,0,1-$B28))</f>
        <v>0</v>
      </c>
      <c r="V295" s="54">
        <f ca="1">IF(OR(V$33&lt;$B28,V$33&gt;$C28),0,OFFSET(Проект!V$1334,0,1-$B28))</f>
        <v>0</v>
      </c>
      <c r="W295" s="54">
        <f ca="1">IF(OR(W$33&lt;$B28,W$33&gt;$C28),0,OFFSET(Проект!W$1334,0,1-$B28))</f>
        <v>0</v>
      </c>
      <c r="X295" s="54">
        <f ca="1">IF(OR(X$33&lt;$B28,X$33&gt;$C28),0,OFFSET(Проект!X$1334,0,1-$B28))</f>
        <v>0</v>
      </c>
      <c r="Y295" s="54">
        <f ca="1">IF(OR(Y$33&lt;$B28,Y$33&gt;$C28),0,OFFSET(Проект!AC$1334,0,1-$B28))</f>
        <v>0</v>
      </c>
      <c r="AA295" s="54">
        <f t="shared" ca="1" si="39"/>
        <v>-3039.12</v>
      </c>
    </row>
    <row r="296" spans="1:32" outlineLevel="1" collapsed="1" x14ac:dyDescent="0.2">
      <c r="A296" t="str">
        <f ca="1">Language!A$697</f>
        <v>Инвестиции в оборудование и прочие активы</v>
      </c>
      <c r="C296" s="5" t="str">
        <f t="shared" ca="1" si="38"/>
        <v>тыс. EUR</v>
      </c>
      <c r="D296" s="204" t="s">
        <v>2615</v>
      </c>
      <c r="F296" s="43">
        <f ca="1">SUMPRODUCT($B12:OFFSET($B13,-1,0),F297:OFFSET(F298,-1,0))</f>
        <v>0</v>
      </c>
      <c r="G296" s="43">
        <f ca="1">SUMPRODUCT($B12:OFFSET($B13,-1,0),G297:OFFSET(G298,-1,0))</f>
        <v>0</v>
      </c>
      <c r="H296" s="43">
        <f ca="1">SUMPRODUCT($B12:OFFSET($B13,-1,0),H297:OFFSET(H298,-1,0))</f>
        <v>-3875.8255543220339</v>
      </c>
      <c r="I296" s="43">
        <f ca="1">SUMPRODUCT($B12:OFFSET($B13,-1,0),I297:OFFSET(I298,-1,0))</f>
        <v>0</v>
      </c>
      <c r="J296" s="43">
        <f ca="1">SUMPRODUCT($B12:OFFSET($B13,-1,0),J297:OFFSET(J298,-1,0))</f>
        <v>-6850.2918126355935</v>
      </c>
      <c r="K296" s="43">
        <f ca="1">SUMPRODUCT($B12:OFFSET($B13,-1,0),K297:OFFSET(K298,-1,0))</f>
        <v>-2583.8837028813559</v>
      </c>
      <c r="L296" s="43">
        <f ca="1">SUMPRODUCT($B12:OFFSET($B13,-1,0),L297:OFFSET(L298,-1,0))</f>
        <v>0</v>
      </c>
      <c r="M296" s="43">
        <f ca="1">SUMPRODUCT($B12:OFFSET($B13,-1,0),M297:OFFSET(M298,-1,0))</f>
        <v>0</v>
      </c>
      <c r="N296" s="43">
        <f ca="1">SUMPRODUCT($B12:OFFSET($B13,-1,0),N297:OFFSET(N298,-1,0))</f>
        <v>0</v>
      </c>
      <c r="O296" s="43">
        <f ca="1">SUMPRODUCT($B12:OFFSET($B13,-1,0),O297:OFFSET(O298,-1,0))</f>
        <v>0</v>
      </c>
      <c r="P296" s="43">
        <f ca="1">SUMPRODUCT($B12:OFFSET($B13,-1,0),P297:OFFSET(P298,-1,0))</f>
        <v>0</v>
      </c>
      <c r="Q296" s="43">
        <f ca="1">SUMPRODUCT($B12:OFFSET($B13,-1,0),Q297:OFFSET(Q298,-1,0))</f>
        <v>0</v>
      </c>
      <c r="R296" s="43">
        <f ca="1">SUMPRODUCT($B12:OFFSET($B13,-1,0),R297:OFFSET(R298,-1,0))</f>
        <v>0</v>
      </c>
      <c r="S296" s="43">
        <f ca="1">SUMPRODUCT($B12:OFFSET($B13,-1,0),S297:OFFSET(S298,-1,0))</f>
        <v>0</v>
      </c>
      <c r="T296" s="43">
        <f ca="1">SUMPRODUCT($B12:OFFSET($B13,-1,0),T297:OFFSET(T298,-1,0))</f>
        <v>0</v>
      </c>
      <c r="U296" s="43">
        <f ca="1">SUMPRODUCT($B12:OFFSET($B13,-1,0),U297:OFFSET(U298,-1,0))</f>
        <v>0</v>
      </c>
      <c r="V296" s="43">
        <f ca="1">SUMPRODUCT($B12:OFFSET($B13,-1,0),V297:OFFSET(V298,-1,0))</f>
        <v>0</v>
      </c>
      <c r="W296" s="43">
        <f ca="1">SUMPRODUCT($B12:OFFSET($B13,-1,0),W297:OFFSET(W298,-1,0))</f>
        <v>0</v>
      </c>
      <c r="X296" s="43">
        <f ca="1">SUMPRODUCT($B12:OFFSET($B13,-1,0),X297:OFFSET(X298,-1,0))</f>
        <v>0</v>
      </c>
      <c r="Y296" s="43">
        <f ca="1">SUMPRODUCT($B12:OFFSET($B13,-1,0),Y297:OFFSET(Y298,-1,0))</f>
        <v>0</v>
      </c>
      <c r="AA296" s="54">
        <f t="shared" ca="1" si="39"/>
        <v>-13310.001069838983</v>
      </c>
    </row>
    <row r="297" spans="1:32" s="180" customFormat="1" hidden="1" outlineLevel="2" x14ac:dyDescent="0.2">
      <c r="A297" s="180" t="str">
        <f ca="1">"        " &amp; A12</f>
        <v xml:space="preserve">        Проект 1</v>
      </c>
      <c r="C297" s="208" t="str">
        <f t="shared" ca="1" si="38"/>
        <v>тыс. EUR</v>
      </c>
      <c r="D297" s="180" t="e">
        <f ca="1">"[" &amp; F12 &amp; "];int_sum"</f>
        <v>#NAME?</v>
      </c>
      <c r="F297" s="54">
        <f ca="1">IF(OR(F$33&lt;$B28,F$33&gt;$C28),0,OFFSET(Проект!F$1335,0,1-$B28))</f>
        <v>0</v>
      </c>
      <c r="G297" s="54">
        <f ca="1">IF(OR(G$33&lt;$B28,G$33&gt;$C28),0,OFFSET(Проект!G$1335,0,1-$B28))</f>
        <v>0</v>
      </c>
      <c r="H297" s="54">
        <f ca="1">IF(OR(H$33&lt;$B28,H$33&gt;$C28),0,OFFSET(Проект!H$1335,0,1-$B28))</f>
        <v>-3875.8255543220339</v>
      </c>
      <c r="I297" s="54">
        <f ca="1">IF(OR(I$33&lt;$B28,I$33&gt;$C28),0,OFFSET(Проект!I$1335,0,1-$B28))</f>
        <v>0</v>
      </c>
      <c r="J297" s="54">
        <f ca="1">IF(OR(J$33&lt;$B28,J$33&gt;$C28),0,OFFSET(Проект!J$1335,0,1-$B28))</f>
        <v>-6850.2918126355935</v>
      </c>
      <c r="K297" s="54">
        <f ca="1">IF(OR(K$33&lt;$B28,K$33&gt;$C28),0,OFFSET(Проект!K$1335,0,1-$B28))</f>
        <v>-2583.8837028813559</v>
      </c>
      <c r="L297" s="54">
        <f ca="1">IF(OR(L$33&lt;$B28,L$33&gt;$C28),0,OFFSET(Проект!L$1335,0,1-$B28))</f>
        <v>0</v>
      </c>
      <c r="M297" s="54">
        <f ca="1">IF(OR(M$33&lt;$B28,M$33&gt;$C28),0,OFFSET(Проект!M$1335,0,1-$B28))</f>
        <v>0</v>
      </c>
      <c r="N297" s="54">
        <f ca="1">IF(OR(N$33&lt;$B28,N$33&gt;$C28),0,OFFSET(Проект!N$1335,0,1-$B28))</f>
        <v>0</v>
      </c>
      <c r="O297" s="54">
        <f ca="1">IF(OR(O$33&lt;$B28,O$33&gt;$C28),0,OFFSET(Проект!O$1335,0,1-$B28))</f>
        <v>0</v>
      </c>
      <c r="P297" s="54">
        <f ca="1">IF(OR(P$33&lt;$B28,P$33&gt;$C28),0,OFFSET(Проект!P$1335,0,1-$B28))</f>
        <v>0</v>
      </c>
      <c r="Q297" s="54">
        <f ca="1">IF(OR(Q$33&lt;$B28,Q$33&gt;$C28),0,OFFSET(Проект!Q$1335,0,1-$B28))</f>
        <v>0</v>
      </c>
      <c r="R297" s="54">
        <f ca="1">IF(OR(R$33&lt;$B28,R$33&gt;$C28),0,OFFSET(Проект!R$1335,0,1-$B28))</f>
        <v>0</v>
      </c>
      <c r="S297" s="54">
        <f ca="1">IF(OR(S$33&lt;$B28,S$33&gt;$C28),0,OFFSET(Проект!S$1335,0,1-$B28))</f>
        <v>0</v>
      </c>
      <c r="T297" s="54">
        <f ca="1">IF(OR(T$33&lt;$B28,T$33&gt;$C28),0,OFFSET(Проект!T$1335,0,1-$B28))</f>
        <v>0</v>
      </c>
      <c r="U297" s="54">
        <f ca="1">IF(OR(U$33&lt;$B28,U$33&gt;$C28),0,OFFSET(Проект!U$1335,0,1-$B28))</f>
        <v>0</v>
      </c>
      <c r="V297" s="54">
        <f ca="1">IF(OR(V$33&lt;$B28,V$33&gt;$C28),0,OFFSET(Проект!V$1335,0,1-$B28))</f>
        <v>0</v>
      </c>
      <c r="W297" s="54">
        <f ca="1">IF(OR(W$33&lt;$B28,W$33&gt;$C28),0,OFFSET(Проект!W$1335,0,1-$B28))</f>
        <v>0</v>
      </c>
      <c r="X297" s="54">
        <f ca="1">IF(OR(X$33&lt;$B28,X$33&gt;$C28),0,OFFSET(Проект!X$1335,0,1-$B28))</f>
        <v>0</v>
      </c>
      <c r="Y297" s="54">
        <f ca="1">IF(OR(Y$33&lt;$B28,Y$33&gt;$C28),0,OFFSET(Проект!AC$1335,0,1-$B28))</f>
        <v>0</v>
      </c>
      <c r="AA297" s="54">
        <f t="shared" ca="1" si="39"/>
        <v>-13310.001069838983</v>
      </c>
    </row>
    <row r="298" spans="1:32" outlineLevel="1" collapsed="1" x14ac:dyDescent="0.2">
      <c r="A298" t="str">
        <f ca="1">Language!A$694</f>
        <v>Инвестиции в нематериальные активы</v>
      </c>
      <c r="C298" s="5" t="str">
        <f t="shared" ca="1" si="38"/>
        <v>тыс. EUR</v>
      </c>
      <c r="D298" s="204" t="s">
        <v>2615</v>
      </c>
      <c r="F298" s="43">
        <f ca="1">SUMPRODUCT($B12:OFFSET($B13,-1,0),F299:OFFSET(F300,-1,0))</f>
        <v>0</v>
      </c>
      <c r="G298" s="43">
        <f ca="1">SUMPRODUCT($B12:OFFSET($B13,-1,0),G299:OFFSET(G300,-1,0))</f>
        <v>0</v>
      </c>
      <c r="H298" s="43">
        <f ca="1">SUMPRODUCT($B12:OFFSET($B13,-1,0),H299:OFFSET(H300,-1,0))</f>
        <v>-100</v>
      </c>
      <c r="I298" s="43">
        <f ca="1">SUMPRODUCT($B12:OFFSET($B13,-1,0),I299:OFFSET(I300,-1,0))</f>
        <v>0</v>
      </c>
      <c r="J298" s="43">
        <f ca="1">SUMPRODUCT($B12:OFFSET($B13,-1,0),J299:OFFSET(J300,-1,0))</f>
        <v>0</v>
      </c>
      <c r="K298" s="43">
        <f ca="1">SUMPRODUCT($B12:OFFSET($B13,-1,0),K299:OFFSET(K300,-1,0))</f>
        <v>0</v>
      </c>
      <c r="L298" s="43">
        <f ca="1">SUMPRODUCT($B12:OFFSET($B13,-1,0),L299:OFFSET(L300,-1,0))</f>
        <v>0</v>
      </c>
      <c r="M298" s="43">
        <f ca="1">SUMPRODUCT($B12:OFFSET($B13,-1,0),M299:OFFSET(M300,-1,0))</f>
        <v>0</v>
      </c>
      <c r="N298" s="43">
        <f ca="1">SUMPRODUCT($B12:OFFSET($B13,-1,0),N299:OFFSET(N300,-1,0))</f>
        <v>0</v>
      </c>
      <c r="O298" s="43">
        <f ca="1">SUMPRODUCT($B12:OFFSET($B13,-1,0),O299:OFFSET(O300,-1,0))</f>
        <v>0</v>
      </c>
      <c r="P298" s="43">
        <f ca="1">SUMPRODUCT($B12:OFFSET($B13,-1,0),P299:OFFSET(P300,-1,0))</f>
        <v>0</v>
      </c>
      <c r="Q298" s="43">
        <f ca="1">SUMPRODUCT($B12:OFFSET($B13,-1,0),Q299:OFFSET(Q300,-1,0))</f>
        <v>0</v>
      </c>
      <c r="R298" s="43">
        <f ca="1">SUMPRODUCT($B12:OFFSET($B13,-1,0),R299:OFFSET(R300,-1,0))</f>
        <v>0</v>
      </c>
      <c r="S298" s="43">
        <f ca="1">SUMPRODUCT($B12:OFFSET($B13,-1,0),S299:OFFSET(S300,-1,0))</f>
        <v>0</v>
      </c>
      <c r="T298" s="43">
        <f ca="1">SUMPRODUCT($B12:OFFSET($B13,-1,0),T299:OFFSET(T300,-1,0))</f>
        <v>0</v>
      </c>
      <c r="U298" s="43">
        <f ca="1">SUMPRODUCT($B12:OFFSET($B13,-1,0),U299:OFFSET(U300,-1,0))</f>
        <v>0</v>
      </c>
      <c r="V298" s="43">
        <f ca="1">SUMPRODUCT($B12:OFFSET($B13,-1,0),V299:OFFSET(V300,-1,0))</f>
        <v>0</v>
      </c>
      <c r="W298" s="43">
        <f ca="1">SUMPRODUCT($B12:OFFSET($B13,-1,0),W299:OFFSET(W300,-1,0))</f>
        <v>0</v>
      </c>
      <c r="X298" s="43">
        <f ca="1">SUMPRODUCT($B12:OFFSET($B13,-1,0),X299:OFFSET(X300,-1,0))</f>
        <v>0</v>
      </c>
      <c r="Y298" s="43">
        <f ca="1">SUMPRODUCT($B12:OFFSET($B13,-1,0),Y299:OFFSET(Y300,-1,0))</f>
        <v>0</v>
      </c>
      <c r="AA298" s="54">
        <f t="shared" ca="1" si="39"/>
        <v>-100</v>
      </c>
    </row>
    <row r="299" spans="1:32" s="180" customFormat="1" hidden="1" outlineLevel="2" x14ac:dyDescent="0.2">
      <c r="A299" s="180" t="str">
        <f ca="1">"        " &amp; A12</f>
        <v xml:space="preserve">        Проект 1</v>
      </c>
      <c r="C299" s="208" t="str">
        <f t="shared" ca="1" si="38"/>
        <v>тыс. EUR</v>
      </c>
      <c r="D299" s="180" t="e">
        <f ca="1">"[" &amp; F12 &amp; "];int_sum"</f>
        <v>#NAME?</v>
      </c>
      <c r="F299" s="54">
        <f ca="1">IF(OR(F$33&lt;$B28,F$33&gt;$C28),0,OFFSET(Проект!F$1336,0,1-$B28))</f>
        <v>0</v>
      </c>
      <c r="G299" s="54">
        <f ca="1">IF(OR(G$33&lt;$B28,G$33&gt;$C28),0,OFFSET(Проект!G$1336,0,1-$B28))</f>
        <v>0</v>
      </c>
      <c r="H299" s="54">
        <f ca="1">IF(OR(H$33&lt;$B28,H$33&gt;$C28),0,OFFSET(Проект!H$1336,0,1-$B28))</f>
        <v>-100</v>
      </c>
      <c r="I299" s="54">
        <f ca="1">IF(OR(I$33&lt;$B28,I$33&gt;$C28),0,OFFSET(Проект!I$1336,0,1-$B28))</f>
        <v>0</v>
      </c>
      <c r="J299" s="54">
        <f ca="1">IF(OR(J$33&lt;$B28,J$33&gt;$C28),0,OFFSET(Проект!J$1336,0,1-$B28))</f>
        <v>0</v>
      </c>
      <c r="K299" s="54">
        <f ca="1">IF(OR(K$33&lt;$B28,K$33&gt;$C28),0,OFFSET(Проект!K$1336,0,1-$B28))</f>
        <v>0</v>
      </c>
      <c r="L299" s="54">
        <f ca="1">IF(OR(L$33&lt;$B28,L$33&gt;$C28),0,OFFSET(Проект!L$1336,0,1-$B28))</f>
        <v>0</v>
      </c>
      <c r="M299" s="54">
        <f ca="1">IF(OR(M$33&lt;$B28,M$33&gt;$C28),0,OFFSET(Проект!M$1336,0,1-$B28))</f>
        <v>0</v>
      </c>
      <c r="N299" s="54">
        <f ca="1">IF(OR(N$33&lt;$B28,N$33&gt;$C28),0,OFFSET(Проект!N$1336,0,1-$B28))</f>
        <v>0</v>
      </c>
      <c r="O299" s="54">
        <f ca="1">IF(OR(O$33&lt;$B28,O$33&gt;$C28),0,OFFSET(Проект!O$1336,0,1-$B28))</f>
        <v>0</v>
      </c>
      <c r="P299" s="54">
        <f ca="1">IF(OR(P$33&lt;$B28,P$33&gt;$C28),0,OFFSET(Проект!P$1336,0,1-$B28))</f>
        <v>0</v>
      </c>
      <c r="Q299" s="54">
        <f ca="1">IF(OR(Q$33&lt;$B28,Q$33&gt;$C28),0,OFFSET(Проект!Q$1336,0,1-$B28))</f>
        <v>0</v>
      </c>
      <c r="R299" s="54">
        <f ca="1">IF(OR(R$33&lt;$B28,R$33&gt;$C28),0,OFFSET(Проект!R$1336,0,1-$B28))</f>
        <v>0</v>
      </c>
      <c r="S299" s="54">
        <f ca="1">IF(OR(S$33&lt;$B28,S$33&gt;$C28),0,OFFSET(Проект!S$1336,0,1-$B28))</f>
        <v>0</v>
      </c>
      <c r="T299" s="54">
        <f ca="1">IF(OR(T$33&lt;$B28,T$33&gt;$C28),0,OFFSET(Проект!T$1336,0,1-$B28))</f>
        <v>0</v>
      </c>
      <c r="U299" s="54">
        <f ca="1">IF(OR(U$33&lt;$B28,U$33&gt;$C28),0,OFFSET(Проект!U$1336,0,1-$B28))</f>
        <v>0</v>
      </c>
      <c r="V299" s="54">
        <f ca="1">IF(OR(V$33&lt;$B28,V$33&gt;$C28),0,OFFSET(Проект!V$1336,0,1-$B28))</f>
        <v>0</v>
      </c>
      <c r="W299" s="54">
        <f ca="1">IF(OR(W$33&lt;$B28,W$33&gt;$C28),0,OFFSET(Проект!W$1336,0,1-$B28))</f>
        <v>0</v>
      </c>
      <c r="X299" s="54">
        <f ca="1">IF(OR(X$33&lt;$B28,X$33&gt;$C28),0,OFFSET(Проект!X$1336,0,1-$B28))</f>
        <v>0</v>
      </c>
      <c r="Y299" s="54">
        <f ca="1">IF(OR(Y$33&lt;$B28,Y$33&gt;$C28),0,OFFSET(Проект!AC$1336,0,1-$B28))</f>
        <v>0</v>
      </c>
      <c r="AA299" s="54">
        <f t="shared" ca="1" si="39"/>
        <v>-100</v>
      </c>
    </row>
    <row r="300" spans="1:32" outlineLevel="1" collapsed="1" x14ac:dyDescent="0.2">
      <c r="A300" t="str">
        <f ca="1">Language!A$698</f>
        <v>Инвестиции в финансовые активы</v>
      </c>
      <c r="C300" s="5" t="str">
        <f t="shared" ca="1" si="38"/>
        <v>тыс. EUR</v>
      </c>
      <c r="D300" s="204" t="s">
        <v>2615</v>
      </c>
      <c r="F300" s="43">
        <f ca="1">SUMPRODUCT($B12:OFFSET($B13,-1,0),F301:OFFSET(F302,-1,0))</f>
        <v>0</v>
      </c>
      <c r="G300" s="43">
        <f ca="1">SUMPRODUCT($B12:OFFSET($B13,-1,0),G301:OFFSET(G302,-1,0))</f>
        <v>0</v>
      </c>
      <c r="H300" s="43">
        <f ca="1">SUMPRODUCT($B12:OFFSET($B13,-1,0),H301:OFFSET(H302,-1,0))</f>
        <v>0</v>
      </c>
      <c r="I300" s="43">
        <f ca="1">SUMPRODUCT($B12:OFFSET($B13,-1,0),I301:OFFSET(I302,-1,0))</f>
        <v>0</v>
      </c>
      <c r="J300" s="43">
        <f ca="1">SUMPRODUCT($B12:OFFSET($B13,-1,0),J301:OFFSET(J302,-1,0))</f>
        <v>0</v>
      </c>
      <c r="K300" s="43">
        <f ca="1">SUMPRODUCT($B12:OFFSET($B13,-1,0),K301:OFFSET(K302,-1,0))</f>
        <v>0</v>
      </c>
      <c r="L300" s="43">
        <f ca="1">SUMPRODUCT($B12:OFFSET($B13,-1,0),L301:OFFSET(L302,-1,0))</f>
        <v>0</v>
      </c>
      <c r="M300" s="43">
        <f ca="1">SUMPRODUCT($B12:OFFSET($B13,-1,0),M301:OFFSET(M302,-1,0))</f>
        <v>0</v>
      </c>
      <c r="N300" s="43">
        <f ca="1">SUMPRODUCT($B12:OFFSET($B13,-1,0),N301:OFFSET(N302,-1,0))</f>
        <v>0</v>
      </c>
      <c r="O300" s="43">
        <f ca="1">SUMPRODUCT($B12:OFFSET($B13,-1,0),O301:OFFSET(O302,-1,0))</f>
        <v>0</v>
      </c>
      <c r="P300" s="43">
        <f ca="1">SUMPRODUCT($B12:OFFSET($B13,-1,0),P301:OFFSET(P302,-1,0))</f>
        <v>0</v>
      </c>
      <c r="Q300" s="43">
        <f ca="1">SUMPRODUCT($B12:OFFSET($B13,-1,0),Q301:OFFSET(Q302,-1,0))</f>
        <v>0</v>
      </c>
      <c r="R300" s="43">
        <f ca="1">SUMPRODUCT($B12:OFFSET($B13,-1,0),R301:OFFSET(R302,-1,0))</f>
        <v>0</v>
      </c>
      <c r="S300" s="43">
        <f ca="1">SUMPRODUCT($B12:OFFSET($B13,-1,0),S301:OFFSET(S302,-1,0))</f>
        <v>0</v>
      </c>
      <c r="T300" s="43">
        <f ca="1">SUMPRODUCT($B12:OFFSET($B13,-1,0),T301:OFFSET(T302,-1,0))</f>
        <v>0</v>
      </c>
      <c r="U300" s="43">
        <f ca="1">SUMPRODUCT($B12:OFFSET($B13,-1,0),U301:OFFSET(U302,-1,0))</f>
        <v>0</v>
      </c>
      <c r="V300" s="43">
        <f ca="1">SUMPRODUCT($B12:OFFSET($B13,-1,0),V301:OFFSET(V302,-1,0))</f>
        <v>0</v>
      </c>
      <c r="W300" s="43">
        <f ca="1">SUMPRODUCT($B12:OFFSET($B13,-1,0),W301:OFFSET(W302,-1,0))</f>
        <v>0</v>
      </c>
      <c r="X300" s="43">
        <f ca="1">SUMPRODUCT($B12:OFFSET($B13,-1,0),X301:OFFSET(X302,-1,0))</f>
        <v>0</v>
      </c>
      <c r="Y300" s="43">
        <f ca="1">SUMPRODUCT($B12:OFFSET($B13,-1,0),Y301:OFFSET(Y302,-1,0))</f>
        <v>0</v>
      </c>
      <c r="AA300" s="54">
        <f t="shared" ca="1" si="39"/>
        <v>0</v>
      </c>
    </row>
    <row r="301" spans="1:32" s="180" customFormat="1" hidden="1" outlineLevel="2" x14ac:dyDescent="0.2">
      <c r="A301" s="180" t="str">
        <f ca="1">"        " &amp; A12</f>
        <v xml:space="preserve">        Проект 1</v>
      </c>
      <c r="C301" s="208" t="str">
        <f t="shared" ca="1" si="38"/>
        <v>тыс. EUR</v>
      </c>
      <c r="D301" s="180" t="e">
        <f ca="1">"[" &amp; F12 &amp; "];int_sum"</f>
        <v>#NAME?</v>
      </c>
      <c r="F301" s="54">
        <f ca="1">IF(OR(F$33&lt;$B28,F$33&gt;$C28),0,OFFSET(Проект!F$1337,0,1-$B28))</f>
        <v>0</v>
      </c>
      <c r="G301" s="54">
        <f ca="1">IF(OR(G$33&lt;$B28,G$33&gt;$C28),0,OFFSET(Проект!G$1337,0,1-$B28))</f>
        <v>0</v>
      </c>
      <c r="H301" s="54">
        <f ca="1">IF(OR(H$33&lt;$B28,H$33&gt;$C28),0,OFFSET(Проект!H$1337,0,1-$B28))</f>
        <v>0</v>
      </c>
      <c r="I301" s="54">
        <f ca="1">IF(OR(I$33&lt;$B28,I$33&gt;$C28),0,OFFSET(Проект!I$1337,0,1-$B28))</f>
        <v>0</v>
      </c>
      <c r="J301" s="54">
        <f ca="1">IF(OR(J$33&lt;$B28,J$33&gt;$C28),0,OFFSET(Проект!J$1337,0,1-$B28))</f>
        <v>0</v>
      </c>
      <c r="K301" s="54">
        <f ca="1">IF(OR(K$33&lt;$B28,K$33&gt;$C28),0,OFFSET(Проект!K$1337,0,1-$B28))</f>
        <v>0</v>
      </c>
      <c r="L301" s="54">
        <f ca="1">IF(OR(L$33&lt;$B28,L$33&gt;$C28),0,OFFSET(Проект!L$1337,0,1-$B28))</f>
        <v>0</v>
      </c>
      <c r="M301" s="54">
        <f ca="1">IF(OR(M$33&lt;$B28,M$33&gt;$C28),0,OFFSET(Проект!M$1337,0,1-$B28))</f>
        <v>0</v>
      </c>
      <c r="N301" s="54">
        <f ca="1">IF(OR(N$33&lt;$B28,N$33&gt;$C28),0,OFFSET(Проект!N$1337,0,1-$B28))</f>
        <v>0</v>
      </c>
      <c r="O301" s="54">
        <f ca="1">IF(OR(O$33&lt;$B28,O$33&gt;$C28),0,OFFSET(Проект!O$1337,0,1-$B28))</f>
        <v>0</v>
      </c>
      <c r="P301" s="54">
        <f ca="1">IF(OR(P$33&lt;$B28,P$33&gt;$C28),0,OFFSET(Проект!P$1337,0,1-$B28))</f>
        <v>0</v>
      </c>
      <c r="Q301" s="54">
        <f ca="1">IF(OR(Q$33&lt;$B28,Q$33&gt;$C28),0,OFFSET(Проект!Q$1337,0,1-$B28))</f>
        <v>0</v>
      </c>
      <c r="R301" s="54">
        <f ca="1">IF(OR(R$33&lt;$B28,R$33&gt;$C28),0,OFFSET(Проект!R$1337,0,1-$B28))</f>
        <v>0</v>
      </c>
      <c r="S301" s="54">
        <f ca="1">IF(OR(S$33&lt;$B28,S$33&gt;$C28),0,OFFSET(Проект!S$1337,0,1-$B28))</f>
        <v>0</v>
      </c>
      <c r="T301" s="54">
        <f ca="1">IF(OR(T$33&lt;$B28,T$33&gt;$C28),0,OFFSET(Проект!T$1337,0,1-$B28))</f>
        <v>0</v>
      </c>
      <c r="U301" s="54">
        <f ca="1">IF(OR(U$33&lt;$B28,U$33&gt;$C28),0,OFFSET(Проект!U$1337,0,1-$B28))</f>
        <v>0</v>
      </c>
      <c r="V301" s="54">
        <f ca="1">IF(OR(V$33&lt;$B28,V$33&gt;$C28),0,OFFSET(Проект!V$1337,0,1-$B28))</f>
        <v>0</v>
      </c>
      <c r="W301" s="54">
        <f ca="1">IF(OR(W$33&lt;$B28,W$33&gt;$C28),0,OFFSET(Проект!W$1337,0,1-$B28))</f>
        <v>0</v>
      </c>
      <c r="X301" s="54">
        <f ca="1">IF(OR(X$33&lt;$B28,X$33&gt;$C28),0,OFFSET(Проект!X$1337,0,1-$B28))</f>
        <v>0</v>
      </c>
      <c r="Y301" s="54">
        <f ca="1">IF(OR(Y$33&lt;$B28,Y$33&gt;$C28),0,OFFSET(Проект!AC$1337,0,1-$B28))</f>
        <v>0</v>
      </c>
      <c r="AA301" s="54">
        <f t="shared" ca="1" si="39"/>
        <v>0</v>
      </c>
    </row>
    <row r="302" spans="1:32" outlineLevel="1" collapsed="1" x14ac:dyDescent="0.2">
      <c r="A302" t="str">
        <f ca="1">Language!A$699</f>
        <v>Оплата расходов будущих периодов</v>
      </c>
      <c r="C302" s="5" t="str">
        <f t="shared" ca="1" si="38"/>
        <v>тыс. EUR</v>
      </c>
      <c r="D302" s="204" t="s">
        <v>2615</v>
      </c>
      <c r="F302" s="43">
        <f ca="1">SUMPRODUCT($B12:OFFSET($B13,-1,0),F303:OFFSET(F304,-1,0))</f>
        <v>0</v>
      </c>
      <c r="G302" s="43">
        <f ca="1">SUMPRODUCT($B12:OFFSET($B13,-1,0),G303:OFFSET(G304,-1,0))</f>
        <v>0</v>
      </c>
      <c r="H302" s="43">
        <f ca="1">SUMPRODUCT($B12:OFFSET($B13,-1,0),H303:OFFSET(H304,-1,0))</f>
        <v>0</v>
      </c>
      <c r="I302" s="43">
        <f ca="1">SUMPRODUCT($B12:OFFSET($B13,-1,0),I303:OFFSET(I304,-1,0))</f>
        <v>0</v>
      </c>
      <c r="J302" s="43">
        <f ca="1">SUMPRODUCT($B12:OFFSET($B13,-1,0),J303:OFFSET(J304,-1,0))</f>
        <v>-174.59738454375801</v>
      </c>
      <c r="K302" s="43">
        <f ca="1">SUMPRODUCT($B12:OFFSET($B13,-1,0),K303:OFFSET(K304,-1,0))</f>
        <v>-398.64199465215285</v>
      </c>
      <c r="L302" s="43">
        <f ca="1">SUMPRODUCT($B12:OFFSET($B13,-1,0),L303:OFFSET(L304,-1,0))</f>
        <v>0</v>
      </c>
      <c r="M302" s="43">
        <f ca="1">SUMPRODUCT($B12:OFFSET($B13,-1,0),M303:OFFSET(M304,-1,0))</f>
        <v>0</v>
      </c>
      <c r="N302" s="43">
        <f ca="1">SUMPRODUCT($B12:OFFSET($B13,-1,0),N303:OFFSET(N304,-1,0))</f>
        <v>0</v>
      </c>
      <c r="O302" s="43">
        <f ca="1">SUMPRODUCT($B12:OFFSET($B13,-1,0),O303:OFFSET(O304,-1,0))</f>
        <v>0</v>
      </c>
      <c r="P302" s="43">
        <f ca="1">SUMPRODUCT($B12:OFFSET($B13,-1,0),P303:OFFSET(P304,-1,0))</f>
        <v>0</v>
      </c>
      <c r="Q302" s="43">
        <f ca="1">SUMPRODUCT($B12:OFFSET($B13,-1,0),Q303:OFFSET(Q304,-1,0))</f>
        <v>0</v>
      </c>
      <c r="R302" s="43">
        <f ca="1">SUMPRODUCT($B12:OFFSET($B13,-1,0),R303:OFFSET(R304,-1,0))</f>
        <v>0</v>
      </c>
      <c r="S302" s="43">
        <f ca="1">SUMPRODUCT($B12:OFFSET($B13,-1,0),S303:OFFSET(S304,-1,0))</f>
        <v>0</v>
      </c>
      <c r="T302" s="43">
        <f ca="1">SUMPRODUCT($B12:OFFSET($B13,-1,0),T303:OFFSET(T304,-1,0))</f>
        <v>0</v>
      </c>
      <c r="U302" s="43">
        <f ca="1">SUMPRODUCT($B12:OFFSET($B13,-1,0),U303:OFFSET(U304,-1,0))</f>
        <v>0</v>
      </c>
      <c r="V302" s="43">
        <f ca="1">SUMPRODUCT($B12:OFFSET($B13,-1,0),V303:OFFSET(V304,-1,0))</f>
        <v>0</v>
      </c>
      <c r="W302" s="43">
        <f ca="1">SUMPRODUCT($B12:OFFSET($B13,-1,0),W303:OFFSET(W304,-1,0))</f>
        <v>0</v>
      </c>
      <c r="X302" s="43">
        <f ca="1">SUMPRODUCT($B12:OFFSET($B13,-1,0),X303:OFFSET(X304,-1,0))</f>
        <v>0</v>
      </c>
      <c r="Y302" s="43">
        <f ca="1">SUMPRODUCT($B12:OFFSET($B13,-1,0),Y303:OFFSET(Y304,-1,0))</f>
        <v>0</v>
      </c>
      <c r="AA302" s="54">
        <f t="shared" ca="1" si="39"/>
        <v>-573.23937919591083</v>
      </c>
    </row>
    <row r="303" spans="1:32" s="180" customFormat="1" hidden="1" outlineLevel="2" x14ac:dyDescent="0.2">
      <c r="A303" s="180" t="str">
        <f ca="1">"        " &amp; A12</f>
        <v xml:space="preserve">        Проект 1</v>
      </c>
      <c r="C303" s="208" t="str">
        <f t="shared" ca="1" si="38"/>
        <v>тыс. EUR</v>
      </c>
      <c r="D303" s="180" t="e">
        <f ca="1">"[" &amp; F12 &amp; "];int_sum"</f>
        <v>#NAME?</v>
      </c>
      <c r="F303" s="54">
        <f ca="1">IF(OR(F$33&lt;$B28,F$33&gt;$C28),0,OFFSET(Проект!F$1338,0,1-$B28))</f>
        <v>0</v>
      </c>
      <c r="G303" s="54">
        <f ca="1">IF(OR(G$33&lt;$B28,G$33&gt;$C28),0,OFFSET(Проект!G$1338,0,1-$B28))</f>
        <v>0</v>
      </c>
      <c r="H303" s="54">
        <f ca="1">IF(OR(H$33&lt;$B28,H$33&gt;$C28),0,OFFSET(Проект!H$1338,0,1-$B28))</f>
        <v>0</v>
      </c>
      <c r="I303" s="54">
        <f ca="1">IF(OR(I$33&lt;$B28,I$33&gt;$C28),0,OFFSET(Проект!I$1338,0,1-$B28))</f>
        <v>0</v>
      </c>
      <c r="J303" s="54">
        <f ca="1">IF(OR(J$33&lt;$B28,J$33&gt;$C28),0,OFFSET(Проект!J$1338,0,1-$B28))</f>
        <v>-174.59738454375801</v>
      </c>
      <c r="K303" s="54">
        <f ca="1">IF(OR(K$33&lt;$B28,K$33&gt;$C28),0,OFFSET(Проект!K$1338,0,1-$B28))</f>
        <v>-398.64199465215285</v>
      </c>
      <c r="L303" s="54">
        <f ca="1">IF(OR(L$33&lt;$B28,L$33&gt;$C28),0,OFFSET(Проект!L$1338,0,1-$B28))</f>
        <v>0</v>
      </c>
      <c r="M303" s="54">
        <f ca="1">IF(OR(M$33&lt;$B28,M$33&gt;$C28),0,OFFSET(Проект!M$1338,0,1-$B28))</f>
        <v>0</v>
      </c>
      <c r="N303" s="54">
        <f ca="1">IF(OR(N$33&lt;$B28,N$33&gt;$C28),0,OFFSET(Проект!N$1338,0,1-$B28))</f>
        <v>0</v>
      </c>
      <c r="O303" s="54">
        <f ca="1">IF(OR(O$33&lt;$B28,O$33&gt;$C28),0,OFFSET(Проект!O$1338,0,1-$B28))</f>
        <v>0</v>
      </c>
      <c r="P303" s="54">
        <f ca="1">IF(OR(P$33&lt;$B28,P$33&gt;$C28),0,OFFSET(Проект!P$1338,0,1-$B28))</f>
        <v>0</v>
      </c>
      <c r="Q303" s="54">
        <f ca="1">IF(OR(Q$33&lt;$B28,Q$33&gt;$C28),0,OFFSET(Проект!Q$1338,0,1-$B28))</f>
        <v>0</v>
      </c>
      <c r="R303" s="54">
        <f ca="1">IF(OR(R$33&lt;$B28,R$33&gt;$C28),0,OFFSET(Проект!R$1338,0,1-$B28))</f>
        <v>0</v>
      </c>
      <c r="S303" s="54">
        <f ca="1">IF(OR(S$33&lt;$B28,S$33&gt;$C28),0,OFFSET(Проект!S$1338,0,1-$B28))</f>
        <v>0</v>
      </c>
      <c r="T303" s="54">
        <f ca="1">IF(OR(T$33&lt;$B28,T$33&gt;$C28),0,OFFSET(Проект!T$1338,0,1-$B28))</f>
        <v>0</v>
      </c>
      <c r="U303" s="54">
        <f ca="1">IF(OR(U$33&lt;$B28,U$33&gt;$C28),0,OFFSET(Проект!U$1338,0,1-$B28))</f>
        <v>0</v>
      </c>
      <c r="V303" s="54">
        <f ca="1">IF(OR(V$33&lt;$B28,V$33&gt;$C28),0,OFFSET(Проект!V$1338,0,1-$B28))</f>
        <v>0</v>
      </c>
      <c r="W303" s="54">
        <f ca="1">IF(OR(W$33&lt;$B28,W$33&gt;$C28),0,OFFSET(Проект!W$1338,0,1-$B28))</f>
        <v>0</v>
      </c>
      <c r="X303" s="54">
        <f ca="1">IF(OR(X$33&lt;$B28,X$33&gt;$C28),0,OFFSET(Проект!X$1338,0,1-$B28))</f>
        <v>0</v>
      </c>
      <c r="Y303" s="54">
        <f ca="1">IF(OR(Y$33&lt;$B28,Y$33&gt;$C28),0,OFFSET(Проект!AC$1338,0,1-$B28))</f>
        <v>0</v>
      </c>
      <c r="AA303" s="54">
        <f t="shared" ca="1" si="39"/>
        <v>-573.23937919591083</v>
      </c>
    </row>
    <row r="304" spans="1:32" outlineLevel="1" collapsed="1" x14ac:dyDescent="0.2">
      <c r="A304" t="str">
        <f ca="1">Language!A$700</f>
        <v>Прирост чистого оборотного капитала</v>
      </c>
      <c r="C304" s="5" t="str">
        <f t="shared" ca="1" si="38"/>
        <v>тыс. EUR</v>
      </c>
      <c r="D304" s="204" t="s">
        <v>2615</v>
      </c>
      <c r="F304" s="43">
        <f ca="1">SUMPRODUCT($B12:OFFSET($B13,-1,0),F305:OFFSET(F306,-1,0))</f>
        <v>0</v>
      </c>
      <c r="G304" s="43">
        <f ca="1">SUMPRODUCT($B12:OFFSET($B13,-1,0),G305:OFFSET(G306,-1,0))</f>
        <v>0</v>
      </c>
      <c r="H304" s="43">
        <f ca="1">SUMPRODUCT($B12:OFFSET($B13,-1,0),H305:OFFSET(H306,-1,0))</f>
        <v>0</v>
      </c>
      <c r="I304" s="43">
        <f ca="1">SUMPRODUCT($B12:OFFSET($B13,-1,0),I305:OFFSET(I306,-1,0))</f>
        <v>0</v>
      </c>
      <c r="J304" s="43">
        <f ca="1">SUMPRODUCT($B12:OFFSET($B13,-1,0),J305:OFFSET(J306,-1,0))</f>
        <v>0</v>
      </c>
      <c r="K304" s="43">
        <f ca="1">SUMPRODUCT($B12:OFFSET($B13,-1,0),K305:OFFSET(K306,-1,0))</f>
        <v>98.76332976744186</v>
      </c>
      <c r="L304" s="43">
        <f ca="1">SUMPRODUCT($B12:OFFSET($B13,-1,0),L305:OFFSET(L306,-1,0))</f>
        <v>-5.6843418860808015E-14</v>
      </c>
      <c r="M304" s="43">
        <f ca="1">SUMPRODUCT($B12:OFFSET($B13,-1,0),M305:OFFSET(M306,-1,0))</f>
        <v>0</v>
      </c>
      <c r="N304" s="43">
        <f ca="1">SUMPRODUCT($B12:OFFSET($B13,-1,0),N305:OFFSET(N306,-1,0))</f>
        <v>47.90430408785906</v>
      </c>
      <c r="O304" s="43">
        <f ca="1">SUMPRODUCT($B12:OFFSET($B13,-1,0),O305:OFFSET(O306,-1,0))</f>
        <v>41.655454582366474</v>
      </c>
      <c r="P304" s="43">
        <f ca="1">SUMPRODUCT($B12:OFFSET($B13,-1,0),P305:OFFSET(P306,-1,0))</f>
        <v>0</v>
      </c>
      <c r="Q304" s="43">
        <f ca="1">SUMPRODUCT($B12:OFFSET($B13,-1,0),Q305:OFFSET(Q306,-1,0))</f>
        <v>0</v>
      </c>
      <c r="R304" s="43">
        <f ca="1">SUMPRODUCT($B12:OFFSET($B13,-1,0),R305:OFFSET(R306,-1,0))</f>
        <v>0</v>
      </c>
      <c r="S304" s="43">
        <f ca="1">SUMPRODUCT($B12:OFFSET($B13,-1,0),S305:OFFSET(S306,-1,0))</f>
        <v>0</v>
      </c>
      <c r="T304" s="43">
        <f ca="1">SUMPRODUCT($B12:OFFSET($B13,-1,0),T305:OFFSET(T306,-1,0))</f>
        <v>0</v>
      </c>
      <c r="U304" s="43">
        <f ca="1">SUMPRODUCT($B12:OFFSET($B13,-1,0),U305:OFFSET(U306,-1,0))</f>
        <v>0</v>
      </c>
      <c r="V304" s="43">
        <f ca="1">SUMPRODUCT($B12:OFFSET($B13,-1,0),V305:OFFSET(V306,-1,0))</f>
        <v>0</v>
      </c>
      <c r="W304" s="43">
        <f ca="1">SUMPRODUCT($B12:OFFSET($B13,-1,0),W305:OFFSET(W306,-1,0))</f>
        <v>0</v>
      </c>
      <c r="X304" s="43">
        <f ca="1">SUMPRODUCT($B12:OFFSET($B13,-1,0),X305:OFFSET(X306,-1,0))</f>
        <v>0</v>
      </c>
      <c r="Y304" s="43">
        <f ca="1">SUMPRODUCT($B12:OFFSET($B13,-1,0),Y305:OFFSET(Y306,-1,0))</f>
        <v>0</v>
      </c>
      <c r="AA304" s="54">
        <f t="shared" ca="1" si="39"/>
        <v>188.32308843766734</v>
      </c>
    </row>
    <row r="305" spans="1:32" s="180" customFormat="1" hidden="1" outlineLevel="2" x14ac:dyDescent="0.2">
      <c r="A305" s="180" t="str">
        <f ca="1">"        " &amp; A12</f>
        <v xml:space="preserve">        Проект 1</v>
      </c>
      <c r="C305" s="208" t="str">
        <f t="shared" ca="1" si="38"/>
        <v>тыс. EUR</v>
      </c>
      <c r="D305" s="180" t="e">
        <f ca="1">"[" &amp; F12 &amp; "];int_sum"</f>
        <v>#NAME?</v>
      </c>
      <c r="F305" s="54">
        <f ca="1">IF(OR(F$33&lt;$B28,F$33&gt;$C28),0,OFFSET(Проект!F$1339,0,1-$B28))</f>
        <v>0</v>
      </c>
      <c r="G305" s="54">
        <f ca="1">IF(OR(G$33&lt;$B28,G$33&gt;$C28),0,OFFSET(Проект!G$1339,0,1-$B28))</f>
        <v>0</v>
      </c>
      <c r="H305" s="54">
        <f ca="1">IF(OR(H$33&lt;$B28,H$33&gt;$C28),0,OFFSET(Проект!H$1339,0,1-$B28))</f>
        <v>0</v>
      </c>
      <c r="I305" s="54">
        <f ca="1">IF(OR(I$33&lt;$B28,I$33&gt;$C28),0,OFFSET(Проект!I$1339,0,1-$B28))</f>
        <v>0</v>
      </c>
      <c r="J305" s="54">
        <f ca="1">IF(OR(J$33&lt;$B28,J$33&gt;$C28),0,OFFSET(Проект!J$1339,0,1-$B28))</f>
        <v>0</v>
      </c>
      <c r="K305" s="54">
        <f ca="1">IF(OR(K$33&lt;$B28,K$33&gt;$C28),0,OFFSET(Проект!K$1339,0,1-$B28))</f>
        <v>98.76332976744186</v>
      </c>
      <c r="L305" s="54">
        <f ca="1">IF(OR(L$33&lt;$B28,L$33&gt;$C28),0,OFFSET(Проект!L$1339,0,1-$B28))</f>
        <v>-5.6843418860808015E-14</v>
      </c>
      <c r="M305" s="54">
        <f ca="1">IF(OR(M$33&lt;$B28,M$33&gt;$C28),0,OFFSET(Проект!M$1339,0,1-$B28))</f>
        <v>0</v>
      </c>
      <c r="N305" s="54">
        <f ca="1">IF(OR(N$33&lt;$B28,N$33&gt;$C28),0,OFFSET(Проект!N$1339,0,1-$B28))</f>
        <v>47.90430408785906</v>
      </c>
      <c r="O305" s="54">
        <f ca="1">IF(OR(O$33&lt;$B28,O$33&gt;$C28),0,OFFSET(Проект!O$1339,0,1-$B28))</f>
        <v>41.655454582366474</v>
      </c>
      <c r="P305" s="54">
        <f ca="1">IF(OR(P$33&lt;$B28,P$33&gt;$C28),0,OFFSET(Проект!P$1339,0,1-$B28))</f>
        <v>0</v>
      </c>
      <c r="Q305" s="54">
        <f ca="1">IF(OR(Q$33&lt;$B28,Q$33&gt;$C28),0,OFFSET(Проект!Q$1339,0,1-$B28))</f>
        <v>0</v>
      </c>
      <c r="R305" s="54">
        <f ca="1">IF(OR(R$33&lt;$B28,R$33&gt;$C28),0,OFFSET(Проект!R$1339,0,1-$B28))</f>
        <v>0</v>
      </c>
      <c r="S305" s="54">
        <f ca="1">IF(OR(S$33&lt;$B28,S$33&gt;$C28),0,OFFSET(Проект!S$1339,0,1-$B28))</f>
        <v>0</v>
      </c>
      <c r="T305" s="54">
        <f ca="1">IF(OR(T$33&lt;$B28,T$33&gt;$C28),0,OFFSET(Проект!T$1339,0,1-$B28))</f>
        <v>0</v>
      </c>
      <c r="U305" s="54">
        <f ca="1">IF(OR(U$33&lt;$B28,U$33&gt;$C28),0,OFFSET(Проект!U$1339,0,1-$B28))</f>
        <v>0</v>
      </c>
      <c r="V305" s="54">
        <f ca="1">IF(OR(V$33&lt;$B28,V$33&gt;$C28),0,OFFSET(Проект!V$1339,0,1-$B28))</f>
        <v>0</v>
      </c>
      <c r="W305" s="54">
        <f ca="1">IF(OR(W$33&lt;$B28,W$33&gt;$C28),0,OFFSET(Проект!W$1339,0,1-$B28))</f>
        <v>0</v>
      </c>
      <c r="X305" s="54">
        <f ca="1">IF(OR(X$33&lt;$B28,X$33&gt;$C28),0,OFFSET(Проект!X$1339,0,1-$B28))</f>
        <v>0</v>
      </c>
      <c r="Y305" s="54">
        <f ca="1">IF(OR(Y$33&lt;$B28,Y$33&gt;$C28),0,OFFSET(Проект!AC$1339,0,1-$B28))</f>
        <v>0</v>
      </c>
      <c r="AA305" s="54">
        <f t="shared" ca="1" si="39"/>
        <v>188.32308843766734</v>
      </c>
    </row>
    <row r="306" spans="1:32" outlineLevel="1" collapsed="1" x14ac:dyDescent="0.2">
      <c r="A306" t="str">
        <f ca="1">Language!A$756</f>
        <v>Выручка от реализации активов</v>
      </c>
      <c r="C306" s="5" t="str">
        <f t="shared" ca="1" si="38"/>
        <v>тыс. EUR</v>
      </c>
      <c r="D306" s="204" t="s">
        <v>2615</v>
      </c>
      <c r="F306" s="43">
        <f ca="1">SUMPRODUCT($B12:OFFSET($B13,-1,0),F307:OFFSET(F308,-1,0))</f>
        <v>0</v>
      </c>
      <c r="G306" s="43">
        <f ca="1">SUMPRODUCT($B12:OFFSET($B13,-1,0),G307:OFFSET(G308,-1,0))</f>
        <v>0</v>
      </c>
      <c r="H306" s="43">
        <f ca="1">SUMPRODUCT($B12:OFFSET($B13,-1,0),H307:OFFSET(H308,-1,0))</f>
        <v>0</v>
      </c>
      <c r="I306" s="43">
        <f ca="1">SUMPRODUCT($B12:OFFSET($B13,-1,0),I307:OFFSET(I308,-1,0))</f>
        <v>0</v>
      </c>
      <c r="J306" s="43">
        <f ca="1">SUMPRODUCT($B12:OFFSET($B13,-1,0),J307:OFFSET(J308,-1,0))</f>
        <v>0</v>
      </c>
      <c r="K306" s="43">
        <f ca="1">SUMPRODUCT($B12:OFFSET($B13,-1,0),K307:OFFSET(K308,-1,0))</f>
        <v>0</v>
      </c>
      <c r="L306" s="43">
        <f ca="1">SUMPRODUCT($B12:OFFSET($B13,-1,0),L307:OFFSET(L308,-1,0))</f>
        <v>0</v>
      </c>
      <c r="M306" s="43">
        <f ca="1">SUMPRODUCT($B12:OFFSET($B13,-1,0),M307:OFFSET(M308,-1,0))</f>
        <v>0</v>
      </c>
      <c r="N306" s="43">
        <f ca="1">SUMPRODUCT($B12:OFFSET($B13,-1,0),N307:OFFSET(N308,-1,0))</f>
        <v>0</v>
      </c>
      <c r="O306" s="43">
        <f ca="1">SUMPRODUCT($B12:OFFSET($B13,-1,0),O307:OFFSET(O308,-1,0))</f>
        <v>0</v>
      </c>
      <c r="P306" s="43">
        <f ca="1">SUMPRODUCT($B12:OFFSET($B13,-1,0),P307:OFFSET(P308,-1,0))</f>
        <v>0</v>
      </c>
      <c r="Q306" s="43">
        <f ca="1">SUMPRODUCT($B12:OFFSET($B13,-1,0),Q307:OFFSET(Q308,-1,0))</f>
        <v>0</v>
      </c>
      <c r="R306" s="43">
        <f ca="1">SUMPRODUCT($B12:OFFSET($B13,-1,0),R307:OFFSET(R308,-1,0))</f>
        <v>0</v>
      </c>
      <c r="S306" s="43">
        <f ca="1">SUMPRODUCT($B12:OFFSET($B13,-1,0),S307:OFFSET(S308,-1,0))</f>
        <v>0</v>
      </c>
      <c r="T306" s="43">
        <f ca="1">SUMPRODUCT($B12:OFFSET($B13,-1,0),T307:OFFSET(T308,-1,0))</f>
        <v>0</v>
      </c>
      <c r="U306" s="43">
        <f ca="1">SUMPRODUCT($B12:OFFSET($B13,-1,0),U307:OFFSET(U308,-1,0))</f>
        <v>0</v>
      </c>
      <c r="V306" s="43">
        <f ca="1">SUMPRODUCT($B12:OFFSET($B13,-1,0),V307:OFFSET(V308,-1,0))</f>
        <v>0</v>
      </c>
      <c r="W306" s="43">
        <f ca="1">SUMPRODUCT($B12:OFFSET($B13,-1,0),W307:OFFSET(W308,-1,0))</f>
        <v>0</v>
      </c>
      <c r="X306" s="43">
        <f ca="1">SUMPRODUCT($B12:OFFSET($B13,-1,0),X307:OFFSET(X308,-1,0))</f>
        <v>0</v>
      </c>
      <c r="Y306" s="43">
        <f ca="1">SUMPRODUCT($B12:OFFSET($B13,-1,0),Y307:OFFSET(Y308,-1,0))</f>
        <v>0</v>
      </c>
      <c r="AA306" s="54">
        <f ca="1">SUM(F306:Y306)</f>
        <v>0</v>
      </c>
    </row>
    <row r="307" spans="1:32" s="180" customFormat="1" hidden="1" outlineLevel="2" x14ac:dyDescent="0.2">
      <c r="A307" s="180" t="str">
        <f ca="1">"        " &amp; A12</f>
        <v xml:space="preserve">        Проект 1</v>
      </c>
      <c r="C307" s="208" t="str">
        <f t="shared" ca="1" si="38"/>
        <v>тыс. EUR</v>
      </c>
      <c r="D307" s="180" t="e">
        <f ca="1">"[" &amp; F12 &amp; "];int_sum"</f>
        <v>#NAME?</v>
      </c>
      <c r="F307" s="54">
        <f ca="1">IF(OR(F$33&lt;$B28,F$33&gt;$C28),0,OFFSET(Проект!F$1340,0,1-$B28))</f>
        <v>0</v>
      </c>
      <c r="G307" s="54">
        <f ca="1">IF(OR(G$33&lt;$B28,G$33&gt;$C28),0,OFFSET(Проект!G$1340,0,1-$B28))</f>
        <v>0</v>
      </c>
      <c r="H307" s="54">
        <f ca="1">IF(OR(H$33&lt;$B28,H$33&gt;$C28),0,OFFSET(Проект!H$1340,0,1-$B28))</f>
        <v>0</v>
      </c>
      <c r="I307" s="54">
        <f ca="1">IF(OR(I$33&lt;$B28,I$33&gt;$C28),0,OFFSET(Проект!I$1340,0,1-$B28))</f>
        <v>0</v>
      </c>
      <c r="J307" s="54">
        <f ca="1">IF(OR(J$33&lt;$B28,J$33&gt;$C28),0,OFFSET(Проект!J$1340,0,1-$B28))</f>
        <v>0</v>
      </c>
      <c r="K307" s="54">
        <f ca="1">IF(OR(K$33&lt;$B28,K$33&gt;$C28),0,OFFSET(Проект!K$1340,0,1-$B28))</f>
        <v>0</v>
      </c>
      <c r="L307" s="54">
        <f ca="1">IF(OR(L$33&lt;$B28,L$33&gt;$C28),0,OFFSET(Проект!L$1340,0,1-$B28))</f>
        <v>0</v>
      </c>
      <c r="M307" s="54">
        <f ca="1">IF(OR(M$33&lt;$B28,M$33&gt;$C28),0,OFFSET(Проект!M$1340,0,1-$B28))</f>
        <v>0</v>
      </c>
      <c r="N307" s="54">
        <f ca="1">IF(OR(N$33&lt;$B28,N$33&gt;$C28),0,OFFSET(Проект!N$1340,0,1-$B28))</f>
        <v>0</v>
      </c>
      <c r="O307" s="54">
        <f ca="1">IF(OR(O$33&lt;$B28,O$33&gt;$C28),0,OFFSET(Проект!O$1340,0,1-$B28))</f>
        <v>0</v>
      </c>
      <c r="P307" s="54">
        <f ca="1">IF(OR(P$33&lt;$B28,P$33&gt;$C28),0,OFFSET(Проект!P$1340,0,1-$B28))</f>
        <v>0</v>
      </c>
      <c r="Q307" s="54">
        <f ca="1">IF(OR(Q$33&lt;$B28,Q$33&gt;$C28),0,OFFSET(Проект!Q$1340,0,1-$B28))</f>
        <v>0</v>
      </c>
      <c r="R307" s="54">
        <f ca="1">IF(OR(R$33&lt;$B28,R$33&gt;$C28),0,OFFSET(Проект!R$1340,0,1-$B28))</f>
        <v>0</v>
      </c>
      <c r="S307" s="54">
        <f ca="1">IF(OR(S$33&lt;$B28,S$33&gt;$C28),0,OFFSET(Проект!S$1340,0,1-$B28))</f>
        <v>0</v>
      </c>
      <c r="T307" s="54">
        <f ca="1">IF(OR(T$33&lt;$B28,T$33&gt;$C28),0,OFFSET(Проект!T$1340,0,1-$B28))</f>
        <v>0</v>
      </c>
      <c r="U307" s="54">
        <f ca="1">IF(OR(U$33&lt;$B28,U$33&gt;$C28),0,OFFSET(Проект!U$1340,0,1-$B28))</f>
        <v>0</v>
      </c>
      <c r="V307" s="54">
        <f ca="1">IF(OR(V$33&lt;$B28,V$33&gt;$C28),0,OFFSET(Проект!V$1340,0,1-$B28))</f>
        <v>0</v>
      </c>
      <c r="W307" s="54">
        <f ca="1">IF(OR(W$33&lt;$B28,W$33&gt;$C28),0,OFFSET(Проект!W$1340,0,1-$B28))</f>
        <v>0</v>
      </c>
      <c r="X307" s="54">
        <f ca="1">IF(OR(X$33&lt;$B28,X$33&gt;$C28),0,OFFSET(Проект!X$1340,0,1-$B28))</f>
        <v>0</v>
      </c>
      <c r="Y307" s="54">
        <f ca="1">IF(OR(Y$33&lt;$B28,Y$33&gt;$C28),0,OFFSET(Проект!AC$1340,0,1-$B28))</f>
        <v>0</v>
      </c>
      <c r="AA307" s="54">
        <f ca="1">SUM(F307:Y307)</f>
        <v>0</v>
      </c>
    </row>
    <row r="308" spans="1:32" outlineLevel="1" x14ac:dyDescent="0.2">
      <c r="AA308" s="11"/>
    </row>
    <row r="309" spans="1:32" outlineLevel="1" collapsed="1" x14ac:dyDescent="0.2">
      <c r="A309" s="35" t="str">
        <f ca="1">Language!A$757</f>
        <v>Денежные потоки от инвестиционной деятельности</v>
      </c>
      <c r="C309" s="5" t="str">
        <f ca="1">CUR_Report</f>
        <v>тыс. EUR</v>
      </c>
      <c r="D309" s="204" t="s">
        <v>2615</v>
      </c>
      <c r="F309" s="58">
        <f ca="1">SUMPRODUCT($B12:OFFSET($B13,-1,0),F310:OFFSET(F311,-1,0))</f>
        <v>0</v>
      </c>
      <c r="G309" s="58">
        <f ca="1">SUMPRODUCT($B12:OFFSET($B13,-1,0),G310:OFFSET(G311,-1,0))</f>
        <v>0</v>
      </c>
      <c r="H309" s="58">
        <f ca="1">SUMPRODUCT($B12:OFFSET($B13,-1,0),H310:OFFSET(H311,-1,0))</f>
        <v>-5695.3855543220343</v>
      </c>
      <c r="I309" s="58">
        <f ca="1">SUMPRODUCT($B12:OFFSET($B13,-1,0),I310:OFFSET(I311,-1,0))</f>
        <v>-1519.56</v>
      </c>
      <c r="J309" s="58">
        <f ca="1">SUMPRODUCT($B12:OFFSET($B13,-1,0),J310:OFFSET(J311,-1,0))</f>
        <v>-7024.8891971793519</v>
      </c>
      <c r="K309" s="58">
        <f ca="1">SUMPRODUCT($B12:OFFSET($B13,-1,0),K310:OFFSET(K311,-1,0))</f>
        <v>-2883.7623677660667</v>
      </c>
      <c r="L309" s="58">
        <f ca="1">SUMPRODUCT($B12:OFFSET($B13,-1,0),L310:OFFSET(L311,-1,0))</f>
        <v>-5.6843418860808015E-14</v>
      </c>
      <c r="M309" s="58">
        <f ca="1">SUMPRODUCT($B12:OFFSET($B13,-1,0),M310:OFFSET(M311,-1,0))</f>
        <v>0</v>
      </c>
      <c r="N309" s="58">
        <f ca="1">SUMPRODUCT($B12:OFFSET($B13,-1,0),N310:OFFSET(N311,-1,0))</f>
        <v>47.90430408785906</v>
      </c>
      <c r="O309" s="58">
        <f ca="1">SUMPRODUCT($B12:OFFSET($B13,-1,0),O310:OFFSET(O311,-1,0))</f>
        <v>41.655454582366474</v>
      </c>
      <c r="P309" s="58">
        <f ca="1">SUMPRODUCT($B12:OFFSET($B13,-1,0),P310:OFFSET(P311,-1,0))</f>
        <v>0</v>
      </c>
      <c r="Q309" s="58">
        <f ca="1">SUMPRODUCT($B12:OFFSET($B13,-1,0),Q310:OFFSET(Q311,-1,0))</f>
        <v>0</v>
      </c>
      <c r="R309" s="58">
        <f ca="1">SUMPRODUCT($B12:OFFSET($B13,-1,0),R310:OFFSET(R311,-1,0))</f>
        <v>0</v>
      </c>
      <c r="S309" s="58">
        <f ca="1">SUMPRODUCT($B12:OFFSET($B13,-1,0),S310:OFFSET(S311,-1,0))</f>
        <v>0</v>
      </c>
      <c r="T309" s="58">
        <f ca="1">SUMPRODUCT($B12:OFFSET($B13,-1,0),T310:OFFSET(T311,-1,0))</f>
        <v>0</v>
      </c>
      <c r="U309" s="58">
        <f ca="1">SUMPRODUCT($B12:OFFSET($B13,-1,0),U310:OFFSET(U311,-1,0))</f>
        <v>0</v>
      </c>
      <c r="V309" s="58">
        <f ca="1">SUMPRODUCT($B12:OFFSET($B13,-1,0),V310:OFFSET(V311,-1,0))</f>
        <v>0</v>
      </c>
      <c r="W309" s="58">
        <f ca="1">SUMPRODUCT($B12:OFFSET($B13,-1,0),W310:OFFSET(W311,-1,0))</f>
        <v>0</v>
      </c>
      <c r="X309" s="58">
        <f ca="1">SUMPRODUCT($B12:OFFSET($B13,-1,0),X310:OFFSET(X311,-1,0))</f>
        <v>0</v>
      </c>
      <c r="Y309" s="58">
        <f ca="1">SUMPRODUCT($B12:OFFSET($B13,-1,0),Y310:OFFSET(Y311,-1,0))</f>
        <v>0</v>
      </c>
      <c r="AA309" s="57">
        <f ca="1">SUM(F309:Y309)</f>
        <v>-17034.037360597224</v>
      </c>
      <c r="AB309" s="58"/>
      <c r="AC309" s="58"/>
      <c r="AD309" s="58"/>
      <c r="AE309" s="58"/>
      <c r="AF309" s="58"/>
    </row>
    <row r="310" spans="1:32" s="11" customFormat="1" hidden="1" outlineLevel="2" x14ac:dyDescent="0.2">
      <c r="A310" s="11" t="str">
        <f ca="1">"        " &amp; A12</f>
        <v xml:space="preserve">        Проект 1</v>
      </c>
      <c r="C310" s="36" t="str">
        <f ca="1">CUR_Report</f>
        <v>тыс. EUR</v>
      </c>
      <c r="D310" s="11" t="e">
        <f ca="1">"[" &amp; F12 &amp; "];int_sum"</f>
        <v>#NAME?</v>
      </c>
      <c r="F310" s="54">
        <f ca="1">IF(OR(F$33&lt;$B28,F$33&gt;$C28),0,OFFSET(Проект!F$1342,0,1-$B28))</f>
        <v>0</v>
      </c>
      <c r="G310" s="54">
        <f ca="1">IF(OR(G$33&lt;$B28,G$33&gt;$C28),0,OFFSET(Проект!G$1342,0,1-$B28))</f>
        <v>0</v>
      </c>
      <c r="H310" s="54">
        <f ca="1">IF(OR(H$33&lt;$B28,H$33&gt;$C28),0,OFFSET(Проект!H$1342,0,1-$B28))</f>
        <v>-5695.3855543220343</v>
      </c>
      <c r="I310" s="54">
        <f ca="1">IF(OR(I$33&lt;$B28,I$33&gt;$C28),0,OFFSET(Проект!I$1342,0,1-$B28))</f>
        <v>-1519.56</v>
      </c>
      <c r="J310" s="54">
        <f ca="1">IF(OR(J$33&lt;$B28,J$33&gt;$C28),0,OFFSET(Проект!J$1342,0,1-$B28))</f>
        <v>-7024.8891971793519</v>
      </c>
      <c r="K310" s="54">
        <f ca="1">IF(OR(K$33&lt;$B28,K$33&gt;$C28),0,OFFSET(Проект!K$1342,0,1-$B28))</f>
        <v>-2883.7623677660667</v>
      </c>
      <c r="L310" s="54">
        <f ca="1">IF(OR(L$33&lt;$B28,L$33&gt;$C28),0,OFFSET(Проект!L$1342,0,1-$B28))</f>
        <v>-5.6843418860808015E-14</v>
      </c>
      <c r="M310" s="54">
        <f ca="1">IF(OR(M$33&lt;$B28,M$33&gt;$C28),0,OFFSET(Проект!M$1342,0,1-$B28))</f>
        <v>0</v>
      </c>
      <c r="N310" s="54">
        <f ca="1">IF(OR(N$33&lt;$B28,N$33&gt;$C28),0,OFFSET(Проект!N$1342,0,1-$B28))</f>
        <v>47.90430408785906</v>
      </c>
      <c r="O310" s="54">
        <f ca="1">IF(OR(O$33&lt;$B28,O$33&gt;$C28),0,OFFSET(Проект!O$1342,0,1-$B28))</f>
        <v>41.655454582366474</v>
      </c>
      <c r="P310" s="54">
        <f ca="1">IF(OR(P$33&lt;$B28,P$33&gt;$C28),0,OFFSET(Проект!P$1342,0,1-$B28))</f>
        <v>0</v>
      </c>
      <c r="Q310" s="54">
        <f ca="1">IF(OR(Q$33&lt;$B28,Q$33&gt;$C28),0,OFFSET(Проект!Q$1342,0,1-$B28))</f>
        <v>0</v>
      </c>
      <c r="R310" s="54">
        <f ca="1">IF(OR(R$33&lt;$B28,R$33&gt;$C28),0,OFFSET(Проект!R$1342,0,1-$B28))</f>
        <v>0</v>
      </c>
      <c r="S310" s="54">
        <f ca="1">IF(OR(S$33&lt;$B28,S$33&gt;$C28),0,OFFSET(Проект!S$1342,0,1-$B28))</f>
        <v>0</v>
      </c>
      <c r="T310" s="54">
        <f ca="1">IF(OR(T$33&lt;$B28,T$33&gt;$C28),0,OFFSET(Проект!T$1342,0,1-$B28))</f>
        <v>0</v>
      </c>
      <c r="U310" s="54">
        <f ca="1">IF(OR(U$33&lt;$B28,U$33&gt;$C28),0,OFFSET(Проект!U$1342,0,1-$B28))</f>
        <v>0</v>
      </c>
      <c r="V310" s="54">
        <f ca="1">IF(OR(V$33&lt;$B28,V$33&gt;$C28),0,OFFSET(Проект!V$1342,0,1-$B28))</f>
        <v>0</v>
      </c>
      <c r="W310" s="54">
        <f ca="1">IF(OR(W$33&lt;$B28,W$33&gt;$C28),0,OFFSET(Проект!W$1342,0,1-$B28))</f>
        <v>0</v>
      </c>
      <c r="X310" s="54">
        <f ca="1">IF(OR(X$33&lt;$B28,X$33&gt;$C28),0,OFFSET(Проект!X$1342,0,1-$B28))</f>
        <v>0</v>
      </c>
      <c r="Y310" s="54">
        <f ca="1">IF(OR(Y$33&lt;$B28,Y$33&gt;$C28),0,OFFSET(Проект!AC$1342,0,1-$B28))</f>
        <v>0</v>
      </c>
      <c r="AA310" s="54">
        <f ca="1">SUM(F310:Y310)</f>
        <v>-17034.037360597224</v>
      </c>
      <c r="AB310" s="54"/>
      <c r="AC310" s="54"/>
      <c r="AD310" s="54"/>
      <c r="AE310" s="54"/>
      <c r="AF310" s="54"/>
    </row>
    <row r="311" spans="1:32" outlineLevel="1" x14ac:dyDescent="0.2">
      <c r="AA311" s="11"/>
    </row>
    <row r="312" spans="1:32" outlineLevel="1" collapsed="1" x14ac:dyDescent="0.2">
      <c r="A312" t="str">
        <f ca="1">Language!A$758</f>
        <v>Поступления собственного капитала</v>
      </c>
      <c r="C312" s="5" t="str">
        <f t="shared" ref="C312:C325" ca="1" si="40">CUR_Report</f>
        <v>тыс. EUR</v>
      </c>
      <c r="D312" s="204" t="s">
        <v>2615</v>
      </c>
      <c r="F312" s="43">
        <f ca="1">SUMPRODUCT($B12:OFFSET($B13,-1,0),F313:OFFSET(F314,-1,0))</f>
        <v>0</v>
      </c>
      <c r="G312" s="43">
        <f ca="1">SUMPRODUCT($B12:OFFSET($B13,-1,0),G313:OFFSET(G314,-1,0))</f>
        <v>0</v>
      </c>
      <c r="H312" s="43">
        <f ca="1">SUMPRODUCT($B12:OFFSET($B13,-1,0),H313:OFFSET(H314,-1,0))</f>
        <v>0</v>
      </c>
      <c r="I312" s="43">
        <f ca="1">SUMPRODUCT($B12:OFFSET($B13,-1,0),I313:OFFSET(I314,-1,0))</f>
        <v>0</v>
      </c>
      <c r="J312" s="43">
        <f ca="1">SUMPRODUCT($B12:OFFSET($B13,-1,0),J313:OFFSET(J314,-1,0))</f>
        <v>0</v>
      </c>
      <c r="K312" s="43">
        <f ca="1">SUMPRODUCT($B12:OFFSET($B13,-1,0),K313:OFFSET(K314,-1,0))</f>
        <v>0</v>
      </c>
      <c r="L312" s="43">
        <f ca="1">SUMPRODUCT($B12:OFFSET($B13,-1,0),L313:OFFSET(L314,-1,0))</f>
        <v>0</v>
      </c>
      <c r="M312" s="43">
        <f ca="1">SUMPRODUCT($B12:OFFSET($B13,-1,0),M313:OFFSET(M314,-1,0))</f>
        <v>0</v>
      </c>
      <c r="N312" s="43">
        <f ca="1">SUMPRODUCT($B12:OFFSET($B13,-1,0),N313:OFFSET(N314,-1,0))</f>
        <v>0</v>
      </c>
      <c r="O312" s="43">
        <f ca="1">SUMPRODUCT($B12:OFFSET($B13,-1,0),O313:OFFSET(O314,-1,0))</f>
        <v>0</v>
      </c>
      <c r="P312" s="43">
        <f ca="1">SUMPRODUCT($B12:OFFSET($B13,-1,0),P313:OFFSET(P314,-1,0))</f>
        <v>0</v>
      </c>
      <c r="Q312" s="43">
        <f ca="1">SUMPRODUCT($B12:OFFSET($B13,-1,0),Q313:OFFSET(Q314,-1,0))</f>
        <v>0</v>
      </c>
      <c r="R312" s="43">
        <f ca="1">SUMPRODUCT($B12:OFFSET($B13,-1,0),R313:OFFSET(R314,-1,0))</f>
        <v>0</v>
      </c>
      <c r="S312" s="43">
        <f ca="1">SUMPRODUCT($B12:OFFSET($B13,-1,0),S313:OFFSET(S314,-1,0))</f>
        <v>0</v>
      </c>
      <c r="T312" s="43">
        <f ca="1">SUMPRODUCT($B12:OFFSET($B13,-1,0),T313:OFFSET(T314,-1,0))</f>
        <v>0</v>
      </c>
      <c r="U312" s="43">
        <f ca="1">SUMPRODUCT($B12:OFFSET($B13,-1,0),U313:OFFSET(U314,-1,0))</f>
        <v>0</v>
      </c>
      <c r="V312" s="43">
        <f ca="1">SUMPRODUCT($B12:OFFSET($B13,-1,0),V313:OFFSET(V314,-1,0))</f>
        <v>0</v>
      </c>
      <c r="W312" s="43">
        <f ca="1">SUMPRODUCT($B12:OFFSET($B13,-1,0),W313:OFFSET(W314,-1,0))</f>
        <v>0</v>
      </c>
      <c r="X312" s="43">
        <f ca="1">SUMPRODUCT($B12:OFFSET($B13,-1,0),X313:OFFSET(X314,-1,0))</f>
        <v>0</v>
      </c>
      <c r="Y312" s="43">
        <f ca="1">SUMPRODUCT($B12:OFFSET($B13,-1,0),Y313:OFFSET(Y314,-1,0))</f>
        <v>0</v>
      </c>
      <c r="AA312" s="54">
        <f t="shared" ref="AA312:AA323" ca="1" si="41">SUM(F312:Y312)</f>
        <v>0</v>
      </c>
    </row>
    <row r="313" spans="1:32" s="180" customFormat="1" hidden="1" outlineLevel="2" x14ac:dyDescent="0.2">
      <c r="A313" s="180" t="str">
        <f ca="1">"        " &amp; A12</f>
        <v xml:space="preserve">        Проект 1</v>
      </c>
      <c r="C313" s="208" t="str">
        <f t="shared" ca="1" si="40"/>
        <v>тыс. EUR</v>
      </c>
      <c r="D313" s="180" t="e">
        <f ca="1">"[" &amp; F12 &amp; "];int_sum"</f>
        <v>#NAME?</v>
      </c>
      <c r="F313" s="54">
        <f ca="1">IF(OR(F$33&lt;$B28,F$33&gt;$C28),0,OFFSET(Проект!F$1344,0,1-$B28))</f>
        <v>0</v>
      </c>
      <c r="G313" s="54">
        <f ca="1">IF(OR(G$33&lt;$B28,G$33&gt;$C28),0,OFFSET(Проект!G$1344,0,1-$B28))</f>
        <v>0</v>
      </c>
      <c r="H313" s="54">
        <f ca="1">IF(OR(H$33&lt;$B28,H$33&gt;$C28),0,OFFSET(Проект!H$1344,0,1-$B28))</f>
        <v>0</v>
      </c>
      <c r="I313" s="54">
        <f ca="1">IF(OR(I$33&lt;$B28,I$33&gt;$C28),0,OFFSET(Проект!I$1344,0,1-$B28))</f>
        <v>0</v>
      </c>
      <c r="J313" s="54">
        <f ca="1">IF(OR(J$33&lt;$B28,J$33&gt;$C28),0,OFFSET(Проект!J$1344,0,1-$B28))</f>
        <v>0</v>
      </c>
      <c r="K313" s="54">
        <f ca="1">IF(OR(K$33&lt;$B28,K$33&gt;$C28),0,OFFSET(Проект!K$1344,0,1-$B28))</f>
        <v>0</v>
      </c>
      <c r="L313" s="54">
        <f ca="1">IF(OR(L$33&lt;$B28,L$33&gt;$C28),0,OFFSET(Проект!L$1344,0,1-$B28))</f>
        <v>0</v>
      </c>
      <c r="M313" s="54">
        <f ca="1">IF(OR(M$33&lt;$B28,M$33&gt;$C28),0,OFFSET(Проект!M$1344,0,1-$B28))</f>
        <v>0</v>
      </c>
      <c r="N313" s="54">
        <f ca="1">IF(OR(N$33&lt;$B28,N$33&gt;$C28),0,OFFSET(Проект!N$1344,0,1-$B28))</f>
        <v>0</v>
      </c>
      <c r="O313" s="54">
        <f ca="1">IF(OR(O$33&lt;$B28,O$33&gt;$C28),0,OFFSET(Проект!O$1344,0,1-$B28))</f>
        <v>0</v>
      </c>
      <c r="P313" s="54">
        <f ca="1">IF(OR(P$33&lt;$B28,P$33&gt;$C28),0,OFFSET(Проект!P$1344,0,1-$B28))</f>
        <v>0</v>
      </c>
      <c r="Q313" s="54">
        <f ca="1">IF(OR(Q$33&lt;$B28,Q$33&gt;$C28),0,OFFSET(Проект!Q$1344,0,1-$B28))</f>
        <v>0</v>
      </c>
      <c r="R313" s="54">
        <f ca="1">IF(OR(R$33&lt;$B28,R$33&gt;$C28),0,OFFSET(Проект!R$1344,0,1-$B28))</f>
        <v>0</v>
      </c>
      <c r="S313" s="54">
        <f ca="1">IF(OR(S$33&lt;$B28,S$33&gt;$C28),0,OFFSET(Проект!S$1344,0,1-$B28))</f>
        <v>0</v>
      </c>
      <c r="T313" s="54">
        <f ca="1">IF(OR(T$33&lt;$B28,T$33&gt;$C28),0,OFFSET(Проект!T$1344,0,1-$B28))</f>
        <v>0</v>
      </c>
      <c r="U313" s="54">
        <f ca="1">IF(OR(U$33&lt;$B28,U$33&gt;$C28),0,OFFSET(Проект!U$1344,0,1-$B28))</f>
        <v>0</v>
      </c>
      <c r="V313" s="54">
        <f ca="1">IF(OR(V$33&lt;$B28,V$33&gt;$C28),0,OFFSET(Проект!V$1344,0,1-$B28))</f>
        <v>0</v>
      </c>
      <c r="W313" s="54">
        <f ca="1">IF(OR(W$33&lt;$B28,W$33&gt;$C28),0,OFFSET(Проект!W$1344,0,1-$B28))</f>
        <v>0</v>
      </c>
      <c r="X313" s="54">
        <f ca="1">IF(OR(X$33&lt;$B28,X$33&gt;$C28),0,OFFSET(Проект!X$1344,0,1-$B28))</f>
        <v>0</v>
      </c>
      <c r="Y313" s="54">
        <f ca="1">IF(OR(Y$33&lt;$B28,Y$33&gt;$C28),0,OFFSET(Проект!AC$1344,0,1-$B28))</f>
        <v>0</v>
      </c>
      <c r="AA313" s="54">
        <f t="shared" ca="1" si="41"/>
        <v>0</v>
      </c>
    </row>
    <row r="314" spans="1:32" outlineLevel="1" collapsed="1" x14ac:dyDescent="0.2">
      <c r="A314" t="str">
        <f ca="1">Language!A$759</f>
        <v>Целевое финансирование</v>
      </c>
      <c r="C314" s="5" t="str">
        <f t="shared" ca="1" si="40"/>
        <v>тыс. EUR</v>
      </c>
      <c r="D314" s="204" t="s">
        <v>2615</v>
      </c>
      <c r="F314" s="43">
        <f ca="1">SUMPRODUCT($B12:OFFSET($B13,-1,0),F315:OFFSET(F316,-1,0))</f>
        <v>0</v>
      </c>
      <c r="G314" s="43">
        <f ca="1">SUMPRODUCT($B12:OFFSET($B13,-1,0),G315:OFFSET(G316,-1,0))</f>
        <v>0</v>
      </c>
      <c r="H314" s="43">
        <f ca="1">SUMPRODUCT($B12:OFFSET($B13,-1,0),H315:OFFSET(H316,-1,0))</f>
        <v>5695.3855543220343</v>
      </c>
      <c r="I314" s="43">
        <f ca="1">SUMPRODUCT($B12:OFFSET($B13,-1,0),I315:OFFSET(I316,-1,0))</f>
        <v>1519.56</v>
      </c>
      <c r="J314" s="43">
        <f ca="1">SUMPRODUCT($B12:OFFSET($B13,-1,0),J315:OFFSET(J316,-1,0))</f>
        <v>7024.8891971793519</v>
      </c>
      <c r="K314" s="43">
        <f ca="1">SUMPRODUCT($B12:OFFSET($B13,-1,0),K315:OFFSET(K316,-1,0))</f>
        <v>2982.5256975335087</v>
      </c>
      <c r="L314" s="43">
        <f ca="1">SUMPRODUCT($B12:OFFSET($B13,-1,0),L315:OFFSET(L316,-1,0))</f>
        <v>0</v>
      </c>
      <c r="M314" s="43">
        <f ca="1">SUMPRODUCT($B12:OFFSET($B13,-1,0),M315:OFFSET(M316,-1,0))</f>
        <v>0</v>
      </c>
      <c r="N314" s="43">
        <f ca="1">SUMPRODUCT($B12:OFFSET($B13,-1,0),N315:OFFSET(N316,-1,0))</f>
        <v>0</v>
      </c>
      <c r="O314" s="43">
        <f ca="1">SUMPRODUCT($B12:OFFSET($B13,-1,0),O315:OFFSET(O316,-1,0))</f>
        <v>0</v>
      </c>
      <c r="P314" s="43">
        <f ca="1">SUMPRODUCT($B12:OFFSET($B13,-1,0),P315:OFFSET(P316,-1,0))</f>
        <v>0</v>
      </c>
      <c r="Q314" s="43">
        <f ca="1">SUMPRODUCT($B12:OFFSET($B13,-1,0),Q315:OFFSET(Q316,-1,0))</f>
        <v>0</v>
      </c>
      <c r="R314" s="43">
        <f ca="1">SUMPRODUCT($B12:OFFSET($B13,-1,0),R315:OFFSET(R316,-1,0))</f>
        <v>0</v>
      </c>
      <c r="S314" s="43">
        <f ca="1">SUMPRODUCT($B12:OFFSET($B13,-1,0),S315:OFFSET(S316,-1,0))</f>
        <v>0</v>
      </c>
      <c r="T314" s="43">
        <f ca="1">SUMPRODUCT($B12:OFFSET($B13,-1,0),T315:OFFSET(T316,-1,0))</f>
        <v>0</v>
      </c>
      <c r="U314" s="43">
        <f ca="1">SUMPRODUCT($B12:OFFSET($B13,-1,0),U315:OFFSET(U316,-1,0))</f>
        <v>0</v>
      </c>
      <c r="V314" s="43">
        <f ca="1">SUMPRODUCT($B12:OFFSET($B13,-1,0),V315:OFFSET(V316,-1,0))</f>
        <v>0</v>
      </c>
      <c r="W314" s="43">
        <f ca="1">SUMPRODUCT($B12:OFFSET($B13,-1,0),W315:OFFSET(W316,-1,0))</f>
        <v>0</v>
      </c>
      <c r="X314" s="43">
        <f ca="1">SUMPRODUCT($B12:OFFSET($B13,-1,0),X315:OFFSET(X316,-1,0))</f>
        <v>0</v>
      </c>
      <c r="Y314" s="43">
        <f ca="1">SUMPRODUCT($B12:OFFSET($B13,-1,0),Y315:OFFSET(Y316,-1,0))</f>
        <v>0</v>
      </c>
      <c r="AA314" s="54">
        <f t="shared" ca="1" si="41"/>
        <v>17222.360449034895</v>
      </c>
    </row>
    <row r="315" spans="1:32" s="180" customFormat="1" hidden="1" outlineLevel="2" x14ac:dyDescent="0.2">
      <c r="A315" s="180" t="str">
        <f ca="1">"        " &amp; A12</f>
        <v xml:space="preserve">        Проект 1</v>
      </c>
      <c r="C315" s="208" t="str">
        <f t="shared" ca="1" si="40"/>
        <v>тыс. EUR</v>
      </c>
      <c r="D315" s="180" t="e">
        <f ca="1">"[" &amp; F12 &amp; "];int_sum"</f>
        <v>#NAME?</v>
      </c>
      <c r="F315" s="54">
        <f ca="1">IF(OR(F$33&lt;$B28,F$33&gt;$C28),0,OFFSET(Проект!F$1345,0,1-$B28))</f>
        <v>0</v>
      </c>
      <c r="G315" s="54">
        <f ca="1">IF(OR(G$33&lt;$B28,G$33&gt;$C28),0,OFFSET(Проект!G$1345,0,1-$B28))</f>
        <v>0</v>
      </c>
      <c r="H315" s="54">
        <f ca="1">IF(OR(H$33&lt;$B28,H$33&gt;$C28),0,OFFSET(Проект!H$1345,0,1-$B28))</f>
        <v>5695.3855543220343</v>
      </c>
      <c r="I315" s="54">
        <f ca="1">IF(OR(I$33&lt;$B28,I$33&gt;$C28),0,OFFSET(Проект!I$1345,0,1-$B28))</f>
        <v>1519.56</v>
      </c>
      <c r="J315" s="54">
        <f ca="1">IF(OR(J$33&lt;$B28,J$33&gt;$C28),0,OFFSET(Проект!J$1345,0,1-$B28))</f>
        <v>7024.8891971793519</v>
      </c>
      <c r="K315" s="54">
        <f ca="1">IF(OR(K$33&lt;$B28,K$33&gt;$C28),0,OFFSET(Проект!K$1345,0,1-$B28))</f>
        <v>2982.5256975335087</v>
      </c>
      <c r="L315" s="54">
        <f ca="1">IF(OR(L$33&lt;$B28,L$33&gt;$C28),0,OFFSET(Проект!L$1345,0,1-$B28))</f>
        <v>0</v>
      </c>
      <c r="M315" s="54">
        <f ca="1">IF(OR(M$33&lt;$B28,M$33&gt;$C28),0,OFFSET(Проект!M$1345,0,1-$B28))</f>
        <v>0</v>
      </c>
      <c r="N315" s="54">
        <f ca="1">IF(OR(N$33&lt;$B28,N$33&gt;$C28),0,OFFSET(Проект!N$1345,0,1-$B28))</f>
        <v>0</v>
      </c>
      <c r="O315" s="54">
        <f ca="1">IF(OR(O$33&lt;$B28,O$33&gt;$C28),0,OFFSET(Проект!O$1345,0,1-$B28))</f>
        <v>0</v>
      </c>
      <c r="P315" s="54">
        <f ca="1">IF(OR(P$33&lt;$B28,P$33&gt;$C28),0,OFFSET(Проект!P$1345,0,1-$B28))</f>
        <v>0</v>
      </c>
      <c r="Q315" s="54">
        <f ca="1">IF(OR(Q$33&lt;$B28,Q$33&gt;$C28),0,OFFSET(Проект!Q$1345,0,1-$B28))</f>
        <v>0</v>
      </c>
      <c r="R315" s="54">
        <f ca="1">IF(OR(R$33&lt;$B28,R$33&gt;$C28),0,OFFSET(Проект!R$1345,0,1-$B28))</f>
        <v>0</v>
      </c>
      <c r="S315" s="54">
        <f ca="1">IF(OR(S$33&lt;$B28,S$33&gt;$C28),0,OFFSET(Проект!S$1345,0,1-$B28))</f>
        <v>0</v>
      </c>
      <c r="T315" s="54">
        <f ca="1">IF(OR(T$33&lt;$B28,T$33&gt;$C28),0,OFFSET(Проект!T$1345,0,1-$B28))</f>
        <v>0</v>
      </c>
      <c r="U315" s="54">
        <f ca="1">IF(OR(U$33&lt;$B28,U$33&gt;$C28),0,OFFSET(Проект!U$1345,0,1-$B28))</f>
        <v>0</v>
      </c>
      <c r="V315" s="54">
        <f ca="1">IF(OR(V$33&lt;$B28,V$33&gt;$C28),0,OFFSET(Проект!V$1345,0,1-$B28))</f>
        <v>0</v>
      </c>
      <c r="W315" s="54">
        <f ca="1">IF(OR(W$33&lt;$B28,W$33&gt;$C28),0,OFFSET(Проект!W$1345,0,1-$B28))</f>
        <v>0</v>
      </c>
      <c r="X315" s="54">
        <f ca="1">IF(OR(X$33&lt;$B28,X$33&gt;$C28),0,OFFSET(Проект!X$1345,0,1-$B28))</f>
        <v>0</v>
      </c>
      <c r="Y315" s="54">
        <f ca="1">IF(OR(Y$33&lt;$B28,Y$33&gt;$C28),0,OFFSET(Проект!AC$1345,0,1-$B28))</f>
        <v>0</v>
      </c>
      <c r="AA315" s="54">
        <f t="shared" ca="1" si="41"/>
        <v>17222.360449034895</v>
      </c>
    </row>
    <row r="316" spans="1:32" outlineLevel="1" collapsed="1" x14ac:dyDescent="0.2">
      <c r="A316" t="str">
        <f ca="1">Language!A$654</f>
        <v>Средства от инвесторов строительства</v>
      </c>
      <c r="C316" s="5" t="str">
        <f t="shared" ca="1" si="40"/>
        <v>тыс. EUR</v>
      </c>
      <c r="D316" s="204" t="s">
        <v>2615</v>
      </c>
      <c r="F316" s="43">
        <f ca="1">SUMPRODUCT($B12:OFFSET($B13,-1,0),F317:OFFSET(F318,-1,0))</f>
        <v>0</v>
      </c>
      <c r="G316" s="43">
        <f ca="1">SUMPRODUCT($B12:OFFSET($B13,-1,0),G317:OFFSET(G318,-1,0))</f>
        <v>0</v>
      </c>
      <c r="H316" s="43">
        <f ca="1">SUMPRODUCT($B12:OFFSET($B13,-1,0),H317:OFFSET(H318,-1,0))</f>
        <v>0</v>
      </c>
      <c r="I316" s="43">
        <f ca="1">SUMPRODUCT($B12:OFFSET($B13,-1,0),I317:OFFSET(I318,-1,0))</f>
        <v>0</v>
      </c>
      <c r="J316" s="43">
        <f ca="1">SUMPRODUCT($B12:OFFSET($B13,-1,0),J317:OFFSET(J318,-1,0))</f>
        <v>0</v>
      </c>
      <c r="K316" s="43">
        <f ca="1">SUMPRODUCT($B12:OFFSET($B13,-1,0),K317:OFFSET(K318,-1,0))</f>
        <v>0</v>
      </c>
      <c r="L316" s="43">
        <f ca="1">SUMPRODUCT($B12:OFFSET($B13,-1,0),L317:OFFSET(L318,-1,0))</f>
        <v>0</v>
      </c>
      <c r="M316" s="43">
        <f ca="1">SUMPRODUCT($B12:OFFSET($B13,-1,0),M317:OFFSET(M318,-1,0))</f>
        <v>0</v>
      </c>
      <c r="N316" s="43">
        <f ca="1">SUMPRODUCT($B12:OFFSET($B13,-1,0),N317:OFFSET(N318,-1,0))</f>
        <v>0</v>
      </c>
      <c r="O316" s="43">
        <f ca="1">SUMPRODUCT($B12:OFFSET($B13,-1,0),O317:OFFSET(O318,-1,0))</f>
        <v>0</v>
      </c>
      <c r="P316" s="43">
        <f ca="1">SUMPRODUCT($B12:OFFSET($B13,-1,0),P317:OFFSET(P318,-1,0))</f>
        <v>0</v>
      </c>
      <c r="Q316" s="43">
        <f ca="1">SUMPRODUCT($B12:OFFSET($B13,-1,0),Q317:OFFSET(Q318,-1,0))</f>
        <v>0</v>
      </c>
      <c r="R316" s="43">
        <f ca="1">SUMPRODUCT($B12:OFFSET($B13,-1,0),R317:OFFSET(R318,-1,0))</f>
        <v>0</v>
      </c>
      <c r="S316" s="43">
        <f ca="1">SUMPRODUCT($B12:OFFSET($B13,-1,0),S317:OFFSET(S318,-1,0))</f>
        <v>0</v>
      </c>
      <c r="T316" s="43">
        <f ca="1">SUMPRODUCT($B12:OFFSET($B13,-1,0),T317:OFFSET(T318,-1,0))</f>
        <v>0</v>
      </c>
      <c r="U316" s="43">
        <f ca="1">SUMPRODUCT($B12:OFFSET($B13,-1,0),U317:OFFSET(U318,-1,0))</f>
        <v>0</v>
      </c>
      <c r="V316" s="43">
        <f ca="1">SUMPRODUCT($B12:OFFSET($B13,-1,0),V317:OFFSET(V318,-1,0))</f>
        <v>0</v>
      </c>
      <c r="W316" s="43">
        <f ca="1">SUMPRODUCT($B12:OFFSET($B13,-1,0),W317:OFFSET(W318,-1,0))</f>
        <v>0</v>
      </c>
      <c r="X316" s="43">
        <f ca="1">SUMPRODUCT($B12:OFFSET($B13,-1,0),X317:OFFSET(X318,-1,0))</f>
        <v>0</v>
      </c>
      <c r="Y316" s="43">
        <f ca="1">SUMPRODUCT($B12:OFFSET($B13,-1,0),Y317:OFFSET(Y318,-1,0))</f>
        <v>0</v>
      </c>
      <c r="AA316" s="54">
        <f t="shared" ca="1" si="41"/>
        <v>0</v>
      </c>
    </row>
    <row r="317" spans="1:32" s="180" customFormat="1" hidden="1" outlineLevel="2" x14ac:dyDescent="0.2">
      <c r="A317" s="180" t="str">
        <f ca="1">"        " &amp; A12</f>
        <v xml:space="preserve">        Проект 1</v>
      </c>
      <c r="C317" s="208" t="str">
        <f t="shared" ca="1" si="40"/>
        <v>тыс. EUR</v>
      </c>
      <c r="D317" s="180" t="e">
        <f ca="1">"[" &amp; F12 &amp; "];int_sum"</f>
        <v>#NAME?</v>
      </c>
      <c r="F317" s="54">
        <f ca="1">IF(OR(F$33&lt;$B28,F$33&gt;$C28),0,OFFSET(Проект!F$1346,0,1-$B28))</f>
        <v>0</v>
      </c>
      <c r="G317" s="54">
        <f ca="1">IF(OR(G$33&lt;$B28,G$33&gt;$C28),0,OFFSET(Проект!G$1346,0,1-$B28))</f>
        <v>0</v>
      </c>
      <c r="H317" s="54">
        <f ca="1">IF(OR(H$33&lt;$B28,H$33&gt;$C28),0,OFFSET(Проект!H$1346,0,1-$B28))</f>
        <v>0</v>
      </c>
      <c r="I317" s="54">
        <f ca="1">IF(OR(I$33&lt;$B28,I$33&gt;$C28),0,OFFSET(Проект!I$1346,0,1-$B28))</f>
        <v>0</v>
      </c>
      <c r="J317" s="54">
        <f ca="1">IF(OR(J$33&lt;$B28,J$33&gt;$C28),0,OFFSET(Проект!J$1346,0,1-$B28))</f>
        <v>0</v>
      </c>
      <c r="K317" s="54">
        <f ca="1">IF(OR(K$33&lt;$B28,K$33&gt;$C28),0,OFFSET(Проект!K$1346,0,1-$B28))</f>
        <v>0</v>
      </c>
      <c r="L317" s="54">
        <f ca="1">IF(OR(L$33&lt;$B28,L$33&gt;$C28),0,OFFSET(Проект!L$1346,0,1-$B28))</f>
        <v>0</v>
      </c>
      <c r="M317" s="54">
        <f ca="1">IF(OR(M$33&lt;$B28,M$33&gt;$C28),0,OFFSET(Проект!M$1346,0,1-$B28))</f>
        <v>0</v>
      </c>
      <c r="N317" s="54">
        <f ca="1">IF(OR(N$33&lt;$B28,N$33&gt;$C28),0,OFFSET(Проект!N$1346,0,1-$B28))</f>
        <v>0</v>
      </c>
      <c r="O317" s="54">
        <f ca="1">IF(OR(O$33&lt;$B28,O$33&gt;$C28),0,OFFSET(Проект!O$1346,0,1-$B28))</f>
        <v>0</v>
      </c>
      <c r="P317" s="54">
        <f ca="1">IF(OR(P$33&lt;$B28,P$33&gt;$C28),0,OFFSET(Проект!P$1346,0,1-$B28))</f>
        <v>0</v>
      </c>
      <c r="Q317" s="54">
        <f ca="1">IF(OR(Q$33&lt;$B28,Q$33&gt;$C28),0,OFFSET(Проект!Q$1346,0,1-$B28))</f>
        <v>0</v>
      </c>
      <c r="R317" s="54">
        <f ca="1">IF(OR(R$33&lt;$B28,R$33&gt;$C28),0,OFFSET(Проект!R$1346,0,1-$B28))</f>
        <v>0</v>
      </c>
      <c r="S317" s="54">
        <f ca="1">IF(OR(S$33&lt;$B28,S$33&gt;$C28),0,OFFSET(Проект!S$1346,0,1-$B28))</f>
        <v>0</v>
      </c>
      <c r="T317" s="54">
        <f ca="1">IF(OR(T$33&lt;$B28,T$33&gt;$C28),0,OFFSET(Проект!T$1346,0,1-$B28))</f>
        <v>0</v>
      </c>
      <c r="U317" s="54">
        <f ca="1">IF(OR(U$33&lt;$B28,U$33&gt;$C28),0,OFFSET(Проект!U$1346,0,1-$B28))</f>
        <v>0</v>
      </c>
      <c r="V317" s="54">
        <f ca="1">IF(OR(V$33&lt;$B28,V$33&gt;$C28),0,OFFSET(Проект!V$1346,0,1-$B28))</f>
        <v>0</v>
      </c>
      <c r="W317" s="54">
        <f ca="1">IF(OR(W$33&lt;$B28,W$33&gt;$C28),0,OFFSET(Проект!W$1346,0,1-$B28))</f>
        <v>0</v>
      </c>
      <c r="X317" s="54">
        <f ca="1">IF(OR(X$33&lt;$B28,X$33&gt;$C28),0,OFFSET(Проект!X$1346,0,1-$B28))</f>
        <v>0</v>
      </c>
      <c r="Y317" s="54">
        <f ca="1">IF(OR(Y$33&lt;$B28,Y$33&gt;$C28),0,OFFSET(Проект!AC$1346,0,1-$B28))</f>
        <v>0</v>
      </c>
      <c r="AA317" s="54">
        <f t="shared" ca="1" si="41"/>
        <v>0</v>
      </c>
    </row>
    <row r="318" spans="1:32" outlineLevel="1" collapsed="1" x14ac:dyDescent="0.2">
      <c r="A318" t="str">
        <f ca="1">Language!A$760</f>
        <v>Поступления кредитов</v>
      </c>
      <c r="C318" s="5" t="str">
        <f t="shared" ca="1" si="40"/>
        <v>тыс. EUR</v>
      </c>
      <c r="D318" s="204" t="s">
        <v>2615</v>
      </c>
      <c r="F318" s="43">
        <f ca="1">SUMPRODUCT($B12:OFFSET($B13,-1,0),F319:OFFSET(F320,-1,0))</f>
        <v>0</v>
      </c>
      <c r="G318" s="43">
        <f ca="1">SUMPRODUCT($B12:OFFSET($B13,-1,0),G319:OFFSET(G320,-1,0))</f>
        <v>0</v>
      </c>
      <c r="H318" s="43">
        <f ca="1">SUMPRODUCT($B12:OFFSET($B13,-1,0),H319:OFFSET(H320,-1,0))</f>
        <v>0</v>
      </c>
      <c r="I318" s="43">
        <f ca="1">SUMPRODUCT($B12:OFFSET($B13,-1,0),I319:OFFSET(I320,-1,0))</f>
        <v>0</v>
      </c>
      <c r="J318" s="43">
        <f ca="1">SUMPRODUCT($B12:OFFSET($B13,-1,0),J319:OFFSET(J320,-1,0))</f>
        <v>0</v>
      </c>
      <c r="K318" s="43">
        <f ca="1">SUMPRODUCT($B12:OFFSET($B13,-1,0),K319:OFFSET(K320,-1,0))</f>
        <v>0</v>
      </c>
      <c r="L318" s="43">
        <f ca="1">SUMPRODUCT($B12:OFFSET($B13,-1,0),L319:OFFSET(L320,-1,0))</f>
        <v>0</v>
      </c>
      <c r="M318" s="43">
        <f ca="1">SUMPRODUCT($B12:OFFSET($B13,-1,0),M319:OFFSET(M320,-1,0))</f>
        <v>0</v>
      </c>
      <c r="N318" s="43">
        <f ca="1">SUMPRODUCT($B12:OFFSET($B13,-1,0),N319:OFFSET(N320,-1,0))</f>
        <v>0</v>
      </c>
      <c r="O318" s="43">
        <f ca="1">SUMPRODUCT($B12:OFFSET($B13,-1,0),O319:OFFSET(O320,-1,0))</f>
        <v>0</v>
      </c>
      <c r="P318" s="43">
        <f ca="1">SUMPRODUCT($B12:OFFSET($B13,-1,0),P319:OFFSET(P320,-1,0))</f>
        <v>0</v>
      </c>
      <c r="Q318" s="43">
        <f ca="1">SUMPRODUCT($B12:OFFSET($B13,-1,0),Q319:OFFSET(Q320,-1,0))</f>
        <v>0</v>
      </c>
      <c r="R318" s="43">
        <f ca="1">SUMPRODUCT($B12:OFFSET($B13,-1,0),R319:OFFSET(R320,-1,0))</f>
        <v>0</v>
      </c>
      <c r="S318" s="43">
        <f ca="1">SUMPRODUCT($B12:OFFSET($B13,-1,0),S319:OFFSET(S320,-1,0))</f>
        <v>0</v>
      </c>
      <c r="T318" s="43">
        <f ca="1">SUMPRODUCT($B12:OFFSET($B13,-1,0),T319:OFFSET(T320,-1,0))</f>
        <v>0</v>
      </c>
      <c r="U318" s="43">
        <f ca="1">SUMPRODUCT($B12:OFFSET($B13,-1,0),U319:OFFSET(U320,-1,0))</f>
        <v>0</v>
      </c>
      <c r="V318" s="43">
        <f ca="1">SUMPRODUCT($B12:OFFSET($B13,-1,0),V319:OFFSET(V320,-1,0))</f>
        <v>0</v>
      </c>
      <c r="W318" s="43">
        <f ca="1">SUMPRODUCT($B12:OFFSET($B13,-1,0),W319:OFFSET(W320,-1,0))</f>
        <v>0</v>
      </c>
      <c r="X318" s="43">
        <f ca="1">SUMPRODUCT($B12:OFFSET($B13,-1,0),X319:OFFSET(X320,-1,0))</f>
        <v>0</v>
      </c>
      <c r="Y318" s="43">
        <f ca="1">SUMPRODUCT($B12:OFFSET($B13,-1,0),Y319:OFFSET(Y320,-1,0))</f>
        <v>0</v>
      </c>
      <c r="AA318" s="54">
        <f t="shared" ca="1" si="41"/>
        <v>0</v>
      </c>
    </row>
    <row r="319" spans="1:32" s="180" customFormat="1" hidden="1" outlineLevel="2" x14ac:dyDescent="0.2">
      <c r="A319" s="180" t="str">
        <f ca="1">"        " &amp; A12</f>
        <v xml:space="preserve">        Проект 1</v>
      </c>
      <c r="C319" s="208" t="str">
        <f t="shared" ca="1" si="40"/>
        <v>тыс. EUR</v>
      </c>
      <c r="D319" s="180" t="e">
        <f ca="1">"[" &amp; F12 &amp; "];int_sum"</f>
        <v>#NAME?</v>
      </c>
      <c r="F319" s="54">
        <f ca="1">IF(OR(F$33&lt;$B28,F$33&gt;$C28),0,OFFSET(Проект!F$1347,0,1-$B28))</f>
        <v>0</v>
      </c>
      <c r="G319" s="54">
        <f ca="1">IF(OR(G$33&lt;$B28,G$33&gt;$C28),0,OFFSET(Проект!G$1347,0,1-$B28))</f>
        <v>0</v>
      </c>
      <c r="H319" s="54">
        <f ca="1">IF(OR(H$33&lt;$B28,H$33&gt;$C28),0,OFFSET(Проект!H$1347,0,1-$B28))</f>
        <v>0</v>
      </c>
      <c r="I319" s="54">
        <f ca="1">IF(OR(I$33&lt;$B28,I$33&gt;$C28),0,OFFSET(Проект!I$1347,0,1-$B28))</f>
        <v>0</v>
      </c>
      <c r="J319" s="54">
        <f ca="1">IF(OR(J$33&lt;$B28,J$33&gt;$C28),0,OFFSET(Проект!J$1347,0,1-$B28))</f>
        <v>0</v>
      </c>
      <c r="K319" s="54">
        <f ca="1">IF(OR(K$33&lt;$B28,K$33&gt;$C28),0,OFFSET(Проект!K$1347,0,1-$B28))</f>
        <v>0</v>
      </c>
      <c r="L319" s="54">
        <f ca="1">IF(OR(L$33&lt;$B28,L$33&gt;$C28),0,OFFSET(Проект!L$1347,0,1-$B28))</f>
        <v>0</v>
      </c>
      <c r="M319" s="54">
        <f ca="1">IF(OR(M$33&lt;$B28,M$33&gt;$C28),0,OFFSET(Проект!M$1347,0,1-$B28))</f>
        <v>0</v>
      </c>
      <c r="N319" s="54">
        <f ca="1">IF(OR(N$33&lt;$B28,N$33&gt;$C28),0,OFFSET(Проект!N$1347,0,1-$B28))</f>
        <v>0</v>
      </c>
      <c r="O319" s="54">
        <f ca="1">IF(OR(O$33&lt;$B28,O$33&gt;$C28),0,OFFSET(Проект!O$1347,0,1-$B28))</f>
        <v>0</v>
      </c>
      <c r="P319" s="54">
        <f ca="1">IF(OR(P$33&lt;$B28,P$33&gt;$C28),0,OFFSET(Проект!P$1347,0,1-$B28))</f>
        <v>0</v>
      </c>
      <c r="Q319" s="54">
        <f ca="1">IF(OR(Q$33&lt;$B28,Q$33&gt;$C28),0,OFFSET(Проект!Q$1347,0,1-$B28))</f>
        <v>0</v>
      </c>
      <c r="R319" s="54">
        <f ca="1">IF(OR(R$33&lt;$B28,R$33&gt;$C28),0,OFFSET(Проект!R$1347,0,1-$B28))</f>
        <v>0</v>
      </c>
      <c r="S319" s="54">
        <f ca="1">IF(OR(S$33&lt;$B28,S$33&gt;$C28),0,OFFSET(Проект!S$1347,0,1-$B28))</f>
        <v>0</v>
      </c>
      <c r="T319" s="54">
        <f ca="1">IF(OR(T$33&lt;$B28,T$33&gt;$C28),0,OFFSET(Проект!T$1347,0,1-$B28))</f>
        <v>0</v>
      </c>
      <c r="U319" s="54">
        <f ca="1">IF(OR(U$33&lt;$B28,U$33&gt;$C28),0,OFFSET(Проект!U$1347,0,1-$B28))</f>
        <v>0</v>
      </c>
      <c r="V319" s="54">
        <f ca="1">IF(OR(V$33&lt;$B28,V$33&gt;$C28),0,OFFSET(Проект!V$1347,0,1-$B28))</f>
        <v>0</v>
      </c>
      <c r="W319" s="54">
        <f ca="1">IF(OR(W$33&lt;$B28,W$33&gt;$C28),0,OFFSET(Проект!W$1347,0,1-$B28))</f>
        <v>0</v>
      </c>
      <c r="X319" s="54">
        <f ca="1">IF(OR(X$33&lt;$B28,X$33&gt;$C28),0,OFFSET(Проект!X$1347,0,1-$B28))</f>
        <v>0</v>
      </c>
      <c r="Y319" s="54">
        <f ca="1">IF(OR(Y$33&lt;$B28,Y$33&gt;$C28),0,OFFSET(Проект!AC$1347,0,1-$B28))</f>
        <v>0</v>
      </c>
      <c r="AA319" s="54">
        <f t="shared" ca="1" si="41"/>
        <v>0</v>
      </c>
    </row>
    <row r="320" spans="1:32" outlineLevel="1" collapsed="1" x14ac:dyDescent="0.2">
      <c r="A320" t="str">
        <f ca="1">Language!A$761</f>
        <v>Возврат кредитов</v>
      </c>
      <c r="C320" s="5" t="str">
        <f t="shared" ca="1" si="40"/>
        <v>тыс. EUR</v>
      </c>
      <c r="D320" s="204" t="s">
        <v>2615</v>
      </c>
      <c r="F320" s="43">
        <f ca="1">SUMPRODUCT($B12:OFFSET($B13,-1,0),F321:OFFSET(F322,-1,0))</f>
        <v>0</v>
      </c>
      <c r="G320" s="43">
        <f ca="1">SUMPRODUCT($B12:OFFSET($B13,-1,0),G321:OFFSET(G322,-1,0))</f>
        <v>0</v>
      </c>
      <c r="H320" s="43">
        <f ca="1">SUMPRODUCT($B12:OFFSET($B13,-1,0),H321:OFFSET(H322,-1,0))</f>
        <v>0</v>
      </c>
      <c r="I320" s="43">
        <f ca="1">SUMPRODUCT($B12:OFFSET($B13,-1,0),I321:OFFSET(I322,-1,0))</f>
        <v>0</v>
      </c>
      <c r="J320" s="43">
        <f ca="1">SUMPRODUCT($B12:OFFSET($B13,-1,0),J321:OFFSET(J322,-1,0))</f>
        <v>0</v>
      </c>
      <c r="K320" s="43">
        <f ca="1">SUMPRODUCT($B12:OFFSET($B13,-1,0),K321:OFFSET(K322,-1,0))</f>
        <v>0</v>
      </c>
      <c r="L320" s="43">
        <f ca="1">SUMPRODUCT($B12:OFFSET($B13,-1,0),L321:OFFSET(L322,-1,0))</f>
        <v>0</v>
      </c>
      <c r="M320" s="43">
        <f ca="1">SUMPRODUCT($B12:OFFSET($B13,-1,0),M321:OFFSET(M322,-1,0))</f>
        <v>0</v>
      </c>
      <c r="N320" s="43">
        <f ca="1">SUMPRODUCT($B12:OFFSET($B13,-1,0),N321:OFFSET(N322,-1,0))</f>
        <v>0</v>
      </c>
      <c r="O320" s="43">
        <f ca="1">SUMPRODUCT($B12:OFFSET($B13,-1,0),O321:OFFSET(O322,-1,0))</f>
        <v>0</v>
      </c>
      <c r="P320" s="43">
        <f ca="1">SUMPRODUCT($B12:OFFSET($B13,-1,0),P321:OFFSET(P322,-1,0))</f>
        <v>0</v>
      </c>
      <c r="Q320" s="43">
        <f ca="1">SUMPRODUCT($B12:OFFSET($B13,-1,0),Q321:OFFSET(Q322,-1,0))</f>
        <v>0</v>
      </c>
      <c r="R320" s="43">
        <f ca="1">SUMPRODUCT($B12:OFFSET($B13,-1,0),R321:OFFSET(R322,-1,0))</f>
        <v>0</v>
      </c>
      <c r="S320" s="43">
        <f ca="1">SUMPRODUCT($B12:OFFSET($B13,-1,0),S321:OFFSET(S322,-1,0))</f>
        <v>0</v>
      </c>
      <c r="T320" s="43">
        <f ca="1">SUMPRODUCT($B12:OFFSET($B13,-1,0),T321:OFFSET(T322,-1,0))</f>
        <v>0</v>
      </c>
      <c r="U320" s="43">
        <f ca="1">SUMPRODUCT($B12:OFFSET($B13,-1,0),U321:OFFSET(U322,-1,0))</f>
        <v>0</v>
      </c>
      <c r="V320" s="43">
        <f ca="1">SUMPRODUCT($B12:OFFSET($B13,-1,0),V321:OFFSET(V322,-1,0))</f>
        <v>0</v>
      </c>
      <c r="W320" s="43">
        <f ca="1">SUMPRODUCT($B12:OFFSET($B13,-1,0),W321:OFFSET(W322,-1,0))</f>
        <v>0</v>
      </c>
      <c r="X320" s="43">
        <f ca="1">SUMPRODUCT($B12:OFFSET($B13,-1,0),X321:OFFSET(X322,-1,0))</f>
        <v>0</v>
      </c>
      <c r="Y320" s="43">
        <f ca="1">SUMPRODUCT($B12:OFFSET($B13,-1,0),Y321:OFFSET(Y322,-1,0))</f>
        <v>0</v>
      </c>
      <c r="AA320" s="54">
        <f t="shared" ca="1" si="41"/>
        <v>0</v>
      </c>
    </row>
    <row r="321" spans="1:27" s="180" customFormat="1" hidden="1" outlineLevel="2" x14ac:dyDescent="0.2">
      <c r="A321" s="180" t="str">
        <f ca="1">"        " &amp; A12</f>
        <v xml:space="preserve">        Проект 1</v>
      </c>
      <c r="C321" s="208" t="str">
        <f t="shared" ca="1" si="40"/>
        <v>тыс. EUR</v>
      </c>
      <c r="D321" s="180" t="e">
        <f ca="1">"[" &amp; F12 &amp; "];int_sum"</f>
        <v>#NAME?</v>
      </c>
      <c r="F321" s="54">
        <f ca="1">IF(OR(F$33&lt;$B28,F$33&gt;$C28),0,OFFSET(Проект!F$1348,0,1-$B28))</f>
        <v>0</v>
      </c>
      <c r="G321" s="54">
        <f ca="1">IF(OR(G$33&lt;$B28,G$33&gt;$C28),0,OFFSET(Проект!G$1348,0,1-$B28))</f>
        <v>0</v>
      </c>
      <c r="H321" s="54">
        <f ca="1">IF(OR(H$33&lt;$B28,H$33&gt;$C28),0,OFFSET(Проект!H$1348,0,1-$B28))</f>
        <v>0</v>
      </c>
      <c r="I321" s="54">
        <f ca="1">IF(OR(I$33&lt;$B28,I$33&gt;$C28),0,OFFSET(Проект!I$1348,0,1-$B28))</f>
        <v>0</v>
      </c>
      <c r="J321" s="54">
        <f ca="1">IF(OR(J$33&lt;$B28,J$33&gt;$C28),0,OFFSET(Проект!J$1348,0,1-$B28))</f>
        <v>0</v>
      </c>
      <c r="K321" s="54">
        <f ca="1">IF(OR(K$33&lt;$B28,K$33&gt;$C28),0,OFFSET(Проект!K$1348,0,1-$B28))</f>
        <v>0</v>
      </c>
      <c r="L321" s="54">
        <f ca="1">IF(OR(L$33&lt;$B28,L$33&gt;$C28),0,OFFSET(Проект!L$1348,0,1-$B28))</f>
        <v>0</v>
      </c>
      <c r="M321" s="54">
        <f ca="1">IF(OR(M$33&lt;$B28,M$33&gt;$C28),0,OFFSET(Проект!M$1348,0,1-$B28))</f>
        <v>0</v>
      </c>
      <c r="N321" s="54">
        <f ca="1">IF(OR(N$33&lt;$B28,N$33&gt;$C28),0,OFFSET(Проект!N$1348,0,1-$B28))</f>
        <v>0</v>
      </c>
      <c r="O321" s="54">
        <f ca="1">IF(OR(O$33&lt;$B28,O$33&gt;$C28),0,OFFSET(Проект!O$1348,0,1-$B28))</f>
        <v>0</v>
      </c>
      <c r="P321" s="54">
        <f ca="1">IF(OR(P$33&lt;$B28,P$33&gt;$C28),0,OFFSET(Проект!P$1348,0,1-$B28))</f>
        <v>0</v>
      </c>
      <c r="Q321" s="54">
        <f ca="1">IF(OR(Q$33&lt;$B28,Q$33&gt;$C28),0,OFFSET(Проект!Q$1348,0,1-$B28))</f>
        <v>0</v>
      </c>
      <c r="R321" s="54">
        <f ca="1">IF(OR(R$33&lt;$B28,R$33&gt;$C28),0,OFFSET(Проект!R$1348,0,1-$B28))</f>
        <v>0</v>
      </c>
      <c r="S321" s="54">
        <f ca="1">IF(OR(S$33&lt;$B28,S$33&gt;$C28),0,OFFSET(Проект!S$1348,0,1-$B28))</f>
        <v>0</v>
      </c>
      <c r="T321" s="54">
        <f ca="1">IF(OR(T$33&lt;$B28,T$33&gt;$C28),0,OFFSET(Проект!T$1348,0,1-$B28))</f>
        <v>0</v>
      </c>
      <c r="U321" s="54">
        <f ca="1">IF(OR(U$33&lt;$B28,U$33&gt;$C28),0,OFFSET(Проект!U$1348,0,1-$B28))</f>
        <v>0</v>
      </c>
      <c r="V321" s="54">
        <f ca="1">IF(OR(V$33&lt;$B28,V$33&gt;$C28),0,OFFSET(Проект!V$1348,0,1-$B28))</f>
        <v>0</v>
      </c>
      <c r="W321" s="54">
        <f ca="1">IF(OR(W$33&lt;$B28,W$33&gt;$C28),0,OFFSET(Проект!W$1348,0,1-$B28))</f>
        <v>0</v>
      </c>
      <c r="X321" s="54">
        <f ca="1">IF(OR(X$33&lt;$B28,X$33&gt;$C28),0,OFFSET(Проект!X$1348,0,1-$B28))</f>
        <v>0</v>
      </c>
      <c r="Y321" s="54">
        <f ca="1">IF(OR(Y$33&lt;$B28,Y$33&gt;$C28),0,OFFSET(Проект!AC$1348,0,1-$B28))</f>
        <v>0</v>
      </c>
      <c r="AA321" s="54">
        <f t="shared" ca="1" si="41"/>
        <v>0</v>
      </c>
    </row>
    <row r="322" spans="1:27" outlineLevel="1" collapsed="1" x14ac:dyDescent="0.2">
      <c r="A322" t="str">
        <f ca="1">Language!A$762</f>
        <v>Лизинговые платежи</v>
      </c>
      <c r="C322" s="5" t="str">
        <f t="shared" ca="1" si="40"/>
        <v>тыс. EUR</v>
      </c>
      <c r="D322" s="204" t="s">
        <v>2615</v>
      </c>
      <c r="F322" s="43">
        <f ca="1">SUMPRODUCT($B12:OFFSET($B13,-1,0),F323:OFFSET(F324,-1,0))</f>
        <v>0</v>
      </c>
      <c r="G322" s="43">
        <f ca="1">SUMPRODUCT($B12:OFFSET($B13,-1,0),G323:OFFSET(G324,-1,0))</f>
        <v>0</v>
      </c>
      <c r="H322" s="43">
        <f ca="1">SUMPRODUCT($B12:OFFSET($B13,-1,0),H323:OFFSET(H324,-1,0))</f>
        <v>0</v>
      </c>
      <c r="I322" s="43">
        <f ca="1">SUMPRODUCT($B12:OFFSET($B13,-1,0),I323:OFFSET(I324,-1,0))</f>
        <v>0</v>
      </c>
      <c r="J322" s="43">
        <f ca="1">SUMPRODUCT($B12:OFFSET($B13,-1,0),J323:OFFSET(J324,-1,0))</f>
        <v>0</v>
      </c>
      <c r="K322" s="43">
        <f ca="1">SUMPRODUCT($B12:OFFSET($B13,-1,0),K323:OFFSET(K324,-1,0))</f>
        <v>0</v>
      </c>
      <c r="L322" s="43">
        <f ca="1">SUMPRODUCT($B12:OFFSET($B13,-1,0),L323:OFFSET(L324,-1,0))</f>
        <v>0</v>
      </c>
      <c r="M322" s="43">
        <f ca="1">SUMPRODUCT($B12:OFFSET($B13,-1,0),M323:OFFSET(M324,-1,0))</f>
        <v>0</v>
      </c>
      <c r="N322" s="43">
        <f ca="1">SUMPRODUCT($B12:OFFSET($B13,-1,0),N323:OFFSET(N324,-1,0))</f>
        <v>0</v>
      </c>
      <c r="O322" s="43">
        <f ca="1">SUMPRODUCT($B12:OFFSET($B13,-1,0),O323:OFFSET(O324,-1,0))</f>
        <v>0</v>
      </c>
      <c r="P322" s="43">
        <f ca="1">SUMPRODUCT($B12:OFFSET($B13,-1,0),P323:OFFSET(P324,-1,0))</f>
        <v>0</v>
      </c>
      <c r="Q322" s="43">
        <f ca="1">SUMPRODUCT($B12:OFFSET($B13,-1,0),Q323:OFFSET(Q324,-1,0))</f>
        <v>0</v>
      </c>
      <c r="R322" s="43">
        <f ca="1">SUMPRODUCT($B12:OFFSET($B13,-1,0),R323:OFFSET(R324,-1,0))</f>
        <v>0</v>
      </c>
      <c r="S322" s="43">
        <f ca="1">SUMPRODUCT($B12:OFFSET($B13,-1,0),S323:OFFSET(S324,-1,0))</f>
        <v>0</v>
      </c>
      <c r="T322" s="43">
        <f ca="1">SUMPRODUCT($B12:OFFSET($B13,-1,0),T323:OFFSET(T324,-1,0))</f>
        <v>0</v>
      </c>
      <c r="U322" s="43">
        <f ca="1">SUMPRODUCT($B12:OFFSET($B13,-1,0),U323:OFFSET(U324,-1,0))</f>
        <v>0</v>
      </c>
      <c r="V322" s="43">
        <f ca="1">SUMPRODUCT($B12:OFFSET($B13,-1,0),V323:OFFSET(V324,-1,0))</f>
        <v>0</v>
      </c>
      <c r="W322" s="43">
        <f ca="1">SUMPRODUCT($B12:OFFSET($B13,-1,0),W323:OFFSET(W324,-1,0))</f>
        <v>0</v>
      </c>
      <c r="X322" s="43">
        <f ca="1">SUMPRODUCT($B12:OFFSET($B13,-1,0),X323:OFFSET(X324,-1,0))</f>
        <v>0</v>
      </c>
      <c r="Y322" s="43">
        <f ca="1">SUMPRODUCT($B12:OFFSET($B13,-1,0),Y323:OFFSET(Y324,-1,0))</f>
        <v>0</v>
      </c>
      <c r="AA322" s="54">
        <f t="shared" ca="1" si="41"/>
        <v>0</v>
      </c>
    </row>
    <row r="323" spans="1:27" s="180" customFormat="1" hidden="1" outlineLevel="2" x14ac:dyDescent="0.2">
      <c r="A323" s="180" t="str">
        <f ca="1">"        " &amp; A12</f>
        <v xml:space="preserve">        Проект 1</v>
      </c>
      <c r="C323" s="208" t="str">
        <f t="shared" ca="1" si="40"/>
        <v>тыс. EUR</v>
      </c>
      <c r="D323" s="180" t="e">
        <f ca="1">"[" &amp; F12 &amp; "];int_sum"</f>
        <v>#NAME?</v>
      </c>
      <c r="F323" s="54">
        <f ca="1">IF(OR(F$33&lt;$B28,F$33&gt;$C28),0,OFFSET(Проект!F$1349,0,1-$B28))</f>
        <v>0</v>
      </c>
      <c r="G323" s="54">
        <f ca="1">IF(OR(G$33&lt;$B28,G$33&gt;$C28),0,OFFSET(Проект!G$1349,0,1-$B28))</f>
        <v>0</v>
      </c>
      <c r="H323" s="54">
        <f ca="1">IF(OR(H$33&lt;$B28,H$33&gt;$C28),0,OFFSET(Проект!H$1349,0,1-$B28))</f>
        <v>0</v>
      </c>
      <c r="I323" s="54">
        <f ca="1">IF(OR(I$33&lt;$B28,I$33&gt;$C28),0,OFFSET(Проект!I$1349,0,1-$B28))</f>
        <v>0</v>
      </c>
      <c r="J323" s="54">
        <f ca="1">IF(OR(J$33&lt;$B28,J$33&gt;$C28),0,OFFSET(Проект!J$1349,0,1-$B28))</f>
        <v>0</v>
      </c>
      <c r="K323" s="54">
        <f ca="1">IF(OR(K$33&lt;$B28,K$33&gt;$C28),0,OFFSET(Проект!K$1349,0,1-$B28))</f>
        <v>0</v>
      </c>
      <c r="L323" s="54">
        <f ca="1">IF(OR(L$33&lt;$B28,L$33&gt;$C28),0,OFFSET(Проект!L$1349,0,1-$B28))</f>
        <v>0</v>
      </c>
      <c r="M323" s="54">
        <f ca="1">IF(OR(M$33&lt;$B28,M$33&gt;$C28),0,OFFSET(Проект!M$1349,0,1-$B28))</f>
        <v>0</v>
      </c>
      <c r="N323" s="54">
        <f ca="1">IF(OR(N$33&lt;$B28,N$33&gt;$C28),0,OFFSET(Проект!N$1349,0,1-$B28))</f>
        <v>0</v>
      </c>
      <c r="O323" s="54">
        <f ca="1">IF(OR(O$33&lt;$B28,O$33&gt;$C28),0,OFFSET(Проект!O$1349,0,1-$B28))</f>
        <v>0</v>
      </c>
      <c r="P323" s="54">
        <f ca="1">IF(OR(P$33&lt;$B28,P$33&gt;$C28),0,OFFSET(Проект!P$1349,0,1-$B28))</f>
        <v>0</v>
      </c>
      <c r="Q323" s="54">
        <f ca="1">IF(OR(Q$33&lt;$B28,Q$33&gt;$C28),0,OFFSET(Проект!Q$1349,0,1-$B28))</f>
        <v>0</v>
      </c>
      <c r="R323" s="54">
        <f ca="1">IF(OR(R$33&lt;$B28,R$33&gt;$C28),0,OFFSET(Проект!R$1349,0,1-$B28))</f>
        <v>0</v>
      </c>
      <c r="S323" s="54">
        <f ca="1">IF(OR(S$33&lt;$B28,S$33&gt;$C28),0,OFFSET(Проект!S$1349,0,1-$B28))</f>
        <v>0</v>
      </c>
      <c r="T323" s="54">
        <f ca="1">IF(OR(T$33&lt;$B28,T$33&gt;$C28),0,OFFSET(Проект!T$1349,0,1-$B28))</f>
        <v>0</v>
      </c>
      <c r="U323" s="54">
        <f ca="1">IF(OR(U$33&lt;$B28,U$33&gt;$C28),0,OFFSET(Проект!U$1349,0,1-$B28))</f>
        <v>0</v>
      </c>
      <c r="V323" s="54">
        <f ca="1">IF(OR(V$33&lt;$B28,V$33&gt;$C28),0,OFFSET(Проект!V$1349,0,1-$B28))</f>
        <v>0</v>
      </c>
      <c r="W323" s="54">
        <f ca="1">IF(OR(W$33&lt;$B28,W$33&gt;$C28),0,OFFSET(Проект!W$1349,0,1-$B28))</f>
        <v>0</v>
      </c>
      <c r="X323" s="54">
        <f ca="1">IF(OR(X$33&lt;$B28,X$33&gt;$C28),0,OFFSET(Проект!X$1349,0,1-$B28))</f>
        <v>0</v>
      </c>
      <c r="Y323" s="54">
        <f ca="1">IF(OR(Y$33&lt;$B28,Y$33&gt;$C28),0,OFFSET(Проект!AC$1349,0,1-$B28))</f>
        <v>0</v>
      </c>
      <c r="AA323" s="54">
        <f t="shared" ca="1" si="41"/>
        <v>0</v>
      </c>
    </row>
    <row r="324" spans="1:27" outlineLevel="1" collapsed="1" x14ac:dyDescent="0.2">
      <c r="A324" t="str">
        <f ca="1">Language!A$763</f>
        <v>Выплата дивидендов</v>
      </c>
      <c r="C324" s="5" t="str">
        <f t="shared" ca="1" si="40"/>
        <v>тыс. EUR</v>
      </c>
      <c r="D324" s="204" t="s">
        <v>2615</v>
      </c>
      <c r="F324" s="43">
        <f ca="1">SUMPRODUCT($B12:OFFSET($B13,-1,0),F325:OFFSET(F326,-1,0))</f>
        <v>0</v>
      </c>
      <c r="G324" s="43">
        <f ca="1">SUMPRODUCT($B12:OFFSET($B13,-1,0),G325:OFFSET(G326,-1,0))</f>
        <v>0</v>
      </c>
      <c r="H324" s="43">
        <f ca="1">SUMPRODUCT($B12:OFFSET($B13,-1,0),H325:OFFSET(H326,-1,0))</f>
        <v>0</v>
      </c>
      <c r="I324" s="43">
        <f ca="1">SUMPRODUCT($B12:OFFSET($B13,-1,0),I325:OFFSET(I326,-1,0))</f>
        <v>0</v>
      </c>
      <c r="J324" s="43">
        <f ca="1">SUMPRODUCT($B12:OFFSET($B13,-1,0),J325:OFFSET(J326,-1,0))</f>
        <v>0</v>
      </c>
      <c r="K324" s="43">
        <f ca="1">SUMPRODUCT($B12:OFFSET($B13,-1,0),K325:OFFSET(K326,-1,0))</f>
        <v>0</v>
      </c>
      <c r="L324" s="43">
        <f ca="1">SUMPRODUCT($B12:OFFSET($B13,-1,0),L325:OFFSET(L326,-1,0))</f>
        <v>0</v>
      </c>
      <c r="M324" s="43">
        <f ca="1">SUMPRODUCT($B12:OFFSET($B13,-1,0),M325:OFFSET(M326,-1,0))</f>
        <v>0</v>
      </c>
      <c r="N324" s="43">
        <f ca="1">SUMPRODUCT($B12:OFFSET($B13,-1,0),N325:OFFSET(N326,-1,0))</f>
        <v>0</v>
      </c>
      <c r="O324" s="43">
        <f ca="1">SUMPRODUCT($B12:OFFSET($B13,-1,0),O325:OFFSET(O326,-1,0))</f>
        <v>0</v>
      </c>
      <c r="P324" s="43">
        <f ca="1">SUMPRODUCT($B12:OFFSET($B13,-1,0),P325:OFFSET(P326,-1,0))</f>
        <v>0</v>
      </c>
      <c r="Q324" s="43">
        <f ca="1">SUMPRODUCT($B12:OFFSET($B13,-1,0),Q325:OFFSET(Q326,-1,0))</f>
        <v>0</v>
      </c>
      <c r="R324" s="43">
        <f ca="1">SUMPRODUCT($B12:OFFSET($B13,-1,0),R325:OFFSET(R326,-1,0))</f>
        <v>0</v>
      </c>
      <c r="S324" s="43">
        <f ca="1">SUMPRODUCT($B12:OFFSET($B13,-1,0),S325:OFFSET(S326,-1,0))</f>
        <v>0</v>
      </c>
      <c r="T324" s="43">
        <f ca="1">SUMPRODUCT($B12:OFFSET($B13,-1,0),T325:OFFSET(T326,-1,0))</f>
        <v>0</v>
      </c>
      <c r="U324" s="43">
        <f ca="1">SUMPRODUCT($B12:OFFSET($B13,-1,0),U325:OFFSET(U326,-1,0))</f>
        <v>0</v>
      </c>
      <c r="V324" s="43">
        <f ca="1">SUMPRODUCT($B12:OFFSET($B13,-1,0),V325:OFFSET(V326,-1,0))</f>
        <v>0</v>
      </c>
      <c r="W324" s="43">
        <f ca="1">SUMPRODUCT($B12:OFFSET($B13,-1,0),W325:OFFSET(W326,-1,0))</f>
        <v>0</v>
      </c>
      <c r="X324" s="43">
        <f ca="1">SUMPRODUCT($B12:OFFSET($B13,-1,0),X325:OFFSET(X326,-1,0))</f>
        <v>0</v>
      </c>
      <c r="Y324" s="43">
        <f ca="1">SUMPRODUCT($B12:OFFSET($B13,-1,0),Y325:OFFSET(Y326,-1,0))</f>
        <v>0</v>
      </c>
      <c r="AA324" s="54">
        <f ca="1">SUM(F324:Y324)</f>
        <v>0</v>
      </c>
    </row>
    <row r="325" spans="1:27" s="180" customFormat="1" hidden="1" outlineLevel="2" x14ac:dyDescent="0.2">
      <c r="A325" s="180" t="str">
        <f ca="1">"        " &amp; A12</f>
        <v xml:space="preserve">        Проект 1</v>
      </c>
      <c r="C325" s="208" t="str">
        <f t="shared" ca="1" si="40"/>
        <v>тыс. EUR</v>
      </c>
      <c r="D325" s="180" t="e">
        <f ca="1">"[" &amp; F12 &amp; "];int_sum"</f>
        <v>#NAME?</v>
      </c>
      <c r="F325" s="54">
        <f ca="1">IF(OR(F$33&lt;$B28,F$33&gt;$C28),0,OFFSET(Проект!F$1350,0,1-$B28))</f>
        <v>0</v>
      </c>
      <c r="G325" s="54">
        <f ca="1">IF(OR(G$33&lt;$B28,G$33&gt;$C28),0,OFFSET(Проект!G$1350,0,1-$B28))</f>
        <v>0</v>
      </c>
      <c r="H325" s="54">
        <f ca="1">IF(OR(H$33&lt;$B28,H$33&gt;$C28),0,OFFSET(Проект!H$1350,0,1-$B28))</f>
        <v>0</v>
      </c>
      <c r="I325" s="54">
        <f ca="1">IF(OR(I$33&lt;$B28,I$33&gt;$C28),0,OFFSET(Проект!I$1350,0,1-$B28))</f>
        <v>0</v>
      </c>
      <c r="J325" s="54">
        <f ca="1">IF(OR(J$33&lt;$B28,J$33&gt;$C28),0,OFFSET(Проект!J$1350,0,1-$B28))</f>
        <v>0</v>
      </c>
      <c r="K325" s="54">
        <f ca="1">IF(OR(K$33&lt;$B28,K$33&gt;$C28),0,OFFSET(Проект!K$1350,0,1-$B28))</f>
        <v>0</v>
      </c>
      <c r="L325" s="54">
        <f ca="1">IF(OR(L$33&lt;$B28,L$33&gt;$C28),0,OFFSET(Проект!L$1350,0,1-$B28))</f>
        <v>0</v>
      </c>
      <c r="M325" s="54">
        <f ca="1">IF(OR(M$33&lt;$B28,M$33&gt;$C28),0,OFFSET(Проект!M$1350,0,1-$B28))</f>
        <v>0</v>
      </c>
      <c r="N325" s="54">
        <f ca="1">IF(OR(N$33&lt;$B28,N$33&gt;$C28),0,OFFSET(Проект!N$1350,0,1-$B28))</f>
        <v>0</v>
      </c>
      <c r="O325" s="54">
        <f ca="1">IF(OR(O$33&lt;$B28,O$33&gt;$C28),0,OFFSET(Проект!O$1350,0,1-$B28))</f>
        <v>0</v>
      </c>
      <c r="P325" s="54">
        <f ca="1">IF(OR(P$33&lt;$B28,P$33&gt;$C28),0,OFFSET(Проект!P$1350,0,1-$B28))</f>
        <v>0</v>
      </c>
      <c r="Q325" s="54">
        <f ca="1">IF(OR(Q$33&lt;$B28,Q$33&gt;$C28),0,OFFSET(Проект!Q$1350,0,1-$B28))</f>
        <v>0</v>
      </c>
      <c r="R325" s="54">
        <f ca="1">IF(OR(R$33&lt;$B28,R$33&gt;$C28),0,OFFSET(Проект!R$1350,0,1-$B28))</f>
        <v>0</v>
      </c>
      <c r="S325" s="54">
        <f ca="1">IF(OR(S$33&lt;$B28,S$33&gt;$C28),0,OFFSET(Проект!S$1350,0,1-$B28))</f>
        <v>0</v>
      </c>
      <c r="T325" s="54">
        <f ca="1">IF(OR(T$33&lt;$B28,T$33&gt;$C28),0,OFFSET(Проект!T$1350,0,1-$B28))</f>
        <v>0</v>
      </c>
      <c r="U325" s="54">
        <f ca="1">IF(OR(U$33&lt;$B28,U$33&gt;$C28),0,OFFSET(Проект!U$1350,0,1-$B28))</f>
        <v>0</v>
      </c>
      <c r="V325" s="54">
        <f ca="1">IF(OR(V$33&lt;$B28,V$33&gt;$C28),0,OFFSET(Проект!V$1350,0,1-$B28))</f>
        <v>0</v>
      </c>
      <c r="W325" s="54">
        <f ca="1">IF(OR(W$33&lt;$B28,W$33&gt;$C28),0,OFFSET(Проект!W$1350,0,1-$B28))</f>
        <v>0</v>
      </c>
      <c r="X325" s="54">
        <f ca="1">IF(OR(X$33&lt;$B28,X$33&gt;$C28),0,OFFSET(Проект!X$1350,0,1-$B28))</f>
        <v>0</v>
      </c>
      <c r="Y325" s="54">
        <f ca="1">IF(OR(Y$33&lt;$B28,Y$33&gt;$C28),0,OFFSET(Проект!AC$1350,0,1-$B28))</f>
        <v>0</v>
      </c>
      <c r="AA325" s="54">
        <f ca="1">SUM(F325:Y325)</f>
        <v>0</v>
      </c>
    </row>
    <row r="326" spans="1:27" outlineLevel="1" x14ac:dyDescent="0.2">
      <c r="D326" s="204"/>
      <c r="AA326" s="11"/>
    </row>
    <row r="327" spans="1:27" outlineLevel="1" collapsed="1" x14ac:dyDescent="0.2">
      <c r="A327" s="35" t="str">
        <f ca="1">Language!A$764</f>
        <v>Денежные потоки от финансовой деятельности</v>
      </c>
      <c r="C327" s="5" t="str">
        <f ca="1">CUR_Report</f>
        <v>тыс. EUR</v>
      </c>
      <c r="D327" s="204" t="s">
        <v>2615</v>
      </c>
      <c r="F327" s="58">
        <f ca="1">SUMPRODUCT($B12:OFFSET($B13,-1,0),F328:OFFSET(F329,-1,0))</f>
        <v>0</v>
      </c>
      <c r="G327" s="58">
        <f ca="1">SUMPRODUCT($B12:OFFSET($B13,-1,0),G328:OFFSET(G329,-1,0))</f>
        <v>0</v>
      </c>
      <c r="H327" s="58">
        <f ca="1">SUMPRODUCT($B12:OFFSET($B13,-1,0),H328:OFFSET(H329,-1,0))</f>
        <v>5695.3855543220343</v>
      </c>
      <c r="I327" s="58">
        <f ca="1">SUMPRODUCT($B12:OFFSET($B13,-1,0),I328:OFFSET(I329,-1,0))</f>
        <v>1519.56</v>
      </c>
      <c r="J327" s="58">
        <f ca="1">SUMPRODUCT($B12:OFFSET($B13,-1,0),J328:OFFSET(J329,-1,0))</f>
        <v>7024.8891971793519</v>
      </c>
      <c r="K327" s="58">
        <f ca="1">SUMPRODUCT($B12:OFFSET($B13,-1,0),K328:OFFSET(K329,-1,0))</f>
        <v>2982.5256975335087</v>
      </c>
      <c r="L327" s="58">
        <f ca="1">SUMPRODUCT($B12:OFFSET($B13,-1,0),L328:OFFSET(L329,-1,0))</f>
        <v>0</v>
      </c>
      <c r="M327" s="58">
        <f ca="1">SUMPRODUCT($B12:OFFSET($B13,-1,0),M328:OFFSET(M329,-1,0))</f>
        <v>0</v>
      </c>
      <c r="N327" s="58">
        <f ca="1">SUMPRODUCT($B12:OFFSET($B13,-1,0),N328:OFFSET(N329,-1,0))</f>
        <v>0</v>
      </c>
      <c r="O327" s="58">
        <f ca="1">SUMPRODUCT($B12:OFFSET($B13,-1,0),O328:OFFSET(O329,-1,0))</f>
        <v>0</v>
      </c>
      <c r="P327" s="58">
        <f ca="1">SUMPRODUCT($B12:OFFSET($B13,-1,0),P328:OFFSET(P329,-1,0))</f>
        <v>0</v>
      </c>
      <c r="Q327" s="58">
        <f ca="1">SUMPRODUCT($B12:OFFSET($B13,-1,0),Q328:OFFSET(Q329,-1,0))</f>
        <v>0</v>
      </c>
      <c r="R327" s="58">
        <f ca="1">SUMPRODUCT($B12:OFFSET($B13,-1,0),R328:OFFSET(R329,-1,0))</f>
        <v>0</v>
      </c>
      <c r="S327" s="58">
        <f ca="1">SUMPRODUCT($B12:OFFSET($B13,-1,0),S328:OFFSET(S329,-1,0))</f>
        <v>0</v>
      </c>
      <c r="T327" s="58">
        <f ca="1">SUMPRODUCT($B12:OFFSET($B13,-1,0),T328:OFFSET(T329,-1,0))</f>
        <v>0</v>
      </c>
      <c r="U327" s="58">
        <f ca="1">SUMPRODUCT($B12:OFFSET($B13,-1,0),U328:OFFSET(U329,-1,0))</f>
        <v>0</v>
      </c>
      <c r="V327" s="58">
        <f ca="1">SUMPRODUCT($B12:OFFSET($B13,-1,0),V328:OFFSET(V329,-1,0))</f>
        <v>0</v>
      </c>
      <c r="W327" s="58">
        <f ca="1">SUMPRODUCT($B12:OFFSET($B13,-1,0),W328:OFFSET(W329,-1,0))</f>
        <v>0</v>
      </c>
      <c r="X327" s="58">
        <f ca="1">SUMPRODUCT($B12:OFFSET($B13,-1,0),X328:OFFSET(X329,-1,0))</f>
        <v>0</v>
      </c>
      <c r="Y327" s="58">
        <f ca="1">SUMPRODUCT($B12:OFFSET($B13,-1,0),Y328:OFFSET(Y329,-1,0))</f>
        <v>0</v>
      </c>
      <c r="AA327" s="57">
        <f ca="1">SUM(F327:Y327)</f>
        <v>17222.360449034895</v>
      </c>
    </row>
    <row r="328" spans="1:27" s="180" customFormat="1" hidden="1" outlineLevel="2" x14ac:dyDescent="0.2">
      <c r="A328" s="180" t="str">
        <f ca="1">"        " &amp; A12</f>
        <v xml:space="preserve">        Проект 1</v>
      </c>
      <c r="C328" s="208" t="str">
        <f ca="1">CUR_Report</f>
        <v>тыс. EUR</v>
      </c>
      <c r="D328" s="180" t="e">
        <f ca="1">"[" &amp; F12 &amp; "];int_sum"</f>
        <v>#NAME?</v>
      </c>
      <c r="F328" s="54">
        <f ca="1">IF(OR(F$33&lt;$B28,F$33&gt;$C28),0,OFFSET(Проект!F$1352,0,1-$B28))</f>
        <v>0</v>
      </c>
      <c r="G328" s="54">
        <f ca="1">IF(OR(G$33&lt;$B28,G$33&gt;$C28),0,OFFSET(Проект!G$1352,0,1-$B28))</f>
        <v>0</v>
      </c>
      <c r="H328" s="54">
        <f ca="1">IF(OR(H$33&lt;$B28,H$33&gt;$C28),0,OFFSET(Проект!H$1352,0,1-$B28))</f>
        <v>5695.3855543220343</v>
      </c>
      <c r="I328" s="54">
        <f ca="1">IF(OR(I$33&lt;$B28,I$33&gt;$C28),0,OFFSET(Проект!I$1352,0,1-$B28))</f>
        <v>1519.56</v>
      </c>
      <c r="J328" s="54">
        <f ca="1">IF(OR(J$33&lt;$B28,J$33&gt;$C28),0,OFFSET(Проект!J$1352,0,1-$B28))</f>
        <v>7024.8891971793519</v>
      </c>
      <c r="K328" s="54">
        <f ca="1">IF(OR(K$33&lt;$B28,K$33&gt;$C28),0,OFFSET(Проект!K$1352,0,1-$B28))</f>
        <v>2982.5256975335087</v>
      </c>
      <c r="L328" s="54">
        <f ca="1">IF(OR(L$33&lt;$B28,L$33&gt;$C28),0,OFFSET(Проект!L$1352,0,1-$B28))</f>
        <v>0</v>
      </c>
      <c r="M328" s="54">
        <f ca="1">IF(OR(M$33&lt;$B28,M$33&gt;$C28),0,OFFSET(Проект!M$1352,0,1-$B28))</f>
        <v>0</v>
      </c>
      <c r="N328" s="54">
        <f ca="1">IF(OR(N$33&lt;$B28,N$33&gt;$C28),0,OFFSET(Проект!N$1352,0,1-$B28))</f>
        <v>0</v>
      </c>
      <c r="O328" s="54">
        <f ca="1">IF(OR(O$33&lt;$B28,O$33&gt;$C28),0,OFFSET(Проект!O$1352,0,1-$B28))</f>
        <v>0</v>
      </c>
      <c r="P328" s="54">
        <f ca="1">IF(OR(P$33&lt;$B28,P$33&gt;$C28),0,OFFSET(Проект!P$1352,0,1-$B28))</f>
        <v>0</v>
      </c>
      <c r="Q328" s="54">
        <f ca="1">IF(OR(Q$33&lt;$B28,Q$33&gt;$C28),0,OFFSET(Проект!Q$1352,0,1-$B28))</f>
        <v>0</v>
      </c>
      <c r="R328" s="54">
        <f ca="1">IF(OR(R$33&lt;$B28,R$33&gt;$C28),0,OFFSET(Проект!R$1352,0,1-$B28))</f>
        <v>0</v>
      </c>
      <c r="S328" s="54">
        <f ca="1">IF(OR(S$33&lt;$B28,S$33&gt;$C28),0,OFFSET(Проект!S$1352,0,1-$B28))</f>
        <v>0</v>
      </c>
      <c r="T328" s="54">
        <f ca="1">IF(OR(T$33&lt;$B28,T$33&gt;$C28),0,OFFSET(Проект!T$1352,0,1-$B28))</f>
        <v>0</v>
      </c>
      <c r="U328" s="54">
        <f ca="1">IF(OR(U$33&lt;$B28,U$33&gt;$C28),0,OFFSET(Проект!U$1352,0,1-$B28))</f>
        <v>0</v>
      </c>
      <c r="V328" s="54">
        <f ca="1">IF(OR(V$33&lt;$B28,V$33&gt;$C28),0,OFFSET(Проект!V$1352,0,1-$B28))</f>
        <v>0</v>
      </c>
      <c r="W328" s="54">
        <f ca="1">IF(OR(W$33&lt;$B28,W$33&gt;$C28),0,OFFSET(Проект!W$1352,0,1-$B28))</f>
        <v>0</v>
      </c>
      <c r="X328" s="54">
        <f ca="1">IF(OR(X$33&lt;$B28,X$33&gt;$C28),0,OFFSET(Проект!X$1352,0,1-$B28))</f>
        <v>0</v>
      </c>
      <c r="Y328" s="54">
        <f ca="1">IF(OR(Y$33&lt;$B28,Y$33&gt;$C28),0,OFFSET(Проект!AC$1352,0,1-$B28))</f>
        <v>0</v>
      </c>
      <c r="AA328" s="54">
        <f ca="1">SUM(F328:Y328)</f>
        <v>17222.360449034895</v>
      </c>
    </row>
    <row r="329" spans="1:27" outlineLevel="1" x14ac:dyDescent="0.2">
      <c r="D329" s="204"/>
      <c r="AA329" s="11"/>
    </row>
    <row r="330" spans="1:27" outlineLevel="1" collapsed="1" x14ac:dyDescent="0.2">
      <c r="A330" s="23" t="str">
        <f ca="1">Language!A$765</f>
        <v>Суммарный денежный поток за период</v>
      </c>
      <c r="B330" s="179"/>
      <c r="C330" s="294" t="str">
        <f t="shared" ref="C330:C335" ca="1" si="42">CUR_Report</f>
        <v>тыс. EUR</v>
      </c>
      <c r="D330" s="204" t="s">
        <v>2615</v>
      </c>
      <c r="E330" s="179"/>
      <c r="F330" s="108">
        <f t="shared" ref="F330:T330" ca="1" si="43">F327+F309+F289</f>
        <v>0</v>
      </c>
      <c r="G330" s="108">
        <f t="shared" ca="1" si="43"/>
        <v>0</v>
      </c>
      <c r="H330" s="108">
        <f t="shared" ca="1" si="43"/>
        <v>0</v>
      </c>
      <c r="I330" s="108">
        <f t="shared" ca="1" si="43"/>
        <v>0</v>
      </c>
      <c r="J330" s="108">
        <f t="shared" ca="1" si="43"/>
        <v>0</v>
      </c>
      <c r="K330" s="108">
        <f t="shared" ca="1" si="43"/>
        <v>2827.4120312836421</v>
      </c>
      <c r="L330" s="108">
        <f t="shared" ca="1" si="43"/>
        <v>15.62326190094285</v>
      </c>
      <c r="M330" s="108">
        <f t="shared" ca="1" si="43"/>
        <v>662.99303790614749</v>
      </c>
      <c r="N330" s="108">
        <f t="shared" ca="1" si="43"/>
        <v>964.0102427528858</v>
      </c>
      <c r="O330" s="108">
        <f t="shared" ca="1" si="43"/>
        <v>1285.2732652519153</v>
      </c>
      <c r="P330" s="108">
        <f t="shared" ca="1" si="43"/>
        <v>1454.7746893858593</v>
      </c>
      <c r="Q330" s="108">
        <f t="shared" ca="1" si="43"/>
        <v>1454.7746893858593</v>
      </c>
      <c r="R330" s="108">
        <f t="shared" ca="1" si="43"/>
        <v>1454.7746893858593</v>
      </c>
      <c r="S330" s="108">
        <f t="shared" ca="1" si="43"/>
        <v>1454.7746893858593</v>
      </c>
      <c r="T330" s="108">
        <f t="shared" ca="1" si="43"/>
        <v>1454.7746893858593</v>
      </c>
      <c r="U330" s="108">
        <f t="shared" ref="U330" ca="1" si="44">U327+U309+U289</f>
        <v>1454.7746893858593</v>
      </c>
      <c r="V330" s="108">
        <f t="shared" ref="V330" ca="1" si="45">V327+V309+V289</f>
        <v>1454.7746893858593</v>
      </c>
      <c r="W330" s="108">
        <f t="shared" ref="W330" ca="1" si="46">W327+W309+W289</f>
        <v>1454.7746893858593</v>
      </c>
      <c r="X330" s="108">
        <f t="shared" ref="X330:Y330" ca="1" si="47">X327+X309+X289</f>
        <v>1454.7746893858593</v>
      </c>
      <c r="Y330" s="108">
        <f t="shared" ca="1" si="47"/>
        <v>1454.7746893858593</v>
      </c>
      <c r="Z330" s="23"/>
      <c r="AA330" s="54">
        <f ca="1">SUM(F330:Y330)</f>
        <v>20303.058732954134</v>
      </c>
    </row>
    <row r="331" spans="1:27" s="180" customFormat="1" hidden="1" outlineLevel="2" x14ac:dyDescent="0.2">
      <c r="A331" s="180" t="str">
        <f ca="1">"        " &amp; A12</f>
        <v xml:space="preserve">        Проект 1</v>
      </c>
      <c r="C331" s="208" t="str">
        <f t="shared" ca="1" si="42"/>
        <v>тыс. EUR</v>
      </c>
      <c r="D331" s="180" t="e">
        <f ca="1">"[" &amp; F12 &amp; "];int_sum"</f>
        <v>#NAME?</v>
      </c>
      <c r="F331" s="54">
        <f ca="1">IF(OR(F$33&lt;$B28,F$33&gt;$C28),0,OFFSET(Проект!F$1354,0,1-$B28))</f>
        <v>0</v>
      </c>
      <c r="G331" s="54">
        <f ca="1">IF(OR(G$33&lt;$B28,G$33&gt;$C28),0,OFFSET(Проект!G$1354,0,1-$B28))</f>
        <v>0</v>
      </c>
      <c r="H331" s="54">
        <f ca="1">IF(OR(H$33&lt;$B28,H$33&gt;$C28),0,OFFSET(Проект!H$1354,0,1-$B28))</f>
        <v>0</v>
      </c>
      <c r="I331" s="54">
        <f ca="1">IF(OR(I$33&lt;$B28,I$33&gt;$C28),0,OFFSET(Проект!I$1354,0,1-$B28))</f>
        <v>0</v>
      </c>
      <c r="J331" s="54">
        <f ca="1">IF(OR(J$33&lt;$B28,J$33&gt;$C28),0,OFFSET(Проект!J$1354,0,1-$B28))</f>
        <v>0</v>
      </c>
      <c r="K331" s="54">
        <f ca="1">IF(OR(K$33&lt;$B28,K$33&gt;$C28),0,OFFSET(Проект!K$1354,0,1-$B28))</f>
        <v>2827.4120312836421</v>
      </c>
      <c r="L331" s="54">
        <f ca="1">IF(OR(L$33&lt;$B28,L$33&gt;$C28),0,OFFSET(Проект!L$1354,0,1-$B28))</f>
        <v>15.623261900942822</v>
      </c>
      <c r="M331" s="54">
        <f ca="1">IF(OR(M$33&lt;$B28,M$33&gt;$C28),0,OFFSET(Проект!M$1354,0,1-$B28))</f>
        <v>662.99303790614749</v>
      </c>
      <c r="N331" s="54">
        <f ca="1">IF(OR(N$33&lt;$B28,N$33&gt;$C28),0,OFFSET(Проект!N$1354,0,1-$B28))</f>
        <v>964.01024275288535</v>
      </c>
      <c r="O331" s="54">
        <f ca="1">IF(OR(O$33&lt;$B28,O$33&gt;$C28),0,OFFSET(Проект!O$1354,0,1-$B28))</f>
        <v>1285.2732652519153</v>
      </c>
      <c r="P331" s="54">
        <f ca="1">IF(OR(P$33&lt;$B28,P$33&gt;$C28),0,OFFSET(Проект!P$1354,0,1-$B28))</f>
        <v>1454.7746893858591</v>
      </c>
      <c r="Q331" s="54">
        <f ca="1">IF(OR(Q$33&lt;$B28,Q$33&gt;$C28),0,OFFSET(Проект!Q$1354,0,1-$B28))</f>
        <v>1454.7746893858591</v>
      </c>
      <c r="R331" s="54">
        <f ca="1">IF(OR(R$33&lt;$B28,R$33&gt;$C28),0,OFFSET(Проект!R$1354,0,1-$B28))</f>
        <v>1454.7746893858591</v>
      </c>
      <c r="S331" s="54">
        <f ca="1">IF(OR(S$33&lt;$B28,S$33&gt;$C28),0,OFFSET(Проект!S$1354,0,1-$B28))</f>
        <v>1454.7746893858591</v>
      </c>
      <c r="T331" s="54">
        <f ca="1">IF(OR(T$33&lt;$B28,T$33&gt;$C28),0,OFFSET(Проект!T$1354,0,1-$B28))</f>
        <v>1454.7746893858591</v>
      </c>
      <c r="U331" s="54">
        <f ca="1">IF(OR(U$33&lt;$B28,U$33&gt;$C28),0,OFFSET(Проект!U$1354,0,1-$B28))</f>
        <v>1454.7746893858591</v>
      </c>
      <c r="V331" s="54">
        <f ca="1">IF(OR(V$33&lt;$B28,V$33&gt;$C28),0,OFFSET(Проект!V$1354,0,1-$B28))</f>
        <v>1454.7746893858591</v>
      </c>
      <c r="W331" s="54">
        <f ca="1">IF(OR(W$33&lt;$B28,W$33&gt;$C28),0,OFFSET(Проект!W$1354,0,1-$B28))</f>
        <v>1454.7746893858591</v>
      </c>
      <c r="X331" s="54">
        <f ca="1">IF(OR(X$33&lt;$B28,X$33&gt;$C28),0,OFFSET(Проект!X$1354,0,1-$B28))</f>
        <v>1454.7746893858591</v>
      </c>
      <c r="Y331" s="54">
        <f ca="1">IF(OR(Y$33&lt;$B28,Y$33&gt;$C28),0,OFFSET(Проект!AC$1354,0,1-$B28))</f>
        <v>1454.7746893858591</v>
      </c>
      <c r="AA331" s="54">
        <f ca="1">SUM(F331:Y331)</f>
        <v>20303.058732954123</v>
      </c>
    </row>
    <row r="332" spans="1:27" outlineLevel="1" collapsed="1" x14ac:dyDescent="0.2">
      <c r="A332" s="23" t="str">
        <f ca="1">Language!A$766</f>
        <v>Денежные средства на начало периода</v>
      </c>
      <c r="B332" s="179"/>
      <c r="C332" s="294" t="str">
        <f t="shared" ca="1" si="42"/>
        <v>тыс. EUR</v>
      </c>
      <c r="D332" s="204" t="s">
        <v>1264</v>
      </c>
      <c r="E332" s="179"/>
      <c r="F332" s="209">
        <f ca="1">IF($B41=2,SUMPRODUCT($B12:OFFSET($B13,-1,0),F333:OFFSET(F334,-1,0)),SUMPRODUCT($B12:OFFSET($B13,-1,0),F333:OFFSET(F334,-1,0))+0)</f>
        <v>0</v>
      </c>
      <c r="G332" s="209">
        <f ca="1">IF($B41=2,SUMPRODUCT($B12:OFFSET($B13,-1,0),G333:OFFSET(G334,-1,0)),SUMPRODUCT($B12:OFFSET($B13,-1,0),G333:OFFSET(G334,-1,0))+SUMPRODUCT($B12:OFFSET($B13,-1,0),F47:OFFSET(F48,-1,0))-F46)</f>
        <v>0</v>
      </c>
      <c r="H332" s="209">
        <f ca="1">IF($B41=2,SUMPRODUCT($B12:OFFSET($B13,-1,0),H333:OFFSET(H334,-1,0)),SUMPRODUCT($B12:OFFSET($B13,-1,0),H333:OFFSET(H334,-1,0))+SUMPRODUCT($B12:OFFSET($B13,-1,0),G47:OFFSET(G48,-1,0))-G46)</f>
        <v>0</v>
      </c>
      <c r="I332" s="209">
        <f ca="1">IF($B41=2,SUMPRODUCT($B12:OFFSET($B13,-1,0),I333:OFFSET(I334,-1,0)),SUMPRODUCT($B12:OFFSET($B13,-1,0),I333:OFFSET(I334,-1,0))+SUMPRODUCT($B12:OFFSET($B13,-1,0),H47:OFFSET(H48,-1,0))-H46)</f>
        <v>0</v>
      </c>
      <c r="J332" s="209">
        <f ca="1">IF($B41=2,SUMPRODUCT($B12:OFFSET($B13,-1,0),J333:OFFSET(J334,-1,0)),SUMPRODUCT($B12:OFFSET($B13,-1,0),J333:OFFSET(J334,-1,0))+SUMPRODUCT($B12:OFFSET($B13,-1,0),I47:OFFSET(I48,-1,0))-I46)</f>
        <v>0</v>
      </c>
      <c r="K332" s="209">
        <f ca="1">IF($B41=2,SUMPRODUCT($B12:OFFSET($B13,-1,0),K333:OFFSET(K334,-1,0)),SUMPRODUCT($B12:OFFSET($B13,-1,0),K333:OFFSET(K334,-1,0))+SUMPRODUCT($B12:OFFSET($B13,-1,0),J47:OFFSET(J48,-1,0))-J46)</f>
        <v>0</v>
      </c>
      <c r="L332" s="209">
        <f ca="1">IF($B41=2,SUMPRODUCT($B12:OFFSET($B13,-1,0),L333:OFFSET(L334,-1,0)),SUMPRODUCT($B12:OFFSET($B13,-1,0),L333:OFFSET(L334,-1,0))+SUMPRODUCT($B12:OFFSET($B13,-1,0),K47:OFFSET(K48,-1,0))-K46)</f>
        <v>2827.4120312836421</v>
      </c>
      <c r="M332" s="209">
        <f ca="1">IF($B41=2,SUMPRODUCT($B12:OFFSET($B13,-1,0),M333:OFFSET(M334,-1,0)),SUMPRODUCT($B12:OFFSET($B13,-1,0),M333:OFFSET(M334,-1,0))+SUMPRODUCT($B12:OFFSET($B13,-1,0),L47:OFFSET(L48,-1,0))-L46)</f>
        <v>2843.035293184585</v>
      </c>
      <c r="N332" s="209">
        <f ca="1">IF($B41=2,SUMPRODUCT($B12:OFFSET($B13,-1,0),N333:OFFSET(N334,-1,0)),SUMPRODUCT($B12:OFFSET($B13,-1,0),N333:OFFSET(N334,-1,0))+SUMPRODUCT($B12:OFFSET($B13,-1,0),M47:OFFSET(M48,-1,0))-M46)</f>
        <v>3506.0283310907325</v>
      </c>
      <c r="O332" s="209">
        <f ca="1">IF($B41=2,SUMPRODUCT($B12:OFFSET($B13,-1,0),O333:OFFSET(O334,-1,0)),SUMPRODUCT($B12:OFFSET($B13,-1,0),O333:OFFSET(O334,-1,0))+SUMPRODUCT($B12:OFFSET($B13,-1,0),N47:OFFSET(N48,-1,0))-N46)</f>
        <v>4470.038573843618</v>
      </c>
      <c r="P332" s="209">
        <f ca="1">IF($B41=2,SUMPRODUCT($B12:OFFSET($B13,-1,0),P333:OFFSET(P334,-1,0)),SUMPRODUCT($B12:OFFSET($B13,-1,0),P333:OFFSET(P334,-1,0))+SUMPRODUCT($B12:OFFSET($B13,-1,0),O47:OFFSET(O48,-1,0))-O46)</f>
        <v>5755.3118390955333</v>
      </c>
      <c r="Q332" s="209">
        <f ca="1">IF($B41=2,SUMPRODUCT($B12:OFFSET($B13,-1,0),Q333:OFFSET(Q334,-1,0)),SUMPRODUCT($B12:OFFSET($B13,-1,0),Q333:OFFSET(Q334,-1,0))+SUMPRODUCT($B12:OFFSET($B13,-1,0),P47:OFFSET(P48,-1,0))-P46)</f>
        <v>7210.0865284813926</v>
      </c>
      <c r="R332" s="209">
        <f ca="1">IF($B41=2,SUMPRODUCT($B12:OFFSET($B13,-1,0),R333:OFFSET(R334,-1,0)),SUMPRODUCT($B12:OFFSET($B13,-1,0),R333:OFFSET(R334,-1,0))+SUMPRODUCT($B12:OFFSET($B13,-1,0),Q47:OFFSET(Q48,-1,0))-Q46)</f>
        <v>8664.861217867252</v>
      </c>
      <c r="S332" s="209">
        <f ca="1">IF($B41=2,SUMPRODUCT($B12:OFFSET($B13,-1,0),S333:OFFSET(S334,-1,0)),SUMPRODUCT($B12:OFFSET($B13,-1,0),S333:OFFSET(S334,-1,0))+SUMPRODUCT($B12:OFFSET($B13,-1,0),R47:OFFSET(R48,-1,0))-R46)</f>
        <v>10119.63590725311</v>
      </c>
      <c r="T332" s="209">
        <f ca="1">IF($B41=2,SUMPRODUCT($B12:OFFSET($B13,-1,0),T333:OFFSET(T334,-1,0)),SUMPRODUCT($B12:OFFSET($B13,-1,0),T333:OFFSET(T334,-1,0))+SUMPRODUCT($B12:OFFSET($B13,-1,0),S47:OFFSET(S48,-1,0))-S46)</f>
        <v>11574.410596638969</v>
      </c>
      <c r="U332" s="209">
        <f ca="1">IF($B41=2,SUMPRODUCT($B12:OFFSET($B13,-1,0),U333:OFFSET(U334,-1,0)),SUMPRODUCT($B12:OFFSET($B13,-1,0),U333:OFFSET(U334,-1,0))+SUMPRODUCT($B12:OFFSET($B13,-1,0),T47:OFFSET(T48,-1,0))-T46)</f>
        <v>13029.185286024827</v>
      </c>
      <c r="V332" s="209">
        <f ca="1">IF($B41=2,SUMPRODUCT($B12:OFFSET($B13,-1,0),V333:OFFSET(V334,-1,0)),SUMPRODUCT($B12:OFFSET($B13,-1,0),V333:OFFSET(V334,-1,0))+SUMPRODUCT($B12:OFFSET($B13,-1,0),U47:OFFSET(U48,-1,0))-U46)</f>
        <v>14483.959975410686</v>
      </c>
      <c r="W332" s="209">
        <f ca="1">IF($B41=2,SUMPRODUCT($B12:OFFSET($B13,-1,0),W333:OFFSET(W334,-1,0)),SUMPRODUCT($B12:OFFSET($B13,-1,0),W333:OFFSET(W334,-1,0))+SUMPRODUCT($B12:OFFSET($B13,-1,0),V47:OFFSET(V48,-1,0))-V46)</f>
        <v>15938.734664796546</v>
      </c>
      <c r="X332" s="209">
        <f ca="1">IF($B41=2,SUMPRODUCT($B12:OFFSET($B13,-1,0),X333:OFFSET(X334,-1,0)),SUMPRODUCT($B12:OFFSET($B13,-1,0),X333:OFFSET(X334,-1,0))+SUMPRODUCT($B12:OFFSET($B13,-1,0),W47:OFFSET(W48,-1,0))-W46)</f>
        <v>17393.509354182403</v>
      </c>
      <c r="Y332" s="209">
        <f ca="1">IF($B41=2,SUMPRODUCT($B12:OFFSET($B13,-1,0),Y333:OFFSET(Y334,-1,0)),SUMPRODUCT($B12:OFFSET($B13,-1,0),Y333:OFFSET(Y334,-1,0))+SUMPRODUCT($B12:OFFSET($B13,-1,0),X47:OFFSET(X48,-1,0))-X46)</f>
        <v>24667.382801111704</v>
      </c>
      <c r="Z332" s="35"/>
      <c r="AA332" s="51"/>
    </row>
    <row r="333" spans="1:27" s="180" customFormat="1" hidden="1" outlineLevel="2" x14ac:dyDescent="0.2">
      <c r="A333" s="180" t="str">
        <f ca="1">"        " &amp; A12</f>
        <v xml:space="preserve">        Проект 1</v>
      </c>
      <c r="C333" s="208" t="str">
        <f t="shared" ca="1" si="42"/>
        <v>тыс. EUR</v>
      </c>
      <c r="D333" s="180" t="e">
        <f ca="1">"[" &amp; F12 &amp; "];int_end"</f>
        <v>#NAME?</v>
      </c>
      <c r="F333" s="54">
        <f ca="1">IF(F$33&lt;$B28,0,IF(F$33&gt;$C28,IF(LIFE_PRJ=1,E333,0),OFFSET(Проект!F$1355,0,1-$B28)))</f>
        <v>0</v>
      </c>
      <c r="G333" s="54">
        <f ca="1">IF(G$33&lt;$B28,0,IF(G$33&gt;$C28,IF(LIFE_PRJ=1,F333,0),OFFSET(Проект!G$1355,0,1-$B28)))</f>
        <v>0</v>
      </c>
      <c r="H333" s="54">
        <f ca="1">IF(H$33&lt;$B28,0,IF(H$33&gt;$C28,IF(LIFE_PRJ=1,G333,0),OFFSET(Проект!H$1355,0,1-$B28)))</f>
        <v>0</v>
      </c>
      <c r="I333" s="54">
        <f ca="1">IF(I$33&lt;$B28,0,IF(I$33&gt;$C28,IF(LIFE_PRJ=1,H333,0),OFFSET(Проект!I$1355,0,1-$B28)))</f>
        <v>0</v>
      </c>
      <c r="J333" s="54">
        <f ca="1">IF(J$33&lt;$B28,0,IF(J$33&gt;$C28,IF(LIFE_PRJ=1,I333,0),OFFSET(Проект!J$1355,0,1-$B28)))</f>
        <v>0</v>
      </c>
      <c r="K333" s="54">
        <f ca="1">IF(K$33&lt;$B28,0,IF(K$33&gt;$C28,IF(LIFE_PRJ=1,J333,0),OFFSET(Проект!K$1355,0,1-$B28)))</f>
        <v>0</v>
      </c>
      <c r="L333" s="54">
        <f ca="1">IF(L$33&lt;$B28,0,IF(L$33&gt;$C28,IF(LIFE_PRJ=1,K333,0),OFFSET(Проект!L$1355,0,1-$B28)))</f>
        <v>2827.4120312836421</v>
      </c>
      <c r="M333" s="54">
        <f ca="1">IF(M$33&lt;$B28,0,IF(M$33&gt;$C28,IF(LIFE_PRJ=1,L333,0),OFFSET(Проект!M$1355,0,1-$B28)))</f>
        <v>2843.035293184585</v>
      </c>
      <c r="N333" s="54">
        <f ca="1">IF(N$33&lt;$B28,0,IF(N$33&gt;$C28,IF(LIFE_PRJ=1,M333,0),OFFSET(Проект!N$1355,0,1-$B28)))</f>
        <v>3506.0283310907325</v>
      </c>
      <c r="O333" s="54">
        <f ca="1">IF(O$33&lt;$B28,0,IF(O$33&gt;$C28,IF(LIFE_PRJ=1,N333,0),OFFSET(Проект!O$1355,0,1-$B28)))</f>
        <v>4470.038573843618</v>
      </c>
      <c r="P333" s="54">
        <f ca="1">IF(P$33&lt;$B28,0,IF(P$33&gt;$C28,IF(LIFE_PRJ=1,O333,0),OFFSET(Проект!P$1355,0,1-$B28)))</f>
        <v>5755.3118390955333</v>
      </c>
      <c r="Q333" s="54">
        <f ca="1">IF(Q$33&lt;$B28,0,IF(Q$33&gt;$C28,IF(LIFE_PRJ=1,P333,0),OFFSET(Проект!Q$1355,0,1-$B28)))</f>
        <v>7210.0865284813926</v>
      </c>
      <c r="R333" s="54">
        <f ca="1">IF(R$33&lt;$B28,0,IF(R$33&gt;$C28,IF(LIFE_PRJ=1,Q333,0),OFFSET(Проект!R$1355,0,1-$B28)))</f>
        <v>8664.861217867252</v>
      </c>
      <c r="S333" s="54">
        <f ca="1">IF(S$33&lt;$B28,0,IF(S$33&gt;$C28,IF(LIFE_PRJ=1,R333,0),OFFSET(Проект!S$1355,0,1-$B28)))</f>
        <v>10119.63590725311</v>
      </c>
      <c r="T333" s="54">
        <f ca="1">IF(T$33&lt;$B28,0,IF(T$33&gt;$C28,IF(LIFE_PRJ=1,S333,0),OFFSET(Проект!T$1355,0,1-$B28)))</f>
        <v>11574.410596638969</v>
      </c>
      <c r="U333" s="54">
        <f ca="1">IF(U$33&lt;$B28,0,IF(U$33&gt;$C28,IF(LIFE_PRJ=1,T333,0),OFFSET(Проект!U$1355,0,1-$B28)))</f>
        <v>13029.185286024827</v>
      </c>
      <c r="V333" s="54">
        <f ca="1">IF(V$33&lt;$B28,0,IF(V$33&gt;$C28,IF(LIFE_PRJ=1,U333,0),OFFSET(Проект!V$1355,0,1-$B28)))</f>
        <v>14483.959975410686</v>
      </c>
      <c r="W333" s="54">
        <f ca="1">IF(W$33&lt;$B28,0,IF(W$33&gt;$C28,IF(LIFE_PRJ=1,V333,0),OFFSET(Проект!W$1355,0,1-$B28)))</f>
        <v>15938.734664796544</v>
      </c>
      <c r="X333" s="54">
        <f ca="1">IF(X$33&lt;$B28,0,IF(X$33&gt;$C28,IF(LIFE_PRJ=1,W333,0),OFFSET(Проект!X$1355,0,1-$B28)))</f>
        <v>17393.509354182403</v>
      </c>
      <c r="Y333" s="54">
        <f ca="1">IF(Y$33&lt;$B28,0,IF(Y$33&gt;$C28,IF(LIFE_PRJ=1,X333,0),OFFSET(Проект!AC$1355,0,1-$B28)))</f>
        <v>24667.382801111704</v>
      </c>
    </row>
    <row r="334" spans="1:27" outlineLevel="1" collapsed="1" x14ac:dyDescent="0.2">
      <c r="A334" s="35" t="str">
        <f ca="1">Language!A$767</f>
        <v>Денежные средства на конец периода</v>
      </c>
      <c r="C334" s="5" t="str">
        <f t="shared" ca="1" si="42"/>
        <v>тыс. EUR</v>
      </c>
      <c r="D334" s="204" t="s">
        <v>2616</v>
      </c>
      <c r="F334" s="58">
        <f ca="1">IF($B41=2,SUMPRODUCT($B12:OFFSET($B13,-1,0),F335:OFFSET(F336,-1,0)),SUMPRODUCT($B12:OFFSET($B13,-1,0),F335:OFFSET(F336,-1,0))+SUMPRODUCT($B12:OFFSET($B13,-1,0),F47:OFFSET(F48,-1,0))-F46)</f>
        <v>0</v>
      </c>
      <c r="G334" s="58">
        <f ca="1">IF($B41=2,SUMPRODUCT($B12:OFFSET($B13,-1,0),G335:OFFSET(G336,-1,0)),SUMPRODUCT($B12:OFFSET($B13,-1,0),G335:OFFSET(G336,-1,0))+SUMPRODUCT($B12:OFFSET($B13,-1,0),G47:OFFSET(G48,-1,0))-G46)</f>
        <v>0</v>
      </c>
      <c r="H334" s="58">
        <f ca="1">IF($B41=2,SUMPRODUCT($B12:OFFSET($B13,-1,0),H335:OFFSET(H336,-1,0)),SUMPRODUCT($B12:OFFSET($B13,-1,0),H335:OFFSET(H336,-1,0))+SUMPRODUCT($B12:OFFSET($B13,-1,0),H47:OFFSET(H48,-1,0))-H46)</f>
        <v>0</v>
      </c>
      <c r="I334" s="58">
        <f ca="1">IF($B41=2,SUMPRODUCT($B12:OFFSET($B13,-1,0),I335:OFFSET(I336,-1,0)),SUMPRODUCT($B12:OFFSET($B13,-1,0),I335:OFFSET(I336,-1,0))+SUMPRODUCT($B12:OFFSET($B13,-1,0),I47:OFFSET(I48,-1,0))-I46)</f>
        <v>0</v>
      </c>
      <c r="J334" s="58">
        <f ca="1">IF($B41=2,SUMPRODUCT($B12:OFFSET($B13,-1,0),J335:OFFSET(J336,-1,0)),SUMPRODUCT($B12:OFFSET($B13,-1,0),J335:OFFSET(J336,-1,0))+SUMPRODUCT($B12:OFFSET($B13,-1,0),J47:OFFSET(J48,-1,0))-J46)</f>
        <v>0</v>
      </c>
      <c r="K334" s="58">
        <f ca="1">IF($B41=2,SUMPRODUCT($B12:OFFSET($B13,-1,0),K335:OFFSET(K336,-1,0)),SUMPRODUCT($B12:OFFSET($B13,-1,0),K335:OFFSET(K336,-1,0))+SUMPRODUCT($B12:OFFSET($B13,-1,0),K47:OFFSET(K48,-1,0))-K46)</f>
        <v>2827.4120312836421</v>
      </c>
      <c r="L334" s="58">
        <f ca="1">IF($B41=2,SUMPRODUCT($B12:OFFSET($B13,-1,0),L335:OFFSET(L336,-1,0)),SUMPRODUCT($B12:OFFSET($B13,-1,0),L335:OFFSET(L336,-1,0))+SUMPRODUCT($B12:OFFSET($B13,-1,0),L47:OFFSET(L48,-1,0))-L46)</f>
        <v>2843.035293184585</v>
      </c>
      <c r="M334" s="58">
        <f ca="1">IF($B41=2,SUMPRODUCT($B12:OFFSET($B13,-1,0),M335:OFFSET(M336,-1,0)),SUMPRODUCT($B12:OFFSET($B13,-1,0),M335:OFFSET(M336,-1,0))+SUMPRODUCT($B12:OFFSET($B13,-1,0),M47:OFFSET(M48,-1,0))-M46)</f>
        <v>3506.0283310907325</v>
      </c>
      <c r="N334" s="58">
        <f ca="1">IF($B41=2,SUMPRODUCT($B12:OFFSET($B13,-1,0),N335:OFFSET(N336,-1,0)),SUMPRODUCT($B12:OFFSET($B13,-1,0),N335:OFFSET(N336,-1,0))+SUMPRODUCT($B12:OFFSET($B13,-1,0),N47:OFFSET(N48,-1,0))-N46)</f>
        <v>4470.038573843618</v>
      </c>
      <c r="O334" s="58">
        <f ca="1">IF($B41=2,SUMPRODUCT($B12:OFFSET($B13,-1,0),O335:OFFSET(O336,-1,0)),SUMPRODUCT($B12:OFFSET($B13,-1,0),O335:OFFSET(O336,-1,0))+SUMPRODUCT($B12:OFFSET($B13,-1,0),O47:OFFSET(O48,-1,0))-O46)</f>
        <v>5755.3118390955333</v>
      </c>
      <c r="P334" s="58">
        <f ca="1">IF($B41=2,SUMPRODUCT($B12:OFFSET($B13,-1,0),P335:OFFSET(P336,-1,0)),SUMPRODUCT($B12:OFFSET($B13,-1,0),P335:OFFSET(P336,-1,0))+SUMPRODUCT($B12:OFFSET($B13,-1,0),P47:OFFSET(P48,-1,0))-P46)</f>
        <v>7210.0865284813926</v>
      </c>
      <c r="Q334" s="58">
        <f ca="1">IF($B41=2,SUMPRODUCT($B12:OFFSET($B13,-1,0),Q335:OFFSET(Q336,-1,0)),SUMPRODUCT($B12:OFFSET($B13,-1,0),Q335:OFFSET(Q336,-1,0))+SUMPRODUCT($B12:OFFSET($B13,-1,0),Q47:OFFSET(Q48,-1,0))-Q46)</f>
        <v>8664.861217867252</v>
      </c>
      <c r="R334" s="58">
        <f ca="1">IF($B41=2,SUMPRODUCT($B12:OFFSET($B13,-1,0),R335:OFFSET(R336,-1,0)),SUMPRODUCT($B12:OFFSET($B13,-1,0),R335:OFFSET(R336,-1,0))+SUMPRODUCT($B12:OFFSET($B13,-1,0),R47:OFFSET(R48,-1,0))-R46)</f>
        <v>10119.63590725311</v>
      </c>
      <c r="S334" s="58">
        <f ca="1">IF($B41=2,SUMPRODUCT($B12:OFFSET($B13,-1,0),S335:OFFSET(S336,-1,0)),SUMPRODUCT($B12:OFFSET($B13,-1,0),S335:OFFSET(S336,-1,0))+SUMPRODUCT($B12:OFFSET($B13,-1,0),S47:OFFSET(S48,-1,0))-S46)</f>
        <v>11574.410596638969</v>
      </c>
      <c r="T334" s="58">
        <f ca="1">IF($B41=2,SUMPRODUCT($B12:OFFSET($B13,-1,0),T335:OFFSET(T336,-1,0)),SUMPRODUCT($B12:OFFSET($B13,-1,0),T335:OFFSET(T336,-1,0))+SUMPRODUCT($B12:OFFSET($B13,-1,0),T47:OFFSET(T48,-1,0))-T46)</f>
        <v>13029.185286024827</v>
      </c>
      <c r="U334" s="58">
        <f ca="1">IF($B41=2,SUMPRODUCT($B12:OFFSET($B13,-1,0),U335:OFFSET(U336,-1,0)),SUMPRODUCT($B12:OFFSET($B13,-1,0),U335:OFFSET(U336,-1,0))+SUMPRODUCT($B12:OFFSET($B13,-1,0),U47:OFFSET(U48,-1,0))-U46)</f>
        <v>14483.959975410686</v>
      </c>
      <c r="V334" s="58">
        <f ca="1">IF($B41=2,SUMPRODUCT($B12:OFFSET($B13,-1,0),V335:OFFSET(V336,-1,0)),SUMPRODUCT($B12:OFFSET($B13,-1,0),V335:OFFSET(V336,-1,0))+SUMPRODUCT($B12:OFFSET($B13,-1,0),V47:OFFSET(V48,-1,0))-V46)</f>
        <v>15938.734664796546</v>
      </c>
      <c r="W334" s="58">
        <f ca="1">IF($B41=2,SUMPRODUCT($B12:OFFSET($B13,-1,0),W335:OFFSET(W336,-1,0)),SUMPRODUCT($B12:OFFSET($B13,-1,0),W335:OFFSET(W336,-1,0))+SUMPRODUCT($B12:OFFSET($B13,-1,0),W47:OFFSET(W48,-1,0))-W46)</f>
        <v>17393.509354182403</v>
      </c>
      <c r="X334" s="58">
        <f ca="1">IF($B41=2,SUMPRODUCT($B12:OFFSET($B13,-1,0),X335:OFFSET(X336,-1,0)),SUMPRODUCT($B12:OFFSET($B13,-1,0),X335:OFFSET(X336,-1,0))+SUMPRODUCT($B12:OFFSET($B13,-1,0),X47:OFFSET(X48,-1,0))-X46)</f>
        <v>18848.284043568263</v>
      </c>
      <c r="Y334" s="58">
        <f ca="1">IF($B41=2,SUMPRODUCT($B12:OFFSET($B13,-1,0),Y335:OFFSET(Y336,-1,0)),SUMPRODUCT($B12:OFFSET($B13,-1,0),Y335:OFFSET(Y336,-1,0))+SUMPRODUCT($B12:OFFSET($B13,-1,0),Y47:OFFSET(Y48,-1,0))-Y46)</f>
        <v>27196.87459454027</v>
      </c>
    </row>
    <row r="335" spans="1:27" s="180" customFormat="1" hidden="1" outlineLevel="2" x14ac:dyDescent="0.2">
      <c r="A335" s="180" t="str">
        <f ca="1">"        " &amp; A12</f>
        <v xml:space="preserve">        Проект 1</v>
      </c>
      <c r="C335" s="208" t="str">
        <f t="shared" ca="1" si="42"/>
        <v>тыс. EUR</v>
      </c>
      <c r="D335" s="180" t="e">
        <f ca="1">"[" &amp; F12 &amp; "];int_end"</f>
        <v>#NAME?</v>
      </c>
      <c r="F335" s="54">
        <f ca="1">IF(F$33&lt;$B28,0,IF(F$33&gt;$C28,IF(LIFE_PRJ=1,E335,0),OFFSET(Проект!F$1356,0,1-$B28)))</f>
        <v>0</v>
      </c>
      <c r="G335" s="54">
        <f ca="1">IF(G$33&lt;$B28,0,IF(G$33&gt;$C28,IF(LIFE_PRJ=1,F335,0),OFFSET(Проект!G$1356,0,1-$B28)))</f>
        <v>0</v>
      </c>
      <c r="H335" s="54">
        <f ca="1">IF(H$33&lt;$B28,0,IF(H$33&gt;$C28,IF(LIFE_PRJ=1,G335,0),OFFSET(Проект!H$1356,0,1-$B28)))</f>
        <v>0</v>
      </c>
      <c r="I335" s="54">
        <f ca="1">IF(I$33&lt;$B28,0,IF(I$33&gt;$C28,IF(LIFE_PRJ=1,H335,0),OFFSET(Проект!I$1356,0,1-$B28)))</f>
        <v>0</v>
      </c>
      <c r="J335" s="54">
        <f ca="1">IF(J$33&lt;$B28,0,IF(J$33&gt;$C28,IF(LIFE_PRJ=1,I335,0),OFFSET(Проект!J$1356,0,1-$B28)))</f>
        <v>0</v>
      </c>
      <c r="K335" s="54">
        <f ca="1">IF(K$33&lt;$B28,0,IF(K$33&gt;$C28,IF(LIFE_PRJ=1,J335,0),OFFSET(Проект!K$1356,0,1-$B28)))</f>
        <v>2827.4120312836421</v>
      </c>
      <c r="L335" s="54">
        <f ca="1">IF(L$33&lt;$B28,0,IF(L$33&gt;$C28,IF(LIFE_PRJ=1,K335,0),OFFSET(Проект!L$1356,0,1-$B28)))</f>
        <v>2843.035293184585</v>
      </c>
      <c r="M335" s="54">
        <f ca="1">IF(M$33&lt;$B28,0,IF(M$33&gt;$C28,IF(LIFE_PRJ=1,L335,0),OFFSET(Проект!M$1356,0,1-$B28)))</f>
        <v>3506.0283310907325</v>
      </c>
      <c r="N335" s="54">
        <f ca="1">IF(N$33&lt;$B28,0,IF(N$33&gt;$C28,IF(LIFE_PRJ=1,M335,0),OFFSET(Проект!N$1356,0,1-$B28)))</f>
        <v>4470.038573843618</v>
      </c>
      <c r="O335" s="54">
        <f ca="1">IF(O$33&lt;$B28,0,IF(O$33&gt;$C28,IF(LIFE_PRJ=1,N335,0),OFFSET(Проект!O$1356,0,1-$B28)))</f>
        <v>5755.3118390955333</v>
      </c>
      <c r="P335" s="54">
        <f ca="1">IF(P$33&lt;$B28,0,IF(P$33&gt;$C28,IF(LIFE_PRJ=1,O335,0),OFFSET(Проект!P$1356,0,1-$B28)))</f>
        <v>7210.0865284813926</v>
      </c>
      <c r="Q335" s="54">
        <f ca="1">IF(Q$33&lt;$B28,0,IF(Q$33&gt;$C28,IF(LIFE_PRJ=1,P335,0),OFFSET(Проект!Q$1356,0,1-$B28)))</f>
        <v>8664.861217867252</v>
      </c>
      <c r="R335" s="54">
        <f ca="1">IF(R$33&lt;$B28,0,IF(R$33&gt;$C28,IF(LIFE_PRJ=1,Q335,0),OFFSET(Проект!R$1356,0,1-$B28)))</f>
        <v>10119.63590725311</v>
      </c>
      <c r="S335" s="54">
        <f ca="1">IF(S$33&lt;$B28,0,IF(S$33&gt;$C28,IF(LIFE_PRJ=1,R335,0),OFFSET(Проект!S$1356,0,1-$B28)))</f>
        <v>11574.410596638969</v>
      </c>
      <c r="T335" s="54">
        <f ca="1">IF(T$33&lt;$B28,0,IF(T$33&gt;$C28,IF(LIFE_PRJ=1,S335,0),OFFSET(Проект!T$1356,0,1-$B28)))</f>
        <v>13029.185286024827</v>
      </c>
      <c r="U335" s="54">
        <f ca="1">IF(U$33&lt;$B28,0,IF(U$33&gt;$C28,IF(LIFE_PRJ=1,T335,0),OFFSET(Проект!U$1356,0,1-$B28)))</f>
        <v>14483.959975410686</v>
      </c>
      <c r="V335" s="54">
        <f ca="1">IF(V$33&lt;$B28,0,IF(V$33&gt;$C28,IF(LIFE_PRJ=1,U335,0),OFFSET(Проект!V$1356,0,1-$B28)))</f>
        <v>15938.734664796544</v>
      </c>
      <c r="W335" s="54">
        <f ca="1">IF(W$33&lt;$B28,0,IF(W$33&gt;$C28,IF(LIFE_PRJ=1,V335,0),OFFSET(Проект!W$1356,0,1-$B28)))</f>
        <v>17393.509354182403</v>
      </c>
      <c r="X335" s="54">
        <f ca="1">IF(X$33&lt;$B28,0,IF(X$33&gt;$C28,IF(LIFE_PRJ=1,W335,0),OFFSET(Проект!X$1356,0,1-$B28)))</f>
        <v>18848.284043568263</v>
      </c>
      <c r="Y335" s="54">
        <f ca="1">IF(Y$33&lt;$B28,0,IF(Y$33&gt;$C28,IF(LIFE_PRJ=1,X335,0),OFFSET(Проект!AC$1356,0,1-$B28)))</f>
        <v>26122.157490497564</v>
      </c>
    </row>
    <row r="336" spans="1:27" outlineLevel="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203"/>
    </row>
    <row r="337" spans="1:27" outlineLevel="1" collapsed="1" x14ac:dyDescent="0.2">
      <c r="A337" s="22" t="str">
        <f ca="1">Language!A$768 &amp; ", " &amp; CUR_Report</f>
        <v>График: Движение денежных средств, тыс. EUR</v>
      </c>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205"/>
    </row>
    <row r="338" spans="1:27" hidden="1" outlineLevel="2" x14ac:dyDescent="0.2"/>
    <row r="339" spans="1:27" hidden="1" outlineLevel="2" x14ac:dyDescent="0.2"/>
    <row r="340" spans="1:27" hidden="1" outlineLevel="2" x14ac:dyDescent="0.2"/>
    <row r="341" spans="1:27" hidden="1" outlineLevel="2" x14ac:dyDescent="0.2"/>
    <row r="342" spans="1:27" hidden="1" outlineLevel="2" x14ac:dyDescent="0.2"/>
    <row r="343" spans="1:27" hidden="1" outlineLevel="2" x14ac:dyDescent="0.2"/>
    <row r="344" spans="1:27" hidden="1" outlineLevel="2" x14ac:dyDescent="0.2"/>
    <row r="345" spans="1:27" hidden="1" outlineLevel="2" x14ac:dyDescent="0.2"/>
    <row r="346" spans="1:27" hidden="1" outlineLevel="2" x14ac:dyDescent="0.2"/>
    <row r="347" spans="1:27" hidden="1" outlineLevel="2" x14ac:dyDescent="0.2"/>
    <row r="348" spans="1:27" hidden="1" outlineLevel="2" x14ac:dyDescent="0.2"/>
    <row r="349" spans="1:27" hidden="1" outlineLevel="2" x14ac:dyDescent="0.2"/>
    <row r="350" spans="1:27" hidden="1" outlineLevel="2" x14ac:dyDescent="0.2"/>
    <row r="351" spans="1:27" hidden="1" outlineLevel="2" x14ac:dyDescent="0.2"/>
    <row r="352" spans="1:27" hidden="1" outlineLevel="2" x14ac:dyDescent="0.2"/>
    <row r="353" spans="1:1" hidden="1" outlineLevel="2" x14ac:dyDescent="0.2"/>
    <row r="354" spans="1:1" hidden="1" outlineLevel="2" x14ac:dyDescent="0.2"/>
    <row r="355" spans="1:1" hidden="1" outlineLevel="2" x14ac:dyDescent="0.2"/>
    <row r="356" spans="1:1" hidden="1" outlineLevel="2" x14ac:dyDescent="0.2"/>
    <row r="357" spans="1:1" hidden="1" outlineLevel="2" x14ac:dyDescent="0.2"/>
    <row r="358" spans="1:1" hidden="1" outlineLevel="2" x14ac:dyDescent="0.2"/>
    <row r="359" spans="1:1" hidden="1" outlineLevel="2" x14ac:dyDescent="0.2"/>
    <row r="360" spans="1:1" hidden="1" outlineLevel="2" x14ac:dyDescent="0.2"/>
    <row r="361" spans="1:1" outlineLevel="1" x14ac:dyDescent="0.2"/>
    <row r="362" spans="1:1" outlineLevel="1" collapsed="1" x14ac:dyDescent="0.2">
      <c r="A362" s="11" t="str">
        <f ca="1">Language!A$769 &amp; ", " &amp; CUR_Report</f>
        <v>График: Остаток денежных средств, тыс. EUR</v>
      </c>
    </row>
    <row r="363" spans="1:1" hidden="1" outlineLevel="2" x14ac:dyDescent="0.2"/>
    <row r="364" spans="1:1" hidden="1" outlineLevel="2" x14ac:dyDescent="0.2"/>
    <row r="365" spans="1:1" hidden="1" outlineLevel="2" x14ac:dyDescent="0.2"/>
    <row r="366" spans="1:1" hidden="1" outlineLevel="2" x14ac:dyDescent="0.2"/>
    <row r="367" spans="1:1" hidden="1" outlineLevel="2" x14ac:dyDescent="0.2"/>
    <row r="368" spans="1:1" hidden="1" outlineLevel="2" x14ac:dyDescent="0.2"/>
    <row r="369" hidden="1" outlineLevel="2" x14ac:dyDescent="0.2"/>
    <row r="370" hidden="1" outlineLevel="2" x14ac:dyDescent="0.2"/>
    <row r="371" hidden="1" outlineLevel="2" x14ac:dyDescent="0.2"/>
    <row r="372" hidden="1" outlineLevel="2" x14ac:dyDescent="0.2"/>
    <row r="373" hidden="1" outlineLevel="2" x14ac:dyDescent="0.2"/>
    <row r="374" hidden="1" outlineLevel="2" x14ac:dyDescent="0.2"/>
    <row r="375" hidden="1" outlineLevel="2" x14ac:dyDescent="0.2"/>
    <row r="376" hidden="1" outlineLevel="2" x14ac:dyDescent="0.2"/>
    <row r="377" hidden="1" outlineLevel="2" x14ac:dyDescent="0.2"/>
    <row r="378" hidden="1" outlineLevel="2" x14ac:dyDescent="0.2"/>
    <row r="379" hidden="1" outlineLevel="2" x14ac:dyDescent="0.2"/>
    <row r="380" hidden="1" outlineLevel="2" x14ac:dyDescent="0.2"/>
    <row r="381" hidden="1" outlineLevel="2" x14ac:dyDescent="0.2"/>
    <row r="382" hidden="1" outlineLevel="2" x14ac:dyDescent="0.2"/>
    <row r="383" hidden="1" outlineLevel="2" x14ac:dyDescent="0.2"/>
    <row r="384" hidden="1" outlineLevel="2" x14ac:dyDescent="0.2"/>
    <row r="385" spans="1:1" hidden="1" outlineLevel="2" x14ac:dyDescent="0.2"/>
    <row r="386" spans="1:1" outlineLevel="1" x14ac:dyDescent="0.2"/>
    <row r="387" spans="1:1" outlineLevel="1" collapsed="1" x14ac:dyDescent="0.2">
      <c r="A387" s="11" t="str">
        <f ca="1">Language!A$1012 &amp; ", " &amp; CUR_Report</f>
        <v>График: Движение денег по кредитам, тыс. EUR</v>
      </c>
    </row>
    <row r="388" spans="1:1" hidden="1" outlineLevel="2" x14ac:dyDescent="0.2"/>
    <row r="389" spans="1:1" hidden="1" outlineLevel="2" x14ac:dyDescent="0.2"/>
    <row r="390" spans="1:1" hidden="1" outlineLevel="2" x14ac:dyDescent="0.2"/>
    <row r="391" spans="1:1" hidden="1" outlineLevel="2" x14ac:dyDescent="0.2"/>
    <row r="392" spans="1:1" hidden="1" outlineLevel="2" x14ac:dyDescent="0.2"/>
    <row r="393" spans="1:1" hidden="1" outlineLevel="2" x14ac:dyDescent="0.2"/>
    <row r="394" spans="1:1" hidden="1" outlineLevel="2" x14ac:dyDescent="0.2"/>
    <row r="395" spans="1:1" hidden="1" outlineLevel="2" x14ac:dyDescent="0.2"/>
    <row r="396" spans="1:1" hidden="1" outlineLevel="2" x14ac:dyDescent="0.2"/>
    <row r="397" spans="1:1" hidden="1" outlineLevel="2" x14ac:dyDescent="0.2"/>
    <row r="398" spans="1:1" hidden="1" outlineLevel="2" x14ac:dyDescent="0.2"/>
    <row r="399" spans="1:1" hidden="1" outlineLevel="2" x14ac:dyDescent="0.2"/>
    <row r="400" spans="1:1" hidden="1" outlineLevel="2" x14ac:dyDescent="0.2"/>
    <row r="401" spans="1:1" hidden="1" outlineLevel="2" x14ac:dyDescent="0.2"/>
    <row r="402" spans="1:1" hidden="1" outlineLevel="2" x14ac:dyDescent="0.2"/>
    <row r="403" spans="1:1" hidden="1" outlineLevel="2" x14ac:dyDescent="0.2"/>
    <row r="404" spans="1:1" hidden="1" outlineLevel="2" x14ac:dyDescent="0.2"/>
    <row r="405" spans="1:1" hidden="1" outlineLevel="2" x14ac:dyDescent="0.2"/>
    <row r="406" spans="1:1" hidden="1" outlineLevel="2" x14ac:dyDescent="0.2"/>
    <row r="407" spans="1:1" hidden="1" outlineLevel="2" x14ac:dyDescent="0.2"/>
    <row r="408" spans="1:1" hidden="1" outlineLevel="2" x14ac:dyDescent="0.2"/>
    <row r="409" spans="1:1" hidden="1" outlineLevel="2" x14ac:dyDescent="0.2"/>
    <row r="410" spans="1:1" hidden="1" outlineLevel="2" x14ac:dyDescent="0.2"/>
    <row r="411" spans="1:1" outlineLevel="1" x14ac:dyDescent="0.2"/>
    <row r="412" spans="1:1" outlineLevel="1" collapsed="1" x14ac:dyDescent="0.2">
      <c r="A412" s="11" t="str">
        <f ca="1">Language!A$1014 &amp; ", " &amp; CUR_Report</f>
        <v>График: Поступления от продаж, тыс. EUR</v>
      </c>
    </row>
    <row r="413" spans="1:1" hidden="1" outlineLevel="2" x14ac:dyDescent="0.2"/>
    <row r="414" spans="1:1" hidden="1" outlineLevel="2" x14ac:dyDescent="0.2"/>
    <row r="415" spans="1:1" hidden="1" outlineLevel="2" x14ac:dyDescent="0.2"/>
    <row r="416" spans="1:1" hidden="1" outlineLevel="2" x14ac:dyDescent="0.2"/>
    <row r="417" hidden="1" outlineLevel="2" x14ac:dyDescent="0.2"/>
    <row r="418" hidden="1" outlineLevel="2" x14ac:dyDescent="0.2"/>
    <row r="419" hidden="1" outlineLevel="2" x14ac:dyDescent="0.2"/>
    <row r="420" hidden="1" outlineLevel="2" x14ac:dyDescent="0.2"/>
    <row r="421" hidden="1" outlineLevel="2" x14ac:dyDescent="0.2"/>
    <row r="422" hidden="1" outlineLevel="2" x14ac:dyDescent="0.2"/>
    <row r="423" hidden="1" outlineLevel="2" x14ac:dyDescent="0.2"/>
    <row r="424" hidden="1" outlineLevel="2" x14ac:dyDescent="0.2"/>
    <row r="425" hidden="1" outlineLevel="2" x14ac:dyDescent="0.2"/>
    <row r="426" hidden="1" outlineLevel="2" x14ac:dyDescent="0.2"/>
    <row r="427" hidden="1" outlineLevel="2" x14ac:dyDescent="0.2"/>
    <row r="428" hidden="1" outlineLevel="2" x14ac:dyDescent="0.2"/>
    <row r="429" hidden="1" outlineLevel="2" x14ac:dyDescent="0.2"/>
    <row r="430" hidden="1" outlineLevel="2" x14ac:dyDescent="0.2"/>
    <row r="431" hidden="1" outlineLevel="2" x14ac:dyDescent="0.2"/>
    <row r="432" hidden="1" outlineLevel="2" x14ac:dyDescent="0.2"/>
    <row r="433" spans="1:27" hidden="1" outlineLevel="2" x14ac:dyDescent="0.2"/>
    <row r="434" spans="1:27" hidden="1" outlineLevel="2" x14ac:dyDescent="0.2"/>
    <row r="435" spans="1:27" hidden="1" outlineLevel="2" x14ac:dyDescent="0.2"/>
    <row r="436" spans="1:27" outlineLevel="1" x14ac:dyDescent="0.2"/>
    <row r="437" spans="1:27" outlineLevel="1" x14ac:dyDescent="0.2"/>
    <row r="438" spans="1:27" s="4" customFormat="1" ht="15.95" customHeight="1" thickBot="1" x14ac:dyDescent="0.25">
      <c r="A438" s="165" t="str">
        <f ca="1">Language!A976</f>
        <v xml:space="preserve">         СВОДНЫЙ БАЛАНС</v>
      </c>
      <c r="B438" s="165"/>
      <c r="C438" s="165"/>
      <c r="D438" s="165"/>
      <c r="E438" s="165"/>
      <c r="F438" s="177" t="str">
        <f ca="1">IF(Проект!ShowRealDates,F36,F34)</f>
        <v>1 кв. 2016</v>
      </c>
      <c r="G438" s="177" t="str">
        <f ca="1">IF(Проект!ShowRealDates,G36,G34)</f>
        <v>2 кв. 2016</v>
      </c>
      <c r="H438" s="177" t="str">
        <f ca="1">IF(Проект!ShowRealDates,H36,H34)</f>
        <v>3 кв. 2016</v>
      </c>
      <c r="I438" s="177" t="str">
        <f ca="1">IF(Проект!ShowRealDates,I36,I34)</f>
        <v>4 кв. 2016</v>
      </c>
      <c r="J438" s="177" t="str">
        <f ca="1">IF(Проект!ShowRealDates,J36,J34)</f>
        <v>1 кв. 2017</v>
      </c>
      <c r="K438" s="177" t="str">
        <f ca="1">IF(Проект!ShowRealDates,K36,K34)</f>
        <v>2 кв. 2017</v>
      </c>
      <c r="L438" s="177" t="str">
        <f ca="1">IF(Проект!ShowRealDates,L36,L34)</f>
        <v>3 кв. 2017</v>
      </c>
      <c r="M438" s="177" t="str">
        <f ca="1">IF(Проект!ShowRealDates,M36,M34)</f>
        <v>4 кв. 2017</v>
      </c>
      <c r="N438" s="177" t="str">
        <f ca="1">IF(Проект!ShowRealDates,N36,N34)</f>
        <v>1 кв. 2018</v>
      </c>
      <c r="O438" s="177" t="str">
        <f ca="1">IF(Проект!ShowRealDates,O36,O34)</f>
        <v>2 кв. 2018</v>
      </c>
      <c r="P438" s="177" t="str">
        <f ca="1">IF(Проект!ShowRealDates,P36,P34)</f>
        <v>3 кв. 2018</v>
      </c>
      <c r="Q438" s="177" t="str">
        <f ca="1">IF(Проект!ShowRealDates,Q36,Q34)</f>
        <v>4 кв. 2018</v>
      </c>
      <c r="R438" s="177" t="str">
        <f ca="1">IF(Проект!ShowRealDates,R36,R34)</f>
        <v>1 кв. 2019</v>
      </c>
      <c r="S438" s="177" t="str">
        <f ca="1">IF(Проект!ShowRealDates,S36,S34)</f>
        <v>2 кв. 2019</v>
      </c>
      <c r="T438" s="177" t="str">
        <f ca="1">IF(Проект!ShowRealDates,T36,T34)</f>
        <v>3 кв. 2019</v>
      </c>
      <c r="U438" s="177" t="str">
        <f ca="1">IF(Проект!ShowRealDates,U36,U34)</f>
        <v>4 кв. 2019</v>
      </c>
      <c r="V438" s="177" t="str">
        <f ca="1">IF(Проект!ShowRealDates,V36,V34)</f>
        <v>1 кв. 2020</v>
      </c>
      <c r="W438" s="177" t="str">
        <f ca="1">IF(Проект!ShowRealDates,W36,W34)</f>
        <v>2 кв. 2020</v>
      </c>
      <c r="X438" s="177" t="str">
        <f ca="1">IF(Проект!ShowRealDates,X36,X34)</f>
        <v>3 кв. 2020</v>
      </c>
      <c r="Y438" s="177" t="str">
        <f ca="1">IF(Проект!ShowRealDates,Y36,Y34)</f>
        <v>4 кв. 2020</v>
      </c>
      <c r="Z438" s="166"/>
      <c r="AA438" s="109"/>
    </row>
    <row r="439" spans="1:27" ht="12" outlineLevel="1" thickTop="1" x14ac:dyDescent="0.2"/>
    <row r="440" spans="1:27" outlineLevel="1" collapsed="1" x14ac:dyDescent="0.2">
      <c r="A440" t="str">
        <f ca="1">Language!A$771</f>
        <v>Денежные средства</v>
      </c>
      <c r="C440" s="5" t="str">
        <f t="shared" ref="C440:C459" ca="1" si="48">CUR_Report</f>
        <v>тыс. EUR</v>
      </c>
      <c r="D440" s="16" t="s">
        <v>2616</v>
      </c>
      <c r="F440" s="105">
        <f t="shared" ref="F440:T440" ca="1" si="49">F334+F115</f>
        <v>0</v>
      </c>
      <c r="G440" s="105">
        <f t="shared" ca="1" si="49"/>
        <v>0</v>
      </c>
      <c r="H440" s="105">
        <f t="shared" ca="1" si="49"/>
        <v>0</v>
      </c>
      <c r="I440" s="105">
        <f t="shared" ca="1" si="49"/>
        <v>0</v>
      </c>
      <c r="J440" s="105">
        <f t="shared" ca="1" si="49"/>
        <v>0</v>
      </c>
      <c r="K440" s="105">
        <f t="shared" ca="1" si="49"/>
        <v>2827.4120312836421</v>
      </c>
      <c r="L440" s="105">
        <f t="shared" ca="1" si="49"/>
        <v>2843.035293184585</v>
      </c>
      <c r="M440" s="105">
        <f t="shared" ca="1" si="49"/>
        <v>3506.0283310907325</v>
      </c>
      <c r="N440" s="105">
        <f t="shared" ca="1" si="49"/>
        <v>4470.038573843618</v>
      </c>
      <c r="O440" s="105">
        <f t="shared" ca="1" si="49"/>
        <v>5755.3118390955333</v>
      </c>
      <c r="P440" s="105">
        <f t="shared" ca="1" si="49"/>
        <v>7210.0865284813926</v>
      </c>
      <c r="Q440" s="105">
        <f t="shared" ca="1" si="49"/>
        <v>8664.861217867252</v>
      </c>
      <c r="R440" s="105">
        <f t="shared" ca="1" si="49"/>
        <v>10119.63590725311</v>
      </c>
      <c r="S440" s="105">
        <f t="shared" ca="1" si="49"/>
        <v>11574.410596638969</v>
      </c>
      <c r="T440" s="105">
        <f t="shared" ca="1" si="49"/>
        <v>13029.185286024827</v>
      </c>
      <c r="U440" s="105">
        <f t="shared" ref="U440" ca="1" si="50">U334+U115</f>
        <v>14483.959975410686</v>
      </c>
      <c r="V440" s="105">
        <f t="shared" ref="V440" ca="1" si="51">V334+V115</f>
        <v>15938.734664796546</v>
      </c>
      <c r="W440" s="105">
        <f t="shared" ref="W440" ca="1" si="52">W334+W115</f>
        <v>17393.509354182403</v>
      </c>
      <c r="X440" s="105">
        <f t="shared" ref="X440:Y440" ca="1" si="53">X334+X115</f>
        <v>18848.284043568263</v>
      </c>
      <c r="Y440" s="105">
        <f t="shared" ca="1" si="53"/>
        <v>27196.87459454027</v>
      </c>
      <c r="AA440" s="11"/>
    </row>
    <row r="441" spans="1:27" s="180" customFormat="1" hidden="1" outlineLevel="2" x14ac:dyDescent="0.2">
      <c r="A441" s="11" t="str">
        <f ca="1">"        " &amp; A12</f>
        <v xml:space="preserve">        Проект 1</v>
      </c>
      <c r="B441" s="11"/>
      <c r="C441" s="36" t="str">
        <f t="shared" ca="1" si="48"/>
        <v>тыс. EUR</v>
      </c>
      <c r="D441" s="11" t="e">
        <f ca="1">"[" &amp; F12 &amp; "];int_end"</f>
        <v>#NAME?</v>
      </c>
      <c r="E441" s="11"/>
      <c r="F441" s="54">
        <f ca="1">IF(F$33&lt;$B28,0,IF(F$33&gt;$C28,IF(LIFE_PRJ=1,E441,0),OFFSET(Проект!F$1461,0,1-$B28)))</f>
        <v>0</v>
      </c>
      <c r="G441" s="54">
        <f ca="1">IF(G$33&lt;$B28,0,IF(G$33&gt;$C28,IF(LIFE_PRJ=1,F441,0),OFFSET(Проект!G$1461,0,1-$B28)))</f>
        <v>0</v>
      </c>
      <c r="H441" s="54">
        <f ca="1">IF(H$33&lt;$B28,0,IF(H$33&gt;$C28,IF(LIFE_PRJ=1,G441,0),OFFSET(Проект!H$1461,0,1-$B28)))</f>
        <v>0</v>
      </c>
      <c r="I441" s="54">
        <f ca="1">IF(I$33&lt;$B28,0,IF(I$33&gt;$C28,IF(LIFE_PRJ=1,H441,0),OFFSET(Проект!I$1461,0,1-$B28)))</f>
        <v>0</v>
      </c>
      <c r="J441" s="54">
        <f ca="1">IF(J$33&lt;$B28,0,IF(J$33&gt;$C28,IF(LIFE_PRJ=1,I441,0),OFFSET(Проект!J$1461,0,1-$B28)))</f>
        <v>0</v>
      </c>
      <c r="K441" s="54">
        <f ca="1">IF(K$33&lt;$B28,0,IF(K$33&gt;$C28,IF(LIFE_PRJ=1,J441,0),OFFSET(Проект!K$1461,0,1-$B28)))</f>
        <v>2827.4120312836421</v>
      </c>
      <c r="L441" s="54">
        <f ca="1">IF(L$33&lt;$B28,0,IF(L$33&gt;$C28,IF(LIFE_PRJ=1,K441,0),OFFSET(Проект!L$1461,0,1-$B28)))</f>
        <v>2843.035293184585</v>
      </c>
      <c r="M441" s="54">
        <f ca="1">IF(M$33&lt;$B28,0,IF(M$33&gt;$C28,IF(LIFE_PRJ=1,L441,0),OFFSET(Проект!M$1461,0,1-$B28)))</f>
        <v>3506.0283310907325</v>
      </c>
      <c r="N441" s="54">
        <f ca="1">IF(N$33&lt;$B28,0,IF(N$33&gt;$C28,IF(LIFE_PRJ=1,M441,0),OFFSET(Проект!N$1461,0,1-$B28)))</f>
        <v>4470.038573843618</v>
      </c>
      <c r="O441" s="54">
        <f ca="1">IF(O$33&lt;$B28,0,IF(O$33&gt;$C28,IF(LIFE_PRJ=1,N441,0),OFFSET(Проект!O$1461,0,1-$B28)))</f>
        <v>5755.3118390955333</v>
      </c>
      <c r="P441" s="54">
        <f ca="1">IF(P$33&lt;$B28,0,IF(P$33&gt;$C28,IF(LIFE_PRJ=1,O441,0),OFFSET(Проект!P$1461,0,1-$B28)))</f>
        <v>7210.0865284813926</v>
      </c>
      <c r="Q441" s="54">
        <f ca="1">IF(Q$33&lt;$B28,0,IF(Q$33&gt;$C28,IF(LIFE_PRJ=1,P441,0),OFFSET(Проект!Q$1461,0,1-$B28)))</f>
        <v>8664.861217867252</v>
      </c>
      <c r="R441" s="54">
        <f ca="1">IF(R$33&lt;$B28,0,IF(R$33&gt;$C28,IF(LIFE_PRJ=1,Q441,0),OFFSET(Проект!R$1461,0,1-$B28)))</f>
        <v>10119.63590725311</v>
      </c>
      <c r="S441" s="54">
        <f ca="1">IF(S$33&lt;$B28,0,IF(S$33&gt;$C28,IF(LIFE_PRJ=1,R441,0),OFFSET(Проект!S$1461,0,1-$B28)))</f>
        <v>11574.410596638969</v>
      </c>
      <c r="T441" s="54">
        <f ca="1">IF(T$33&lt;$B28,0,IF(T$33&gt;$C28,IF(LIFE_PRJ=1,S441,0),OFFSET(Проект!T$1461,0,1-$B28)))</f>
        <v>13029.185286024827</v>
      </c>
      <c r="U441" s="54">
        <f ca="1">IF(U$33&lt;$B28,0,IF(U$33&gt;$C28,IF(LIFE_PRJ=1,T441,0),OFFSET(Проект!U$1461,0,1-$B28)))</f>
        <v>14483.959975410686</v>
      </c>
      <c r="V441" s="54">
        <f ca="1">IF(V$33&lt;$B28,0,IF(V$33&gt;$C28,IF(LIFE_PRJ=1,U441,0),OFFSET(Проект!V$1461,0,1-$B28)))</f>
        <v>15938.734664796544</v>
      </c>
      <c r="W441" s="54">
        <f ca="1">IF(W$33&lt;$B28,0,IF(W$33&gt;$C28,IF(LIFE_PRJ=1,V441,0),OFFSET(Проект!W$1461,0,1-$B28)))</f>
        <v>17393.509354182403</v>
      </c>
      <c r="X441" s="54">
        <f ca="1">IF(X$33&lt;$B28,0,IF(X$33&gt;$C28,IF(LIFE_PRJ=1,W441,0),OFFSET(Проект!X$1461,0,1-$B28)))</f>
        <v>18848.284043568263</v>
      </c>
      <c r="Y441" s="54">
        <f ca="1">IF(Y$33&lt;$B28,0,IF(Y$33&gt;$C28,IF(LIFE_PRJ=1,X441,0),OFFSET(Проект!AC$1461,0,1-$B28)))</f>
        <v>26122.157490497564</v>
      </c>
    </row>
    <row r="442" spans="1:27" outlineLevel="1" collapsed="1" x14ac:dyDescent="0.2">
      <c r="A442" t="str">
        <f ca="1">Language!A$772</f>
        <v>Дебиторская задолженность</v>
      </c>
      <c r="C442" s="5" t="str">
        <f t="shared" ca="1" si="48"/>
        <v>тыс. EUR</v>
      </c>
      <c r="D442" s="16" t="s">
        <v>2616</v>
      </c>
      <c r="F442" s="105">
        <f ca="1">SUMPRODUCT($B12:OFFSET($B13,-1,0),F443:OFFSET(F444,-1,0))</f>
        <v>0</v>
      </c>
      <c r="G442" s="105">
        <f ca="1">SUMPRODUCT($B12:OFFSET($B13,-1,0),G443:OFFSET(G444,-1,0))</f>
        <v>0</v>
      </c>
      <c r="H442" s="105">
        <f ca="1">SUMPRODUCT($B12:OFFSET($B13,-1,0),H443:OFFSET(H444,-1,0))</f>
        <v>0</v>
      </c>
      <c r="I442" s="105">
        <f ca="1">SUMPRODUCT($B12:OFFSET($B13,-1,0),I443:OFFSET(I444,-1,0))</f>
        <v>0</v>
      </c>
      <c r="J442" s="105">
        <f ca="1">SUMPRODUCT($B12:OFFSET($B13,-1,0),J443:OFFSET(J444,-1,0))</f>
        <v>0</v>
      </c>
      <c r="K442" s="105">
        <f ca="1">SUMPRODUCT($B12:OFFSET($B13,-1,0),K443:OFFSET(K444,-1,0))</f>
        <v>0</v>
      </c>
      <c r="L442" s="105">
        <f ca="1">SUMPRODUCT($B12:OFFSET($B13,-1,0),L443:OFFSET(L444,-1,0))</f>
        <v>0</v>
      </c>
      <c r="M442" s="105">
        <f ca="1">SUMPRODUCT($B12:OFFSET($B13,-1,0),M443:OFFSET(M444,-1,0))</f>
        <v>0</v>
      </c>
      <c r="N442" s="105">
        <f ca="1">SUMPRODUCT($B12:OFFSET($B13,-1,0),N443:OFFSET(N444,-1,0))</f>
        <v>0</v>
      </c>
      <c r="O442" s="105">
        <f ca="1">SUMPRODUCT($B12:OFFSET($B13,-1,0),O443:OFFSET(O444,-1,0))</f>
        <v>0</v>
      </c>
      <c r="P442" s="105">
        <f ca="1">SUMPRODUCT($B12:OFFSET($B13,-1,0),P443:OFFSET(P444,-1,0))</f>
        <v>0</v>
      </c>
      <c r="Q442" s="105">
        <f ca="1">SUMPRODUCT($B12:OFFSET($B13,-1,0),Q443:OFFSET(Q444,-1,0))</f>
        <v>0</v>
      </c>
      <c r="R442" s="105">
        <f ca="1">SUMPRODUCT($B12:OFFSET($B13,-1,0),R443:OFFSET(R444,-1,0))</f>
        <v>0</v>
      </c>
      <c r="S442" s="105">
        <f ca="1">SUMPRODUCT($B12:OFFSET($B13,-1,0),S443:OFFSET(S444,-1,0))</f>
        <v>0</v>
      </c>
      <c r="T442" s="105">
        <f ca="1">SUMPRODUCT($B12:OFFSET($B13,-1,0),T443:OFFSET(T444,-1,0))</f>
        <v>0</v>
      </c>
      <c r="U442" s="105">
        <f ca="1">SUMPRODUCT($B12:OFFSET($B13,-1,0),U443:OFFSET(U444,-1,0))</f>
        <v>0</v>
      </c>
      <c r="V442" s="105">
        <f ca="1">SUMPRODUCT($B12:OFFSET($B13,-1,0),V443:OFFSET(V444,-1,0))</f>
        <v>0</v>
      </c>
      <c r="W442" s="105">
        <f ca="1">SUMPRODUCT($B12:OFFSET($B13,-1,0),W443:OFFSET(W444,-1,0))</f>
        <v>0</v>
      </c>
      <c r="X442" s="105">
        <f ca="1">SUMPRODUCT($B12:OFFSET($B13,-1,0),X443:OFFSET(X444,-1,0))</f>
        <v>0</v>
      </c>
      <c r="Y442" s="105">
        <f ca="1">SUMPRODUCT($B12:OFFSET($B13,-1,0),Y443:OFFSET(Y444,-1,0))</f>
        <v>0</v>
      </c>
      <c r="AA442" s="11"/>
    </row>
    <row r="443" spans="1:27" s="180" customFormat="1" hidden="1" outlineLevel="2" x14ac:dyDescent="0.2">
      <c r="A443" s="180" t="str">
        <f ca="1">"        " &amp; A12</f>
        <v xml:space="preserve">        Проект 1</v>
      </c>
      <c r="C443" s="208" t="str">
        <f t="shared" ca="1" si="48"/>
        <v>тыс. EUR</v>
      </c>
      <c r="D443" s="89" t="e">
        <f ca="1">"[" &amp; F12 &amp; "];int_end"</f>
        <v>#NAME?</v>
      </c>
      <c r="F443" s="93">
        <f ca="1">IF(F$33&lt;$B28,0,IF(F$33&gt;$C28,IF(LIFE_PRJ=1,E443,0),OFFSET(Проект!F$1462,0,1-$B28)))</f>
        <v>0</v>
      </c>
      <c r="G443" s="93">
        <f ca="1">IF(G$33&lt;$B28,0,IF(G$33&gt;$C28,IF(LIFE_PRJ=1,F443,0),OFFSET(Проект!G$1462,0,1-$B28)))</f>
        <v>0</v>
      </c>
      <c r="H443" s="93">
        <f ca="1">IF(H$33&lt;$B28,0,IF(H$33&gt;$C28,IF(LIFE_PRJ=1,G443,0),OFFSET(Проект!H$1462,0,1-$B28)))</f>
        <v>0</v>
      </c>
      <c r="I443" s="93">
        <f ca="1">IF(I$33&lt;$B28,0,IF(I$33&gt;$C28,IF(LIFE_PRJ=1,H443,0),OFFSET(Проект!I$1462,0,1-$B28)))</f>
        <v>0</v>
      </c>
      <c r="J443" s="93">
        <f ca="1">IF(J$33&lt;$B28,0,IF(J$33&gt;$C28,IF(LIFE_PRJ=1,I443,0),OFFSET(Проект!J$1462,0,1-$B28)))</f>
        <v>0</v>
      </c>
      <c r="K443" s="93">
        <f ca="1">IF(K$33&lt;$B28,0,IF(K$33&gt;$C28,IF(LIFE_PRJ=1,J443,0),OFFSET(Проект!K$1462,0,1-$B28)))</f>
        <v>0</v>
      </c>
      <c r="L443" s="93">
        <f ca="1">IF(L$33&lt;$B28,0,IF(L$33&gt;$C28,IF(LIFE_PRJ=1,K443,0),OFFSET(Проект!L$1462,0,1-$B28)))</f>
        <v>0</v>
      </c>
      <c r="M443" s="93">
        <f ca="1">IF(M$33&lt;$B28,0,IF(M$33&gt;$C28,IF(LIFE_PRJ=1,L443,0),OFFSET(Проект!M$1462,0,1-$B28)))</f>
        <v>0</v>
      </c>
      <c r="N443" s="93">
        <f ca="1">IF(N$33&lt;$B28,0,IF(N$33&gt;$C28,IF(LIFE_PRJ=1,M443,0),OFFSET(Проект!N$1462,0,1-$B28)))</f>
        <v>0</v>
      </c>
      <c r="O443" s="93">
        <f ca="1">IF(O$33&lt;$B28,0,IF(O$33&gt;$C28,IF(LIFE_PRJ=1,N443,0),OFFSET(Проект!O$1462,0,1-$B28)))</f>
        <v>0</v>
      </c>
      <c r="P443" s="93">
        <f ca="1">IF(P$33&lt;$B28,0,IF(P$33&gt;$C28,IF(LIFE_PRJ=1,O443,0),OFFSET(Проект!P$1462,0,1-$B28)))</f>
        <v>0</v>
      </c>
      <c r="Q443" s="93">
        <f ca="1">IF(Q$33&lt;$B28,0,IF(Q$33&gt;$C28,IF(LIFE_PRJ=1,P443,0),OFFSET(Проект!Q$1462,0,1-$B28)))</f>
        <v>0</v>
      </c>
      <c r="R443" s="93">
        <f ca="1">IF(R$33&lt;$B28,0,IF(R$33&gt;$C28,IF(LIFE_PRJ=1,Q443,0),OFFSET(Проект!R$1462,0,1-$B28)))</f>
        <v>0</v>
      </c>
      <c r="S443" s="93">
        <f ca="1">IF(S$33&lt;$B28,0,IF(S$33&gt;$C28,IF(LIFE_PRJ=1,R443,0),OFFSET(Проект!S$1462,0,1-$B28)))</f>
        <v>0</v>
      </c>
      <c r="T443" s="93">
        <f ca="1">IF(T$33&lt;$B28,0,IF(T$33&gt;$C28,IF(LIFE_PRJ=1,S443,0),OFFSET(Проект!T$1462,0,1-$B28)))</f>
        <v>0</v>
      </c>
      <c r="U443" s="93">
        <f ca="1">IF(U$33&lt;$B28,0,IF(U$33&gt;$C28,IF(LIFE_PRJ=1,T443,0),OFFSET(Проект!U$1462,0,1-$B28)))</f>
        <v>0</v>
      </c>
      <c r="V443" s="93">
        <f ca="1">IF(V$33&lt;$B28,0,IF(V$33&gt;$C28,IF(LIFE_PRJ=1,U443,0),OFFSET(Проект!V$1462,0,1-$B28)))</f>
        <v>0</v>
      </c>
      <c r="W443" s="93">
        <f ca="1">IF(W$33&lt;$B28,0,IF(W$33&gt;$C28,IF(LIFE_PRJ=1,V443,0),OFFSET(Проект!W$1462,0,1-$B28)))</f>
        <v>0</v>
      </c>
      <c r="X443" s="93">
        <f ca="1">IF(X$33&lt;$B28,0,IF(X$33&gt;$C28,IF(LIFE_PRJ=1,W443,0),OFFSET(Проект!X$1462,0,1-$B28)))</f>
        <v>0</v>
      </c>
      <c r="Y443" s="93">
        <f ca="1">IF(Y$33&lt;$B28,0,IF(Y$33&gt;$C28,IF(LIFE_PRJ=1,X443,0),OFFSET(Проект!AC$1462,0,1-$B28)))</f>
        <v>0</v>
      </c>
    </row>
    <row r="444" spans="1:27" outlineLevel="1" collapsed="1" x14ac:dyDescent="0.2">
      <c r="A444" t="str">
        <f ca="1">Language!A$773</f>
        <v>Авансы уплаченные</v>
      </c>
      <c r="C444" s="5" t="str">
        <f t="shared" ca="1" si="48"/>
        <v>тыс. EUR</v>
      </c>
      <c r="D444" s="16" t="s">
        <v>2616</v>
      </c>
      <c r="F444" s="105">
        <f ca="1">SUMPRODUCT($B12:OFFSET($B13,-1,0),F445:OFFSET(F446,-1,0))</f>
        <v>0</v>
      </c>
      <c r="G444" s="105">
        <f ca="1">SUMPRODUCT($B12:OFFSET($B13,-1,0),G445:OFFSET(G446,-1,0))</f>
        <v>0</v>
      </c>
      <c r="H444" s="105">
        <f ca="1">SUMPRODUCT($B12:OFFSET($B13,-1,0),H445:OFFSET(H446,-1,0))</f>
        <v>0</v>
      </c>
      <c r="I444" s="105">
        <f ca="1">SUMPRODUCT($B12:OFFSET($B13,-1,0),I445:OFFSET(I446,-1,0))</f>
        <v>0</v>
      </c>
      <c r="J444" s="105">
        <f ca="1">SUMPRODUCT($B12:OFFSET($B13,-1,0),J445:OFFSET(J446,-1,0))</f>
        <v>141.94909312500653</v>
      </c>
      <c r="K444" s="105">
        <f ca="1">SUMPRODUCT($B12:OFFSET($B13,-1,0),K445:OFFSET(K446,-1,0))</f>
        <v>466.04827576903324</v>
      </c>
      <c r="L444" s="105">
        <f ca="1">SUMPRODUCT($B12:OFFSET($B13,-1,0),L445:OFFSET(L446,-1,0))</f>
        <v>0</v>
      </c>
      <c r="M444" s="105">
        <f ca="1">SUMPRODUCT($B12:OFFSET($B13,-1,0),M445:OFFSET(M446,-1,0))</f>
        <v>0</v>
      </c>
      <c r="N444" s="105">
        <f ca="1">SUMPRODUCT($B12:OFFSET($B13,-1,0),N445:OFFSET(N446,-1,0))</f>
        <v>0</v>
      </c>
      <c r="O444" s="105">
        <f ca="1">SUMPRODUCT($B12:OFFSET($B13,-1,0),O445:OFFSET(O446,-1,0))</f>
        <v>1.3642420526593924E-12</v>
      </c>
      <c r="P444" s="105">
        <f ca="1">SUMPRODUCT($B12:OFFSET($B13,-1,0),P445:OFFSET(P446,-1,0))</f>
        <v>0</v>
      </c>
      <c r="Q444" s="105">
        <f ca="1">SUMPRODUCT($B12:OFFSET($B13,-1,0),Q445:OFFSET(Q446,-1,0))</f>
        <v>0</v>
      </c>
      <c r="R444" s="105">
        <f ca="1">SUMPRODUCT($B12:OFFSET($B13,-1,0),R445:OFFSET(R446,-1,0))</f>
        <v>0</v>
      </c>
      <c r="S444" s="105">
        <f ca="1">SUMPRODUCT($B12:OFFSET($B13,-1,0),S445:OFFSET(S446,-1,0))</f>
        <v>0</v>
      </c>
      <c r="T444" s="105">
        <f ca="1">SUMPRODUCT($B12:OFFSET($B13,-1,0),T445:OFFSET(T446,-1,0))</f>
        <v>0</v>
      </c>
      <c r="U444" s="105">
        <f ca="1">SUMPRODUCT($B12:OFFSET($B13,-1,0),U445:OFFSET(U446,-1,0))</f>
        <v>0</v>
      </c>
      <c r="V444" s="105">
        <f ca="1">SUMPRODUCT($B12:OFFSET($B13,-1,0),V445:OFFSET(V446,-1,0))</f>
        <v>0</v>
      </c>
      <c r="W444" s="105">
        <f ca="1">SUMPRODUCT($B12:OFFSET($B13,-1,0),W445:OFFSET(W446,-1,0))</f>
        <v>0</v>
      </c>
      <c r="X444" s="105">
        <f ca="1">SUMPRODUCT($B12:OFFSET($B13,-1,0),X445:OFFSET(X446,-1,0))</f>
        <v>0</v>
      </c>
      <c r="Y444" s="105">
        <f ca="1">SUMPRODUCT($B12:OFFSET($B13,-1,0),Y445:OFFSET(Y446,-1,0))</f>
        <v>0</v>
      </c>
      <c r="AA444" s="11"/>
    </row>
    <row r="445" spans="1:27" s="180" customFormat="1" hidden="1" outlineLevel="2" x14ac:dyDescent="0.2">
      <c r="A445" s="180" t="str">
        <f ca="1">"        " &amp; A12</f>
        <v xml:space="preserve">        Проект 1</v>
      </c>
      <c r="C445" s="208" t="str">
        <f t="shared" ca="1" si="48"/>
        <v>тыс. EUR</v>
      </c>
      <c r="D445" s="89" t="e">
        <f ca="1">"[" &amp; F12 &amp; "];int_end"</f>
        <v>#NAME?</v>
      </c>
      <c r="F445" s="93">
        <f ca="1">IF(F$33&lt;$B28,0,IF(F$33&gt;$C28,IF(LIFE_PRJ=1,E445,0),OFFSET(Проект!F$1463,0,1-$B28)))</f>
        <v>0</v>
      </c>
      <c r="G445" s="93">
        <f ca="1">IF(G$33&lt;$B28,0,IF(G$33&gt;$C28,IF(LIFE_PRJ=1,F445,0),OFFSET(Проект!G$1463,0,1-$B28)))</f>
        <v>0</v>
      </c>
      <c r="H445" s="93">
        <f ca="1">IF(H$33&lt;$B28,0,IF(H$33&gt;$C28,IF(LIFE_PRJ=1,G445,0),OFFSET(Проект!H$1463,0,1-$B28)))</f>
        <v>0</v>
      </c>
      <c r="I445" s="93">
        <f ca="1">IF(I$33&lt;$B28,0,IF(I$33&gt;$C28,IF(LIFE_PRJ=1,H445,0),OFFSET(Проект!I$1463,0,1-$B28)))</f>
        <v>0</v>
      </c>
      <c r="J445" s="93">
        <f ca="1">IF(J$33&lt;$B28,0,IF(J$33&gt;$C28,IF(LIFE_PRJ=1,I445,0),OFFSET(Проект!J$1463,0,1-$B28)))</f>
        <v>141.94909312500653</v>
      </c>
      <c r="K445" s="93">
        <f ca="1">IF(K$33&lt;$B28,0,IF(K$33&gt;$C28,IF(LIFE_PRJ=1,J445,0),OFFSET(Проект!K$1463,0,1-$B28)))</f>
        <v>466.04827576903324</v>
      </c>
      <c r="L445" s="93">
        <f ca="1">IF(L$33&lt;$B28,0,IF(L$33&gt;$C28,IF(LIFE_PRJ=1,K445,0),OFFSET(Проект!L$1463,0,1-$B28)))</f>
        <v>0</v>
      </c>
      <c r="M445" s="93">
        <f ca="1">IF(M$33&lt;$B28,0,IF(M$33&gt;$C28,IF(LIFE_PRJ=1,L445,0),OFFSET(Проект!M$1463,0,1-$B28)))</f>
        <v>0</v>
      </c>
      <c r="N445" s="93">
        <f ca="1">IF(N$33&lt;$B28,0,IF(N$33&gt;$C28,IF(LIFE_PRJ=1,M445,0),OFFSET(Проект!N$1463,0,1-$B28)))</f>
        <v>0</v>
      </c>
      <c r="O445" s="93">
        <f ca="1">IF(O$33&lt;$B28,0,IF(O$33&gt;$C28,IF(LIFE_PRJ=1,N445,0),OFFSET(Проект!O$1463,0,1-$B28)))</f>
        <v>1.3642420526593924E-12</v>
      </c>
      <c r="P445" s="93">
        <f ca="1">IF(P$33&lt;$B28,0,IF(P$33&gt;$C28,IF(LIFE_PRJ=1,O445,0),OFFSET(Проект!P$1463,0,1-$B28)))</f>
        <v>0</v>
      </c>
      <c r="Q445" s="93">
        <f ca="1">IF(Q$33&lt;$B28,0,IF(Q$33&gt;$C28,IF(LIFE_PRJ=1,P445,0),OFFSET(Проект!Q$1463,0,1-$B28)))</f>
        <v>0</v>
      </c>
      <c r="R445" s="93">
        <f ca="1">IF(R$33&lt;$B28,0,IF(R$33&gt;$C28,IF(LIFE_PRJ=1,Q445,0),OFFSET(Проект!R$1463,0,1-$B28)))</f>
        <v>0</v>
      </c>
      <c r="S445" s="93">
        <f ca="1">IF(S$33&lt;$B28,0,IF(S$33&gt;$C28,IF(LIFE_PRJ=1,R445,0),OFFSET(Проект!S$1463,0,1-$B28)))</f>
        <v>0</v>
      </c>
      <c r="T445" s="93">
        <f ca="1">IF(T$33&lt;$B28,0,IF(T$33&gt;$C28,IF(LIFE_PRJ=1,S445,0),OFFSET(Проект!T$1463,0,1-$B28)))</f>
        <v>0</v>
      </c>
      <c r="U445" s="93">
        <f ca="1">IF(U$33&lt;$B28,0,IF(U$33&gt;$C28,IF(LIFE_PRJ=1,T445,0),OFFSET(Проект!U$1463,0,1-$B28)))</f>
        <v>0</v>
      </c>
      <c r="V445" s="93">
        <f ca="1">IF(V$33&lt;$B28,0,IF(V$33&gt;$C28,IF(LIFE_PRJ=1,U445,0),OFFSET(Проект!V$1463,0,1-$B28)))</f>
        <v>0</v>
      </c>
      <c r="W445" s="93">
        <f ca="1">IF(W$33&lt;$B28,0,IF(W$33&gt;$C28,IF(LIFE_PRJ=1,V445,0),OFFSET(Проект!W$1463,0,1-$B28)))</f>
        <v>0</v>
      </c>
      <c r="X445" s="93">
        <f ca="1">IF(X$33&lt;$B28,0,IF(X$33&gt;$C28,IF(LIFE_PRJ=1,W445,0),OFFSET(Проект!X$1463,0,1-$B28)))</f>
        <v>0</v>
      </c>
      <c r="Y445" s="93">
        <f ca="1">IF(Y$33&lt;$B28,0,IF(Y$33&gt;$C28,IF(LIFE_PRJ=1,X445,0),OFFSET(Проект!AC$1463,0,1-$B28)))</f>
        <v>0</v>
      </c>
    </row>
    <row r="446" spans="1:27" outlineLevel="1" collapsed="1" x14ac:dyDescent="0.2">
      <c r="A446" t="str">
        <f ca="1">Language!A$774</f>
        <v>Готовая продукция</v>
      </c>
      <c r="C446" s="5" t="str">
        <f t="shared" ca="1" si="48"/>
        <v>тыс. EUR</v>
      </c>
      <c r="D446" s="16" t="s">
        <v>2616</v>
      </c>
      <c r="F446" s="105">
        <f ca="1">SUMPRODUCT($B12:OFFSET($B13,-1,0),F447:OFFSET(F448,-1,0))</f>
        <v>0</v>
      </c>
      <c r="G446" s="105">
        <f ca="1">SUMPRODUCT($B12:OFFSET($B13,-1,0),G447:OFFSET(G448,-1,0))</f>
        <v>0</v>
      </c>
      <c r="H446" s="105">
        <f ca="1">SUMPRODUCT($B12:OFFSET($B13,-1,0),H447:OFFSET(H448,-1,0))</f>
        <v>0</v>
      </c>
      <c r="I446" s="105">
        <f ca="1">SUMPRODUCT($B12:OFFSET($B13,-1,0),I447:OFFSET(I448,-1,0))</f>
        <v>0</v>
      </c>
      <c r="J446" s="105">
        <f ca="1">SUMPRODUCT($B12:OFFSET($B13,-1,0),J447:OFFSET(J448,-1,0))</f>
        <v>0</v>
      </c>
      <c r="K446" s="105">
        <f ca="1">SUMPRODUCT($B12:OFFSET($B13,-1,0),K447:OFFSET(K448,-1,0))</f>
        <v>5.6843418860808015E-14</v>
      </c>
      <c r="L446" s="105">
        <f ca="1">SUMPRODUCT($B12:OFFSET($B13,-1,0),L447:OFFSET(L448,-1,0))</f>
        <v>0</v>
      </c>
      <c r="M446" s="105">
        <f ca="1">SUMPRODUCT($B12:OFFSET($B13,-1,0),M447:OFFSET(M448,-1,0))</f>
        <v>0</v>
      </c>
      <c r="N446" s="105">
        <f ca="1">SUMPRODUCT($B12:OFFSET($B13,-1,0),N447:OFFSET(N448,-1,0))</f>
        <v>0</v>
      </c>
      <c r="O446" s="105">
        <f ca="1">SUMPRODUCT($B12:OFFSET($B13,-1,0),O447:OFFSET(O448,-1,0))</f>
        <v>0</v>
      </c>
      <c r="P446" s="105">
        <f ca="1">SUMPRODUCT($B12:OFFSET($B13,-1,0),P447:OFFSET(P448,-1,0))</f>
        <v>0</v>
      </c>
      <c r="Q446" s="105">
        <f ca="1">SUMPRODUCT($B12:OFFSET($B13,-1,0),Q447:OFFSET(Q448,-1,0))</f>
        <v>0</v>
      </c>
      <c r="R446" s="105">
        <f ca="1">SUMPRODUCT($B12:OFFSET($B13,-1,0),R447:OFFSET(R448,-1,0))</f>
        <v>0</v>
      </c>
      <c r="S446" s="105">
        <f ca="1">SUMPRODUCT($B12:OFFSET($B13,-1,0),S447:OFFSET(S448,-1,0))</f>
        <v>0</v>
      </c>
      <c r="T446" s="105">
        <f ca="1">SUMPRODUCT($B12:OFFSET($B13,-1,0),T447:OFFSET(T448,-1,0))</f>
        <v>0</v>
      </c>
      <c r="U446" s="105">
        <f ca="1">SUMPRODUCT($B12:OFFSET($B13,-1,0),U447:OFFSET(U448,-1,0))</f>
        <v>0</v>
      </c>
      <c r="V446" s="105">
        <f ca="1">SUMPRODUCT($B12:OFFSET($B13,-1,0),V447:OFFSET(V448,-1,0))</f>
        <v>0</v>
      </c>
      <c r="W446" s="105">
        <f ca="1">SUMPRODUCT($B12:OFFSET($B13,-1,0),W447:OFFSET(W448,-1,0))</f>
        <v>0</v>
      </c>
      <c r="X446" s="105">
        <f ca="1">SUMPRODUCT($B12:OFFSET($B13,-1,0),X447:OFFSET(X448,-1,0))</f>
        <v>0</v>
      </c>
      <c r="Y446" s="105">
        <f ca="1">SUMPRODUCT($B12:OFFSET($B13,-1,0),Y447:OFFSET(Y448,-1,0))</f>
        <v>0</v>
      </c>
      <c r="AA446" s="11"/>
    </row>
    <row r="447" spans="1:27" s="180" customFormat="1" hidden="1" outlineLevel="2" x14ac:dyDescent="0.2">
      <c r="A447" s="180" t="str">
        <f ca="1">"        " &amp; A12</f>
        <v xml:space="preserve">        Проект 1</v>
      </c>
      <c r="C447" s="208" t="str">
        <f t="shared" ca="1" si="48"/>
        <v>тыс. EUR</v>
      </c>
      <c r="D447" s="89" t="e">
        <f ca="1">"[" &amp; F12 &amp; "];int_end"</f>
        <v>#NAME?</v>
      </c>
      <c r="F447" s="93">
        <f ca="1">IF(F$33&lt;$B28,0,IF(F$33&gt;$C28,IF(LIFE_PRJ=1,E447,0),OFFSET(Проект!F$1464,0,1-$B28)))</f>
        <v>0</v>
      </c>
      <c r="G447" s="93">
        <f ca="1">IF(G$33&lt;$B28,0,IF(G$33&gt;$C28,IF(LIFE_PRJ=1,F447,0),OFFSET(Проект!G$1464,0,1-$B28)))</f>
        <v>0</v>
      </c>
      <c r="H447" s="93">
        <f ca="1">IF(H$33&lt;$B28,0,IF(H$33&gt;$C28,IF(LIFE_PRJ=1,G447,0),OFFSET(Проект!H$1464,0,1-$B28)))</f>
        <v>0</v>
      </c>
      <c r="I447" s="93">
        <f ca="1">IF(I$33&lt;$B28,0,IF(I$33&gt;$C28,IF(LIFE_PRJ=1,H447,0),OFFSET(Проект!I$1464,0,1-$B28)))</f>
        <v>0</v>
      </c>
      <c r="J447" s="93">
        <f ca="1">IF(J$33&lt;$B28,0,IF(J$33&gt;$C28,IF(LIFE_PRJ=1,I447,0),OFFSET(Проект!J$1464,0,1-$B28)))</f>
        <v>0</v>
      </c>
      <c r="K447" s="93">
        <f ca="1">IF(K$33&lt;$B28,0,IF(K$33&gt;$C28,IF(LIFE_PRJ=1,J447,0),OFFSET(Проект!K$1464,0,1-$B28)))</f>
        <v>5.6843418860808015E-14</v>
      </c>
      <c r="L447" s="93">
        <f ca="1">IF(L$33&lt;$B28,0,IF(L$33&gt;$C28,IF(LIFE_PRJ=1,K447,0),OFFSET(Проект!L$1464,0,1-$B28)))</f>
        <v>0</v>
      </c>
      <c r="M447" s="93">
        <f ca="1">IF(M$33&lt;$B28,0,IF(M$33&gt;$C28,IF(LIFE_PRJ=1,L447,0),OFFSET(Проект!M$1464,0,1-$B28)))</f>
        <v>0</v>
      </c>
      <c r="N447" s="93">
        <f ca="1">IF(N$33&lt;$B28,0,IF(N$33&gt;$C28,IF(LIFE_PRJ=1,M447,0),OFFSET(Проект!N$1464,0,1-$B28)))</f>
        <v>0</v>
      </c>
      <c r="O447" s="93">
        <f ca="1">IF(O$33&lt;$B28,0,IF(O$33&gt;$C28,IF(LIFE_PRJ=1,N447,0),OFFSET(Проект!O$1464,0,1-$B28)))</f>
        <v>0</v>
      </c>
      <c r="P447" s="93">
        <f ca="1">IF(P$33&lt;$B28,0,IF(P$33&gt;$C28,IF(LIFE_PRJ=1,O447,0),OFFSET(Проект!P$1464,0,1-$B28)))</f>
        <v>0</v>
      </c>
      <c r="Q447" s="93">
        <f ca="1">IF(Q$33&lt;$B28,0,IF(Q$33&gt;$C28,IF(LIFE_PRJ=1,P447,0),OFFSET(Проект!Q$1464,0,1-$B28)))</f>
        <v>0</v>
      </c>
      <c r="R447" s="93">
        <f ca="1">IF(R$33&lt;$B28,0,IF(R$33&gt;$C28,IF(LIFE_PRJ=1,Q447,0),OFFSET(Проект!R$1464,0,1-$B28)))</f>
        <v>0</v>
      </c>
      <c r="S447" s="93">
        <f ca="1">IF(S$33&lt;$B28,0,IF(S$33&gt;$C28,IF(LIFE_PRJ=1,R447,0),OFFSET(Проект!S$1464,0,1-$B28)))</f>
        <v>0</v>
      </c>
      <c r="T447" s="93">
        <f ca="1">IF(T$33&lt;$B28,0,IF(T$33&gt;$C28,IF(LIFE_PRJ=1,S447,0),OFFSET(Проект!T$1464,0,1-$B28)))</f>
        <v>0</v>
      </c>
      <c r="U447" s="93">
        <f ca="1">IF(U$33&lt;$B28,0,IF(U$33&gt;$C28,IF(LIFE_PRJ=1,T447,0),OFFSET(Проект!U$1464,0,1-$B28)))</f>
        <v>0</v>
      </c>
      <c r="V447" s="93">
        <f ca="1">IF(V$33&lt;$B28,0,IF(V$33&gt;$C28,IF(LIFE_PRJ=1,U447,0),OFFSET(Проект!V$1464,0,1-$B28)))</f>
        <v>0</v>
      </c>
      <c r="W447" s="93">
        <f ca="1">IF(W$33&lt;$B28,0,IF(W$33&gt;$C28,IF(LIFE_PRJ=1,V447,0),OFFSET(Проект!W$1464,0,1-$B28)))</f>
        <v>0</v>
      </c>
      <c r="X447" s="93">
        <f ca="1">IF(X$33&lt;$B28,0,IF(X$33&gt;$C28,IF(LIFE_PRJ=1,W447,0),OFFSET(Проект!X$1464,0,1-$B28)))</f>
        <v>0</v>
      </c>
      <c r="Y447" s="93">
        <f ca="1">IF(Y$33&lt;$B28,0,IF(Y$33&gt;$C28,IF(LIFE_PRJ=1,X447,0),OFFSET(Проект!AC$1464,0,1-$B28)))</f>
        <v>0</v>
      </c>
    </row>
    <row r="448" spans="1:27" outlineLevel="1" collapsed="1" x14ac:dyDescent="0.2">
      <c r="A448" t="str">
        <f ca="1">Language!A$775</f>
        <v>Незавершенное производство</v>
      </c>
      <c r="C448" s="5" t="str">
        <f t="shared" ca="1" si="48"/>
        <v>тыс. EUR</v>
      </c>
      <c r="D448" s="16" t="s">
        <v>2616</v>
      </c>
      <c r="F448" s="105">
        <f ca="1">SUMPRODUCT($B12:OFFSET($B13,-1,0),F449:OFFSET(F450,-1,0))</f>
        <v>0</v>
      </c>
      <c r="G448" s="105">
        <f ca="1">SUMPRODUCT($B12:OFFSET($B13,-1,0),G449:OFFSET(G450,-1,0))</f>
        <v>0</v>
      </c>
      <c r="H448" s="105">
        <f ca="1">SUMPRODUCT($B12:OFFSET($B13,-1,0),H449:OFFSET(H450,-1,0))</f>
        <v>0</v>
      </c>
      <c r="I448" s="105">
        <f ca="1">SUMPRODUCT($B12:OFFSET($B13,-1,0),I449:OFFSET(I450,-1,0))</f>
        <v>0</v>
      </c>
      <c r="J448" s="105">
        <f ca="1">SUMPRODUCT($B12:OFFSET($B13,-1,0),J449:OFFSET(J450,-1,0))</f>
        <v>0</v>
      </c>
      <c r="K448" s="105">
        <f ca="1">SUMPRODUCT($B12:OFFSET($B13,-1,0),K449:OFFSET(K450,-1,0))</f>
        <v>0</v>
      </c>
      <c r="L448" s="105">
        <f ca="1">SUMPRODUCT($B12:OFFSET($B13,-1,0),L449:OFFSET(L450,-1,0))</f>
        <v>0</v>
      </c>
      <c r="M448" s="105">
        <f ca="1">SUMPRODUCT($B12:OFFSET($B13,-1,0),M449:OFFSET(M450,-1,0))</f>
        <v>0</v>
      </c>
      <c r="N448" s="105">
        <f ca="1">SUMPRODUCT($B12:OFFSET($B13,-1,0),N449:OFFSET(N450,-1,0))</f>
        <v>0</v>
      </c>
      <c r="O448" s="105">
        <f ca="1">SUMPRODUCT($B12:OFFSET($B13,-1,0),O449:OFFSET(O450,-1,0))</f>
        <v>0</v>
      </c>
      <c r="P448" s="105">
        <f ca="1">SUMPRODUCT($B12:OFFSET($B13,-1,0),P449:OFFSET(P450,-1,0))</f>
        <v>0</v>
      </c>
      <c r="Q448" s="105">
        <f ca="1">SUMPRODUCT($B12:OFFSET($B13,-1,0),Q449:OFFSET(Q450,-1,0))</f>
        <v>0</v>
      </c>
      <c r="R448" s="105">
        <f ca="1">SUMPRODUCT($B12:OFFSET($B13,-1,0),R449:OFFSET(R450,-1,0))</f>
        <v>0</v>
      </c>
      <c r="S448" s="105">
        <f ca="1">SUMPRODUCT($B12:OFFSET($B13,-1,0),S449:OFFSET(S450,-1,0))</f>
        <v>0</v>
      </c>
      <c r="T448" s="105">
        <f ca="1">SUMPRODUCT($B12:OFFSET($B13,-1,0),T449:OFFSET(T450,-1,0))</f>
        <v>0</v>
      </c>
      <c r="U448" s="105">
        <f ca="1">SUMPRODUCT($B12:OFFSET($B13,-1,0),U449:OFFSET(U450,-1,0))</f>
        <v>0</v>
      </c>
      <c r="V448" s="105">
        <f ca="1">SUMPRODUCT($B12:OFFSET($B13,-1,0),V449:OFFSET(V450,-1,0))</f>
        <v>0</v>
      </c>
      <c r="W448" s="105">
        <f ca="1">SUMPRODUCT($B12:OFFSET($B13,-1,0),W449:OFFSET(W450,-1,0))</f>
        <v>0</v>
      </c>
      <c r="X448" s="105">
        <f ca="1">SUMPRODUCT($B12:OFFSET($B13,-1,0),X449:OFFSET(X450,-1,0))</f>
        <v>0</v>
      </c>
      <c r="Y448" s="105">
        <f ca="1">SUMPRODUCT($B12:OFFSET($B13,-1,0),Y449:OFFSET(Y450,-1,0))</f>
        <v>0</v>
      </c>
      <c r="AA448" s="11"/>
    </row>
    <row r="449" spans="1:27" s="180" customFormat="1" hidden="1" outlineLevel="2" x14ac:dyDescent="0.2">
      <c r="A449" s="180" t="str">
        <f ca="1">"        " &amp; A12</f>
        <v xml:space="preserve">        Проект 1</v>
      </c>
      <c r="C449" s="208" t="str">
        <f t="shared" ca="1" si="48"/>
        <v>тыс. EUR</v>
      </c>
      <c r="D449" s="89" t="e">
        <f ca="1">"[" &amp; F12 &amp; "];int_end"</f>
        <v>#NAME?</v>
      </c>
      <c r="F449" s="93">
        <f ca="1">IF(F$33&lt;$B28,0,IF(F$33&gt;$C28,IF(LIFE_PRJ=1,E449,0),OFFSET(Проект!F$1465,0,1-$B28)))</f>
        <v>0</v>
      </c>
      <c r="G449" s="93">
        <f ca="1">IF(G$33&lt;$B28,0,IF(G$33&gt;$C28,IF(LIFE_PRJ=1,F449,0),OFFSET(Проект!G$1465,0,1-$B28)))</f>
        <v>0</v>
      </c>
      <c r="H449" s="93">
        <f ca="1">IF(H$33&lt;$B28,0,IF(H$33&gt;$C28,IF(LIFE_PRJ=1,G449,0),OFFSET(Проект!H$1465,0,1-$B28)))</f>
        <v>0</v>
      </c>
      <c r="I449" s="93">
        <f ca="1">IF(I$33&lt;$B28,0,IF(I$33&gt;$C28,IF(LIFE_PRJ=1,H449,0),OFFSET(Проект!I$1465,0,1-$B28)))</f>
        <v>0</v>
      </c>
      <c r="J449" s="93">
        <f ca="1">IF(J$33&lt;$B28,0,IF(J$33&gt;$C28,IF(LIFE_PRJ=1,I449,0),OFFSET(Проект!J$1465,0,1-$B28)))</f>
        <v>0</v>
      </c>
      <c r="K449" s="93">
        <f ca="1">IF(K$33&lt;$B28,0,IF(K$33&gt;$C28,IF(LIFE_PRJ=1,J449,0),OFFSET(Проект!K$1465,0,1-$B28)))</f>
        <v>0</v>
      </c>
      <c r="L449" s="93">
        <f ca="1">IF(L$33&lt;$B28,0,IF(L$33&gt;$C28,IF(LIFE_PRJ=1,K449,0),OFFSET(Проект!L$1465,0,1-$B28)))</f>
        <v>0</v>
      </c>
      <c r="M449" s="93">
        <f ca="1">IF(M$33&lt;$B28,0,IF(M$33&gt;$C28,IF(LIFE_PRJ=1,L449,0),OFFSET(Проект!M$1465,0,1-$B28)))</f>
        <v>0</v>
      </c>
      <c r="N449" s="93">
        <f ca="1">IF(N$33&lt;$B28,0,IF(N$33&gt;$C28,IF(LIFE_PRJ=1,M449,0),OFFSET(Проект!N$1465,0,1-$B28)))</f>
        <v>0</v>
      </c>
      <c r="O449" s="93">
        <f ca="1">IF(O$33&lt;$B28,0,IF(O$33&gt;$C28,IF(LIFE_PRJ=1,N449,0),OFFSET(Проект!O$1465,0,1-$B28)))</f>
        <v>0</v>
      </c>
      <c r="P449" s="93">
        <f ca="1">IF(P$33&lt;$B28,0,IF(P$33&gt;$C28,IF(LIFE_PRJ=1,O449,0),OFFSET(Проект!P$1465,0,1-$B28)))</f>
        <v>0</v>
      </c>
      <c r="Q449" s="93">
        <f ca="1">IF(Q$33&lt;$B28,0,IF(Q$33&gt;$C28,IF(LIFE_PRJ=1,P449,0),OFFSET(Проект!Q$1465,0,1-$B28)))</f>
        <v>0</v>
      </c>
      <c r="R449" s="93">
        <f ca="1">IF(R$33&lt;$B28,0,IF(R$33&gt;$C28,IF(LIFE_PRJ=1,Q449,0),OFFSET(Проект!R$1465,0,1-$B28)))</f>
        <v>0</v>
      </c>
      <c r="S449" s="93">
        <f ca="1">IF(S$33&lt;$B28,0,IF(S$33&gt;$C28,IF(LIFE_PRJ=1,R449,0),OFFSET(Проект!S$1465,0,1-$B28)))</f>
        <v>0</v>
      </c>
      <c r="T449" s="93">
        <f ca="1">IF(T$33&lt;$B28,0,IF(T$33&gt;$C28,IF(LIFE_PRJ=1,S449,0),OFFSET(Проект!T$1465,0,1-$B28)))</f>
        <v>0</v>
      </c>
      <c r="U449" s="93">
        <f ca="1">IF(U$33&lt;$B28,0,IF(U$33&gt;$C28,IF(LIFE_PRJ=1,T449,0),OFFSET(Проект!U$1465,0,1-$B28)))</f>
        <v>0</v>
      </c>
      <c r="V449" s="93">
        <f ca="1">IF(V$33&lt;$B28,0,IF(V$33&gt;$C28,IF(LIFE_PRJ=1,U449,0),OFFSET(Проект!V$1465,0,1-$B28)))</f>
        <v>0</v>
      </c>
      <c r="W449" s="93">
        <f ca="1">IF(W$33&lt;$B28,0,IF(W$33&gt;$C28,IF(LIFE_PRJ=1,V449,0),OFFSET(Проект!W$1465,0,1-$B28)))</f>
        <v>0</v>
      </c>
      <c r="X449" s="93">
        <f ca="1">IF(X$33&lt;$B28,0,IF(X$33&gt;$C28,IF(LIFE_PRJ=1,W449,0),OFFSET(Проект!X$1465,0,1-$B28)))</f>
        <v>0</v>
      </c>
      <c r="Y449" s="93">
        <f ca="1">IF(Y$33&lt;$B28,0,IF(Y$33&gt;$C28,IF(LIFE_PRJ=1,X449,0),OFFSET(Проект!AC$1465,0,1-$B28)))</f>
        <v>0</v>
      </c>
    </row>
    <row r="450" spans="1:27" outlineLevel="1" collapsed="1" x14ac:dyDescent="0.2">
      <c r="A450" t="str">
        <f ca="1">Language!A$776</f>
        <v>Материалы и комплектующие</v>
      </c>
      <c r="C450" s="5" t="str">
        <f t="shared" ca="1" si="48"/>
        <v>тыс. EUR</v>
      </c>
      <c r="D450" s="16" t="s">
        <v>2616</v>
      </c>
      <c r="F450" s="105">
        <f ca="1">SUMPRODUCT($B12:OFFSET($B13,-1,0),F451:OFFSET(F452,-1,0))</f>
        <v>0</v>
      </c>
      <c r="G450" s="105">
        <f ca="1">SUMPRODUCT($B12:OFFSET($B13,-1,0),G451:OFFSET(G452,-1,0))</f>
        <v>0</v>
      </c>
      <c r="H450" s="105">
        <f ca="1">SUMPRODUCT($B12:OFFSET($B13,-1,0),H451:OFFSET(H452,-1,0))</f>
        <v>0</v>
      </c>
      <c r="I450" s="105">
        <f ca="1">SUMPRODUCT($B12:OFFSET($B13,-1,0),I451:OFFSET(I452,-1,0))</f>
        <v>0</v>
      </c>
      <c r="J450" s="105">
        <f ca="1">SUMPRODUCT($B12:OFFSET($B13,-1,0),J451:OFFSET(J452,-1,0))</f>
        <v>0</v>
      </c>
      <c r="K450" s="105">
        <f ca="1">SUMPRODUCT($B12:OFFSET($B13,-1,0),K451:OFFSET(K452,-1,0))</f>
        <v>0</v>
      </c>
      <c r="L450" s="105">
        <f ca="1">SUMPRODUCT($B12:OFFSET($B13,-1,0),L451:OFFSET(L452,-1,0))</f>
        <v>0</v>
      </c>
      <c r="M450" s="105">
        <f ca="1">SUMPRODUCT($B12:OFFSET($B13,-1,0),M451:OFFSET(M452,-1,0))</f>
        <v>0</v>
      </c>
      <c r="N450" s="105">
        <f ca="1">SUMPRODUCT($B12:OFFSET($B13,-1,0),N451:OFFSET(N452,-1,0))</f>
        <v>0</v>
      </c>
      <c r="O450" s="105">
        <f ca="1">SUMPRODUCT($B12:OFFSET($B13,-1,0),O451:OFFSET(O452,-1,0))</f>
        <v>0</v>
      </c>
      <c r="P450" s="105">
        <f ca="1">SUMPRODUCT($B12:OFFSET($B13,-1,0),P451:OFFSET(P452,-1,0))</f>
        <v>0</v>
      </c>
      <c r="Q450" s="105">
        <f ca="1">SUMPRODUCT($B12:OFFSET($B13,-1,0),Q451:OFFSET(Q452,-1,0))</f>
        <v>0</v>
      </c>
      <c r="R450" s="105">
        <f ca="1">SUMPRODUCT($B12:OFFSET($B13,-1,0),R451:OFFSET(R452,-1,0))</f>
        <v>0</v>
      </c>
      <c r="S450" s="105">
        <f ca="1">SUMPRODUCT($B12:OFFSET($B13,-1,0),S451:OFFSET(S452,-1,0))</f>
        <v>0</v>
      </c>
      <c r="T450" s="105">
        <f ca="1">SUMPRODUCT($B12:OFFSET($B13,-1,0),T451:OFFSET(T452,-1,0))</f>
        <v>0</v>
      </c>
      <c r="U450" s="105">
        <f ca="1">SUMPRODUCT($B12:OFFSET($B13,-1,0),U451:OFFSET(U452,-1,0))</f>
        <v>0</v>
      </c>
      <c r="V450" s="105">
        <f ca="1">SUMPRODUCT($B12:OFFSET($B13,-1,0),V451:OFFSET(V452,-1,0))</f>
        <v>0</v>
      </c>
      <c r="W450" s="105">
        <f ca="1">SUMPRODUCT($B12:OFFSET($B13,-1,0),W451:OFFSET(W452,-1,0))</f>
        <v>0</v>
      </c>
      <c r="X450" s="105">
        <f ca="1">SUMPRODUCT($B12:OFFSET($B13,-1,0),X451:OFFSET(X452,-1,0))</f>
        <v>0</v>
      </c>
      <c r="Y450" s="105">
        <f ca="1">SUMPRODUCT($B12:OFFSET($B13,-1,0),Y451:OFFSET(Y452,-1,0))</f>
        <v>0</v>
      </c>
      <c r="AA450" s="11"/>
    </row>
    <row r="451" spans="1:27" s="180" customFormat="1" hidden="1" outlineLevel="2" x14ac:dyDescent="0.2">
      <c r="A451" s="180" t="str">
        <f ca="1">"        " &amp; A12</f>
        <v xml:space="preserve">        Проект 1</v>
      </c>
      <c r="C451" s="208" t="str">
        <f t="shared" ca="1" si="48"/>
        <v>тыс. EUR</v>
      </c>
      <c r="D451" s="89" t="e">
        <f ca="1">"[" &amp; F12 &amp; "];int_end"</f>
        <v>#NAME?</v>
      </c>
      <c r="F451" s="93">
        <f ca="1">IF(F$33&lt;$B28,0,IF(F$33&gt;$C28,IF(LIFE_PRJ=1,E451,0),OFFSET(Проект!F$1466,0,1-$B28)))</f>
        <v>0</v>
      </c>
      <c r="G451" s="93">
        <f ca="1">IF(G$33&lt;$B28,0,IF(G$33&gt;$C28,IF(LIFE_PRJ=1,F451,0),OFFSET(Проект!G$1466,0,1-$B28)))</f>
        <v>0</v>
      </c>
      <c r="H451" s="93">
        <f ca="1">IF(H$33&lt;$B28,0,IF(H$33&gt;$C28,IF(LIFE_PRJ=1,G451,0),OFFSET(Проект!H$1466,0,1-$B28)))</f>
        <v>0</v>
      </c>
      <c r="I451" s="93">
        <f ca="1">IF(I$33&lt;$B28,0,IF(I$33&gt;$C28,IF(LIFE_PRJ=1,H451,0),OFFSET(Проект!I$1466,0,1-$B28)))</f>
        <v>0</v>
      </c>
      <c r="J451" s="93">
        <f ca="1">IF(J$33&lt;$B28,0,IF(J$33&gt;$C28,IF(LIFE_PRJ=1,I451,0),OFFSET(Проект!J$1466,0,1-$B28)))</f>
        <v>0</v>
      </c>
      <c r="K451" s="93">
        <f ca="1">IF(K$33&lt;$B28,0,IF(K$33&gt;$C28,IF(LIFE_PRJ=1,J451,0),OFFSET(Проект!K$1466,0,1-$B28)))</f>
        <v>0</v>
      </c>
      <c r="L451" s="93">
        <f ca="1">IF(L$33&lt;$B28,0,IF(L$33&gt;$C28,IF(LIFE_PRJ=1,K451,0),OFFSET(Проект!L$1466,0,1-$B28)))</f>
        <v>0</v>
      </c>
      <c r="M451" s="93">
        <f ca="1">IF(M$33&lt;$B28,0,IF(M$33&gt;$C28,IF(LIFE_PRJ=1,L451,0),OFFSET(Проект!M$1466,0,1-$B28)))</f>
        <v>0</v>
      </c>
      <c r="N451" s="93">
        <f ca="1">IF(N$33&lt;$B28,0,IF(N$33&gt;$C28,IF(LIFE_PRJ=1,M451,0),OFFSET(Проект!N$1466,0,1-$B28)))</f>
        <v>0</v>
      </c>
      <c r="O451" s="93">
        <f ca="1">IF(O$33&lt;$B28,0,IF(O$33&gt;$C28,IF(LIFE_PRJ=1,N451,0),OFFSET(Проект!O$1466,0,1-$B28)))</f>
        <v>0</v>
      </c>
      <c r="P451" s="93">
        <f ca="1">IF(P$33&lt;$B28,0,IF(P$33&gt;$C28,IF(LIFE_PRJ=1,O451,0),OFFSET(Проект!P$1466,0,1-$B28)))</f>
        <v>0</v>
      </c>
      <c r="Q451" s="93">
        <f ca="1">IF(Q$33&lt;$B28,0,IF(Q$33&gt;$C28,IF(LIFE_PRJ=1,P451,0),OFFSET(Проект!Q$1466,0,1-$B28)))</f>
        <v>0</v>
      </c>
      <c r="R451" s="93">
        <f ca="1">IF(R$33&lt;$B28,0,IF(R$33&gt;$C28,IF(LIFE_PRJ=1,Q451,0),OFFSET(Проект!R$1466,0,1-$B28)))</f>
        <v>0</v>
      </c>
      <c r="S451" s="93">
        <f ca="1">IF(S$33&lt;$B28,0,IF(S$33&gt;$C28,IF(LIFE_PRJ=1,R451,0),OFFSET(Проект!S$1466,0,1-$B28)))</f>
        <v>0</v>
      </c>
      <c r="T451" s="93">
        <f ca="1">IF(T$33&lt;$B28,0,IF(T$33&gt;$C28,IF(LIFE_PRJ=1,S451,0),OFFSET(Проект!T$1466,0,1-$B28)))</f>
        <v>0</v>
      </c>
      <c r="U451" s="93">
        <f ca="1">IF(U$33&lt;$B28,0,IF(U$33&gt;$C28,IF(LIFE_PRJ=1,T451,0),OFFSET(Проект!U$1466,0,1-$B28)))</f>
        <v>0</v>
      </c>
      <c r="V451" s="93">
        <f ca="1">IF(V$33&lt;$B28,0,IF(V$33&gt;$C28,IF(LIFE_PRJ=1,U451,0),OFFSET(Проект!V$1466,0,1-$B28)))</f>
        <v>0</v>
      </c>
      <c r="W451" s="93">
        <f ca="1">IF(W$33&lt;$B28,0,IF(W$33&gt;$C28,IF(LIFE_PRJ=1,V451,0),OFFSET(Проект!W$1466,0,1-$B28)))</f>
        <v>0</v>
      </c>
      <c r="X451" s="93">
        <f ca="1">IF(X$33&lt;$B28,0,IF(X$33&gt;$C28,IF(LIFE_PRJ=1,W451,0),OFFSET(Проект!X$1466,0,1-$B28)))</f>
        <v>0</v>
      </c>
      <c r="Y451" s="93">
        <f ca="1">IF(Y$33&lt;$B28,0,IF(Y$33&gt;$C28,IF(LIFE_PRJ=1,X451,0),OFFSET(Проект!AC$1466,0,1-$B28)))</f>
        <v>0</v>
      </c>
    </row>
    <row r="452" spans="1:27" outlineLevel="1" collapsed="1" x14ac:dyDescent="0.2">
      <c r="A452" t="str">
        <f ca="1">Language!A$777</f>
        <v>НДС на приобретенные товары</v>
      </c>
      <c r="C452" s="5" t="str">
        <f t="shared" ca="1" si="48"/>
        <v>тыс. EUR</v>
      </c>
      <c r="D452" s="16" t="s">
        <v>2616</v>
      </c>
      <c r="F452" s="105">
        <f ca="1">SUMPRODUCT($B12:OFFSET($B13,-1,0),F453:OFFSET(F454,-1,0))</f>
        <v>0</v>
      </c>
      <c r="G452" s="105">
        <f ca="1">SUMPRODUCT($B12:OFFSET($B13,-1,0),G453:OFFSET(G454,-1,0))</f>
        <v>0</v>
      </c>
      <c r="H452" s="105">
        <f ca="1">SUMPRODUCT($B12:OFFSET($B13,-1,0),H453:OFFSET(H454,-1,0))</f>
        <v>1027.5924207268845</v>
      </c>
      <c r="I452" s="105">
        <f ca="1">SUMPRODUCT($B12:OFFSET($B13,-1,0),I453:OFFSET(I454,-1,0))</f>
        <v>1311.7377865805431</v>
      </c>
      <c r="J452" s="105">
        <f ca="1">SUMPRODUCT($B12:OFFSET($B13,-1,0),J453:OFFSET(J454,-1,0))</f>
        <v>2625.3349535327798</v>
      </c>
      <c r="K452" s="105">
        <f ca="1">SUMPRODUCT($B12:OFFSET($B13,-1,0),K453:OFFSET(K454,-1,0))</f>
        <v>221.02481284025816</v>
      </c>
      <c r="L452" s="105">
        <f ca="1">SUMPRODUCT($B12:OFFSET($B13,-1,0),L453:OFFSET(L454,-1,0))</f>
        <v>551.56278743784458</v>
      </c>
      <c r="M452" s="105">
        <f ca="1">SUMPRODUCT($B12:OFFSET($B13,-1,0),M453:OFFSET(M454,-1,0))</f>
        <v>713.79832522173251</v>
      </c>
      <c r="N452" s="105">
        <f ca="1">SUMPRODUCT($B12:OFFSET($B13,-1,0),N453:OFFSET(N454,-1,0))</f>
        <v>1019.1054708427394</v>
      </c>
      <c r="O452" s="105">
        <f ca="1">SUMPRODUCT($B12:OFFSET($B13,-1,0),O453:OFFSET(O454,-1,0))</f>
        <v>1230.2623495590494</v>
      </c>
      <c r="P452" s="105">
        <f ca="1">SUMPRODUCT($B12:OFFSET($B13,-1,0),P453:OFFSET(P454,-1,0))</f>
        <v>1230.2623495590497</v>
      </c>
      <c r="Q452" s="105">
        <f ca="1">SUMPRODUCT($B12:OFFSET($B13,-1,0),Q453:OFFSET(Q454,-1,0))</f>
        <v>1230.2623495590497</v>
      </c>
      <c r="R452" s="105">
        <f ca="1">SUMPRODUCT($B12:OFFSET($B13,-1,0),R453:OFFSET(R454,-1,0))</f>
        <v>1230.2623495590497</v>
      </c>
      <c r="S452" s="105">
        <f ca="1">SUMPRODUCT($B12:OFFSET($B13,-1,0),S453:OFFSET(S454,-1,0))</f>
        <v>1230.2623495590497</v>
      </c>
      <c r="T452" s="105">
        <f ca="1">SUMPRODUCT($B12:OFFSET($B13,-1,0),T453:OFFSET(T454,-1,0))</f>
        <v>1230.2623495590497</v>
      </c>
      <c r="U452" s="105">
        <f ca="1">SUMPRODUCT($B12:OFFSET($B13,-1,0),U453:OFFSET(U454,-1,0))</f>
        <v>1230.2623495590497</v>
      </c>
      <c r="V452" s="105">
        <f ca="1">SUMPRODUCT($B12:OFFSET($B13,-1,0),V453:OFFSET(V454,-1,0))</f>
        <v>1230.2623495590497</v>
      </c>
      <c r="W452" s="105">
        <f ca="1">SUMPRODUCT($B12:OFFSET($B13,-1,0),W453:OFFSET(W454,-1,0))</f>
        <v>1230.2623495590497</v>
      </c>
      <c r="X452" s="105">
        <f ca="1">SUMPRODUCT($B12:OFFSET($B13,-1,0),X453:OFFSET(X454,-1,0))</f>
        <v>1230.2623495590497</v>
      </c>
      <c r="Y452" s="105">
        <f ca="1">SUMPRODUCT($B12:OFFSET($B13,-1,0),Y453:OFFSET(Y454,-1,0))</f>
        <v>1230.2623495590497</v>
      </c>
      <c r="AA452" s="11"/>
    </row>
    <row r="453" spans="1:27" s="180" customFormat="1" hidden="1" outlineLevel="2" x14ac:dyDescent="0.2">
      <c r="A453" s="180" t="str">
        <f ca="1">"        " &amp; A12</f>
        <v xml:space="preserve">        Проект 1</v>
      </c>
      <c r="C453" s="208" t="str">
        <f t="shared" ca="1" si="48"/>
        <v>тыс. EUR</v>
      </c>
      <c r="D453" s="89" t="e">
        <f ca="1">"[" &amp; F12 &amp; "];int_end"</f>
        <v>#NAME?</v>
      </c>
      <c r="F453" s="93">
        <f ca="1">IF(F$33&lt;$B28,0,IF(F$33&gt;$C28,IF(LIFE_PRJ=1,E453,0),OFFSET(Проект!F$1467,0,1-$B28)))</f>
        <v>0</v>
      </c>
      <c r="G453" s="93">
        <f ca="1">IF(G$33&lt;$B28,0,IF(G$33&gt;$C28,IF(LIFE_PRJ=1,F453,0),OFFSET(Проект!G$1467,0,1-$B28)))</f>
        <v>0</v>
      </c>
      <c r="H453" s="93">
        <f ca="1">IF(H$33&lt;$B28,0,IF(H$33&gt;$C28,IF(LIFE_PRJ=1,G453,0),OFFSET(Проект!H$1467,0,1-$B28)))</f>
        <v>1027.5924207268845</v>
      </c>
      <c r="I453" s="93">
        <f ca="1">IF(I$33&lt;$B28,0,IF(I$33&gt;$C28,IF(LIFE_PRJ=1,H453,0),OFFSET(Проект!I$1467,0,1-$B28)))</f>
        <v>1311.7377865805431</v>
      </c>
      <c r="J453" s="93">
        <f ca="1">IF(J$33&lt;$B28,0,IF(J$33&gt;$C28,IF(LIFE_PRJ=1,I453,0),OFFSET(Проект!J$1467,0,1-$B28)))</f>
        <v>2625.3349535327798</v>
      </c>
      <c r="K453" s="93">
        <f ca="1">IF(K$33&lt;$B28,0,IF(K$33&gt;$C28,IF(LIFE_PRJ=1,J453,0),OFFSET(Проект!K$1467,0,1-$B28)))</f>
        <v>221.02481284025816</v>
      </c>
      <c r="L453" s="93">
        <f ca="1">IF(L$33&lt;$B28,0,IF(L$33&gt;$C28,IF(LIFE_PRJ=1,K453,0),OFFSET(Проект!L$1467,0,1-$B28)))</f>
        <v>551.56278743784458</v>
      </c>
      <c r="M453" s="93">
        <f ca="1">IF(M$33&lt;$B28,0,IF(M$33&gt;$C28,IF(LIFE_PRJ=1,L453,0),OFFSET(Проект!M$1467,0,1-$B28)))</f>
        <v>713.79832522173251</v>
      </c>
      <c r="N453" s="93">
        <f ca="1">IF(N$33&lt;$B28,0,IF(N$33&gt;$C28,IF(LIFE_PRJ=1,M453,0),OFFSET(Проект!N$1467,0,1-$B28)))</f>
        <v>1019.1054708427394</v>
      </c>
      <c r="O453" s="93">
        <f ca="1">IF(O$33&lt;$B28,0,IF(O$33&gt;$C28,IF(LIFE_PRJ=1,N453,0),OFFSET(Проект!O$1467,0,1-$B28)))</f>
        <v>1230.2623495590494</v>
      </c>
      <c r="P453" s="93">
        <f ca="1">IF(P$33&lt;$B28,0,IF(P$33&gt;$C28,IF(LIFE_PRJ=1,O453,0),OFFSET(Проект!P$1467,0,1-$B28)))</f>
        <v>1230.2623495590497</v>
      </c>
      <c r="Q453" s="93">
        <f ca="1">IF(Q$33&lt;$B28,0,IF(Q$33&gt;$C28,IF(LIFE_PRJ=1,P453,0),OFFSET(Проект!Q$1467,0,1-$B28)))</f>
        <v>1230.2623495590497</v>
      </c>
      <c r="R453" s="93">
        <f ca="1">IF(R$33&lt;$B28,0,IF(R$33&gt;$C28,IF(LIFE_PRJ=1,Q453,0),OFFSET(Проект!R$1467,0,1-$B28)))</f>
        <v>1230.2623495590497</v>
      </c>
      <c r="S453" s="93">
        <f ca="1">IF(S$33&lt;$B28,0,IF(S$33&gt;$C28,IF(LIFE_PRJ=1,R453,0),OFFSET(Проект!S$1467,0,1-$B28)))</f>
        <v>1230.2623495590497</v>
      </c>
      <c r="T453" s="93">
        <f ca="1">IF(T$33&lt;$B28,0,IF(T$33&gt;$C28,IF(LIFE_PRJ=1,S453,0),OFFSET(Проект!T$1467,0,1-$B28)))</f>
        <v>1230.2623495590497</v>
      </c>
      <c r="U453" s="93">
        <f ca="1">IF(U$33&lt;$B28,0,IF(U$33&gt;$C28,IF(LIFE_PRJ=1,T453,0),OFFSET(Проект!U$1467,0,1-$B28)))</f>
        <v>1230.2623495590497</v>
      </c>
      <c r="V453" s="93">
        <f ca="1">IF(V$33&lt;$B28,0,IF(V$33&gt;$C28,IF(LIFE_PRJ=1,U453,0),OFFSET(Проект!V$1467,0,1-$B28)))</f>
        <v>1230.2623495590497</v>
      </c>
      <c r="W453" s="93">
        <f ca="1">IF(W$33&lt;$B28,0,IF(W$33&gt;$C28,IF(LIFE_PRJ=1,V453,0),OFFSET(Проект!W$1467,0,1-$B28)))</f>
        <v>1230.2623495590497</v>
      </c>
      <c r="X453" s="93">
        <f ca="1">IF(X$33&lt;$B28,0,IF(X$33&gt;$C28,IF(LIFE_PRJ=1,W453,0),OFFSET(Проект!X$1467,0,1-$B28)))</f>
        <v>1230.2623495590497</v>
      </c>
      <c r="Y453" s="93">
        <f ca="1">IF(Y$33&lt;$B28,0,IF(Y$33&gt;$C28,IF(LIFE_PRJ=1,X453,0),OFFSET(Проект!AC$1467,0,1-$B28)))</f>
        <v>1230.2623495590497</v>
      </c>
    </row>
    <row r="454" spans="1:27" outlineLevel="1" collapsed="1" x14ac:dyDescent="0.2">
      <c r="A454" t="str">
        <f ca="1">Language!A$778</f>
        <v>Расходы будущих периодов</v>
      </c>
      <c r="C454" s="5" t="str">
        <f t="shared" ca="1" si="48"/>
        <v>тыс. EUR</v>
      </c>
      <c r="D454" s="16" t="s">
        <v>2616</v>
      </c>
      <c r="F454" s="105">
        <f ca="1">SUMPRODUCT($B12:OFFSET($B13,-1,0),F455:OFFSET(F456,-1,0))</f>
        <v>0</v>
      </c>
      <c r="G454" s="105">
        <f ca="1">SUMPRODUCT($B12:OFFSET($B13,-1,0),G455:OFFSET(G456,-1,0))</f>
        <v>0</v>
      </c>
      <c r="H454" s="105">
        <f ca="1">SUMPRODUCT($B12:OFFSET($B13,-1,0),H455:OFFSET(H456,-1,0))</f>
        <v>0</v>
      </c>
      <c r="I454" s="105">
        <f ca="1">SUMPRODUCT($B12:OFFSET($B13,-1,0),I455:OFFSET(I456,-1,0))</f>
        <v>0</v>
      </c>
      <c r="J454" s="105">
        <f ca="1">SUMPRODUCT($B12:OFFSET($B13,-1,0),J455:OFFSET(J456,-1,0))</f>
        <v>0</v>
      </c>
      <c r="K454" s="105">
        <f ca="1">SUMPRODUCT($B12:OFFSET($B13,-1,0),K455:OFFSET(K456,-1,0))</f>
        <v>0</v>
      </c>
      <c r="L454" s="105">
        <f ca="1">SUMPRODUCT($B12:OFFSET($B13,-1,0),L455:OFFSET(L456,-1,0))</f>
        <v>466.04827576903324</v>
      </c>
      <c r="M454" s="105">
        <f ca="1">SUMPRODUCT($B12:OFFSET($B13,-1,0),M455:OFFSET(M456,-1,0))</f>
        <v>466.04827576903324</v>
      </c>
      <c r="N454" s="105">
        <f ca="1">SUMPRODUCT($B12:OFFSET($B13,-1,0),N455:OFFSET(N456,-1,0))</f>
        <v>466.04827576903324</v>
      </c>
      <c r="O454" s="105">
        <f ca="1">SUMPRODUCT($B12:OFFSET($B13,-1,0),O455:OFFSET(O456,-1,0))</f>
        <v>466.04827576903324</v>
      </c>
      <c r="P454" s="105">
        <f ca="1">SUMPRODUCT($B12:OFFSET($B13,-1,0),P455:OFFSET(P456,-1,0))</f>
        <v>466.04827576903324</v>
      </c>
      <c r="Q454" s="105">
        <f ca="1">SUMPRODUCT($B12:OFFSET($B13,-1,0),Q455:OFFSET(Q456,-1,0))</f>
        <v>466.04827576903324</v>
      </c>
      <c r="R454" s="105">
        <f ca="1">SUMPRODUCT($B12:OFFSET($B13,-1,0),R455:OFFSET(R456,-1,0))</f>
        <v>466.04827576903324</v>
      </c>
      <c r="S454" s="105">
        <f ca="1">SUMPRODUCT($B12:OFFSET($B13,-1,0),S455:OFFSET(S456,-1,0))</f>
        <v>466.04827576903324</v>
      </c>
      <c r="T454" s="105">
        <f ca="1">SUMPRODUCT($B12:OFFSET($B13,-1,0),T455:OFFSET(T456,-1,0))</f>
        <v>466.04827576903324</v>
      </c>
      <c r="U454" s="105">
        <f ca="1">SUMPRODUCT($B12:OFFSET($B13,-1,0),U455:OFFSET(U456,-1,0))</f>
        <v>466.04827576903324</v>
      </c>
      <c r="V454" s="105">
        <f ca="1">SUMPRODUCT($B12:OFFSET($B13,-1,0),V455:OFFSET(V456,-1,0))</f>
        <v>466.04827576903324</v>
      </c>
      <c r="W454" s="105">
        <f ca="1">SUMPRODUCT($B12:OFFSET($B13,-1,0),W455:OFFSET(W456,-1,0))</f>
        <v>466.04827576903324</v>
      </c>
      <c r="X454" s="105">
        <f ca="1">SUMPRODUCT($B12:OFFSET($B13,-1,0),X455:OFFSET(X456,-1,0))</f>
        <v>466.04827576903324</v>
      </c>
      <c r="Y454" s="105">
        <f ca="1">SUMPRODUCT($B12:OFFSET($B13,-1,0),Y455:OFFSET(Y456,-1,0))</f>
        <v>466.04827576903324</v>
      </c>
      <c r="AA454" s="11"/>
    </row>
    <row r="455" spans="1:27" s="180" customFormat="1" hidden="1" outlineLevel="2" x14ac:dyDescent="0.2">
      <c r="A455" s="180" t="str">
        <f ca="1">"        " &amp; A12</f>
        <v xml:space="preserve">        Проект 1</v>
      </c>
      <c r="C455" s="208" t="str">
        <f t="shared" ca="1" si="48"/>
        <v>тыс. EUR</v>
      </c>
      <c r="D455" s="89" t="e">
        <f ca="1">"[" &amp; F12 &amp; "];int_end"</f>
        <v>#NAME?</v>
      </c>
      <c r="F455" s="93">
        <f ca="1">IF(F$33&lt;$B28,0,IF(F$33&gt;$C28,IF(LIFE_PRJ=1,E455,0),OFFSET(Проект!F$1468,0,1-$B28)))</f>
        <v>0</v>
      </c>
      <c r="G455" s="93">
        <f ca="1">IF(G$33&lt;$B28,0,IF(G$33&gt;$C28,IF(LIFE_PRJ=1,F455,0),OFFSET(Проект!G$1468,0,1-$B28)))</f>
        <v>0</v>
      </c>
      <c r="H455" s="93">
        <f ca="1">IF(H$33&lt;$B28,0,IF(H$33&gt;$C28,IF(LIFE_PRJ=1,G455,0),OFFSET(Проект!H$1468,0,1-$B28)))</f>
        <v>0</v>
      </c>
      <c r="I455" s="93">
        <f ca="1">IF(I$33&lt;$B28,0,IF(I$33&gt;$C28,IF(LIFE_PRJ=1,H455,0),OFFSET(Проект!I$1468,0,1-$B28)))</f>
        <v>0</v>
      </c>
      <c r="J455" s="93">
        <f ca="1">IF(J$33&lt;$B28,0,IF(J$33&gt;$C28,IF(LIFE_PRJ=1,I455,0),OFFSET(Проект!J$1468,0,1-$B28)))</f>
        <v>0</v>
      </c>
      <c r="K455" s="93">
        <f ca="1">IF(K$33&lt;$B28,0,IF(K$33&gt;$C28,IF(LIFE_PRJ=1,J455,0),OFFSET(Проект!K$1468,0,1-$B28)))</f>
        <v>0</v>
      </c>
      <c r="L455" s="93">
        <f ca="1">IF(L$33&lt;$B28,0,IF(L$33&gt;$C28,IF(LIFE_PRJ=1,K455,0),OFFSET(Проект!L$1468,0,1-$B28)))</f>
        <v>466.04827576903324</v>
      </c>
      <c r="M455" s="93">
        <f ca="1">IF(M$33&lt;$B28,0,IF(M$33&gt;$C28,IF(LIFE_PRJ=1,L455,0),OFFSET(Проект!M$1468,0,1-$B28)))</f>
        <v>466.04827576903324</v>
      </c>
      <c r="N455" s="93">
        <f ca="1">IF(N$33&lt;$B28,0,IF(N$33&gt;$C28,IF(LIFE_PRJ=1,M455,0),OFFSET(Проект!N$1468,0,1-$B28)))</f>
        <v>466.04827576903324</v>
      </c>
      <c r="O455" s="93">
        <f ca="1">IF(O$33&lt;$B28,0,IF(O$33&gt;$C28,IF(LIFE_PRJ=1,N455,0),OFFSET(Проект!O$1468,0,1-$B28)))</f>
        <v>466.04827576903324</v>
      </c>
      <c r="P455" s="93">
        <f ca="1">IF(P$33&lt;$B28,0,IF(P$33&gt;$C28,IF(LIFE_PRJ=1,O455,0),OFFSET(Проект!P$1468,0,1-$B28)))</f>
        <v>466.04827576903324</v>
      </c>
      <c r="Q455" s="93">
        <f ca="1">IF(Q$33&lt;$B28,0,IF(Q$33&gt;$C28,IF(LIFE_PRJ=1,P455,0),OFFSET(Проект!Q$1468,0,1-$B28)))</f>
        <v>466.04827576903324</v>
      </c>
      <c r="R455" s="93">
        <f ca="1">IF(R$33&lt;$B28,0,IF(R$33&gt;$C28,IF(LIFE_PRJ=1,Q455,0),OFFSET(Проект!R$1468,0,1-$B28)))</f>
        <v>466.04827576903324</v>
      </c>
      <c r="S455" s="93">
        <f ca="1">IF(S$33&lt;$B28,0,IF(S$33&gt;$C28,IF(LIFE_PRJ=1,R455,0),OFFSET(Проект!S$1468,0,1-$B28)))</f>
        <v>466.04827576903324</v>
      </c>
      <c r="T455" s="93">
        <f ca="1">IF(T$33&lt;$B28,0,IF(T$33&gt;$C28,IF(LIFE_PRJ=1,S455,0),OFFSET(Проект!T$1468,0,1-$B28)))</f>
        <v>466.04827576903324</v>
      </c>
      <c r="U455" s="93">
        <f ca="1">IF(U$33&lt;$B28,0,IF(U$33&gt;$C28,IF(LIFE_PRJ=1,T455,0),OFFSET(Проект!U$1468,0,1-$B28)))</f>
        <v>466.04827576903324</v>
      </c>
      <c r="V455" s="93">
        <f ca="1">IF(V$33&lt;$B28,0,IF(V$33&gt;$C28,IF(LIFE_PRJ=1,U455,0),OFFSET(Проект!V$1468,0,1-$B28)))</f>
        <v>466.04827576903324</v>
      </c>
      <c r="W455" s="93">
        <f ca="1">IF(W$33&lt;$B28,0,IF(W$33&gt;$C28,IF(LIFE_PRJ=1,V455,0),OFFSET(Проект!W$1468,0,1-$B28)))</f>
        <v>466.04827576903324</v>
      </c>
      <c r="X455" s="93">
        <f ca="1">IF(X$33&lt;$B28,0,IF(X$33&gt;$C28,IF(LIFE_PRJ=1,W455,0),OFFSET(Проект!X$1468,0,1-$B28)))</f>
        <v>466.04827576903324</v>
      </c>
      <c r="Y455" s="93">
        <f ca="1">IF(Y$33&lt;$B28,0,IF(Y$33&gt;$C28,IF(LIFE_PRJ=1,X455,0),OFFSET(Проект!AC$1468,0,1-$B28)))</f>
        <v>466.04827576903324</v>
      </c>
    </row>
    <row r="456" spans="1:27" outlineLevel="1" collapsed="1" x14ac:dyDescent="0.2">
      <c r="A456" t="str">
        <f ca="1">Language!A$779</f>
        <v>Прочие оборотные активы</v>
      </c>
      <c r="C456" s="5" t="str">
        <f t="shared" ca="1" si="48"/>
        <v>тыс. EUR</v>
      </c>
      <c r="D456" s="16" t="s">
        <v>2616</v>
      </c>
      <c r="F456" s="105">
        <f ca="1">SUMPRODUCT($B12:OFFSET($B13,-1,0),F457:OFFSET(F458,-1,0))</f>
        <v>0</v>
      </c>
      <c r="G456" s="105">
        <f ca="1">SUMPRODUCT($B12:OFFSET($B13,-1,0),G457:OFFSET(G458,-1,0))</f>
        <v>0</v>
      </c>
      <c r="H456" s="105">
        <f ca="1">SUMPRODUCT($B12:OFFSET($B13,-1,0),H457:OFFSET(H458,-1,0))</f>
        <v>0</v>
      </c>
      <c r="I456" s="105">
        <f ca="1">SUMPRODUCT($B12:OFFSET($B13,-1,0),I457:OFFSET(I458,-1,0))</f>
        <v>0</v>
      </c>
      <c r="J456" s="105">
        <f ca="1">SUMPRODUCT($B12:OFFSET($B13,-1,0),J457:OFFSET(J458,-1,0))</f>
        <v>0</v>
      </c>
      <c r="K456" s="105">
        <f ca="1">SUMPRODUCT($B12:OFFSET($B13,-1,0),K457:OFFSET(K458,-1,0))</f>
        <v>0</v>
      </c>
      <c r="L456" s="105">
        <f ca="1">SUMPRODUCT($B12:OFFSET($B13,-1,0),L457:OFFSET(L458,-1,0))</f>
        <v>0</v>
      </c>
      <c r="M456" s="105">
        <f ca="1">SUMPRODUCT($B12:OFFSET($B13,-1,0),M457:OFFSET(M458,-1,0))</f>
        <v>0</v>
      </c>
      <c r="N456" s="105">
        <f ca="1">SUMPRODUCT($B12:OFFSET($B13,-1,0),N457:OFFSET(N458,-1,0))</f>
        <v>0</v>
      </c>
      <c r="O456" s="105">
        <f ca="1">SUMPRODUCT($B12:OFFSET($B13,-1,0),O457:OFFSET(O458,-1,0))</f>
        <v>0</v>
      </c>
      <c r="P456" s="105">
        <f ca="1">SUMPRODUCT($B12:OFFSET($B13,-1,0),P457:OFFSET(P458,-1,0))</f>
        <v>0</v>
      </c>
      <c r="Q456" s="105">
        <f ca="1">SUMPRODUCT($B12:OFFSET($B13,-1,0),Q457:OFFSET(Q458,-1,0))</f>
        <v>0</v>
      </c>
      <c r="R456" s="105">
        <f ca="1">SUMPRODUCT($B12:OFFSET($B13,-1,0),R457:OFFSET(R458,-1,0))</f>
        <v>0</v>
      </c>
      <c r="S456" s="105">
        <f ca="1">SUMPRODUCT($B12:OFFSET($B13,-1,0),S457:OFFSET(S458,-1,0))</f>
        <v>0</v>
      </c>
      <c r="T456" s="105">
        <f ca="1">SUMPRODUCT($B12:OFFSET($B13,-1,0),T457:OFFSET(T458,-1,0))</f>
        <v>0</v>
      </c>
      <c r="U456" s="105">
        <f ca="1">SUMPRODUCT($B12:OFFSET($B13,-1,0),U457:OFFSET(U458,-1,0))</f>
        <v>0</v>
      </c>
      <c r="V456" s="105">
        <f ca="1">SUMPRODUCT($B12:OFFSET($B13,-1,0),V457:OFFSET(V458,-1,0))</f>
        <v>0</v>
      </c>
      <c r="W456" s="105">
        <f ca="1">SUMPRODUCT($B12:OFFSET($B13,-1,0),W457:OFFSET(W458,-1,0))</f>
        <v>0</v>
      </c>
      <c r="X456" s="105">
        <f ca="1">SUMPRODUCT($B12:OFFSET($B13,-1,0),X457:OFFSET(X458,-1,0))</f>
        <v>0</v>
      </c>
      <c r="Y456" s="105">
        <f ca="1">SUMPRODUCT($B12:OFFSET($B13,-1,0),Y457:OFFSET(Y458,-1,0))</f>
        <v>0</v>
      </c>
      <c r="AA456" s="11"/>
    </row>
    <row r="457" spans="1:27" s="180" customFormat="1" hidden="1" outlineLevel="2" x14ac:dyDescent="0.2">
      <c r="A457" s="180" t="str">
        <f ca="1">"        " &amp; A12</f>
        <v xml:space="preserve">        Проект 1</v>
      </c>
      <c r="C457" s="208" t="str">
        <f t="shared" ca="1" si="48"/>
        <v>тыс. EUR</v>
      </c>
      <c r="D457" s="89" t="e">
        <f ca="1">"[" &amp; F12 &amp; "];int_end"</f>
        <v>#NAME?</v>
      </c>
      <c r="F457" s="93">
        <f ca="1">IF(F$33&lt;$B28,0,IF(F$33&gt;$C28,IF(LIFE_PRJ=1,E457,0),OFFSET(Проект!F$1469,0,1-$B28)))</f>
        <v>0</v>
      </c>
      <c r="G457" s="93">
        <f ca="1">IF(G$33&lt;$B28,0,IF(G$33&gt;$C28,IF(LIFE_PRJ=1,F457,0),OFFSET(Проект!G$1469,0,1-$B28)))</f>
        <v>0</v>
      </c>
      <c r="H457" s="93">
        <f ca="1">IF(H$33&lt;$B28,0,IF(H$33&gt;$C28,IF(LIFE_PRJ=1,G457,0),OFFSET(Проект!H$1469,0,1-$B28)))</f>
        <v>0</v>
      </c>
      <c r="I457" s="93">
        <f ca="1">IF(I$33&lt;$B28,0,IF(I$33&gt;$C28,IF(LIFE_PRJ=1,H457,0),OFFSET(Проект!I$1469,0,1-$B28)))</f>
        <v>0</v>
      </c>
      <c r="J457" s="93">
        <f ca="1">IF(J$33&lt;$B28,0,IF(J$33&gt;$C28,IF(LIFE_PRJ=1,I457,0),OFFSET(Проект!J$1469,0,1-$B28)))</f>
        <v>0</v>
      </c>
      <c r="K457" s="93">
        <f ca="1">IF(K$33&lt;$B28,0,IF(K$33&gt;$C28,IF(LIFE_PRJ=1,J457,0),OFFSET(Проект!K$1469,0,1-$B28)))</f>
        <v>0</v>
      </c>
      <c r="L457" s="93">
        <f ca="1">IF(L$33&lt;$B28,0,IF(L$33&gt;$C28,IF(LIFE_PRJ=1,K457,0),OFFSET(Проект!L$1469,0,1-$B28)))</f>
        <v>0</v>
      </c>
      <c r="M457" s="93">
        <f ca="1">IF(M$33&lt;$B28,0,IF(M$33&gt;$C28,IF(LIFE_PRJ=1,L457,0),OFFSET(Проект!M$1469,0,1-$B28)))</f>
        <v>0</v>
      </c>
      <c r="N457" s="93">
        <f ca="1">IF(N$33&lt;$B28,0,IF(N$33&gt;$C28,IF(LIFE_PRJ=1,M457,0),OFFSET(Проект!N$1469,0,1-$B28)))</f>
        <v>0</v>
      </c>
      <c r="O457" s="93">
        <f ca="1">IF(O$33&lt;$B28,0,IF(O$33&gt;$C28,IF(LIFE_PRJ=1,N457,0),OFFSET(Проект!O$1469,0,1-$B28)))</f>
        <v>0</v>
      </c>
      <c r="P457" s="93">
        <f ca="1">IF(P$33&lt;$B28,0,IF(P$33&gt;$C28,IF(LIFE_PRJ=1,O457,0),OFFSET(Проект!P$1469,0,1-$B28)))</f>
        <v>0</v>
      </c>
      <c r="Q457" s="93">
        <f ca="1">IF(Q$33&lt;$B28,0,IF(Q$33&gt;$C28,IF(LIFE_PRJ=1,P457,0),OFFSET(Проект!Q$1469,0,1-$B28)))</f>
        <v>0</v>
      </c>
      <c r="R457" s="93">
        <f ca="1">IF(R$33&lt;$B28,0,IF(R$33&gt;$C28,IF(LIFE_PRJ=1,Q457,0),OFFSET(Проект!R$1469,0,1-$B28)))</f>
        <v>0</v>
      </c>
      <c r="S457" s="93">
        <f ca="1">IF(S$33&lt;$B28,0,IF(S$33&gt;$C28,IF(LIFE_PRJ=1,R457,0),OFFSET(Проект!S$1469,0,1-$B28)))</f>
        <v>0</v>
      </c>
      <c r="T457" s="93">
        <f ca="1">IF(T$33&lt;$B28,0,IF(T$33&gt;$C28,IF(LIFE_PRJ=1,S457,0),OFFSET(Проект!T$1469,0,1-$B28)))</f>
        <v>0</v>
      </c>
      <c r="U457" s="93">
        <f ca="1">IF(U$33&lt;$B28,0,IF(U$33&gt;$C28,IF(LIFE_PRJ=1,T457,0),OFFSET(Проект!U$1469,0,1-$B28)))</f>
        <v>0</v>
      </c>
      <c r="V457" s="93">
        <f ca="1">IF(V$33&lt;$B28,0,IF(V$33&gt;$C28,IF(LIFE_PRJ=1,U457,0),OFFSET(Проект!V$1469,0,1-$B28)))</f>
        <v>0</v>
      </c>
      <c r="W457" s="93">
        <f ca="1">IF(W$33&lt;$B28,0,IF(W$33&gt;$C28,IF(LIFE_PRJ=1,V457,0),OFFSET(Проект!W$1469,0,1-$B28)))</f>
        <v>0</v>
      </c>
      <c r="X457" s="93">
        <f ca="1">IF(X$33&lt;$B28,0,IF(X$33&gt;$C28,IF(LIFE_PRJ=1,W457,0),OFFSET(Проект!X$1469,0,1-$B28)))</f>
        <v>0</v>
      </c>
      <c r="Y457" s="93">
        <f ca="1">IF(Y$33&lt;$B28,0,IF(Y$33&gt;$C28,IF(LIFE_PRJ=1,X457,0),OFFSET(Проект!AC$1469,0,1-$B28)))</f>
        <v>0</v>
      </c>
    </row>
    <row r="458" spans="1:27" outlineLevel="1" collapsed="1" x14ac:dyDescent="0.2">
      <c r="A458" s="35" t="str">
        <f ca="1">Language!A$780</f>
        <v>Суммарные оборотные активы</v>
      </c>
      <c r="C458" s="5" t="str">
        <f t="shared" ca="1" si="48"/>
        <v>тыс. EUR</v>
      </c>
      <c r="D458" s="16" t="s">
        <v>2616</v>
      </c>
      <c r="F458" s="159">
        <f t="shared" ref="F458:T458" ca="1" si="54">F440+F442+F444+F446+F448+F450+F452+F454+F456</f>
        <v>0</v>
      </c>
      <c r="G458" s="159">
        <f t="shared" ca="1" si="54"/>
        <v>0</v>
      </c>
      <c r="H458" s="159">
        <f t="shared" ca="1" si="54"/>
        <v>1027.5924207268845</v>
      </c>
      <c r="I458" s="159">
        <f t="shared" ca="1" si="54"/>
        <v>1311.7377865805431</v>
      </c>
      <c r="J458" s="159">
        <f t="shared" ca="1" si="54"/>
        <v>2767.2840466577863</v>
      </c>
      <c r="K458" s="159">
        <f t="shared" ca="1" si="54"/>
        <v>3514.4851198929337</v>
      </c>
      <c r="L458" s="159">
        <f t="shared" ca="1" si="54"/>
        <v>3860.6463563914631</v>
      </c>
      <c r="M458" s="159">
        <f t="shared" ca="1" si="54"/>
        <v>4685.8749320814986</v>
      </c>
      <c r="N458" s="159">
        <f t="shared" ca="1" si="54"/>
        <v>5955.1923204553905</v>
      </c>
      <c r="O458" s="159">
        <f t="shared" ca="1" si="54"/>
        <v>7451.6224644236181</v>
      </c>
      <c r="P458" s="159">
        <f t="shared" ca="1" si="54"/>
        <v>8906.3971538094756</v>
      </c>
      <c r="Q458" s="159">
        <f t="shared" ca="1" si="54"/>
        <v>10361.171843195334</v>
      </c>
      <c r="R458" s="159">
        <f t="shared" ca="1" si="54"/>
        <v>11815.946532581194</v>
      </c>
      <c r="S458" s="159">
        <f t="shared" ca="1" si="54"/>
        <v>13270.721221967051</v>
      </c>
      <c r="T458" s="159">
        <f t="shared" ca="1" si="54"/>
        <v>14725.495911352911</v>
      </c>
      <c r="U458" s="159">
        <f t="shared" ref="U458" ca="1" si="55">U440+U442+U444+U446+U448+U450+U452+U454+U456</f>
        <v>16180.270600738768</v>
      </c>
      <c r="V458" s="159">
        <f t="shared" ref="V458" ca="1" si="56">V440+V442+V444+V446+V448+V450+V452+V454+V456</f>
        <v>17635.045290124628</v>
      </c>
      <c r="W458" s="159">
        <f t="shared" ref="W458" ca="1" si="57">W440+W442+W444+W446+W448+W450+W452+W454+W456</f>
        <v>19089.819979510485</v>
      </c>
      <c r="X458" s="159">
        <f t="shared" ref="X458:Y458" ca="1" si="58">X440+X442+X444+X446+X448+X450+X452+X454+X456</f>
        <v>20544.594668896345</v>
      </c>
      <c r="Y458" s="159">
        <f t="shared" ca="1" si="58"/>
        <v>28893.185219868352</v>
      </c>
      <c r="AA458" s="11"/>
    </row>
    <row r="459" spans="1:27" s="180" customFormat="1" hidden="1" outlineLevel="2" x14ac:dyDescent="0.2">
      <c r="A459" s="180" t="str">
        <f ca="1">"        " &amp; A12</f>
        <v xml:space="preserve">        Проект 1</v>
      </c>
      <c r="C459" s="208" t="str">
        <f t="shared" ca="1" si="48"/>
        <v>тыс. EUR</v>
      </c>
      <c r="D459" s="89" t="e">
        <f ca="1">"[" &amp; F12 &amp; "];int_end"</f>
        <v>#NAME?</v>
      </c>
      <c r="F459" s="93">
        <f ca="1">IF(F$33&lt;$B28,0,IF(F$33&gt;$C28,IF(LIFE_PRJ=1,E459,0),OFFSET(Проект!F$1470,0,1-$B28)))</f>
        <v>0</v>
      </c>
      <c r="G459" s="93">
        <f ca="1">IF(G$33&lt;$B28,0,IF(G$33&gt;$C28,IF(LIFE_PRJ=1,F459,0),OFFSET(Проект!G$1470,0,1-$B28)))</f>
        <v>0</v>
      </c>
      <c r="H459" s="93">
        <f ca="1">IF(H$33&lt;$B28,0,IF(H$33&gt;$C28,IF(LIFE_PRJ=1,G459,0),OFFSET(Проект!H$1470,0,1-$B28)))</f>
        <v>1027.5924207268845</v>
      </c>
      <c r="I459" s="93">
        <f ca="1">IF(I$33&lt;$B28,0,IF(I$33&gt;$C28,IF(LIFE_PRJ=1,H459,0),OFFSET(Проект!I$1470,0,1-$B28)))</f>
        <v>1311.7377865805431</v>
      </c>
      <c r="J459" s="93">
        <f ca="1">IF(J$33&lt;$B28,0,IF(J$33&gt;$C28,IF(LIFE_PRJ=1,I459,0),OFFSET(Проект!J$1470,0,1-$B28)))</f>
        <v>2767.2840466577863</v>
      </c>
      <c r="K459" s="93">
        <f ca="1">IF(K$33&lt;$B28,0,IF(K$33&gt;$C28,IF(LIFE_PRJ=1,J459,0),OFFSET(Проект!K$1470,0,1-$B28)))</f>
        <v>3514.4851198929337</v>
      </c>
      <c r="L459" s="93">
        <f ca="1">IF(L$33&lt;$B28,0,IF(L$33&gt;$C28,IF(LIFE_PRJ=1,K459,0),OFFSET(Проект!L$1470,0,1-$B28)))</f>
        <v>3860.6463563914631</v>
      </c>
      <c r="M459" s="93">
        <f ca="1">IF(M$33&lt;$B28,0,IF(M$33&gt;$C28,IF(LIFE_PRJ=1,L459,0),OFFSET(Проект!M$1470,0,1-$B28)))</f>
        <v>4685.8749320814986</v>
      </c>
      <c r="N459" s="93">
        <f ca="1">IF(N$33&lt;$B28,0,IF(N$33&gt;$C28,IF(LIFE_PRJ=1,M459,0),OFFSET(Проект!N$1470,0,1-$B28)))</f>
        <v>5955.1923204553905</v>
      </c>
      <c r="O459" s="93">
        <f ca="1">IF(O$33&lt;$B28,0,IF(O$33&gt;$C28,IF(LIFE_PRJ=1,N459,0),OFFSET(Проект!O$1470,0,1-$B28)))</f>
        <v>7451.6224644236181</v>
      </c>
      <c r="P459" s="93">
        <f ca="1">IF(P$33&lt;$B28,0,IF(P$33&gt;$C28,IF(LIFE_PRJ=1,O459,0),OFFSET(Проект!P$1470,0,1-$B28)))</f>
        <v>8906.3971538094756</v>
      </c>
      <c r="Q459" s="93">
        <f ca="1">IF(Q$33&lt;$B28,0,IF(Q$33&gt;$C28,IF(LIFE_PRJ=1,P459,0),OFFSET(Проект!Q$1470,0,1-$B28)))</f>
        <v>10361.171843195334</v>
      </c>
      <c r="R459" s="93">
        <f ca="1">IF(R$33&lt;$B28,0,IF(R$33&gt;$C28,IF(LIFE_PRJ=1,Q459,0),OFFSET(Проект!R$1470,0,1-$B28)))</f>
        <v>11815.946532581194</v>
      </c>
      <c r="S459" s="93">
        <f ca="1">IF(S$33&lt;$B28,0,IF(S$33&gt;$C28,IF(LIFE_PRJ=1,R459,0),OFFSET(Проект!S$1470,0,1-$B28)))</f>
        <v>13270.721221967051</v>
      </c>
      <c r="T459" s="93">
        <f ca="1">IF(T$33&lt;$B28,0,IF(T$33&gt;$C28,IF(LIFE_PRJ=1,S459,0),OFFSET(Проект!T$1470,0,1-$B28)))</f>
        <v>14725.495911352911</v>
      </c>
      <c r="U459" s="93">
        <f ca="1">IF(U$33&lt;$B28,0,IF(U$33&gt;$C28,IF(LIFE_PRJ=1,T459,0),OFFSET(Проект!U$1470,0,1-$B28)))</f>
        <v>16180.270600738768</v>
      </c>
      <c r="V459" s="93">
        <f ca="1">IF(V$33&lt;$B28,0,IF(V$33&gt;$C28,IF(LIFE_PRJ=1,U459,0),OFFSET(Проект!V$1470,0,1-$B28)))</f>
        <v>17635.045290124628</v>
      </c>
      <c r="W459" s="93">
        <f ca="1">IF(W$33&lt;$B28,0,IF(W$33&gt;$C28,IF(LIFE_PRJ=1,V459,0),OFFSET(Проект!W$1470,0,1-$B28)))</f>
        <v>19089.819979510485</v>
      </c>
      <c r="X459" s="93">
        <f ca="1">IF(X$33&lt;$B28,0,IF(X$33&gt;$C28,IF(LIFE_PRJ=1,W459,0),OFFSET(Проект!X$1470,0,1-$B28)))</f>
        <v>20544.594668896345</v>
      </c>
      <c r="Y459" s="93">
        <f ca="1">IF(Y$33&lt;$B28,0,IF(Y$33&gt;$C28,IF(LIFE_PRJ=1,X459,0),OFFSET(Проект!AC$1470,0,1-$B28)))</f>
        <v>27818.468115825646</v>
      </c>
    </row>
    <row r="460" spans="1:27" outlineLevel="1" x14ac:dyDescent="0.2">
      <c r="F460" s="43"/>
      <c r="G460" s="43"/>
      <c r="H460" s="43"/>
      <c r="I460" s="43"/>
      <c r="J460" s="43"/>
      <c r="K460" s="43"/>
      <c r="L460" s="43"/>
      <c r="M460" s="43"/>
      <c r="N460" s="43"/>
      <c r="O460" s="43"/>
      <c r="P460" s="43"/>
      <c r="Q460" s="43"/>
      <c r="R460" s="43"/>
      <c r="S460" s="43"/>
      <c r="T460" s="43"/>
      <c r="U460" s="43"/>
      <c r="V460" s="43"/>
      <c r="W460" s="43"/>
      <c r="X460" s="43"/>
      <c r="Y460" s="43"/>
      <c r="AA460" s="11"/>
    </row>
    <row r="461" spans="1:27" outlineLevel="1" collapsed="1" x14ac:dyDescent="0.2">
      <c r="A461" t="str">
        <f ca="1">Language!A$781</f>
        <v>Внеоборотные активы</v>
      </c>
      <c r="C461" s="5" t="str">
        <f t="shared" ref="C461:C476" ca="1" si="59">CUR_Report</f>
        <v>тыс. EUR</v>
      </c>
      <c r="D461" s="16" t="s">
        <v>2616</v>
      </c>
      <c r="F461" s="209">
        <f ca="1">SUMPRODUCT($B12:OFFSET($B13,-1,0),F462:OFFSET(F463,-1,0))</f>
        <v>0</v>
      </c>
      <c r="G461" s="209">
        <f ca="1">SUMPRODUCT($B12:OFFSET($B13,-1,0),G462:OFFSET(G463,-1,0))</f>
        <v>0</v>
      </c>
      <c r="H461" s="209">
        <f ca="1">SUMPRODUCT($B12:OFFSET($B13,-1,0),H462:OFFSET(H463,-1,0))</f>
        <v>0</v>
      </c>
      <c r="I461" s="209">
        <f ca="1">SUMPRODUCT($B12:OFFSET($B13,-1,0),I462:OFFSET(I463,-1,0))</f>
        <v>0</v>
      </c>
      <c r="J461" s="209">
        <f ca="1">SUMPRODUCT($B12:OFFSET($B13,-1,0),J462:OFFSET(J463,-1,0))</f>
        <v>13263.916649761954</v>
      </c>
      <c r="K461" s="209">
        <f ca="1">SUMPRODUCT($B12:OFFSET($B13,-1,0),K462:OFFSET(K463,-1,0))</f>
        <v>12954.56413705319</v>
      </c>
      <c r="L461" s="209">
        <f ca="1">SUMPRODUCT($B12:OFFSET($B13,-1,0),L462:OFFSET(L463,-1,0))</f>
        <v>12645.211624344427</v>
      </c>
      <c r="M461" s="209">
        <f ca="1">SUMPRODUCT($B12:OFFSET($B13,-1,0),M462:OFFSET(M463,-1,0))</f>
        <v>12335.859111635664</v>
      </c>
      <c r="N461" s="209">
        <f ca="1">SUMPRODUCT($B12:OFFSET($B13,-1,0),N462:OFFSET(N463,-1,0))</f>
        <v>12026.506598926899</v>
      </c>
      <c r="O461" s="209">
        <f ca="1">SUMPRODUCT($B12:OFFSET($B13,-1,0),O462:OFFSET(O463,-1,0))</f>
        <v>11717.154086218135</v>
      </c>
      <c r="P461" s="209">
        <f ca="1">SUMPRODUCT($B12:OFFSET($B13,-1,0),P462:OFFSET(P463,-1,0))</f>
        <v>11407.80157350937</v>
      </c>
      <c r="Q461" s="209">
        <f ca="1">SUMPRODUCT($B12:OFFSET($B13,-1,0),Q462:OFFSET(Q463,-1,0))</f>
        <v>11098.449060800607</v>
      </c>
      <c r="R461" s="209">
        <f ca="1">SUMPRODUCT($B12:OFFSET($B13,-1,0),R462:OFFSET(R463,-1,0))</f>
        <v>10789.096548091842</v>
      </c>
      <c r="S461" s="209">
        <f ca="1">SUMPRODUCT($B12:OFFSET($B13,-1,0),S462:OFFSET(S463,-1,0))</f>
        <v>10479.744035383081</v>
      </c>
      <c r="T461" s="209">
        <f ca="1">SUMPRODUCT($B12:OFFSET($B13,-1,0),T462:OFFSET(T463,-1,0))</f>
        <v>10170.391522674316</v>
      </c>
      <c r="U461" s="209">
        <f ca="1">SUMPRODUCT($B12:OFFSET($B13,-1,0),U462:OFFSET(U463,-1,0))</f>
        <v>9861.0390099655524</v>
      </c>
      <c r="V461" s="209">
        <f ca="1">SUMPRODUCT($B12:OFFSET($B13,-1,0),V462:OFFSET(V463,-1,0))</f>
        <v>9551.6864972567873</v>
      </c>
      <c r="W461" s="209">
        <f ca="1">SUMPRODUCT($B12:OFFSET($B13,-1,0),W462:OFFSET(W463,-1,0))</f>
        <v>9242.3339845480241</v>
      </c>
      <c r="X461" s="209">
        <f ca="1">SUMPRODUCT($B12:OFFSET($B13,-1,0),X462:OFFSET(X463,-1,0))</f>
        <v>8932.9814718392608</v>
      </c>
      <c r="Y461" s="209">
        <f ca="1">SUMPRODUCT($B12:OFFSET($B13,-1,0),Y462:OFFSET(Y463,-1,0))</f>
        <v>7386.2189082954401</v>
      </c>
      <c r="AA461" s="11"/>
    </row>
    <row r="462" spans="1:27" s="180" customFormat="1" hidden="1" outlineLevel="2" x14ac:dyDescent="0.2">
      <c r="A462" s="180" t="str">
        <f ca="1">"        " &amp; A12</f>
        <v xml:space="preserve">        Проект 1</v>
      </c>
      <c r="C462" s="208" t="str">
        <f t="shared" ca="1" si="59"/>
        <v>тыс. EUR</v>
      </c>
      <c r="D462" s="89" t="e">
        <f ca="1">"[" &amp; F12 &amp; "];int_end"</f>
        <v>#NAME?</v>
      </c>
      <c r="F462" s="93">
        <f ca="1">IF(F$33&lt;$B28,0,IF(F$33&gt;$C28,IF(LIFE_PRJ=1,E462,0),OFFSET(Проект!F$1472,0,1-$B28)))</f>
        <v>0</v>
      </c>
      <c r="G462" s="93">
        <f ca="1">IF(G$33&lt;$B28,0,IF(G$33&gt;$C28,IF(LIFE_PRJ=1,F462,0),OFFSET(Проект!G$1472,0,1-$B28)))</f>
        <v>0</v>
      </c>
      <c r="H462" s="93">
        <f ca="1">IF(H$33&lt;$B28,0,IF(H$33&gt;$C28,IF(LIFE_PRJ=1,G462,0),OFFSET(Проект!H$1472,0,1-$B28)))</f>
        <v>0</v>
      </c>
      <c r="I462" s="93">
        <f ca="1">IF(I$33&lt;$B28,0,IF(I$33&gt;$C28,IF(LIFE_PRJ=1,H462,0),OFFSET(Проект!I$1472,0,1-$B28)))</f>
        <v>0</v>
      </c>
      <c r="J462" s="93">
        <f ca="1">IF(J$33&lt;$B28,0,IF(J$33&gt;$C28,IF(LIFE_PRJ=1,I462,0),OFFSET(Проект!J$1472,0,1-$B28)))</f>
        <v>13263.916649761954</v>
      </c>
      <c r="K462" s="93">
        <f ca="1">IF(K$33&lt;$B28,0,IF(K$33&gt;$C28,IF(LIFE_PRJ=1,J462,0),OFFSET(Проект!K$1472,0,1-$B28)))</f>
        <v>12954.56413705319</v>
      </c>
      <c r="L462" s="93">
        <f ca="1">IF(L$33&lt;$B28,0,IF(L$33&gt;$C28,IF(LIFE_PRJ=1,K462,0),OFFSET(Проект!L$1472,0,1-$B28)))</f>
        <v>12645.211624344427</v>
      </c>
      <c r="M462" s="93">
        <f ca="1">IF(M$33&lt;$B28,0,IF(M$33&gt;$C28,IF(LIFE_PRJ=1,L462,0),OFFSET(Проект!M$1472,0,1-$B28)))</f>
        <v>12335.859111635664</v>
      </c>
      <c r="N462" s="93">
        <f ca="1">IF(N$33&lt;$B28,0,IF(N$33&gt;$C28,IF(LIFE_PRJ=1,M462,0),OFFSET(Проект!N$1472,0,1-$B28)))</f>
        <v>12026.506598926899</v>
      </c>
      <c r="O462" s="93">
        <f ca="1">IF(O$33&lt;$B28,0,IF(O$33&gt;$C28,IF(LIFE_PRJ=1,N462,0),OFFSET(Проект!O$1472,0,1-$B28)))</f>
        <v>11717.154086218135</v>
      </c>
      <c r="P462" s="93">
        <f ca="1">IF(P$33&lt;$B28,0,IF(P$33&gt;$C28,IF(LIFE_PRJ=1,O462,0),OFFSET(Проект!P$1472,0,1-$B28)))</f>
        <v>11407.80157350937</v>
      </c>
      <c r="Q462" s="93">
        <f ca="1">IF(Q$33&lt;$B28,0,IF(Q$33&gt;$C28,IF(LIFE_PRJ=1,P462,0),OFFSET(Проект!Q$1472,0,1-$B28)))</f>
        <v>11098.449060800607</v>
      </c>
      <c r="R462" s="93">
        <f ca="1">IF(R$33&lt;$B28,0,IF(R$33&gt;$C28,IF(LIFE_PRJ=1,Q462,0),OFFSET(Проект!R$1472,0,1-$B28)))</f>
        <v>10789.096548091842</v>
      </c>
      <c r="S462" s="93">
        <f ca="1">IF(S$33&lt;$B28,0,IF(S$33&gt;$C28,IF(LIFE_PRJ=1,R462,0),OFFSET(Проект!S$1472,0,1-$B28)))</f>
        <v>10479.744035383081</v>
      </c>
      <c r="T462" s="93">
        <f ca="1">IF(T$33&lt;$B28,0,IF(T$33&gt;$C28,IF(LIFE_PRJ=1,S462,0),OFFSET(Проект!T$1472,0,1-$B28)))</f>
        <v>10170.391522674316</v>
      </c>
      <c r="U462" s="93">
        <f ca="1">IF(U$33&lt;$B28,0,IF(U$33&gt;$C28,IF(LIFE_PRJ=1,T462,0),OFFSET(Проект!U$1472,0,1-$B28)))</f>
        <v>9861.0390099655524</v>
      </c>
      <c r="V462" s="93">
        <f ca="1">IF(V$33&lt;$B28,0,IF(V$33&gt;$C28,IF(LIFE_PRJ=1,U462,0),OFFSET(Проект!V$1472,0,1-$B28)))</f>
        <v>9551.6864972567873</v>
      </c>
      <c r="W462" s="93">
        <f ca="1">IF(W$33&lt;$B28,0,IF(W$33&gt;$C28,IF(LIFE_PRJ=1,V462,0),OFFSET(Проект!W$1472,0,1-$B28)))</f>
        <v>9242.3339845480241</v>
      </c>
      <c r="X462" s="93">
        <f ca="1">IF(X$33&lt;$B28,0,IF(X$33&gt;$C28,IF(LIFE_PRJ=1,W462,0),OFFSET(Проект!X$1472,0,1-$B28)))</f>
        <v>8932.9814718392608</v>
      </c>
      <c r="Y462" s="93">
        <f ca="1">IF(Y$33&lt;$B28,0,IF(Y$33&gt;$C28,IF(LIFE_PRJ=1,X462,0),OFFSET(Проект!AC$1472,0,1-$B28)))</f>
        <v>7386.2189082954401</v>
      </c>
    </row>
    <row r="463" spans="1:27" outlineLevel="1" collapsed="1" x14ac:dyDescent="0.2">
      <c r="A463" t="str">
        <f ca="1">Language!A$782</f>
        <v xml:space="preserve">    земельные участки</v>
      </c>
      <c r="C463" s="5" t="str">
        <f t="shared" ca="1" si="59"/>
        <v>тыс. EUR</v>
      </c>
      <c r="D463" s="16" t="s">
        <v>2616</v>
      </c>
      <c r="F463" s="209">
        <f ca="1">SUMPRODUCT($B12:OFFSET($B13,-1,0),F464:OFFSET(F465,-1,0))</f>
        <v>0</v>
      </c>
      <c r="G463" s="209">
        <f ca="1">SUMPRODUCT($B12:OFFSET($B13,-1,0),G464:OFFSET(G465,-1,0))</f>
        <v>0</v>
      </c>
      <c r="H463" s="209">
        <f ca="1">SUMPRODUCT($B12:OFFSET($B13,-1,0),H464:OFFSET(H465,-1,0))</f>
        <v>0</v>
      </c>
      <c r="I463" s="209">
        <f ca="1">SUMPRODUCT($B12:OFFSET($B13,-1,0),I464:OFFSET(I465,-1,0))</f>
        <v>0</v>
      </c>
      <c r="J463" s="209">
        <f ca="1">SUMPRODUCT($B12:OFFSET($B13,-1,0),J464:OFFSET(J465,-1,0))</f>
        <v>200</v>
      </c>
      <c r="K463" s="209">
        <f ca="1">SUMPRODUCT($B12:OFFSET($B13,-1,0),K464:OFFSET(K465,-1,0))</f>
        <v>200</v>
      </c>
      <c r="L463" s="209">
        <f ca="1">SUMPRODUCT($B12:OFFSET($B13,-1,0),L464:OFFSET(L465,-1,0))</f>
        <v>200</v>
      </c>
      <c r="M463" s="209">
        <f ca="1">SUMPRODUCT($B12:OFFSET($B13,-1,0),M464:OFFSET(M465,-1,0))</f>
        <v>200</v>
      </c>
      <c r="N463" s="209">
        <f ca="1">SUMPRODUCT($B12:OFFSET($B13,-1,0),N464:OFFSET(N465,-1,0))</f>
        <v>200</v>
      </c>
      <c r="O463" s="209">
        <f ca="1">SUMPRODUCT($B12:OFFSET($B13,-1,0),O464:OFFSET(O465,-1,0))</f>
        <v>200</v>
      </c>
      <c r="P463" s="209">
        <f ca="1">SUMPRODUCT($B12:OFFSET($B13,-1,0),P464:OFFSET(P465,-1,0))</f>
        <v>200</v>
      </c>
      <c r="Q463" s="209">
        <f ca="1">SUMPRODUCT($B12:OFFSET($B13,-1,0),Q464:OFFSET(Q465,-1,0))</f>
        <v>200</v>
      </c>
      <c r="R463" s="209">
        <f ca="1">SUMPRODUCT($B12:OFFSET($B13,-1,0),R464:OFFSET(R465,-1,0))</f>
        <v>200</v>
      </c>
      <c r="S463" s="209">
        <f ca="1">SUMPRODUCT($B12:OFFSET($B13,-1,0),S464:OFFSET(S465,-1,0))</f>
        <v>200</v>
      </c>
      <c r="T463" s="209">
        <f ca="1">SUMPRODUCT($B12:OFFSET($B13,-1,0),T464:OFFSET(T465,-1,0))</f>
        <v>200</v>
      </c>
      <c r="U463" s="209">
        <f ca="1">SUMPRODUCT($B12:OFFSET($B13,-1,0),U464:OFFSET(U465,-1,0))</f>
        <v>200</v>
      </c>
      <c r="V463" s="209">
        <f ca="1">SUMPRODUCT($B12:OFFSET($B13,-1,0),V464:OFFSET(V465,-1,0))</f>
        <v>200</v>
      </c>
      <c r="W463" s="209">
        <f ca="1">SUMPRODUCT($B12:OFFSET($B13,-1,0),W464:OFFSET(W465,-1,0))</f>
        <v>200</v>
      </c>
      <c r="X463" s="209">
        <f ca="1">SUMPRODUCT($B12:OFFSET($B13,-1,0),X464:OFFSET(X465,-1,0))</f>
        <v>200</v>
      </c>
      <c r="Y463" s="209">
        <f ca="1">SUMPRODUCT($B12:OFFSET($B13,-1,0),Y464:OFFSET(Y465,-1,0))</f>
        <v>200</v>
      </c>
      <c r="AA463" s="11"/>
    </row>
    <row r="464" spans="1:27" s="180" customFormat="1" hidden="1" outlineLevel="2" x14ac:dyDescent="0.2">
      <c r="A464" s="180" t="str">
        <f ca="1">"        " &amp; A12</f>
        <v xml:space="preserve">        Проект 1</v>
      </c>
      <c r="C464" s="208" t="str">
        <f t="shared" ca="1" si="59"/>
        <v>тыс. EUR</v>
      </c>
      <c r="D464" s="89" t="e">
        <f ca="1">"[" &amp; F12 &amp; "];int_end"</f>
        <v>#NAME?</v>
      </c>
      <c r="F464" s="93">
        <f ca="1">IF(F$33&lt;$B28,0,IF(F$33&gt;$C28,IF(LIFE_PRJ=1,E464,0),OFFSET(Проект!F$1473,0,1-$B28)))</f>
        <v>0</v>
      </c>
      <c r="G464" s="93">
        <f ca="1">IF(G$33&lt;$B28,0,IF(G$33&gt;$C28,IF(LIFE_PRJ=1,F464,0),OFFSET(Проект!G$1473,0,1-$B28)))</f>
        <v>0</v>
      </c>
      <c r="H464" s="93">
        <f ca="1">IF(H$33&lt;$B28,0,IF(H$33&gt;$C28,IF(LIFE_PRJ=1,G464,0),OFFSET(Проект!H$1473,0,1-$B28)))</f>
        <v>0</v>
      </c>
      <c r="I464" s="93">
        <f ca="1">IF(I$33&lt;$B28,0,IF(I$33&gt;$C28,IF(LIFE_PRJ=1,H464,0),OFFSET(Проект!I$1473,0,1-$B28)))</f>
        <v>0</v>
      </c>
      <c r="J464" s="93">
        <f ca="1">IF(J$33&lt;$B28,0,IF(J$33&gt;$C28,IF(LIFE_PRJ=1,I464,0),OFFSET(Проект!J$1473,0,1-$B28)))</f>
        <v>200</v>
      </c>
      <c r="K464" s="93">
        <f ca="1">IF(K$33&lt;$B28,0,IF(K$33&gt;$C28,IF(LIFE_PRJ=1,J464,0),OFFSET(Проект!K$1473,0,1-$B28)))</f>
        <v>200</v>
      </c>
      <c r="L464" s="93">
        <f ca="1">IF(L$33&lt;$B28,0,IF(L$33&gt;$C28,IF(LIFE_PRJ=1,K464,0),OFFSET(Проект!L$1473,0,1-$B28)))</f>
        <v>200</v>
      </c>
      <c r="M464" s="93">
        <f ca="1">IF(M$33&lt;$B28,0,IF(M$33&gt;$C28,IF(LIFE_PRJ=1,L464,0),OFFSET(Проект!M$1473,0,1-$B28)))</f>
        <v>200</v>
      </c>
      <c r="N464" s="93">
        <f ca="1">IF(N$33&lt;$B28,0,IF(N$33&gt;$C28,IF(LIFE_PRJ=1,M464,0),OFFSET(Проект!N$1473,0,1-$B28)))</f>
        <v>200</v>
      </c>
      <c r="O464" s="93">
        <f ca="1">IF(O$33&lt;$B28,0,IF(O$33&gt;$C28,IF(LIFE_PRJ=1,N464,0),OFFSET(Проект!O$1473,0,1-$B28)))</f>
        <v>200</v>
      </c>
      <c r="P464" s="93">
        <f ca="1">IF(P$33&lt;$B28,0,IF(P$33&gt;$C28,IF(LIFE_PRJ=1,O464,0),OFFSET(Проект!P$1473,0,1-$B28)))</f>
        <v>200</v>
      </c>
      <c r="Q464" s="93">
        <f ca="1">IF(Q$33&lt;$B28,0,IF(Q$33&gt;$C28,IF(LIFE_PRJ=1,P464,0),OFFSET(Проект!Q$1473,0,1-$B28)))</f>
        <v>200</v>
      </c>
      <c r="R464" s="93">
        <f ca="1">IF(R$33&lt;$B28,0,IF(R$33&gt;$C28,IF(LIFE_PRJ=1,Q464,0),OFFSET(Проект!R$1473,0,1-$B28)))</f>
        <v>200</v>
      </c>
      <c r="S464" s="93">
        <f ca="1">IF(S$33&lt;$B28,0,IF(S$33&gt;$C28,IF(LIFE_PRJ=1,R464,0),OFFSET(Проект!S$1473,0,1-$B28)))</f>
        <v>200</v>
      </c>
      <c r="T464" s="93">
        <f ca="1">IF(T$33&lt;$B28,0,IF(T$33&gt;$C28,IF(LIFE_PRJ=1,S464,0),OFFSET(Проект!T$1473,0,1-$B28)))</f>
        <v>200</v>
      </c>
      <c r="U464" s="93">
        <f ca="1">IF(U$33&lt;$B28,0,IF(U$33&gt;$C28,IF(LIFE_PRJ=1,T464,0),OFFSET(Проект!U$1473,0,1-$B28)))</f>
        <v>200</v>
      </c>
      <c r="V464" s="93">
        <f ca="1">IF(V$33&lt;$B28,0,IF(V$33&gt;$C28,IF(LIFE_PRJ=1,U464,0),OFFSET(Проект!V$1473,0,1-$B28)))</f>
        <v>200</v>
      </c>
      <c r="W464" s="93">
        <f ca="1">IF(W$33&lt;$B28,0,IF(W$33&gt;$C28,IF(LIFE_PRJ=1,V464,0),OFFSET(Проект!W$1473,0,1-$B28)))</f>
        <v>200</v>
      </c>
      <c r="X464" s="93">
        <f ca="1">IF(X$33&lt;$B28,0,IF(X$33&gt;$C28,IF(LIFE_PRJ=1,W464,0),OFFSET(Проект!X$1473,0,1-$B28)))</f>
        <v>200</v>
      </c>
      <c r="Y464" s="93">
        <f ca="1">IF(Y$33&lt;$B28,0,IF(Y$33&gt;$C28,IF(LIFE_PRJ=1,X464,0),OFFSET(Проект!AC$1473,0,1-$B28)))</f>
        <v>200</v>
      </c>
    </row>
    <row r="465" spans="1:27" outlineLevel="1" collapsed="1" x14ac:dyDescent="0.2">
      <c r="A465" t="str">
        <f ca="1">Language!A$783</f>
        <v xml:space="preserve">    здания и сооружения</v>
      </c>
      <c r="C465" s="5" t="str">
        <f t="shared" ca="1" si="59"/>
        <v>тыс. EUR</v>
      </c>
      <c r="D465" s="16" t="s">
        <v>2616</v>
      </c>
      <c r="F465" s="209">
        <f ca="1">SUMPRODUCT($B12:OFFSET($B13,-1,0),F466:OFFSET(F467,-1,0))</f>
        <v>0</v>
      </c>
      <c r="G465" s="209">
        <f ca="1">SUMPRODUCT($B12:OFFSET($B13,-1,0),G466:OFFSET(G467,-1,0))</f>
        <v>0</v>
      </c>
      <c r="H465" s="209">
        <f ca="1">SUMPRODUCT($B12:OFFSET($B13,-1,0),H466:OFFSET(H467,-1,0))</f>
        <v>0</v>
      </c>
      <c r="I465" s="209">
        <f ca="1">SUMPRODUCT($B12:OFFSET($B13,-1,0),I466:OFFSET(I467,-1,0))</f>
        <v>0</v>
      </c>
      <c r="J465" s="209">
        <f ca="1">SUMPRODUCT($B12:OFFSET($B13,-1,0),J466:OFFSET(J467,-1,0))</f>
        <v>2439.9439024390244</v>
      </c>
      <c r="K465" s="209">
        <f ca="1">SUMPRODUCT($B12:OFFSET($B13,-1,0),K466:OFFSET(K467,-1,0))</f>
        <v>2409.0585365853658</v>
      </c>
      <c r="L465" s="209">
        <f ca="1">SUMPRODUCT($B12:OFFSET($B13,-1,0),L466:OFFSET(L467,-1,0))</f>
        <v>2378.1731707317076</v>
      </c>
      <c r="M465" s="209">
        <f ca="1">SUMPRODUCT($B12:OFFSET($B13,-1,0),M466:OFFSET(M467,-1,0))</f>
        <v>2347.287804878049</v>
      </c>
      <c r="N465" s="209">
        <f ca="1">SUMPRODUCT($B12:OFFSET($B13,-1,0),N466:OFFSET(N467,-1,0))</f>
        <v>2316.4024390243903</v>
      </c>
      <c r="O465" s="209">
        <f ca="1">SUMPRODUCT($B12:OFFSET($B13,-1,0),O466:OFFSET(O467,-1,0))</f>
        <v>2285.5170731707317</v>
      </c>
      <c r="P465" s="209">
        <f ca="1">SUMPRODUCT($B12:OFFSET($B13,-1,0),P466:OFFSET(P467,-1,0))</f>
        <v>2254.6317073170735</v>
      </c>
      <c r="Q465" s="209">
        <f ca="1">SUMPRODUCT($B12:OFFSET($B13,-1,0),Q466:OFFSET(Q467,-1,0))</f>
        <v>2223.7463414634149</v>
      </c>
      <c r="R465" s="209">
        <f ca="1">SUMPRODUCT($B12:OFFSET($B13,-1,0),R466:OFFSET(R467,-1,0))</f>
        <v>2192.8609756097562</v>
      </c>
      <c r="S465" s="209">
        <f ca="1">SUMPRODUCT($B12:OFFSET($B13,-1,0),S466:OFFSET(S467,-1,0))</f>
        <v>2161.9756097560976</v>
      </c>
      <c r="T465" s="209">
        <f ca="1">SUMPRODUCT($B12:OFFSET($B13,-1,0),T466:OFFSET(T467,-1,0))</f>
        <v>2131.0902439024394</v>
      </c>
      <c r="U465" s="209">
        <f ca="1">SUMPRODUCT($B12:OFFSET($B13,-1,0),U466:OFFSET(U467,-1,0))</f>
        <v>2100.2048780487808</v>
      </c>
      <c r="V465" s="209">
        <f ca="1">SUMPRODUCT($B12:OFFSET($B13,-1,0),V466:OFFSET(V467,-1,0))</f>
        <v>2069.3195121951221</v>
      </c>
      <c r="W465" s="209">
        <f ca="1">SUMPRODUCT($B12:OFFSET($B13,-1,0),W466:OFFSET(W467,-1,0))</f>
        <v>2038.4341463414637</v>
      </c>
      <c r="X465" s="209">
        <f ca="1">SUMPRODUCT($B12:OFFSET($B13,-1,0),X466:OFFSET(X467,-1,0))</f>
        <v>2007.5487804878051</v>
      </c>
      <c r="Y465" s="209">
        <f ca="1">SUMPRODUCT($B12:OFFSET($B13,-1,0),Y466:OFFSET(Y467,-1,0))</f>
        <v>1853.1219512195125</v>
      </c>
      <c r="AA465" s="11"/>
    </row>
    <row r="466" spans="1:27" s="180" customFormat="1" hidden="1" outlineLevel="2" x14ac:dyDescent="0.2">
      <c r="A466" s="180" t="str">
        <f ca="1">"        " &amp; A12</f>
        <v xml:space="preserve">        Проект 1</v>
      </c>
      <c r="C466" s="208" t="str">
        <f t="shared" ca="1" si="59"/>
        <v>тыс. EUR</v>
      </c>
      <c r="D466" s="89" t="e">
        <f ca="1">"[" &amp; F12 &amp; "];int_end"</f>
        <v>#NAME?</v>
      </c>
      <c r="F466" s="93">
        <f ca="1">IF(F$33&lt;$B28,0,IF(F$33&gt;$C28,IF(LIFE_PRJ=1,E466,0),OFFSET(Проект!F$1474,0,1-$B28)))</f>
        <v>0</v>
      </c>
      <c r="G466" s="93">
        <f ca="1">IF(G$33&lt;$B28,0,IF(G$33&gt;$C28,IF(LIFE_PRJ=1,F466,0),OFFSET(Проект!G$1474,0,1-$B28)))</f>
        <v>0</v>
      </c>
      <c r="H466" s="93">
        <f ca="1">IF(H$33&lt;$B28,0,IF(H$33&gt;$C28,IF(LIFE_PRJ=1,G466,0),OFFSET(Проект!H$1474,0,1-$B28)))</f>
        <v>0</v>
      </c>
      <c r="I466" s="93">
        <f ca="1">IF(I$33&lt;$B28,0,IF(I$33&gt;$C28,IF(LIFE_PRJ=1,H466,0),OFFSET(Проект!I$1474,0,1-$B28)))</f>
        <v>0</v>
      </c>
      <c r="J466" s="93">
        <f ca="1">IF(J$33&lt;$B28,0,IF(J$33&gt;$C28,IF(LIFE_PRJ=1,I466,0),OFFSET(Проект!J$1474,0,1-$B28)))</f>
        <v>2439.9439024390244</v>
      </c>
      <c r="K466" s="93">
        <f ca="1">IF(K$33&lt;$B28,0,IF(K$33&gt;$C28,IF(LIFE_PRJ=1,J466,0),OFFSET(Проект!K$1474,0,1-$B28)))</f>
        <v>2409.0585365853658</v>
      </c>
      <c r="L466" s="93">
        <f ca="1">IF(L$33&lt;$B28,0,IF(L$33&gt;$C28,IF(LIFE_PRJ=1,K466,0),OFFSET(Проект!L$1474,0,1-$B28)))</f>
        <v>2378.1731707317076</v>
      </c>
      <c r="M466" s="93">
        <f ca="1">IF(M$33&lt;$B28,0,IF(M$33&gt;$C28,IF(LIFE_PRJ=1,L466,0),OFFSET(Проект!M$1474,0,1-$B28)))</f>
        <v>2347.287804878049</v>
      </c>
      <c r="N466" s="93">
        <f ca="1">IF(N$33&lt;$B28,0,IF(N$33&gt;$C28,IF(LIFE_PRJ=1,M466,0),OFFSET(Проект!N$1474,0,1-$B28)))</f>
        <v>2316.4024390243903</v>
      </c>
      <c r="O466" s="93">
        <f ca="1">IF(O$33&lt;$B28,0,IF(O$33&gt;$C28,IF(LIFE_PRJ=1,N466,0),OFFSET(Проект!O$1474,0,1-$B28)))</f>
        <v>2285.5170731707317</v>
      </c>
      <c r="P466" s="93">
        <f ca="1">IF(P$33&lt;$B28,0,IF(P$33&gt;$C28,IF(LIFE_PRJ=1,O466,0),OFFSET(Проект!P$1474,0,1-$B28)))</f>
        <v>2254.6317073170735</v>
      </c>
      <c r="Q466" s="93">
        <f ca="1">IF(Q$33&lt;$B28,0,IF(Q$33&gt;$C28,IF(LIFE_PRJ=1,P466,0),OFFSET(Проект!Q$1474,0,1-$B28)))</f>
        <v>2223.7463414634149</v>
      </c>
      <c r="R466" s="93">
        <f ca="1">IF(R$33&lt;$B28,0,IF(R$33&gt;$C28,IF(LIFE_PRJ=1,Q466,0),OFFSET(Проект!R$1474,0,1-$B28)))</f>
        <v>2192.8609756097562</v>
      </c>
      <c r="S466" s="93">
        <f ca="1">IF(S$33&lt;$B28,0,IF(S$33&gt;$C28,IF(LIFE_PRJ=1,R466,0),OFFSET(Проект!S$1474,0,1-$B28)))</f>
        <v>2161.9756097560976</v>
      </c>
      <c r="T466" s="93">
        <f ca="1">IF(T$33&lt;$B28,0,IF(T$33&gt;$C28,IF(LIFE_PRJ=1,S466,0),OFFSET(Проект!T$1474,0,1-$B28)))</f>
        <v>2131.0902439024394</v>
      </c>
      <c r="U466" s="93">
        <f ca="1">IF(U$33&lt;$B28,0,IF(U$33&gt;$C28,IF(LIFE_PRJ=1,T466,0),OFFSET(Проект!U$1474,0,1-$B28)))</f>
        <v>2100.2048780487808</v>
      </c>
      <c r="V466" s="93">
        <f ca="1">IF(V$33&lt;$B28,0,IF(V$33&gt;$C28,IF(LIFE_PRJ=1,U466,0),OFFSET(Проект!V$1474,0,1-$B28)))</f>
        <v>2069.3195121951221</v>
      </c>
      <c r="W466" s="93">
        <f ca="1">IF(W$33&lt;$B28,0,IF(W$33&gt;$C28,IF(LIFE_PRJ=1,V466,0),OFFSET(Проект!W$1474,0,1-$B28)))</f>
        <v>2038.4341463414637</v>
      </c>
      <c r="X466" s="93">
        <f ca="1">IF(X$33&lt;$B28,0,IF(X$33&gt;$C28,IF(LIFE_PRJ=1,W466,0),OFFSET(Проект!X$1474,0,1-$B28)))</f>
        <v>2007.5487804878051</v>
      </c>
      <c r="Y466" s="93">
        <f ca="1">IF(Y$33&lt;$B28,0,IF(Y$33&gt;$C28,IF(LIFE_PRJ=1,X466,0),OFFSET(Проект!AC$1474,0,1-$B28)))</f>
        <v>1853.1219512195125</v>
      </c>
    </row>
    <row r="467" spans="1:27" outlineLevel="1" collapsed="1" x14ac:dyDescent="0.2">
      <c r="A467" t="str">
        <f ca="1">Language!A$785</f>
        <v xml:space="preserve">    оборудование и прочие активы</v>
      </c>
      <c r="C467" s="5" t="str">
        <f ca="1">CUR_Report</f>
        <v>тыс. EUR</v>
      </c>
      <c r="D467" s="16" t="s">
        <v>2616</v>
      </c>
      <c r="F467" s="209">
        <f ca="1">SUMPRODUCT($B12:OFFSET($B13,-1,0),F468:OFFSET(F469,-1,0))</f>
        <v>0</v>
      </c>
      <c r="G467" s="209">
        <f ca="1">SUMPRODUCT($B12:OFFSET($B13,-1,0),G468:OFFSET(G469,-1,0))</f>
        <v>0</v>
      </c>
      <c r="H467" s="209">
        <f ca="1">SUMPRODUCT($B12:OFFSET($B13,-1,0),H468:OFFSET(H469,-1,0))</f>
        <v>0</v>
      </c>
      <c r="I467" s="209">
        <f ca="1">SUMPRODUCT($B12:OFFSET($B13,-1,0),I468:OFFSET(I469,-1,0))</f>
        <v>0</v>
      </c>
      <c r="J467" s="209">
        <f ca="1">SUMPRODUCT($B12:OFFSET($B13,-1,0),J468:OFFSET(J469,-1,0))</f>
        <v>10542.671934314798</v>
      </c>
      <c r="K467" s="209">
        <f ca="1">SUMPRODUCT($B12:OFFSET($B13,-1,0),K468:OFFSET(K469,-1,0))</f>
        <v>10264.204787459694</v>
      </c>
      <c r="L467" s="209">
        <f ca="1">SUMPRODUCT($B12:OFFSET($B13,-1,0),L468:OFFSET(L469,-1,0))</f>
        <v>9985.7376406045878</v>
      </c>
      <c r="M467" s="209">
        <f ca="1">SUMPRODUCT($B12:OFFSET($B13,-1,0),M468:OFFSET(M469,-1,0))</f>
        <v>9707.2704937494836</v>
      </c>
      <c r="N467" s="209">
        <f ca="1">SUMPRODUCT($B12:OFFSET($B13,-1,0),N468:OFFSET(N469,-1,0))</f>
        <v>9428.8033468943777</v>
      </c>
      <c r="O467" s="209">
        <f ca="1">SUMPRODUCT($B12:OFFSET($B13,-1,0),O468:OFFSET(O469,-1,0))</f>
        <v>9150.3362000392735</v>
      </c>
      <c r="P467" s="209">
        <f ca="1">SUMPRODUCT($B12:OFFSET($B13,-1,0),P468:OFFSET(P469,-1,0))</f>
        <v>8871.8690531841658</v>
      </c>
      <c r="Q467" s="209">
        <f ca="1">SUMPRODUCT($B12:OFFSET($B13,-1,0),Q468:OFFSET(Q469,-1,0))</f>
        <v>8593.4019063290616</v>
      </c>
      <c r="R467" s="209">
        <f ca="1">SUMPRODUCT($B12:OFFSET($B13,-1,0),R468:OFFSET(R469,-1,0))</f>
        <v>8314.9347594739556</v>
      </c>
      <c r="S467" s="209">
        <f ca="1">SUMPRODUCT($B12:OFFSET($B13,-1,0),S468:OFFSET(S469,-1,0))</f>
        <v>8036.4676126188515</v>
      </c>
      <c r="T467" s="209">
        <f ca="1">SUMPRODUCT($B12:OFFSET($B13,-1,0),T468:OFFSET(T469,-1,0))</f>
        <v>7758.0004657637455</v>
      </c>
      <c r="U467" s="209">
        <f ca="1">SUMPRODUCT($B12:OFFSET($B13,-1,0),U468:OFFSET(U469,-1,0))</f>
        <v>7479.5333189086414</v>
      </c>
      <c r="V467" s="209">
        <f ca="1">SUMPRODUCT($B12:OFFSET($B13,-1,0),V468:OFFSET(V469,-1,0))</f>
        <v>7201.0661720535354</v>
      </c>
      <c r="W467" s="209">
        <f ca="1">SUMPRODUCT($B12:OFFSET($B13,-1,0),W468:OFFSET(W469,-1,0))</f>
        <v>6922.5990251984304</v>
      </c>
      <c r="X467" s="209">
        <f ca="1">SUMPRODUCT($B12:OFFSET($B13,-1,0),X468:OFFSET(X469,-1,0))</f>
        <v>6644.1318783433244</v>
      </c>
      <c r="Y467" s="209">
        <f ca="1">SUMPRODUCT($B12:OFFSET($B13,-1,0),Y468:OFFSET(Y469,-1,0))</f>
        <v>5251.7961440677982</v>
      </c>
      <c r="AA467" s="11"/>
    </row>
    <row r="468" spans="1:27" s="180" customFormat="1" hidden="1" outlineLevel="2" x14ac:dyDescent="0.2">
      <c r="A468" s="180" t="str">
        <f ca="1">"        " &amp; A12</f>
        <v xml:space="preserve">        Проект 1</v>
      </c>
      <c r="C468" s="208" t="str">
        <f ca="1">CUR_Report</f>
        <v>тыс. EUR</v>
      </c>
      <c r="D468" s="89" t="e">
        <f ca="1">"[" &amp; F12 &amp; "];int_end"</f>
        <v>#NAME?</v>
      </c>
      <c r="F468" s="93">
        <f ca="1">IF(F$33&lt;$B28,0,IF(F$33&gt;$C28,IF(LIFE_PRJ=1,E468,0),OFFSET(Проект!F$1475,0,1-$B28)))</f>
        <v>0</v>
      </c>
      <c r="G468" s="93">
        <f ca="1">IF(G$33&lt;$B28,0,IF(G$33&gt;$C28,IF(LIFE_PRJ=1,F468,0),OFFSET(Проект!G$1475,0,1-$B28)))</f>
        <v>0</v>
      </c>
      <c r="H468" s="93">
        <f ca="1">IF(H$33&lt;$B28,0,IF(H$33&gt;$C28,IF(LIFE_PRJ=1,G468,0),OFFSET(Проект!H$1475,0,1-$B28)))</f>
        <v>0</v>
      </c>
      <c r="I468" s="93">
        <f ca="1">IF(I$33&lt;$B28,0,IF(I$33&gt;$C28,IF(LIFE_PRJ=1,H468,0),OFFSET(Проект!I$1475,0,1-$B28)))</f>
        <v>0</v>
      </c>
      <c r="J468" s="93">
        <f ca="1">IF(J$33&lt;$B28,0,IF(J$33&gt;$C28,IF(LIFE_PRJ=1,I468,0),OFFSET(Проект!J$1475,0,1-$B28)))</f>
        <v>10542.671934314798</v>
      </c>
      <c r="K468" s="93">
        <f ca="1">IF(K$33&lt;$B28,0,IF(K$33&gt;$C28,IF(LIFE_PRJ=1,J468,0),OFFSET(Проект!K$1475,0,1-$B28)))</f>
        <v>10264.204787459694</v>
      </c>
      <c r="L468" s="93">
        <f ca="1">IF(L$33&lt;$B28,0,IF(L$33&gt;$C28,IF(LIFE_PRJ=1,K468,0),OFFSET(Проект!L$1475,0,1-$B28)))</f>
        <v>9985.7376406045878</v>
      </c>
      <c r="M468" s="93">
        <f ca="1">IF(M$33&lt;$B28,0,IF(M$33&gt;$C28,IF(LIFE_PRJ=1,L468,0),OFFSET(Проект!M$1475,0,1-$B28)))</f>
        <v>9707.2704937494836</v>
      </c>
      <c r="N468" s="93">
        <f ca="1">IF(N$33&lt;$B28,0,IF(N$33&gt;$C28,IF(LIFE_PRJ=1,M468,0),OFFSET(Проект!N$1475,0,1-$B28)))</f>
        <v>9428.8033468943777</v>
      </c>
      <c r="O468" s="93">
        <f ca="1">IF(O$33&lt;$B28,0,IF(O$33&gt;$C28,IF(LIFE_PRJ=1,N468,0),OFFSET(Проект!O$1475,0,1-$B28)))</f>
        <v>9150.3362000392735</v>
      </c>
      <c r="P468" s="93">
        <f ca="1">IF(P$33&lt;$B28,0,IF(P$33&gt;$C28,IF(LIFE_PRJ=1,O468,0),OFFSET(Проект!P$1475,0,1-$B28)))</f>
        <v>8871.8690531841658</v>
      </c>
      <c r="Q468" s="93">
        <f ca="1">IF(Q$33&lt;$B28,0,IF(Q$33&gt;$C28,IF(LIFE_PRJ=1,P468,0),OFFSET(Проект!Q$1475,0,1-$B28)))</f>
        <v>8593.4019063290616</v>
      </c>
      <c r="R468" s="93">
        <f ca="1">IF(R$33&lt;$B28,0,IF(R$33&gt;$C28,IF(LIFE_PRJ=1,Q468,0),OFFSET(Проект!R$1475,0,1-$B28)))</f>
        <v>8314.9347594739556</v>
      </c>
      <c r="S468" s="93">
        <f ca="1">IF(S$33&lt;$B28,0,IF(S$33&gt;$C28,IF(LIFE_PRJ=1,R468,0),OFFSET(Проект!S$1475,0,1-$B28)))</f>
        <v>8036.4676126188515</v>
      </c>
      <c r="T468" s="93">
        <f ca="1">IF(T$33&lt;$B28,0,IF(T$33&gt;$C28,IF(LIFE_PRJ=1,S468,0),OFFSET(Проект!T$1475,0,1-$B28)))</f>
        <v>7758.0004657637455</v>
      </c>
      <c r="U468" s="93">
        <f ca="1">IF(U$33&lt;$B28,0,IF(U$33&gt;$C28,IF(LIFE_PRJ=1,T468,0),OFFSET(Проект!U$1475,0,1-$B28)))</f>
        <v>7479.5333189086414</v>
      </c>
      <c r="V468" s="93">
        <f ca="1">IF(V$33&lt;$B28,0,IF(V$33&gt;$C28,IF(LIFE_PRJ=1,U468,0),OFFSET(Проект!V$1475,0,1-$B28)))</f>
        <v>7201.0661720535354</v>
      </c>
      <c r="W468" s="93">
        <f ca="1">IF(W$33&lt;$B28,0,IF(W$33&gt;$C28,IF(LIFE_PRJ=1,V468,0),OFFSET(Проект!W$1475,0,1-$B28)))</f>
        <v>6922.5990251984304</v>
      </c>
      <c r="X468" s="93">
        <f ca="1">IF(X$33&lt;$B28,0,IF(X$33&gt;$C28,IF(LIFE_PRJ=1,W468,0),OFFSET(Проект!X$1475,0,1-$B28)))</f>
        <v>6644.1318783433244</v>
      </c>
      <c r="Y468" s="93">
        <f ca="1">IF(Y$33&lt;$B28,0,IF(Y$33&gt;$C28,IF(LIFE_PRJ=1,X468,0),OFFSET(Проект!AC$1475,0,1-$B28)))</f>
        <v>5251.7961440677982</v>
      </c>
    </row>
    <row r="469" spans="1:27" outlineLevel="1" collapsed="1" x14ac:dyDescent="0.2">
      <c r="A469" t="str">
        <f ca="1">Language!A$784</f>
        <v xml:space="preserve">    нематериальные активы</v>
      </c>
      <c r="C469" s="5" t="str">
        <f t="shared" ca="1" si="59"/>
        <v>тыс. EUR</v>
      </c>
      <c r="D469" s="16" t="s">
        <v>2616</v>
      </c>
      <c r="F469" s="209">
        <f ca="1">SUMPRODUCT($B12:OFFSET($B13,-1,0),F470:OFFSET(F471,-1,0))</f>
        <v>0</v>
      </c>
      <c r="G469" s="209">
        <f ca="1">SUMPRODUCT($B12:OFFSET($B13,-1,0),G470:OFFSET(G471,-1,0))</f>
        <v>0</v>
      </c>
      <c r="H469" s="209">
        <f ca="1">SUMPRODUCT($B12:OFFSET($B13,-1,0),H470:OFFSET(H471,-1,0))</f>
        <v>0</v>
      </c>
      <c r="I469" s="209">
        <f ca="1">SUMPRODUCT($B12:OFFSET($B13,-1,0),I470:OFFSET(I471,-1,0))</f>
        <v>0</v>
      </c>
      <c r="J469" s="209">
        <f ca="1">SUMPRODUCT($B12:OFFSET($B13,-1,0),J470:OFFSET(J471,-1,0))</f>
        <v>81.300813008130078</v>
      </c>
      <c r="K469" s="209">
        <f ca="1">SUMPRODUCT($B12:OFFSET($B13,-1,0),K470:OFFSET(K471,-1,0))</f>
        <v>81.300813008130078</v>
      </c>
      <c r="L469" s="209">
        <f ca="1">SUMPRODUCT($B12:OFFSET($B13,-1,0),L470:OFFSET(L471,-1,0))</f>
        <v>81.300813008130078</v>
      </c>
      <c r="M469" s="209">
        <f ca="1">SUMPRODUCT($B12:OFFSET($B13,-1,0),M470:OFFSET(M471,-1,0))</f>
        <v>81.300813008130078</v>
      </c>
      <c r="N469" s="209">
        <f ca="1">SUMPRODUCT($B12:OFFSET($B13,-1,0),N470:OFFSET(N471,-1,0))</f>
        <v>81.300813008130078</v>
      </c>
      <c r="O469" s="209">
        <f ca="1">SUMPRODUCT($B12:OFFSET($B13,-1,0),O470:OFFSET(O471,-1,0))</f>
        <v>81.300813008130078</v>
      </c>
      <c r="P469" s="209">
        <f ca="1">SUMPRODUCT($B12:OFFSET($B13,-1,0),P470:OFFSET(P471,-1,0))</f>
        <v>81.300813008130078</v>
      </c>
      <c r="Q469" s="209">
        <f ca="1">SUMPRODUCT($B12:OFFSET($B13,-1,0),Q470:OFFSET(Q471,-1,0))</f>
        <v>81.300813008130078</v>
      </c>
      <c r="R469" s="209">
        <f ca="1">SUMPRODUCT($B12:OFFSET($B13,-1,0),R470:OFFSET(R471,-1,0))</f>
        <v>81.300813008130078</v>
      </c>
      <c r="S469" s="209">
        <f ca="1">SUMPRODUCT($B12:OFFSET($B13,-1,0),S470:OFFSET(S471,-1,0))</f>
        <v>81.300813008130078</v>
      </c>
      <c r="T469" s="209">
        <f ca="1">SUMPRODUCT($B12:OFFSET($B13,-1,0),T470:OFFSET(T471,-1,0))</f>
        <v>81.300813008130078</v>
      </c>
      <c r="U469" s="209">
        <f ca="1">SUMPRODUCT($B12:OFFSET($B13,-1,0),U470:OFFSET(U471,-1,0))</f>
        <v>81.300813008130078</v>
      </c>
      <c r="V469" s="209">
        <f ca="1">SUMPRODUCT($B12:OFFSET($B13,-1,0),V470:OFFSET(V471,-1,0))</f>
        <v>81.300813008130078</v>
      </c>
      <c r="W469" s="209">
        <f ca="1">SUMPRODUCT($B12:OFFSET($B13,-1,0),W470:OFFSET(W471,-1,0))</f>
        <v>81.300813008130078</v>
      </c>
      <c r="X469" s="209">
        <f ca="1">SUMPRODUCT($B12:OFFSET($B13,-1,0),X470:OFFSET(X471,-1,0))</f>
        <v>81.300813008130078</v>
      </c>
      <c r="Y469" s="209">
        <f ca="1">SUMPRODUCT($B12:OFFSET($B13,-1,0),Y470:OFFSET(Y471,-1,0))</f>
        <v>81.300813008130078</v>
      </c>
      <c r="AA469" s="11"/>
    </row>
    <row r="470" spans="1:27" s="180" customFormat="1" hidden="1" outlineLevel="2" x14ac:dyDescent="0.2">
      <c r="A470" s="180" t="str">
        <f ca="1">"        " &amp; A12</f>
        <v xml:space="preserve">        Проект 1</v>
      </c>
      <c r="C470" s="208" t="str">
        <f t="shared" ca="1" si="59"/>
        <v>тыс. EUR</v>
      </c>
      <c r="D470" s="89" t="e">
        <f ca="1">"[" &amp; F12 &amp; "];int_end"</f>
        <v>#NAME?</v>
      </c>
      <c r="F470" s="93">
        <f ca="1">IF(F$33&lt;$B28,0,IF(F$33&gt;$C28,IF(LIFE_PRJ=1,E470,0),OFFSET(Проект!F$1476,0,1-$B28)))</f>
        <v>0</v>
      </c>
      <c r="G470" s="93">
        <f ca="1">IF(G$33&lt;$B28,0,IF(G$33&gt;$C28,IF(LIFE_PRJ=1,F470,0),OFFSET(Проект!G$1476,0,1-$B28)))</f>
        <v>0</v>
      </c>
      <c r="H470" s="93">
        <f ca="1">IF(H$33&lt;$B28,0,IF(H$33&gt;$C28,IF(LIFE_PRJ=1,G470,0),OFFSET(Проект!H$1476,0,1-$B28)))</f>
        <v>0</v>
      </c>
      <c r="I470" s="93">
        <f ca="1">IF(I$33&lt;$B28,0,IF(I$33&gt;$C28,IF(LIFE_PRJ=1,H470,0),OFFSET(Проект!I$1476,0,1-$B28)))</f>
        <v>0</v>
      </c>
      <c r="J470" s="93">
        <f ca="1">IF(J$33&lt;$B28,0,IF(J$33&gt;$C28,IF(LIFE_PRJ=1,I470,0),OFFSET(Проект!J$1476,0,1-$B28)))</f>
        <v>81.300813008130078</v>
      </c>
      <c r="K470" s="93">
        <f ca="1">IF(K$33&lt;$B28,0,IF(K$33&gt;$C28,IF(LIFE_PRJ=1,J470,0),OFFSET(Проект!K$1476,0,1-$B28)))</f>
        <v>81.300813008130078</v>
      </c>
      <c r="L470" s="93">
        <f ca="1">IF(L$33&lt;$B28,0,IF(L$33&gt;$C28,IF(LIFE_PRJ=1,K470,0),OFFSET(Проект!L$1476,0,1-$B28)))</f>
        <v>81.300813008130078</v>
      </c>
      <c r="M470" s="93">
        <f ca="1">IF(M$33&lt;$B28,0,IF(M$33&gt;$C28,IF(LIFE_PRJ=1,L470,0),OFFSET(Проект!M$1476,0,1-$B28)))</f>
        <v>81.300813008130078</v>
      </c>
      <c r="N470" s="93">
        <f ca="1">IF(N$33&lt;$B28,0,IF(N$33&gt;$C28,IF(LIFE_PRJ=1,M470,0),OFFSET(Проект!N$1476,0,1-$B28)))</f>
        <v>81.300813008130078</v>
      </c>
      <c r="O470" s="93">
        <f ca="1">IF(O$33&lt;$B28,0,IF(O$33&gt;$C28,IF(LIFE_PRJ=1,N470,0),OFFSET(Проект!O$1476,0,1-$B28)))</f>
        <v>81.300813008130078</v>
      </c>
      <c r="P470" s="93">
        <f ca="1">IF(P$33&lt;$B28,0,IF(P$33&gt;$C28,IF(LIFE_PRJ=1,O470,0),OFFSET(Проект!P$1476,0,1-$B28)))</f>
        <v>81.300813008130078</v>
      </c>
      <c r="Q470" s="93">
        <f ca="1">IF(Q$33&lt;$B28,0,IF(Q$33&gt;$C28,IF(LIFE_PRJ=1,P470,0),OFFSET(Проект!Q$1476,0,1-$B28)))</f>
        <v>81.300813008130078</v>
      </c>
      <c r="R470" s="93">
        <f ca="1">IF(R$33&lt;$B28,0,IF(R$33&gt;$C28,IF(LIFE_PRJ=1,Q470,0),OFFSET(Проект!R$1476,0,1-$B28)))</f>
        <v>81.300813008130078</v>
      </c>
      <c r="S470" s="93">
        <f ca="1">IF(S$33&lt;$B28,0,IF(S$33&gt;$C28,IF(LIFE_PRJ=1,R470,0),OFFSET(Проект!S$1476,0,1-$B28)))</f>
        <v>81.300813008130078</v>
      </c>
      <c r="T470" s="93">
        <f ca="1">IF(T$33&lt;$B28,0,IF(T$33&gt;$C28,IF(LIFE_PRJ=1,S470,0),OFFSET(Проект!T$1476,0,1-$B28)))</f>
        <v>81.300813008130078</v>
      </c>
      <c r="U470" s="93">
        <f ca="1">IF(U$33&lt;$B28,0,IF(U$33&gt;$C28,IF(LIFE_PRJ=1,T470,0),OFFSET(Проект!U$1476,0,1-$B28)))</f>
        <v>81.300813008130078</v>
      </c>
      <c r="V470" s="93">
        <f ca="1">IF(V$33&lt;$B28,0,IF(V$33&gt;$C28,IF(LIFE_PRJ=1,U470,0),OFFSET(Проект!V$1476,0,1-$B28)))</f>
        <v>81.300813008130078</v>
      </c>
      <c r="W470" s="93">
        <f ca="1">IF(W$33&lt;$B28,0,IF(W$33&gt;$C28,IF(LIFE_PRJ=1,V470,0),OFFSET(Проект!W$1476,0,1-$B28)))</f>
        <v>81.300813008130078</v>
      </c>
      <c r="X470" s="93">
        <f ca="1">IF(X$33&lt;$B28,0,IF(X$33&gt;$C28,IF(LIFE_PRJ=1,W470,0),OFFSET(Проект!X$1476,0,1-$B28)))</f>
        <v>81.300813008130078</v>
      </c>
      <c r="Y470" s="93">
        <f ca="1">IF(Y$33&lt;$B28,0,IF(Y$33&gt;$C28,IF(LIFE_PRJ=1,X470,0),OFFSET(Проект!AC$1476,0,1-$B28)))</f>
        <v>81.300813008130078</v>
      </c>
    </row>
    <row r="471" spans="1:27" outlineLevel="1" collapsed="1" x14ac:dyDescent="0.2">
      <c r="A471" t="str">
        <f ca="1">Language!A$786</f>
        <v>Финансовые вложения</v>
      </c>
      <c r="C471" s="5" t="str">
        <f t="shared" ca="1" si="59"/>
        <v>тыс. EUR</v>
      </c>
      <c r="D471" s="16" t="s">
        <v>2616</v>
      </c>
      <c r="F471" s="209">
        <f ca="1">SUMPRODUCT($B12:OFFSET($B13,-1,0),F472:OFFSET(F473,-1,0))</f>
        <v>0</v>
      </c>
      <c r="G471" s="209">
        <f ca="1">SUMPRODUCT($B12:OFFSET($B13,-1,0),G472:OFFSET(G473,-1,0))</f>
        <v>0</v>
      </c>
      <c r="H471" s="209">
        <f ca="1">SUMPRODUCT($B12:OFFSET($B13,-1,0),H472:OFFSET(H473,-1,0))</f>
        <v>0</v>
      </c>
      <c r="I471" s="209">
        <f ca="1">SUMPRODUCT($B12:OFFSET($B13,-1,0),I472:OFFSET(I473,-1,0))</f>
        <v>0</v>
      </c>
      <c r="J471" s="209">
        <f ca="1">SUMPRODUCT($B12:OFFSET($B13,-1,0),J472:OFFSET(J473,-1,0))</f>
        <v>0</v>
      </c>
      <c r="K471" s="209">
        <f ca="1">SUMPRODUCT($B12:OFFSET($B13,-1,0),K472:OFFSET(K473,-1,0))</f>
        <v>0</v>
      </c>
      <c r="L471" s="209">
        <f ca="1">SUMPRODUCT($B12:OFFSET($B13,-1,0),L472:OFFSET(L473,-1,0))</f>
        <v>0</v>
      </c>
      <c r="M471" s="209">
        <f ca="1">SUMPRODUCT($B12:OFFSET($B13,-1,0),M472:OFFSET(M473,-1,0))</f>
        <v>0</v>
      </c>
      <c r="N471" s="209">
        <f ca="1">SUMPRODUCT($B12:OFFSET($B13,-1,0),N472:OFFSET(N473,-1,0))</f>
        <v>0</v>
      </c>
      <c r="O471" s="209">
        <f ca="1">SUMPRODUCT($B12:OFFSET($B13,-1,0),O472:OFFSET(O473,-1,0))</f>
        <v>0</v>
      </c>
      <c r="P471" s="209">
        <f ca="1">SUMPRODUCT($B12:OFFSET($B13,-1,0),P472:OFFSET(P473,-1,0))</f>
        <v>0</v>
      </c>
      <c r="Q471" s="209">
        <f ca="1">SUMPRODUCT($B12:OFFSET($B13,-1,0),Q472:OFFSET(Q473,-1,0))</f>
        <v>0</v>
      </c>
      <c r="R471" s="209">
        <f ca="1">SUMPRODUCT($B12:OFFSET($B13,-1,0),R472:OFFSET(R473,-1,0))</f>
        <v>0</v>
      </c>
      <c r="S471" s="209">
        <f ca="1">SUMPRODUCT($B12:OFFSET($B13,-1,0),S472:OFFSET(S473,-1,0))</f>
        <v>0</v>
      </c>
      <c r="T471" s="209">
        <f ca="1">SUMPRODUCT($B12:OFFSET($B13,-1,0),T472:OFFSET(T473,-1,0))</f>
        <v>0</v>
      </c>
      <c r="U471" s="209">
        <f ca="1">SUMPRODUCT($B12:OFFSET($B13,-1,0),U472:OFFSET(U473,-1,0))</f>
        <v>0</v>
      </c>
      <c r="V471" s="209">
        <f ca="1">SUMPRODUCT($B12:OFFSET($B13,-1,0),V472:OFFSET(V473,-1,0))</f>
        <v>0</v>
      </c>
      <c r="W471" s="209">
        <f ca="1">SUMPRODUCT($B12:OFFSET($B13,-1,0),W472:OFFSET(W473,-1,0))</f>
        <v>0</v>
      </c>
      <c r="X471" s="209">
        <f ca="1">SUMPRODUCT($B12:OFFSET($B13,-1,0),X472:OFFSET(X473,-1,0))</f>
        <v>0</v>
      </c>
      <c r="Y471" s="209">
        <f ca="1">SUMPRODUCT($B12:OFFSET($B13,-1,0),Y472:OFFSET(Y473,-1,0))</f>
        <v>0</v>
      </c>
      <c r="AA471" s="11"/>
    </row>
    <row r="472" spans="1:27" s="180" customFormat="1" hidden="1" outlineLevel="2" x14ac:dyDescent="0.2">
      <c r="A472" s="180" t="str">
        <f ca="1">"        " &amp; A12</f>
        <v xml:space="preserve">        Проект 1</v>
      </c>
      <c r="C472" s="208" t="str">
        <f t="shared" ca="1" si="59"/>
        <v>тыс. EUR</v>
      </c>
      <c r="D472" s="89" t="e">
        <f ca="1">"[" &amp; F12 &amp; "];int_end"</f>
        <v>#NAME?</v>
      </c>
      <c r="F472" s="93">
        <f ca="1">IF(F$33&lt;$B28,0,IF(F$33&gt;$C28,IF(LIFE_PRJ=1,E472,0),OFFSET(Проект!F$1477,0,1-$B28)))</f>
        <v>0</v>
      </c>
      <c r="G472" s="93">
        <f ca="1">IF(G$33&lt;$B28,0,IF(G$33&gt;$C28,IF(LIFE_PRJ=1,F472,0),OFFSET(Проект!G$1477,0,1-$B28)))</f>
        <v>0</v>
      </c>
      <c r="H472" s="93">
        <f ca="1">IF(H$33&lt;$B28,0,IF(H$33&gt;$C28,IF(LIFE_PRJ=1,G472,0),OFFSET(Проект!H$1477,0,1-$B28)))</f>
        <v>0</v>
      </c>
      <c r="I472" s="93">
        <f ca="1">IF(I$33&lt;$B28,0,IF(I$33&gt;$C28,IF(LIFE_PRJ=1,H472,0),OFFSET(Проект!I$1477,0,1-$B28)))</f>
        <v>0</v>
      </c>
      <c r="J472" s="93">
        <f ca="1">IF(J$33&lt;$B28,0,IF(J$33&gt;$C28,IF(LIFE_PRJ=1,I472,0),OFFSET(Проект!J$1477,0,1-$B28)))</f>
        <v>0</v>
      </c>
      <c r="K472" s="93">
        <f ca="1">IF(K$33&lt;$B28,0,IF(K$33&gt;$C28,IF(LIFE_PRJ=1,J472,0),OFFSET(Проект!K$1477,0,1-$B28)))</f>
        <v>0</v>
      </c>
      <c r="L472" s="93">
        <f ca="1">IF(L$33&lt;$B28,0,IF(L$33&gt;$C28,IF(LIFE_PRJ=1,K472,0),OFFSET(Проект!L$1477,0,1-$B28)))</f>
        <v>0</v>
      </c>
      <c r="M472" s="93">
        <f ca="1">IF(M$33&lt;$B28,0,IF(M$33&gt;$C28,IF(LIFE_PRJ=1,L472,0),OFFSET(Проект!M$1477,0,1-$B28)))</f>
        <v>0</v>
      </c>
      <c r="N472" s="93">
        <f ca="1">IF(N$33&lt;$B28,0,IF(N$33&gt;$C28,IF(LIFE_PRJ=1,M472,0),OFFSET(Проект!N$1477,0,1-$B28)))</f>
        <v>0</v>
      </c>
      <c r="O472" s="93">
        <f ca="1">IF(O$33&lt;$B28,0,IF(O$33&gt;$C28,IF(LIFE_PRJ=1,N472,0),OFFSET(Проект!O$1477,0,1-$B28)))</f>
        <v>0</v>
      </c>
      <c r="P472" s="93">
        <f ca="1">IF(P$33&lt;$B28,0,IF(P$33&gt;$C28,IF(LIFE_PRJ=1,O472,0),OFFSET(Проект!P$1477,0,1-$B28)))</f>
        <v>0</v>
      </c>
      <c r="Q472" s="93">
        <f ca="1">IF(Q$33&lt;$B28,0,IF(Q$33&gt;$C28,IF(LIFE_PRJ=1,P472,0),OFFSET(Проект!Q$1477,0,1-$B28)))</f>
        <v>0</v>
      </c>
      <c r="R472" s="93">
        <f ca="1">IF(R$33&lt;$B28,0,IF(R$33&gt;$C28,IF(LIFE_PRJ=1,Q472,0),OFFSET(Проект!R$1477,0,1-$B28)))</f>
        <v>0</v>
      </c>
      <c r="S472" s="93">
        <f ca="1">IF(S$33&lt;$B28,0,IF(S$33&gt;$C28,IF(LIFE_PRJ=1,R472,0),OFFSET(Проект!S$1477,0,1-$B28)))</f>
        <v>0</v>
      </c>
      <c r="T472" s="93">
        <f ca="1">IF(T$33&lt;$B28,0,IF(T$33&gt;$C28,IF(LIFE_PRJ=1,S472,0),OFFSET(Проект!T$1477,0,1-$B28)))</f>
        <v>0</v>
      </c>
      <c r="U472" s="93">
        <f ca="1">IF(U$33&lt;$B28,0,IF(U$33&gt;$C28,IF(LIFE_PRJ=1,T472,0),OFFSET(Проект!U$1477,0,1-$B28)))</f>
        <v>0</v>
      </c>
      <c r="V472" s="93">
        <f ca="1">IF(V$33&lt;$B28,0,IF(V$33&gt;$C28,IF(LIFE_PRJ=1,U472,0),OFFSET(Проект!V$1477,0,1-$B28)))</f>
        <v>0</v>
      </c>
      <c r="W472" s="93">
        <f ca="1">IF(W$33&lt;$B28,0,IF(W$33&gt;$C28,IF(LIFE_PRJ=1,V472,0),OFFSET(Проект!W$1477,0,1-$B28)))</f>
        <v>0</v>
      </c>
      <c r="X472" s="93">
        <f ca="1">IF(X$33&lt;$B28,0,IF(X$33&gt;$C28,IF(LIFE_PRJ=1,W472,0),OFFSET(Проект!X$1477,0,1-$B28)))</f>
        <v>0</v>
      </c>
      <c r="Y472" s="93">
        <f ca="1">IF(Y$33&lt;$B28,0,IF(Y$33&gt;$C28,IF(LIFE_PRJ=1,X472,0),OFFSET(Проект!AC$1477,0,1-$B28)))</f>
        <v>0</v>
      </c>
    </row>
    <row r="473" spans="1:27" outlineLevel="1" collapsed="1" x14ac:dyDescent="0.2">
      <c r="A473" t="str">
        <f ca="1">Language!A$787</f>
        <v>Незавершенные капиталовложения</v>
      </c>
      <c r="C473" s="5" t="str">
        <f t="shared" ca="1" si="59"/>
        <v>тыс. EUR</v>
      </c>
      <c r="D473" s="16" t="s">
        <v>2616</v>
      </c>
      <c r="F473" s="209">
        <f ca="1">SUMPRODUCT($B12:OFFSET($B13,-1,0),F474:OFFSET(F475,-1,0))</f>
        <v>0</v>
      </c>
      <c r="G473" s="209">
        <f ca="1">SUMPRODUCT($B12:OFFSET($B13,-1,0),G474:OFFSET(G475,-1,0))</f>
        <v>0</v>
      </c>
      <c r="H473" s="209">
        <f ca="1">SUMPRODUCT($B12:OFFSET($B13,-1,0),H474:OFFSET(H475,-1,0))</f>
        <v>4667.7931335951498</v>
      </c>
      <c r="I473" s="209">
        <f ca="1">SUMPRODUCT($B12:OFFSET($B13,-1,0),I474:OFFSET(I475,-1,0))</f>
        <v>5903.2077677414909</v>
      </c>
      <c r="J473" s="209">
        <f ca="1">SUMPRODUCT($B12:OFFSET($B13,-1,0),J474:OFFSET(J475,-1,0))</f>
        <v>0</v>
      </c>
      <c r="K473" s="209">
        <f ca="1">SUMPRODUCT($B12:OFFSET($B13,-1,0),K474:OFFSET(K475,-1,0))</f>
        <v>0</v>
      </c>
      <c r="L473" s="209">
        <f ca="1">SUMPRODUCT($B12:OFFSET($B13,-1,0),L474:OFFSET(L475,-1,0))</f>
        <v>0</v>
      </c>
      <c r="M473" s="209">
        <f ca="1">SUMPRODUCT($B12:OFFSET($B13,-1,0),M474:OFFSET(M475,-1,0))</f>
        <v>0</v>
      </c>
      <c r="N473" s="209">
        <f ca="1">SUMPRODUCT($B12:OFFSET($B13,-1,0),N474:OFFSET(N475,-1,0))</f>
        <v>0</v>
      </c>
      <c r="O473" s="209">
        <f ca="1">SUMPRODUCT($B12:OFFSET($B13,-1,0),O474:OFFSET(O475,-1,0))</f>
        <v>0</v>
      </c>
      <c r="P473" s="209">
        <f ca="1">SUMPRODUCT($B12:OFFSET($B13,-1,0),P474:OFFSET(P475,-1,0))</f>
        <v>0</v>
      </c>
      <c r="Q473" s="209">
        <f ca="1">SUMPRODUCT($B12:OFFSET($B13,-1,0),Q474:OFFSET(Q475,-1,0))</f>
        <v>0</v>
      </c>
      <c r="R473" s="209">
        <f ca="1">SUMPRODUCT($B12:OFFSET($B13,-1,0),R474:OFFSET(R475,-1,0))</f>
        <v>0</v>
      </c>
      <c r="S473" s="209">
        <f ca="1">SUMPRODUCT($B12:OFFSET($B13,-1,0),S474:OFFSET(S475,-1,0))</f>
        <v>0</v>
      </c>
      <c r="T473" s="209">
        <f ca="1">SUMPRODUCT($B12:OFFSET($B13,-1,0),T474:OFFSET(T475,-1,0))</f>
        <v>0</v>
      </c>
      <c r="U473" s="209">
        <f ca="1">SUMPRODUCT($B12:OFFSET($B13,-1,0),U474:OFFSET(U475,-1,0))</f>
        <v>0</v>
      </c>
      <c r="V473" s="209">
        <f ca="1">SUMPRODUCT($B12:OFFSET($B13,-1,0),V474:OFFSET(V475,-1,0))</f>
        <v>0</v>
      </c>
      <c r="W473" s="209">
        <f ca="1">SUMPRODUCT($B12:OFFSET($B13,-1,0),W474:OFFSET(W475,-1,0))</f>
        <v>0</v>
      </c>
      <c r="X473" s="209">
        <f ca="1">SUMPRODUCT($B12:OFFSET($B13,-1,0),X474:OFFSET(X475,-1,0))</f>
        <v>0</v>
      </c>
      <c r="Y473" s="209">
        <f ca="1">SUMPRODUCT($B12:OFFSET($B13,-1,0),Y474:OFFSET(Y475,-1,0))</f>
        <v>0</v>
      </c>
      <c r="AA473" s="11"/>
    </row>
    <row r="474" spans="1:27" s="180" customFormat="1" hidden="1" outlineLevel="2" x14ac:dyDescent="0.2">
      <c r="A474" s="180" t="str">
        <f ca="1">"        " &amp; A12</f>
        <v xml:space="preserve">        Проект 1</v>
      </c>
      <c r="C474" s="208" t="str">
        <f t="shared" ca="1" si="59"/>
        <v>тыс. EUR</v>
      </c>
      <c r="D474" s="89" t="e">
        <f ca="1">"[" &amp; F12 &amp; "];int_end"</f>
        <v>#NAME?</v>
      </c>
      <c r="F474" s="93">
        <f ca="1">IF(F$33&lt;$B28,0,IF(F$33&gt;$C28,IF(LIFE_PRJ=1,E474,0),OFFSET(Проект!F$1478,0,1-$B28)))</f>
        <v>0</v>
      </c>
      <c r="G474" s="93">
        <f ca="1">IF(G$33&lt;$B28,0,IF(G$33&gt;$C28,IF(LIFE_PRJ=1,F474,0),OFFSET(Проект!G$1478,0,1-$B28)))</f>
        <v>0</v>
      </c>
      <c r="H474" s="93">
        <f ca="1">IF(H$33&lt;$B28,0,IF(H$33&gt;$C28,IF(LIFE_PRJ=1,G474,0),OFFSET(Проект!H$1478,0,1-$B28)))</f>
        <v>4667.7931335951498</v>
      </c>
      <c r="I474" s="93">
        <f ca="1">IF(I$33&lt;$B28,0,IF(I$33&gt;$C28,IF(LIFE_PRJ=1,H474,0),OFFSET(Проект!I$1478,0,1-$B28)))</f>
        <v>5903.2077677414909</v>
      </c>
      <c r="J474" s="93">
        <f ca="1">IF(J$33&lt;$B28,0,IF(J$33&gt;$C28,IF(LIFE_PRJ=1,I474,0),OFFSET(Проект!J$1478,0,1-$B28)))</f>
        <v>0</v>
      </c>
      <c r="K474" s="93">
        <f ca="1">IF(K$33&lt;$B28,0,IF(K$33&gt;$C28,IF(LIFE_PRJ=1,J474,0),OFFSET(Проект!K$1478,0,1-$B28)))</f>
        <v>0</v>
      </c>
      <c r="L474" s="93">
        <f ca="1">IF(L$33&lt;$B28,0,IF(L$33&gt;$C28,IF(LIFE_PRJ=1,K474,0),OFFSET(Проект!L$1478,0,1-$B28)))</f>
        <v>0</v>
      </c>
      <c r="M474" s="93">
        <f ca="1">IF(M$33&lt;$B28,0,IF(M$33&gt;$C28,IF(LIFE_PRJ=1,L474,0),OFFSET(Проект!M$1478,0,1-$B28)))</f>
        <v>0</v>
      </c>
      <c r="N474" s="93">
        <f ca="1">IF(N$33&lt;$B28,0,IF(N$33&gt;$C28,IF(LIFE_PRJ=1,M474,0),OFFSET(Проект!N$1478,0,1-$B28)))</f>
        <v>0</v>
      </c>
      <c r="O474" s="93">
        <f ca="1">IF(O$33&lt;$B28,0,IF(O$33&gt;$C28,IF(LIFE_PRJ=1,N474,0),OFFSET(Проект!O$1478,0,1-$B28)))</f>
        <v>0</v>
      </c>
      <c r="P474" s="93">
        <f ca="1">IF(P$33&lt;$B28,0,IF(P$33&gt;$C28,IF(LIFE_PRJ=1,O474,0),OFFSET(Проект!P$1478,0,1-$B28)))</f>
        <v>0</v>
      </c>
      <c r="Q474" s="93">
        <f ca="1">IF(Q$33&lt;$B28,0,IF(Q$33&gt;$C28,IF(LIFE_PRJ=1,P474,0),OFFSET(Проект!Q$1478,0,1-$B28)))</f>
        <v>0</v>
      </c>
      <c r="R474" s="93">
        <f ca="1">IF(R$33&lt;$B28,0,IF(R$33&gt;$C28,IF(LIFE_PRJ=1,Q474,0),OFFSET(Проект!R$1478,0,1-$B28)))</f>
        <v>0</v>
      </c>
      <c r="S474" s="93">
        <f ca="1">IF(S$33&lt;$B28,0,IF(S$33&gt;$C28,IF(LIFE_PRJ=1,R474,0),OFFSET(Проект!S$1478,0,1-$B28)))</f>
        <v>0</v>
      </c>
      <c r="T474" s="93">
        <f ca="1">IF(T$33&lt;$B28,0,IF(T$33&gt;$C28,IF(LIFE_PRJ=1,S474,0),OFFSET(Проект!T$1478,0,1-$B28)))</f>
        <v>0</v>
      </c>
      <c r="U474" s="93">
        <f ca="1">IF(U$33&lt;$B28,0,IF(U$33&gt;$C28,IF(LIFE_PRJ=1,T474,0),OFFSET(Проект!U$1478,0,1-$B28)))</f>
        <v>0</v>
      </c>
      <c r="V474" s="93">
        <f ca="1">IF(V$33&lt;$B28,0,IF(V$33&gt;$C28,IF(LIFE_PRJ=1,U474,0),OFFSET(Проект!V$1478,0,1-$B28)))</f>
        <v>0</v>
      </c>
      <c r="W474" s="93">
        <f ca="1">IF(W$33&lt;$B28,0,IF(W$33&gt;$C28,IF(LIFE_PRJ=1,V474,0),OFFSET(Проект!W$1478,0,1-$B28)))</f>
        <v>0</v>
      </c>
      <c r="X474" s="93">
        <f ca="1">IF(X$33&lt;$B28,0,IF(X$33&gt;$C28,IF(LIFE_PRJ=1,W474,0),OFFSET(Проект!X$1478,0,1-$B28)))</f>
        <v>0</v>
      </c>
      <c r="Y474" s="93">
        <f ca="1">IF(Y$33&lt;$B28,0,IF(Y$33&gt;$C28,IF(LIFE_PRJ=1,X474,0),OFFSET(Проект!AC$1478,0,1-$B28)))</f>
        <v>0</v>
      </c>
    </row>
    <row r="475" spans="1:27" outlineLevel="1" collapsed="1" x14ac:dyDescent="0.2">
      <c r="A475" s="35" t="str">
        <f ca="1">Language!A$788</f>
        <v>Суммарные внеоборотные активы</v>
      </c>
      <c r="C475" s="5" t="str">
        <f t="shared" ca="1" si="59"/>
        <v>тыс. EUR</v>
      </c>
      <c r="D475" s="16" t="s">
        <v>2616</v>
      </c>
      <c r="F475" s="159">
        <f ca="1">SUMPRODUCT($B12:OFFSET($B13,-1,0),F476:OFFSET(F477,-1,0))</f>
        <v>0</v>
      </c>
      <c r="G475" s="159">
        <f ca="1">SUMPRODUCT($B12:OFFSET($B13,-1,0),G476:OFFSET(G477,-1,0))</f>
        <v>0</v>
      </c>
      <c r="H475" s="159">
        <f ca="1">SUMPRODUCT($B12:OFFSET($B13,-1,0),H476:OFFSET(H477,-1,0))</f>
        <v>4667.7931335951498</v>
      </c>
      <c r="I475" s="159">
        <f ca="1">SUMPRODUCT($B12:OFFSET($B13,-1,0),I476:OFFSET(I477,-1,0))</f>
        <v>5903.2077677414909</v>
      </c>
      <c r="J475" s="159">
        <f ca="1">SUMPRODUCT($B12:OFFSET($B13,-1,0),J476:OFFSET(J477,-1,0))</f>
        <v>13263.916649761954</v>
      </c>
      <c r="K475" s="159">
        <f ca="1">SUMPRODUCT($B12:OFFSET($B13,-1,0),K476:OFFSET(K477,-1,0))</f>
        <v>12954.56413705319</v>
      </c>
      <c r="L475" s="159">
        <f ca="1">SUMPRODUCT($B12:OFFSET($B13,-1,0),L476:OFFSET(L477,-1,0))</f>
        <v>12645.211624344427</v>
      </c>
      <c r="M475" s="159">
        <f ca="1">SUMPRODUCT($B12:OFFSET($B13,-1,0),M476:OFFSET(M477,-1,0))</f>
        <v>12335.859111635664</v>
      </c>
      <c r="N475" s="159">
        <f ca="1">SUMPRODUCT($B12:OFFSET($B13,-1,0),N476:OFFSET(N477,-1,0))</f>
        <v>12026.506598926899</v>
      </c>
      <c r="O475" s="159">
        <f ca="1">SUMPRODUCT($B12:OFFSET($B13,-1,0),O476:OFFSET(O477,-1,0))</f>
        <v>11717.154086218135</v>
      </c>
      <c r="P475" s="159">
        <f ca="1">SUMPRODUCT($B12:OFFSET($B13,-1,0),P476:OFFSET(P477,-1,0))</f>
        <v>11407.80157350937</v>
      </c>
      <c r="Q475" s="159">
        <f ca="1">SUMPRODUCT($B12:OFFSET($B13,-1,0),Q476:OFFSET(Q477,-1,0))</f>
        <v>11098.449060800607</v>
      </c>
      <c r="R475" s="159">
        <f ca="1">SUMPRODUCT($B12:OFFSET($B13,-1,0),R476:OFFSET(R477,-1,0))</f>
        <v>10789.096548091842</v>
      </c>
      <c r="S475" s="159">
        <f ca="1">SUMPRODUCT($B12:OFFSET($B13,-1,0),S476:OFFSET(S477,-1,0))</f>
        <v>10479.744035383081</v>
      </c>
      <c r="T475" s="159">
        <f ca="1">SUMPRODUCT($B12:OFFSET($B13,-1,0),T476:OFFSET(T477,-1,0))</f>
        <v>10170.391522674316</v>
      </c>
      <c r="U475" s="159">
        <f ca="1">SUMPRODUCT($B12:OFFSET($B13,-1,0),U476:OFFSET(U477,-1,0))</f>
        <v>9861.0390099655524</v>
      </c>
      <c r="V475" s="159">
        <f ca="1">SUMPRODUCT($B12:OFFSET($B13,-1,0),V476:OFFSET(V477,-1,0))</f>
        <v>9551.6864972567873</v>
      </c>
      <c r="W475" s="159">
        <f ca="1">SUMPRODUCT($B12:OFFSET($B13,-1,0),W476:OFFSET(W477,-1,0))</f>
        <v>9242.3339845480241</v>
      </c>
      <c r="X475" s="159">
        <f ca="1">SUMPRODUCT($B12:OFFSET($B13,-1,0),X476:OFFSET(X477,-1,0))</f>
        <v>8932.9814718392608</v>
      </c>
      <c r="Y475" s="159">
        <f ca="1">SUMPRODUCT($B12:OFFSET($B13,-1,0),Y476:OFFSET(Y477,-1,0))</f>
        <v>7386.2189082954401</v>
      </c>
      <c r="AA475" s="11"/>
    </row>
    <row r="476" spans="1:27" s="180" customFormat="1" hidden="1" outlineLevel="2" x14ac:dyDescent="0.2">
      <c r="A476" s="180" t="str">
        <f ca="1">"        " &amp; A12</f>
        <v xml:space="preserve">        Проект 1</v>
      </c>
      <c r="C476" s="208" t="str">
        <f t="shared" ca="1" si="59"/>
        <v>тыс. EUR</v>
      </c>
      <c r="D476" s="89" t="e">
        <f ca="1">"[" &amp; F12 &amp; "];int_end"</f>
        <v>#NAME?</v>
      </c>
      <c r="F476" s="93">
        <f ca="1">IF(F$33&lt;$B28,0,IF(F$33&gt;$C28,IF(LIFE_PRJ=1,E476,0),OFFSET(Проект!F$1479,0,1-$B28)))</f>
        <v>0</v>
      </c>
      <c r="G476" s="93">
        <f ca="1">IF(G$33&lt;$B28,0,IF(G$33&gt;$C28,IF(LIFE_PRJ=1,F476,0),OFFSET(Проект!G$1479,0,1-$B28)))</f>
        <v>0</v>
      </c>
      <c r="H476" s="93">
        <f ca="1">IF(H$33&lt;$B28,0,IF(H$33&gt;$C28,IF(LIFE_PRJ=1,G476,0),OFFSET(Проект!H$1479,0,1-$B28)))</f>
        <v>4667.7931335951498</v>
      </c>
      <c r="I476" s="93">
        <f ca="1">IF(I$33&lt;$B28,0,IF(I$33&gt;$C28,IF(LIFE_PRJ=1,H476,0),OFFSET(Проект!I$1479,0,1-$B28)))</f>
        <v>5903.2077677414909</v>
      </c>
      <c r="J476" s="93">
        <f ca="1">IF(J$33&lt;$B28,0,IF(J$33&gt;$C28,IF(LIFE_PRJ=1,I476,0),OFFSET(Проект!J$1479,0,1-$B28)))</f>
        <v>13263.916649761954</v>
      </c>
      <c r="K476" s="93">
        <f ca="1">IF(K$33&lt;$B28,0,IF(K$33&gt;$C28,IF(LIFE_PRJ=1,J476,0),OFFSET(Проект!K$1479,0,1-$B28)))</f>
        <v>12954.56413705319</v>
      </c>
      <c r="L476" s="93">
        <f ca="1">IF(L$33&lt;$B28,0,IF(L$33&gt;$C28,IF(LIFE_PRJ=1,K476,0),OFFSET(Проект!L$1479,0,1-$B28)))</f>
        <v>12645.211624344427</v>
      </c>
      <c r="M476" s="93">
        <f ca="1">IF(M$33&lt;$B28,0,IF(M$33&gt;$C28,IF(LIFE_PRJ=1,L476,0),OFFSET(Проект!M$1479,0,1-$B28)))</f>
        <v>12335.859111635664</v>
      </c>
      <c r="N476" s="93">
        <f ca="1">IF(N$33&lt;$B28,0,IF(N$33&gt;$C28,IF(LIFE_PRJ=1,M476,0),OFFSET(Проект!N$1479,0,1-$B28)))</f>
        <v>12026.506598926899</v>
      </c>
      <c r="O476" s="93">
        <f ca="1">IF(O$33&lt;$B28,0,IF(O$33&gt;$C28,IF(LIFE_PRJ=1,N476,0),OFFSET(Проект!O$1479,0,1-$B28)))</f>
        <v>11717.154086218135</v>
      </c>
      <c r="P476" s="93">
        <f ca="1">IF(P$33&lt;$B28,0,IF(P$33&gt;$C28,IF(LIFE_PRJ=1,O476,0),OFFSET(Проект!P$1479,0,1-$B28)))</f>
        <v>11407.80157350937</v>
      </c>
      <c r="Q476" s="93">
        <f ca="1">IF(Q$33&lt;$B28,0,IF(Q$33&gt;$C28,IF(LIFE_PRJ=1,P476,0),OFFSET(Проект!Q$1479,0,1-$B28)))</f>
        <v>11098.449060800607</v>
      </c>
      <c r="R476" s="93">
        <f ca="1">IF(R$33&lt;$B28,0,IF(R$33&gt;$C28,IF(LIFE_PRJ=1,Q476,0),OFFSET(Проект!R$1479,0,1-$B28)))</f>
        <v>10789.096548091842</v>
      </c>
      <c r="S476" s="93">
        <f ca="1">IF(S$33&lt;$B28,0,IF(S$33&gt;$C28,IF(LIFE_PRJ=1,R476,0),OFFSET(Проект!S$1479,0,1-$B28)))</f>
        <v>10479.744035383081</v>
      </c>
      <c r="T476" s="93">
        <f ca="1">IF(T$33&lt;$B28,0,IF(T$33&gt;$C28,IF(LIFE_PRJ=1,S476,0),OFFSET(Проект!T$1479,0,1-$B28)))</f>
        <v>10170.391522674316</v>
      </c>
      <c r="U476" s="93">
        <f ca="1">IF(U$33&lt;$B28,0,IF(U$33&gt;$C28,IF(LIFE_PRJ=1,T476,0),OFFSET(Проект!U$1479,0,1-$B28)))</f>
        <v>9861.0390099655524</v>
      </c>
      <c r="V476" s="93">
        <f ca="1">IF(V$33&lt;$B28,0,IF(V$33&gt;$C28,IF(LIFE_PRJ=1,U476,0),OFFSET(Проект!V$1479,0,1-$B28)))</f>
        <v>9551.6864972567873</v>
      </c>
      <c r="W476" s="93">
        <f ca="1">IF(W$33&lt;$B28,0,IF(W$33&gt;$C28,IF(LIFE_PRJ=1,V476,0),OFFSET(Проект!W$1479,0,1-$B28)))</f>
        <v>9242.3339845480241</v>
      </c>
      <c r="X476" s="93">
        <f ca="1">IF(X$33&lt;$B28,0,IF(X$33&gt;$C28,IF(LIFE_PRJ=1,W476,0),OFFSET(Проект!X$1479,0,1-$B28)))</f>
        <v>8932.9814718392608</v>
      </c>
      <c r="Y476" s="93">
        <f ca="1">IF(Y$33&lt;$B28,0,IF(Y$33&gt;$C28,IF(LIFE_PRJ=1,X476,0),OFFSET(Проект!AC$1479,0,1-$B28)))</f>
        <v>7386.2189082954401</v>
      </c>
    </row>
    <row r="477" spans="1:27" outlineLevel="1" x14ac:dyDescent="0.2">
      <c r="F477" s="43"/>
      <c r="G477" s="43"/>
      <c r="H477" s="43"/>
      <c r="I477" s="43"/>
      <c r="J477" s="43"/>
      <c r="K477" s="43"/>
      <c r="L477" s="43"/>
      <c r="M477" s="43"/>
      <c r="N477" s="43"/>
      <c r="O477" s="43"/>
      <c r="P477" s="43"/>
      <c r="Q477" s="43"/>
      <c r="R477" s="43"/>
      <c r="S477" s="43"/>
      <c r="T477" s="43"/>
      <c r="U477" s="43"/>
      <c r="V477" s="43"/>
      <c r="W477" s="43"/>
      <c r="X477" s="43"/>
      <c r="Y477" s="43"/>
      <c r="AA477" s="11"/>
    </row>
    <row r="478" spans="1:27" outlineLevel="1" collapsed="1" x14ac:dyDescent="0.2">
      <c r="A478" s="35" t="str">
        <f ca="1">Language!A$789</f>
        <v xml:space="preserve"> = ИТОГО АКТИВОВ</v>
      </c>
      <c r="C478" s="5" t="str">
        <f ca="1">CUR_Report</f>
        <v>тыс. EUR</v>
      </c>
      <c r="D478" s="16" t="s">
        <v>2616</v>
      </c>
      <c r="F478" s="159">
        <f t="shared" ref="F478:T478" ca="1" si="60">F458+F475</f>
        <v>0</v>
      </c>
      <c r="G478" s="159">
        <f t="shared" ca="1" si="60"/>
        <v>0</v>
      </c>
      <c r="H478" s="159">
        <f t="shared" ca="1" si="60"/>
        <v>5695.3855543220343</v>
      </c>
      <c r="I478" s="159">
        <f t="shared" ca="1" si="60"/>
        <v>7214.9455543220338</v>
      </c>
      <c r="J478" s="159">
        <f t="shared" ca="1" si="60"/>
        <v>16031.200696419739</v>
      </c>
      <c r="K478" s="159">
        <f t="shared" ca="1" si="60"/>
        <v>16469.049256946124</v>
      </c>
      <c r="L478" s="159">
        <f t="shared" ca="1" si="60"/>
        <v>16505.857980735891</v>
      </c>
      <c r="M478" s="159">
        <f t="shared" ca="1" si="60"/>
        <v>17021.734043717162</v>
      </c>
      <c r="N478" s="159">
        <f t="shared" ca="1" si="60"/>
        <v>17981.698919382288</v>
      </c>
      <c r="O478" s="159">
        <f t="shared" ca="1" si="60"/>
        <v>19168.776550641753</v>
      </c>
      <c r="P478" s="159">
        <f t="shared" ca="1" si="60"/>
        <v>20314.198727318846</v>
      </c>
      <c r="Q478" s="159">
        <f t="shared" ca="1" si="60"/>
        <v>21459.620903995943</v>
      </c>
      <c r="R478" s="159">
        <f t="shared" ca="1" si="60"/>
        <v>22605.043080673036</v>
      </c>
      <c r="S478" s="159">
        <f t="shared" ca="1" si="60"/>
        <v>23750.46525735013</v>
      </c>
      <c r="T478" s="159">
        <f t="shared" ca="1" si="60"/>
        <v>24895.887434027227</v>
      </c>
      <c r="U478" s="159">
        <f t="shared" ref="U478" ca="1" si="61">U458+U475</f>
        <v>26041.30961070432</v>
      </c>
      <c r="V478" s="159">
        <f t="shared" ref="V478" ca="1" si="62">V458+V475</f>
        <v>27186.731787381417</v>
      </c>
      <c r="W478" s="159">
        <f t="shared" ref="W478" ca="1" si="63">W458+W475</f>
        <v>28332.153964058511</v>
      </c>
      <c r="X478" s="159">
        <f t="shared" ref="X478:Y478" ca="1" si="64">X458+X475</f>
        <v>29477.576140735604</v>
      </c>
      <c r="Y478" s="159">
        <f t="shared" ca="1" si="64"/>
        <v>36279.404128163791</v>
      </c>
      <c r="AA478" s="11"/>
    </row>
    <row r="479" spans="1:27" s="180" customFormat="1" hidden="1" outlineLevel="2" x14ac:dyDescent="0.2">
      <c r="A479" s="180" t="str">
        <f ca="1">"        " &amp; A12</f>
        <v xml:space="preserve">        Проект 1</v>
      </c>
      <c r="C479" s="208" t="str">
        <f ca="1">CUR_Report</f>
        <v>тыс. EUR</v>
      </c>
      <c r="D479" s="89" t="e">
        <f ca="1">"[" &amp; F12 &amp; "];int_end"</f>
        <v>#NAME?</v>
      </c>
      <c r="F479" s="93">
        <f ca="1">IF(F$33&lt;$B28,0,IF(F$33&gt;$C28,IF(LIFE_PRJ=1,E479,0),OFFSET(Проект!F$1481,0,1-$B28)))</f>
        <v>0</v>
      </c>
      <c r="G479" s="93">
        <f ca="1">IF(G$33&lt;$B28,0,IF(G$33&gt;$C28,IF(LIFE_PRJ=1,F479,0),OFFSET(Проект!G$1481,0,1-$B28)))</f>
        <v>0</v>
      </c>
      <c r="H479" s="93">
        <f ca="1">IF(H$33&lt;$B28,0,IF(H$33&gt;$C28,IF(LIFE_PRJ=1,G479,0),OFFSET(Проект!H$1481,0,1-$B28)))</f>
        <v>5695.3855543220343</v>
      </c>
      <c r="I479" s="93">
        <f ca="1">IF(I$33&lt;$B28,0,IF(I$33&gt;$C28,IF(LIFE_PRJ=1,H479,0),OFFSET(Проект!I$1481,0,1-$B28)))</f>
        <v>7214.9455543220338</v>
      </c>
      <c r="J479" s="93">
        <f ca="1">IF(J$33&lt;$B28,0,IF(J$33&gt;$C28,IF(LIFE_PRJ=1,I479,0),OFFSET(Проект!J$1481,0,1-$B28)))</f>
        <v>16031.200696419739</v>
      </c>
      <c r="K479" s="93">
        <f ca="1">IF(K$33&lt;$B28,0,IF(K$33&gt;$C28,IF(LIFE_PRJ=1,J479,0),OFFSET(Проект!K$1481,0,1-$B28)))</f>
        <v>16469.049256946124</v>
      </c>
      <c r="L479" s="93">
        <f ca="1">IF(L$33&lt;$B28,0,IF(L$33&gt;$C28,IF(LIFE_PRJ=1,K479,0),OFFSET(Проект!L$1481,0,1-$B28)))</f>
        <v>16505.857980735891</v>
      </c>
      <c r="M479" s="93">
        <f ca="1">IF(M$33&lt;$B28,0,IF(M$33&gt;$C28,IF(LIFE_PRJ=1,L479,0),OFFSET(Проект!M$1481,0,1-$B28)))</f>
        <v>17021.734043717162</v>
      </c>
      <c r="N479" s="93">
        <f ca="1">IF(N$33&lt;$B28,0,IF(N$33&gt;$C28,IF(LIFE_PRJ=1,M479,0),OFFSET(Проект!N$1481,0,1-$B28)))</f>
        <v>17981.698919382288</v>
      </c>
      <c r="O479" s="93">
        <f ca="1">IF(O$33&lt;$B28,0,IF(O$33&gt;$C28,IF(LIFE_PRJ=1,N479,0),OFFSET(Проект!O$1481,0,1-$B28)))</f>
        <v>19168.776550641753</v>
      </c>
      <c r="P479" s="93">
        <f ca="1">IF(P$33&lt;$B28,0,IF(P$33&gt;$C28,IF(LIFE_PRJ=1,O479,0),OFFSET(Проект!P$1481,0,1-$B28)))</f>
        <v>20314.198727318846</v>
      </c>
      <c r="Q479" s="93">
        <f ca="1">IF(Q$33&lt;$B28,0,IF(Q$33&gt;$C28,IF(LIFE_PRJ=1,P479,0),OFFSET(Проект!Q$1481,0,1-$B28)))</f>
        <v>21459.620903995943</v>
      </c>
      <c r="R479" s="93">
        <f ca="1">IF(R$33&lt;$B28,0,IF(R$33&gt;$C28,IF(LIFE_PRJ=1,Q479,0),OFFSET(Проект!R$1481,0,1-$B28)))</f>
        <v>22605.043080673036</v>
      </c>
      <c r="S479" s="93">
        <f ca="1">IF(S$33&lt;$B28,0,IF(S$33&gt;$C28,IF(LIFE_PRJ=1,R479,0),OFFSET(Проект!S$1481,0,1-$B28)))</f>
        <v>23750.46525735013</v>
      </c>
      <c r="T479" s="93">
        <f ca="1">IF(T$33&lt;$B28,0,IF(T$33&gt;$C28,IF(LIFE_PRJ=1,S479,0),OFFSET(Проект!T$1481,0,1-$B28)))</f>
        <v>24895.887434027227</v>
      </c>
      <c r="U479" s="93">
        <f ca="1">IF(U$33&lt;$B28,0,IF(U$33&gt;$C28,IF(LIFE_PRJ=1,T479,0),OFFSET(Проект!U$1481,0,1-$B28)))</f>
        <v>26041.30961070432</v>
      </c>
      <c r="V479" s="93">
        <f ca="1">IF(V$33&lt;$B28,0,IF(V$33&gt;$C28,IF(LIFE_PRJ=1,U479,0),OFFSET(Проект!V$1481,0,1-$B28)))</f>
        <v>27186.731787381417</v>
      </c>
      <c r="W479" s="93">
        <f ca="1">IF(W$33&lt;$B28,0,IF(W$33&gt;$C28,IF(LIFE_PRJ=1,V479,0),OFFSET(Проект!W$1481,0,1-$B28)))</f>
        <v>28332.153964058511</v>
      </c>
      <c r="X479" s="93">
        <f ca="1">IF(X$33&lt;$B28,0,IF(X$33&gt;$C28,IF(LIFE_PRJ=1,W479,0),OFFSET(Проект!X$1481,0,1-$B28)))</f>
        <v>29477.576140735604</v>
      </c>
      <c r="Y479" s="93">
        <f ca="1">IF(Y$33&lt;$B28,0,IF(Y$33&gt;$C28,IF(LIFE_PRJ=1,X479,0),OFFSET(Проект!AC$1481,0,1-$B28)))</f>
        <v>35204.687024121085</v>
      </c>
    </row>
    <row r="480" spans="1:27" outlineLevel="1" x14ac:dyDescent="0.2">
      <c r="F480" s="43"/>
      <c r="G480" s="43"/>
      <c r="H480" s="43"/>
      <c r="I480" s="43"/>
      <c r="J480" s="43"/>
      <c r="K480" s="43"/>
      <c r="L480" s="43"/>
      <c r="M480" s="43"/>
      <c r="N480" s="43"/>
      <c r="O480" s="43"/>
      <c r="P480" s="43"/>
      <c r="Q480" s="43"/>
      <c r="R480" s="43"/>
      <c r="S480" s="43"/>
      <c r="T480" s="43"/>
      <c r="U480" s="43"/>
      <c r="V480" s="43"/>
      <c r="W480" s="43"/>
      <c r="X480" s="43"/>
      <c r="Y480" s="43"/>
      <c r="AA480" s="11"/>
    </row>
    <row r="481" spans="1:27" outlineLevel="1" collapsed="1" x14ac:dyDescent="0.2">
      <c r="A481" t="str">
        <f ca="1">Language!A$790</f>
        <v>Кредиторская задолженность</v>
      </c>
      <c r="C481" s="5" t="str">
        <f t="shared" ref="C481:C501" ca="1" si="65">CUR_Report</f>
        <v>тыс. EUR</v>
      </c>
      <c r="D481" s="16" t="s">
        <v>2616</v>
      </c>
      <c r="F481" s="209">
        <f ca="1">SUMPRODUCT($B12:OFFSET($B13,-1,0),F482:OFFSET(F483,-1,0))</f>
        <v>0</v>
      </c>
      <c r="G481" s="209">
        <f ca="1">SUMPRODUCT($B12:OFFSET($B13,-1,0),G482:OFFSET(G483,-1,0))</f>
        <v>0</v>
      </c>
      <c r="H481" s="209">
        <f ca="1">SUMPRODUCT($B12:OFFSET($B13,-1,0),H482:OFFSET(H483,-1,0))</f>
        <v>0</v>
      </c>
      <c r="I481" s="209">
        <f ca="1">SUMPRODUCT($B12:OFFSET($B13,-1,0),I482:OFFSET(I483,-1,0))</f>
        <v>0</v>
      </c>
      <c r="J481" s="209">
        <f ca="1">SUMPRODUCT($B12:OFFSET($B13,-1,0),J482:OFFSET(J483,-1,0))</f>
        <v>2100.7184576271193</v>
      </c>
      <c r="K481" s="209">
        <f ca="1">SUMPRODUCT($B12:OFFSET($B13,-1,0),K482:OFFSET(K483,-1,0))</f>
        <v>0</v>
      </c>
      <c r="L481" s="209">
        <f ca="1">SUMPRODUCT($B12:OFFSET($B13,-1,0),L482:OFFSET(L483,-1,0))</f>
        <v>0</v>
      </c>
      <c r="M481" s="209">
        <f ca="1">SUMPRODUCT($B12:OFFSET($B13,-1,0),M482:OFFSET(M483,-1,0))</f>
        <v>0</v>
      </c>
      <c r="N481" s="209">
        <f ca="1">SUMPRODUCT($B12:OFFSET($B13,-1,0),N482:OFFSET(N483,-1,0))</f>
        <v>0</v>
      </c>
      <c r="O481" s="209">
        <f ca="1">SUMPRODUCT($B12:OFFSET($B13,-1,0),O482:OFFSET(O483,-1,0))</f>
        <v>1.3642420526593924E-12</v>
      </c>
      <c r="P481" s="209">
        <f ca="1">SUMPRODUCT($B12:OFFSET($B13,-1,0),P482:OFFSET(P483,-1,0))</f>
        <v>0</v>
      </c>
      <c r="Q481" s="209">
        <f ca="1">SUMPRODUCT($B12:OFFSET($B13,-1,0),Q482:OFFSET(Q483,-1,0))</f>
        <v>0</v>
      </c>
      <c r="R481" s="209">
        <f ca="1">SUMPRODUCT($B12:OFFSET($B13,-1,0),R482:OFFSET(R483,-1,0))</f>
        <v>0</v>
      </c>
      <c r="S481" s="209">
        <f ca="1">SUMPRODUCT($B12:OFFSET($B13,-1,0),S482:OFFSET(S483,-1,0))</f>
        <v>0</v>
      </c>
      <c r="T481" s="209">
        <f ca="1">SUMPRODUCT($B12:OFFSET($B13,-1,0),T482:OFFSET(T483,-1,0))</f>
        <v>0</v>
      </c>
      <c r="U481" s="209">
        <f ca="1">SUMPRODUCT($B12:OFFSET($B13,-1,0),U482:OFFSET(U483,-1,0))</f>
        <v>0</v>
      </c>
      <c r="V481" s="209">
        <f ca="1">SUMPRODUCT($B12:OFFSET($B13,-1,0),V482:OFFSET(V483,-1,0))</f>
        <v>0</v>
      </c>
      <c r="W481" s="209">
        <f ca="1">SUMPRODUCT($B12:OFFSET($B13,-1,0),W482:OFFSET(W483,-1,0))</f>
        <v>0</v>
      </c>
      <c r="X481" s="209">
        <f ca="1">SUMPRODUCT($B12:OFFSET($B13,-1,0),X482:OFFSET(X483,-1,0))</f>
        <v>0</v>
      </c>
      <c r="Y481" s="209">
        <f ca="1">SUMPRODUCT($B12:OFFSET($B13,-1,0),Y482:OFFSET(Y483,-1,0))</f>
        <v>0</v>
      </c>
      <c r="AA481" s="11"/>
    </row>
    <row r="482" spans="1:27" s="180" customFormat="1" hidden="1" outlineLevel="2" x14ac:dyDescent="0.2">
      <c r="A482" s="11" t="str">
        <f ca="1">"        " &amp; A12</f>
        <v xml:space="preserve">        Проект 1</v>
      </c>
      <c r="B482" s="11"/>
      <c r="C482" s="36" t="str">
        <f t="shared" ca="1" si="65"/>
        <v>тыс. EUR</v>
      </c>
      <c r="D482" s="89" t="e">
        <f ca="1">"[" &amp; F12 &amp; "];int_end"</f>
        <v>#NAME?</v>
      </c>
      <c r="F482" s="93">
        <f ca="1">IF(F$33&lt;$B28,0,IF(F$33&gt;$C28,IF(LIFE_PRJ=1,E482,0),OFFSET(Проект!F$1483,0,1-$B28)))</f>
        <v>0</v>
      </c>
      <c r="G482" s="93">
        <f ca="1">IF(G$33&lt;$B28,0,IF(G$33&gt;$C28,IF(LIFE_PRJ=1,F482,0),OFFSET(Проект!G$1483,0,1-$B28)))</f>
        <v>0</v>
      </c>
      <c r="H482" s="93">
        <f ca="1">IF(H$33&lt;$B28,0,IF(H$33&gt;$C28,IF(LIFE_PRJ=1,G482,0),OFFSET(Проект!H$1483,0,1-$B28)))</f>
        <v>0</v>
      </c>
      <c r="I482" s="93">
        <f ca="1">IF(I$33&lt;$B28,0,IF(I$33&gt;$C28,IF(LIFE_PRJ=1,H482,0),OFFSET(Проект!I$1483,0,1-$B28)))</f>
        <v>0</v>
      </c>
      <c r="J482" s="93">
        <f ca="1">IF(J$33&lt;$B28,0,IF(J$33&gt;$C28,IF(LIFE_PRJ=1,I482,0),OFFSET(Проект!J$1483,0,1-$B28)))</f>
        <v>2100.7184576271193</v>
      </c>
      <c r="K482" s="93">
        <f ca="1">IF(K$33&lt;$B28,0,IF(K$33&gt;$C28,IF(LIFE_PRJ=1,J482,0),OFFSET(Проект!K$1483,0,1-$B28)))</f>
        <v>0</v>
      </c>
      <c r="L482" s="93">
        <f ca="1">IF(L$33&lt;$B28,0,IF(L$33&gt;$C28,IF(LIFE_PRJ=1,K482,0),OFFSET(Проект!L$1483,0,1-$B28)))</f>
        <v>0</v>
      </c>
      <c r="M482" s="93">
        <f ca="1">IF(M$33&lt;$B28,0,IF(M$33&gt;$C28,IF(LIFE_PRJ=1,L482,0),OFFSET(Проект!M$1483,0,1-$B28)))</f>
        <v>0</v>
      </c>
      <c r="N482" s="93">
        <f ca="1">IF(N$33&lt;$B28,0,IF(N$33&gt;$C28,IF(LIFE_PRJ=1,M482,0),OFFSET(Проект!N$1483,0,1-$B28)))</f>
        <v>0</v>
      </c>
      <c r="O482" s="93">
        <f ca="1">IF(O$33&lt;$B28,0,IF(O$33&gt;$C28,IF(LIFE_PRJ=1,N482,0),OFFSET(Проект!O$1483,0,1-$B28)))</f>
        <v>1.3642420526593924E-12</v>
      </c>
      <c r="P482" s="93">
        <f ca="1">IF(P$33&lt;$B28,0,IF(P$33&gt;$C28,IF(LIFE_PRJ=1,O482,0),OFFSET(Проект!P$1483,0,1-$B28)))</f>
        <v>0</v>
      </c>
      <c r="Q482" s="93">
        <f ca="1">IF(Q$33&lt;$B28,0,IF(Q$33&gt;$C28,IF(LIFE_PRJ=1,P482,0),OFFSET(Проект!Q$1483,0,1-$B28)))</f>
        <v>0</v>
      </c>
      <c r="R482" s="93">
        <f ca="1">IF(R$33&lt;$B28,0,IF(R$33&gt;$C28,IF(LIFE_PRJ=1,Q482,0),OFFSET(Проект!R$1483,0,1-$B28)))</f>
        <v>0</v>
      </c>
      <c r="S482" s="93">
        <f ca="1">IF(S$33&lt;$B28,0,IF(S$33&gt;$C28,IF(LIFE_PRJ=1,R482,0),OFFSET(Проект!S$1483,0,1-$B28)))</f>
        <v>0</v>
      </c>
      <c r="T482" s="93">
        <f ca="1">IF(T$33&lt;$B28,0,IF(T$33&gt;$C28,IF(LIFE_PRJ=1,S482,0),OFFSET(Проект!T$1483,0,1-$B28)))</f>
        <v>0</v>
      </c>
      <c r="U482" s="93">
        <f ca="1">IF(U$33&lt;$B28,0,IF(U$33&gt;$C28,IF(LIFE_PRJ=1,T482,0),OFFSET(Проект!U$1483,0,1-$B28)))</f>
        <v>0</v>
      </c>
      <c r="V482" s="93">
        <f ca="1">IF(V$33&lt;$B28,0,IF(V$33&gt;$C28,IF(LIFE_PRJ=1,U482,0),OFFSET(Проект!V$1483,0,1-$B28)))</f>
        <v>0</v>
      </c>
      <c r="W482" s="93">
        <f ca="1">IF(W$33&lt;$B28,0,IF(W$33&gt;$C28,IF(LIFE_PRJ=1,V482,0),OFFSET(Проект!W$1483,0,1-$B28)))</f>
        <v>0</v>
      </c>
      <c r="X482" s="93">
        <f ca="1">IF(X$33&lt;$B28,0,IF(X$33&gt;$C28,IF(LIFE_PRJ=1,W482,0),OFFSET(Проект!X$1483,0,1-$B28)))</f>
        <v>0</v>
      </c>
      <c r="Y482" s="93">
        <f ca="1">IF(Y$33&lt;$B28,0,IF(Y$33&gt;$C28,IF(LIFE_PRJ=1,X482,0),OFFSET(Проект!AC$1483,0,1-$B28)))</f>
        <v>0</v>
      </c>
    </row>
    <row r="483" spans="1:27" outlineLevel="1" collapsed="1" x14ac:dyDescent="0.2">
      <c r="A483" t="str">
        <f ca="1">Language!A$791</f>
        <v xml:space="preserve">    за поставленные товары</v>
      </c>
      <c r="C483" s="5" t="str">
        <f t="shared" ca="1" si="65"/>
        <v>тыс. EUR</v>
      </c>
      <c r="D483" s="16" t="s">
        <v>2616</v>
      </c>
      <c r="F483" s="209">
        <f ca="1">SUMPRODUCT($B12:OFFSET($B13,-1,0),F484:OFFSET(F485,-1,0))</f>
        <v>0</v>
      </c>
      <c r="G483" s="209">
        <f ca="1">SUMPRODUCT($B12:OFFSET($B13,-1,0),G484:OFFSET(G485,-1,0))</f>
        <v>0</v>
      </c>
      <c r="H483" s="209">
        <f ca="1">SUMPRODUCT($B12:OFFSET($B13,-1,0),H484:OFFSET(H485,-1,0))</f>
        <v>0</v>
      </c>
      <c r="I483" s="209">
        <f ca="1">SUMPRODUCT($B12:OFFSET($B13,-1,0),I484:OFFSET(I485,-1,0))</f>
        <v>0</v>
      </c>
      <c r="J483" s="209">
        <f ca="1">SUMPRODUCT($B12:OFFSET($B13,-1,0),J484:OFFSET(J485,-1,0))</f>
        <v>0</v>
      </c>
      <c r="K483" s="209">
        <f ca="1">SUMPRODUCT($B12:OFFSET($B13,-1,0),K484:OFFSET(K485,-1,0))</f>
        <v>0</v>
      </c>
      <c r="L483" s="209">
        <f ca="1">SUMPRODUCT($B12:OFFSET($B13,-1,0),L484:OFFSET(L485,-1,0))</f>
        <v>0</v>
      </c>
      <c r="M483" s="209">
        <f ca="1">SUMPRODUCT($B12:OFFSET($B13,-1,0),M484:OFFSET(M485,-1,0))</f>
        <v>0</v>
      </c>
      <c r="N483" s="209">
        <f ca="1">SUMPRODUCT($B12:OFFSET($B13,-1,0),N484:OFFSET(N485,-1,0))</f>
        <v>0</v>
      </c>
      <c r="O483" s="209">
        <f ca="1">SUMPRODUCT($B12:OFFSET($B13,-1,0),O484:OFFSET(O485,-1,0))</f>
        <v>1.3642420526593924E-12</v>
      </c>
      <c r="P483" s="209">
        <f ca="1">SUMPRODUCT($B12:OFFSET($B13,-1,0),P484:OFFSET(P485,-1,0))</f>
        <v>0</v>
      </c>
      <c r="Q483" s="209">
        <f ca="1">SUMPRODUCT($B12:OFFSET($B13,-1,0),Q484:OFFSET(Q485,-1,0))</f>
        <v>0</v>
      </c>
      <c r="R483" s="209">
        <f ca="1">SUMPRODUCT($B12:OFFSET($B13,-1,0),R484:OFFSET(R485,-1,0))</f>
        <v>0</v>
      </c>
      <c r="S483" s="209">
        <f ca="1">SUMPRODUCT($B12:OFFSET($B13,-1,0),S484:OFFSET(S485,-1,0))</f>
        <v>0</v>
      </c>
      <c r="T483" s="209">
        <f ca="1">SUMPRODUCT($B12:OFFSET($B13,-1,0),T484:OFFSET(T485,-1,0))</f>
        <v>0</v>
      </c>
      <c r="U483" s="209">
        <f ca="1">SUMPRODUCT($B12:OFFSET($B13,-1,0),U484:OFFSET(U485,-1,0))</f>
        <v>0</v>
      </c>
      <c r="V483" s="209">
        <f ca="1">SUMPRODUCT($B12:OFFSET($B13,-1,0),V484:OFFSET(V485,-1,0))</f>
        <v>0</v>
      </c>
      <c r="W483" s="209">
        <f ca="1">SUMPRODUCT($B12:OFFSET($B13,-1,0),W484:OFFSET(W485,-1,0))</f>
        <v>0</v>
      </c>
      <c r="X483" s="209">
        <f ca="1">SUMPRODUCT($B12:OFFSET($B13,-1,0),X484:OFFSET(X485,-1,0))</f>
        <v>0</v>
      </c>
      <c r="Y483" s="209">
        <f ca="1">SUMPRODUCT($B12:OFFSET($B13,-1,0),Y484:OFFSET(Y485,-1,0))</f>
        <v>0</v>
      </c>
      <c r="AA483" s="11"/>
    </row>
    <row r="484" spans="1:27" s="180" customFormat="1" hidden="1" outlineLevel="2" x14ac:dyDescent="0.2">
      <c r="A484" s="180" t="str">
        <f ca="1">"        " &amp; A12</f>
        <v xml:space="preserve">        Проект 1</v>
      </c>
      <c r="C484" s="208" t="str">
        <f t="shared" ca="1" si="65"/>
        <v>тыс. EUR</v>
      </c>
      <c r="D484" s="89" t="e">
        <f ca="1">"[" &amp; F12 &amp; "];int_end"</f>
        <v>#NAME?</v>
      </c>
      <c r="F484" s="93">
        <f ca="1">IF(F$33&lt;$B28,0,IF(F$33&gt;$C28,IF(LIFE_PRJ=1,E484,0),OFFSET(Проект!F$1484,0,1-$B28)))</f>
        <v>0</v>
      </c>
      <c r="G484" s="93">
        <f ca="1">IF(G$33&lt;$B28,0,IF(G$33&gt;$C28,IF(LIFE_PRJ=1,F484,0),OFFSET(Проект!G$1484,0,1-$B28)))</f>
        <v>0</v>
      </c>
      <c r="H484" s="93">
        <f ca="1">IF(H$33&lt;$B28,0,IF(H$33&gt;$C28,IF(LIFE_PRJ=1,G484,0),OFFSET(Проект!H$1484,0,1-$B28)))</f>
        <v>0</v>
      </c>
      <c r="I484" s="93">
        <f ca="1">IF(I$33&lt;$B28,0,IF(I$33&gt;$C28,IF(LIFE_PRJ=1,H484,0),OFFSET(Проект!I$1484,0,1-$B28)))</f>
        <v>0</v>
      </c>
      <c r="J484" s="93">
        <f ca="1">IF(J$33&lt;$B28,0,IF(J$33&gt;$C28,IF(LIFE_PRJ=1,I484,0),OFFSET(Проект!J$1484,0,1-$B28)))</f>
        <v>0</v>
      </c>
      <c r="K484" s="93">
        <f ca="1">IF(K$33&lt;$B28,0,IF(K$33&gt;$C28,IF(LIFE_PRJ=1,J484,0),OFFSET(Проект!K$1484,0,1-$B28)))</f>
        <v>0</v>
      </c>
      <c r="L484" s="93">
        <f ca="1">IF(L$33&lt;$B28,0,IF(L$33&gt;$C28,IF(LIFE_PRJ=1,K484,0),OFFSET(Проект!L$1484,0,1-$B28)))</f>
        <v>0</v>
      </c>
      <c r="M484" s="93">
        <f ca="1">IF(M$33&lt;$B28,0,IF(M$33&gt;$C28,IF(LIFE_PRJ=1,L484,0),OFFSET(Проект!M$1484,0,1-$B28)))</f>
        <v>0</v>
      </c>
      <c r="N484" s="93">
        <f ca="1">IF(N$33&lt;$B28,0,IF(N$33&gt;$C28,IF(LIFE_PRJ=1,M484,0),OFFSET(Проект!N$1484,0,1-$B28)))</f>
        <v>0</v>
      </c>
      <c r="O484" s="93">
        <f ca="1">IF(O$33&lt;$B28,0,IF(O$33&gt;$C28,IF(LIFE_PRJ=1,N484,0),OFFSET(Проект!O$1484,0,1-$B28)))</f>
        <v>1.3642420526593924E-12</v>
      </c>
      <c r="P484" s="93">
        <f ca="1">IF(P$33&lt;$B28,0,IF(P$33&gt;$C28,IF(LIFE_PRJ=1,O484,0),OFFSET(Проект!P$1484,0,1-$B28)))</f>
        <v>0</v>
      </c>
      <c r="Q484" s="93">
        <f ca="1">IF(Q$33&lt;$B28,0,IF(Q$33&gt;$C28,IF(LIFE_PRJ=1,P484,0),OFFSET(Проект!Q$1484,0,1-$B28)))</f>
        <v>0</v>
      </c>
      <c r="R484" s="93">
        <f ca="1">IF(R$33&lt;$B28,0,IF(R$33&gt;$C28,IF(LIFE_PRJ=1,Q484,0),OFFSET(Проект!R$1484,0,1-$B28)))</f>
        <v>0</v>
      </c>
      <c r="S484" s="93">
        <f ca="1">IF(S$33&lt;$B28,0,IF(S$33&gt;$C28,IF(LIFE_PRJ=1,R484,0),OFFSET(Проект!S$1484,0,1-$B28)))</f>
        <v>0</v>
      </c>
      <c r="T484" s="93">
        <f ca="1">IF(T$33&lt;$B28,0,IF(T$33&gt;$C28,IF(LIFE_PRJ=1,S484,0),OFFSET(Проект!T$1484,0,1-$B28)))</f>
        <v>0</v>
      </c>
      <c r="U484" s="93">
        <f ca="1">IF(U$33&lt;$B28,0,IF(U$33&gt;$C28,IF(LIFE_PRJ=1,T484,0),OFFSET(Проект!U$1484,0,1-$B28)))</f>
        <v>0</v>
      </c>
      <c r="V484" s="93">
        <f ca="1">IF(V$33&lt;$B28,0,IF(V$33&gt;$C28,IF(LIFE_PRJ=1,U484,0),OFFSET(Проект!V$1484,0,1-$B28)))</f>
        <v>0</v>
      </c>
      <c r="W484" s="93">
        <f ca="1">IF(W$33&lt;$B28,0,IF(W$33&gt;$C28,IF(LIFE_PRJ=1,V484,0),OFFSET(Проект!W$1484,0,1-$B28)))</f>
        <v>0</v>
      </c>
      <c r="X484" s="93">
        <f ca="1">IF(X$33&lt;$B28,0,IF(X$33&gt;$C28,IF(LIFE_PRJ=1,W484,0),OFFSET(Проект!X$1484,0,1-$B28)))</f>
        <v>0</v>
      </c>
      <c r="Y484" s="93">
        <f ca="1">IF(Y$33&lt;$B28,0,IF(Y$33&gt;$C28,IF(LIFE_PRJ=1,X484,0),OFFSET(Проект!AC$1484,0,1-$B28)))</f>
        <v>0</v>
      </c>
    </row>
    <row r="485" spans="1:27" ht="10.5" customHeight="1" outlineLevel="1" collapsed="1" x14ac:dyDescent="0.2">
      <c r="A485" t="str">
        <f ca="1">Language!A$792</f>
        <v xml:space="preserve">    за внеоборотные активы</v>
      </c>
      <c r="C485" s="5" t="str">
        <f t="shared" ca="1" si="65"/>
        <v>тыс. EUR</v>
      </c>
      <c r="D485" s="16" t="s">
        <v>2616</v>
      </c>
      <c r="F485" s="209">
        <f ca="1">SUMPRODUCT($B12:OFFSET($B13,-1,0),F486:OFFSET(F487,-1,0))</f>
        <v>0</v>
      </c>
      <c r="G485" s="209">
        <f ca="1">SUMPRODUCT($B12:OFFSET($B13,-1,0),G486:OFFSET(G487,-1,0))</f>
        <v>0</v>
      </c>
      <c r="H485" s="209">
        <f ca="1">SUMPRODUCT($B12:OFFSET($B13,-1,0),H486:OFFSET(H487,-1,0))</f>
        <v>0</v>
      </c>
      <c r="I485" s="209">
        <f ca="1">SUMPRODUCT($B12:OFFSET($B13,-1,0),I486:OFFSET(I487,-1,0))</f>
        <v>0</v>
      </c>
      <c r="J485" s="209">
        <f ca="1">SUMPRODUCT($B12:OFFSET($B13,-1,0),J486:OFFSET(J487,-1,0))</f>
        <v>2100.7184576271193</v>
      </c>
      <c r="K485" s="209">
        <f ca="1">SUMPRODUCT($B12:OFFSET($B13,-1,0),K486:OFFSET(K487,-1,0))</f>
        <v>0</v>
      </c>
      <c r="L485" s="209">
        <f ca="1">SUMPRODUCT($B12:OFFSET($B13,-1,0),L486:OFFSET(L487,-1,0))</f>
        <v>0</v>
      </c>
      <c r="M485" s="209">
        <f ca="1">SUMPRODUCT($B12:OFFSET($B13,-1,0),M486:OFFSET(M487,-1,0))</f>
        <v>0</v>
      </c>
      <c r="N485" s="209">
        <f ca="1">SUMPRODUCT($B12:OFFSET($B13,-1,0),N486:OFFSET(N487,-1,0))</f>
        <v>0</v>
      </c>
      <c r="O485" s="209">
        <f ca="1">SUMPRODUCT($B12:OFFSET($B13,-1,0),O486:OFFSET(O487,-1,0))</f>
        <v>0</v>
      </c>
      <c r="P485" s="209">
        <f ca="1">SUMPRODUCT($B12:OFFSET($B13,-1,0),P486:OFFSET(P487,-1,0))</f>
        <v>0</v>
      </c>
      <c r="Q485" s="209">
        <f ca="1">SUMPRODUCT($B12:OFFSET($B13,-1,0),Q486:OFFSET(Q487,-1,0))</f>
        <v>0</v>
      </c>
      <c r="R485" s="209">
        <f ca="1">SUMPRODUCT($B12:OFFSET($B13,-1,0),R486:OFFSET(R487,-1,0))</f>
        <v>0</v>
      </c>
      <c r="S485" s="209">
        <f ca="1">SUMPRODUCT($B12:OFFSET($B13,-1,0),S486:OFFSET(S487,-1,0))</f>
        <v>0</v>
      </c>
      <c r="T485" s="209">
        <f ca="1">SUMPRODUCT($B12:OFFSET($B13,-1,0),T486:OFFSET(T487,-1,0))</f>
        <v>0</v>
      </c>
      <c r="U485" s="209">
        <f ca="1">SUMPRODUCT($B12:OFFSET($B13,-1,0),U486:OFFSET(U487,-1,0))</f>
        <v>0</v>
      </c>
      <c r="V485" s="209">
        <f ca="1">SUMPRODUCT($B12:OFFSET($B13,-1,0),V486:OFFSET(V487,-1,0))</f>
        <v>0</v>
      </c>
      <c r="W485" s="209">
        <f ca="1">SUMPRODUCT($B12:OFFSET($B13,-1,0),W486:OFFSET(W487,-1,0))</f>
        <v>0</v>
      </c>
      <c r="X485" s="209">
        <f ca="1">SUMPRODUCT($B12:OFFSET($B13,-1,0),X486:OFFSET(X487,-1,0))</f>
        <v>0</v>
      </c>
      <c r="Y485" s="209">
        <f ca="1">SUMPRODUCT($B12:OFFSET($B13,-1,0),Y486:OFFSET(Y487,-1,0))</f>
        <v>0</v>
      </c>
      <c r="AA485" s="11"/>
    </row>
    <row r="486" spans="1:27" s="180" customFormat="1" ht="10.5" hidden="1" customHeight="1" outlineLevel="2" x14ac:dyDescent="0.2">
      <c r="A486" s="180" t="str">
        <f ca="1">"        " &amp; A12</f>
        <v xml:space="preserve">        Проект 1</v>
      </c>
      <c r="C486" s="208" t="str">
        <f t="shared" ca="1" si="65"/>
        <v>тыс. EUR</v>
      </c>
      <c r="D486" s="89" t="e">
        <f ca="1">"[" &amp; F12 &amp; "];int_end"</f>
        <v>#NAME?</v>
      </c>
      <c r="F486" s="93">
        <f ca="1">IF(F$33&lt;$B28,0,IF(F$33&gt;$C28,IF(LIFE_PRJ=1,E486,0),OFFSET(Проект!F$1485,0,1-$B28)))</f>
        <v>0</v>
      </c>
      <c r="G486" s="93">
        <f ca="1">IF(G$33&lt;$B28,0,IF(G$33&gt;$C28,IF(LIFE_PRJ=1,F486,0),OFFSET(Проект!G$1485,0,1-$B28)))</f>
        <v>0</v>
      </c>
      <c r="H486" s="93">
        <f ca="1">IF(H$33&lt;$B28,0,IF(H$33&gt;$C28,IF(LIFE_PRJ=1,G486,0),OFFSET(Проект!H$1485,0,1-$B28)))</f>
        <v>0</v>
      </c>
      <c r="I486" s="93">
        <f ca="1">IF(I$33&lt;$B28,0,IF(I$33&gt;$C28,IF(LIFE_PRJ=1,H486,0),OFFSET(Проект!I$1485,0,1-$B28)))</f>
        <v>0</v>
      </c>
      <c r="J486" s="93">
        <f ca="1">IF(J$33&lt;$B28,0,IF(J$33&gt;$C28,IF(LIFE_PRJ=1,I486,0),OFFSET(Проект!J$1485,0,1-$B28)))</f>
        <v>2100.7184576271193</v>
      </c>
      <c r="K486" s="93">
        <f ca="1">IF(K$33&lt;$B28,0,IF(K$33&gt;$C28,IF(LIFE_PRJ=1,J486,0),OFFSET(Проект!K$1485,0,1-$B28)))</f>
        <v>0</v>
      </c>
      <c r="L486" s="93">
        <f ca="1">IF(L$33&lt;$B28,0,IF(L$33&gt;$C28,IF(LIFE_PRJ=1,K486,0),OFFSET(Проект!L$1485,0,1-$B28)))</f>
        <v>0</v>
      </c>
      <c r="M486" s="93">
        <f ca="1">IF(M$33&lt;$B28,0,IF(M$33&gt;$C28,IF(LIFE_PRJ=1,L486,0),OFFSET(Проект!M$1485,0,1-$B28)))</f>
        <v>0</v>
      </c>
      <c r="N486" s="93">
        <f ca="1">IF(N$33&lt;$B28,0,IF(N$33&gt;$C28,IF(LIFE_PRJ=1,M486,0),OFFSET(Проект!N$1485,0,1-$B28)))</f>
        <v>0</v>
      </c>
      <c r="O486" s="93">
        <f ca="1">IF(O$33&lt;$B28,0,IF(O$33&gt;$C28,IF(LIFE_PRJ=1,N486,0),OFFSET(Проект!O$1485,0,1-$B28)))</f>
        <v>0</v>
      </c>
      <c r="P486" s="93">
        <f ca="1">IF(P$33&lt;$B28,0,IF(P$33&gt;$C28,IF(LIFE_PRJ=1,O486,0),OFFSET(Проект!P$1485,0,1-$B28)))</f>
        <v>0</v>
      </c>
      <c r="Q486" s="93">
        <f ca="1">IF(Q$33&lt;$B28,0,IF(Q$33&gt;$C28,IF(LIFE_PRJ=1,P486,0),OFFSET(Проект!Q$1485,0,1-$B28)))</f>
        <v>0</v>
      </c>
      <c r="R486" s="93">
        <f ca="1">IF(R$33&lt;$B28,0,IF(R$33&gt;$C28,IF(LIFE_PRJ=1,Q486,0),OFFSET(Проект!R$1485,0,1-$B28)))</f>
        <v>0</v>
      </c>
      <c r="S486" s="93">
        <f ca="1">IF(S$33&lt;$B28,0,IF(S$33&gt;$C28,IF(LIFE_PRJ=1,R486,0),OFFSET(Проект!S$1485,0,1-$B28)))</f>
        <v>0</v>
      </c>
      <c r="T486" s="93">
        <f ca="1">IF(T$33&lt;$B28,0,IF(T$33&gt;$C28,IF(LIFE_PRJ=1,S486,0),OFFSET(Проект!T$1485,0,1-$B28)))</f>
        <v>0</v>
      </c>
      <c r="U486" s="93">
        <f ca="1">IF(U$33&lt;$B28,0,IF(U$33&gt;$C28,IF(LIFE_PRJ=1,T486,0),OFFSET(Проект!U$1485,0,1-$B28)))</f>
        <v>0</v>
      </c>
      <c r="V486" s="93">
        <f ca="1">IF(V$33&lt;$B28,0,IF(V$33&gt;$C28,IF(LIFE_PRJ=1,U486,0),OFFSET(Проект!V$1485,0,1-$B28)))</f>
        <v>0</v>
      </c>
      <c r="W486" s="93">
        <f ca="1">IF(W$33&lt;$B28,0,IF(W$33&gt;$C28,IF(LIFE_PRJ=1,V486,0),OFFSET(Проект!W$1485,0,1-$B28)))</f>
        <v>0</v>
      </c>
      <c r="X486" s="93">
        <f ca="1">IF(X$33&lt;$B28,0,IF(X$33&gt;$C28,IF(LIFE_PRJ=1,W486,0),OFFSET(Проект!X$1485,0,1-$B28)))</f>
        <v>0</v>
      </c>
      <c r="Y486" s="93">
        <f ca="1">IF(Y$33&lt;$B28,0,IF(Y$33&gt;$C28,IF(LIFE_PRJ=1,X486,0),OFFSET(Проект!AC$1485,0,1-$B28)))</f>
        <v>0</v>
      </c>
    </row>
    <row r="487" spans="1:27" outlineLevel="1" collapsed="1" x14ac:dyDescent="0.2">
      <c r="A487" t="str">
        <f ca="1">Language!A$793</f>
        <v>Расчеты с бюджетом</v>
      </c>
      <c r="C487" s="5" t="str">
        <f t="shared" ca="1" si="65"/>
        <v>тыс. EUR</v>
      </c>
      <c r="D487" s="16" t="s">
        <v>2616</v>
      </c>
      <c r="F487" s="209">
        <f ca="1">SUMPRODUCT($B12:OFFSET($B13,-1,0),F488:OFFSET(F489,-1,0))</f>
        <v>0</v>
      </c>
      <c r="G487" s="209">
        <f ca="1">SUMPRODUCT($B12:OFFSET($B13,-1,0),G488:OFFSET(G489,-1,0))</f>
        <v>0</v>
      </c>
      <c r="H487" s="209">
        <f ca="1">SUMPRODUCT($B12:OFFSET($B13,-1,0),H488:OFFSET(H489,-1,0))</f>
        <v>0</v>
      </c>
      <c r="I487" s="209">
        <f ca="1">SUMPRODUCT($B12:OFFSET($B13,-1,0),I488:OFFSET(I489,-1,0))</f>
        <v>0</v>
      </c>
      <c r="J487" s="209">
        <f ca="1">SUMPRODUCT($B12:OFFSET($B13,-1,0),J488:OFFSET(J489,-1,0))</f>
        <v>0</v>
      </c>
      <c r="K487" s="209">
        <f ca="1">SUMPRODUCT($B12:OFFSET($B13,-1,0),K488:OFFSET(K489,-1,0))</f>
        <v>37.738329767441854</v>
      </c>
      <c r="L487" s="209">
        <f ca="1">SUMPRODUCT($B12:OFFSET($B13,-1,0),L488:OFFSET(L489,-1,0))</f>
        <v>37.738329767441854</v>
      </c>
      <c r="M487" s="209">
        <f ca="1">SUMPRODUCT($B12:OFFSET($B13,-1,0),M488:OFFSET(M489,-1,0))</f>
        <v>37.738329767441854</v>
      </c>
      <c r="N487" s="209">
        <f ca="1">SUMPRODUCT($B12:OFFSET($B13,-1,0),N488:OFFSET(N489,-1,0))</f>
        <v>85.642633855300929</v>
      </c>
      <c r="O487" s="209">
        <f ca="1">SUMPRODUCT($B12:OFFSET($B13,-1,0),O488:OFFSET(O489,-1,0))</f>
        <v>127.2980884376674</v>
      </c>
      <c r="P487" s="209">
        <f ca="1">SUMPRODUCT($B12:OFFSET($B13,-1,0),P488:OFFSET(P489,-1,0))</f>
        <v>127.2980884376674</v>
      </c>
      <c r="Q487" s="209">
        <f ca="1">SUMPRODUCT($B12:OFFSET($B13,-1,0),Q488:OFFSET(Q489,-1,0))</f>
        <v>127.2980884376674</v>
      </c>
      <c r="R487" s="209">
        <f ca="1">SUMPRODUCT($B12:OFFSET($B13,-1,0),R488:OFFSET(R489,-1,0))</f>
        <v>127.2980884376674</v>
      </c>
      <c r="S487" s="209">
        <f ca="1">SUMPRODUCT($B12:OFFSET($B13,-1,0),S488:OFFSET(S489,-1,0))</f>
        <v>127.2980884376674</v>
      </c>
      <c r="T487" s="209">
        <f ca="1">SUMPRODUCT($B12:OFFSET($B13,-1,0),T488:OFFSET(T489,-1,0))</f>
        <v>127.2980884376674</v>
      </c>
      <c r="U487" s="209">
        <f ca="1">SUMPRODUCT($B12:OFFSET($B13,-1,0),U488:OFFSET(U489,-1,0))</f>
        <v>127.2980884376674</v>
      </c>
      <c r="V487" s="209">
        <f ca="1">SUMPRODUCT($B12:OFFSET($B13,-1,0),V488:OFFSET(V489,-1,0))</f>
        <v>127.2980884376674</v>
      </c>
      <c r="W487" s="209">
        <f ca="1">SUMPRODUCT($B12:OFFSET($B13,-1,0),W488:OFFSET(W489,-1,0))</f>
        <v>127.2980884376674</v>
      </c>
      <c r="X487" s="209">
        <f ca="1">SUMPRODUCT($B12:OFFSET($B13,-1,0),X488:OFFSET(X489,-1,0))</f>
        <v>127.2980884376674</v>
      </c>
      <c r="Y487" s="209">
        <f ca="1">SUMPRODUCT($B12:OFFSET($B13,-1,0),Y488:OFFSET(Y489,-1,0))</f>
        <v>127.2980884376674</v>
      </c>
      <c r="AA487" s="11"/>
    </row>
    <row r="488" spans="1:27" s="180" customFormat="1" hidden="1" outlineLevel="2" x14ac:dyDescent="0.2">
      <c r="A488" s="180" t="str">
        <f ca="1">"        " &amp; A12</f>
        <v xml:space="preserve">        Проект 1</v>
      </c>
      <c r="C488" s="208" t="str">
        <f t="shared" ca="1" si="65"/>
        <v>тыс. EUR</v>
      </c>
      <c r="D488" s="89" t="e">
        <f ca="1">"[" &amp; F12 &amp; "];int_end"</f>
        <v>#NAME?</v>
      </c>
      <c r="F488" s="93">
        <f ca="1">IF(F$33&lt;$B28,0,IF(F$33&gt;$C28,IF(LIFE_PRJ=1,E488,0),OFFSET(Проект!F$1486,0,1-$B28)))</f>
        <v>0</v>
      </c>
      <c r="G488" s="93">
        <f ca="1">IF(G$33&lt;$B28,0,IF(G$33&gt;$C28,IF(LIFE_PRJ=1,F488,0),OFFSET(Проект!G$1486,0,1-$B28)))</f>
        <v>0</v>
      </c>
      <c r="H488" s="93">
        <f ca="1">IF(H$33&lt;$B28,0,IF(H$33&gt;$C28,IF(LIFE_PRJ=1,G488,0),OFFSET(Проект!H$1486,0,1-$B28)))</f>
        <v>0</v>
      </c>
      <c r="I488" s="93">
        <f ca="1">IF(I$33&lt;$B28,0,IF(I$33&gt;$C28,IF(LIFE_PRJ=1,H488,0),OFFSET(Проект!I$1486,0,1-$B28)))</f>
        <v>0</v>
      </c>
      <c r="J488" s="93">
        <f ca="1">IF(J$33&lt;$B28,0,IF(J$33&gt;$C28,IF(LIFE_PRJ=1,I488,0),OFFSET(Проект!J$1486,0,1-$B28)))</f>
        <v>0</v>
      </c>
      <c r="K488" s="93">
        <f ca="1">IF(K$33&lt;$B28,0,IF(K$33&gt;$C28,IF(LIFE_PRJ=1,J488,0),OFFSET(Проект!K$1486,0,1-$B28)))</f>
        <v>37.738329767441854</v>
      </c>
      <c r="L488" s="93">
        <f ca="1">IF(L$33&lt;$B28,0,IF(L$33&gt;$C28,IF(LIFE_PRJ=1,K488,0),OFFSET(Проект!L$1486,0,1-$B28)))</f>
        <v>37.738329767441854</v>
      </c>
      <c r="M488" s="93">
        <f ca="1">IF(M$33&lt;$B28,0,IF(M$33&gt;$C28,IF(LIFE_PRJ=1,L488,0),OFFSET(Проект!M$1486,0,1-$B28)))</f>
        <v>37.738329767441854</v>
      </c>
      <c r="N488" s="93">
        <f ca="1">IF(N$33&lt;$B28,0,IF(N$33&gt;$C28,IF(LIFE_PRJ=1,M488,0),OFFSET(Проект!N$1486,0,1-$B28)))</f>
        <v>85.642633855300929</v>
      </c>
      <c r="O488" s="93">
        <f ca="1">IF(O$33&lt;$B28,0,IF(O$33&gt;$C28,IF(LIFE_PRJ=1,N488,0),OFFSET(Проект!O$1486,0,1-$B28)))</f>
        <v>127.2980884376674</v>
      </c>
      <c r="P488" s="93">
        <f ca="1">IF(P$33&lt;$B28,0,IF(P$33&gt;$C28,IF(LIFE_PRJ=1,O488,0),OFFSET(Проект!P$1486,0,1-$B28)))</f>
        <v>127.2980884376674</v>
      </c>
      <c r="Q488" s="93">
        <f ca="1">IF(Q$33&lt;$B28,0,IF(Q$33&gt;$C28,IF(LIFE_PRJ=1,P488,0),OFFSET(Проект!Q$1486,0,1-$B28)))</f>
        <v>127.2980884376674</v>
      </c>
      <c r="R488" s="93">
        <f ca="1">IF(R$33&lt;$B28,0,IF(R$33&gt;$C28,IF(LIFE_PRJ=1,Q488,0),OFFSET(Проект!R$1486,0,1-$B28)))</f>
        <v>127.2980884376674</v>
      </c>
      <c r="S488" s="93">
        <f ca="1">IF(S$33&lt;$B28,0,IF(S$33&gt;$C28,IF(LIFE_PRJ=1,R488,0),OFFSET(Проект!S$1486,0,1-$B28)))</f>
        <v>127.2980884376674</v>
      </c>
      <c r="T488" s="93">
        <f ca="1">IF(T$33&lt;$B28,0,IF(T$33&gt;$C28,IF(LIFE_PRJ=1,S488,0),OFFSET(Проект!T$1486,0,1-$B28)))</f>
        <v>127.2980884376674</v>
      </c>
      <c r="U488" s="93">
        <f ca="1">IF(U$33&lt;$B28,0,IF(U$33&gt;$C28,IF(LIFE_PRJ=1,T488,0),OFFSET(Проект!U$1486,0,1-$B28)))</f>
        <v>127.2980884376674</v>
      </c>
      <c r="V488" s="93">
        <f ca="1">IF(V$33&lt;$B28,0,IF(V$33&gt;$C28,IF(LIFE_PRJ=1,U488,0),OFFSET(Проект!V$1486,0,1-$B28)))</f>
        <v>127.2980884376674</v>
      </c>
      <c r="W488" s="93">
        <f ca="1">IF(W$33&lt;$B28,0,IF(W$33&gt;$C28,IF(LIFE_PRJ=1,V488,0),OFFSET(Проект!W$1486,0,1-$B28)))</f>
        <v>127.2980884376674</v>
      </c>
      <c r="X488" s="93">
        <f ca="1">IF(X$33&lt;$B28,0,IF(X$33&gt;$C28,IF(LIFE_PRJ=1,W488,0),OFFSET(Проект!X$1486,0,1-$B28)))</f>
        <v>127.2980884376674</v>
      </c>
      <c r="Y488" s="93">
        <f ca="1">IF(Y$33&lt;$B28,0,IF(Y$33&gt;$C28,IF(LIFE_PRJ=1,X488,0),OFFSET(Проект!AC$1486,0,1-$B28)))</f>
        <v>127.2980884376674</v>
      </c>
    </row>
    <row r="489" spans="1:27" outlineLevel="1" collapsed="1" x14ac:dyDescent="0.2">
      <c r="A489" t="str">
        <f ca="1">Language!A$794</f>
        <v>Расчеты с персоналом</v>
      </c>
      <c r="C489" s="5" t="str">
        <f t="shared" ca="1" si="65"/>
        <v>тыс. EUR</v>
      </c>
      <c r="D489" s="16" t="s">
        <v>2616</v>
      </c>
      <c r="F489" s="209">
        <f ca="1">SUMPRODUCT($B12:OFFSET($B13,-1,0),F490:OFFSET(F491,-1,0))</f>
        <v>0</v>
      </c>
      <c r="G489" s="209">
        <f ca="1">SUMPRODUCT($B12:OFFSET($B13,-1,0),G490:OFFSET(G491,-1,0))</f>
        <v>0</v>
      </c>
      <c r="H489" s="209">
        <f ca="1">SUMPRODUCT($B12:OFFSET($B13,-1,0),H490:OFFSET(H491,-1,0))</f>
        <v>0</v>
      </c>
      <c r="I489" s="209">
        <f ca="1">SUMPRODUCT($B12:OFFSET($B13,-1,0),I490:OFFSET(I491,-1,0))</f>
        <v>0</v>
      </c>
      <c r="J489" s="209">
        <f ca="1">SUMPRODUCT($B12:OFFSET($B13,-1,0),J490:OFFSET(J491,-1,0))</f>
        <v>0</v>
      </c>
      <c r="K489" s="209">
        <f ca="1">SUMPRODUCT($B12:OFFSET($B13,-1,0),K490:OFFSET(K491,-1,0))</f>
        <v>61.024999999999999</v>
      </c>
      <c r="L489" s="209">
        <f ca="1">SUMPRODUCT($B12:OFFSET($B13,-1,0),L490:OFFSET(L491,-1,0))</f>
        <v>61.024999999999999</v>
      </c>
      <c r="M489" s="209">
        <f ca="1">SUMPRODUCT($B12:OFFSET($B13,-1,0),M490:OFFSET(M491,-1,0))</f>
        <v>61.024999999999999</v>
      </c>
      <c r="N489" s="209">
        <f ca="1">SUMPRODUCT($B12:OFFSET($B13,-1,0),N490:OFFSET(N491,-1,0))</f>
        <v>61.024999999999999</v>
      </c>
      <c r="O489" s="209">
        <f ca="1">SUMPRODUCT($B12:OFFSET($B13,-1,0),O490:OFFSET(O491,-1,0))</f>
        <v>61.024999999999999</v>
      </c>
      <c r="P489" s="209">
        <f ca="1">SUMPRODUCT($B12:OFFSET($B13,-1,0),P490:OFFSET(P491,-1,0))</f>
        <v>61.024999999999999</v>
      </c>
      <c r="Q489" s="209">
        <f ca="1">SUMPRODUCT($B12:OFFSET($B13,-1,0),Q490:OFFSET(Q491,-1,0))</f>
        <v>61.024999999999999</v>
      </c>
      <c r="R489" s="209">
        <f ca="1">SUMPRODUCT($B12:OFFSET($B13,-1,0),R490:OFFSET(R491,-1,0))</f>
        <v>61.024999999999999</v>
      </c>
      <c r="S489" s="209">
        <f ca="1">SUMPRODUCT($B12:OFFSET($B13,-1,0),S490:OFFSET(S491,-1,0))</f>
        <v>61.024999999999999</v>
      </c>
      <c r="T489" s="209">
        <f ca="1">SUMPRODUCT($B12:OFFSET($B13,-1,0),T490:OFFSET(T491,-1,0))</f>
        <v>61.024999999999999</v>
      </c>
      <c r="U489" s="209">
        <f ca="1">SUMPRODUCT($B12:OFFSET($B13,-1,0),U490:OFFSET(U491,-1,0))</f>
        <v>61.024999999999999</v>
      </c>
      <c r="V489" s="209">
        <f ca="1">SUMPRODUCT($B12:OFFSET($B13,-1,0),V490:OFFSET(V491,-1,0))</f>
        <v>61.024999999999999</v>
      </c>
      <c r="W489" s="209">
        <f ca="1">SUMPRODUCT($B12:OFFSET($B13,-1,0),W490:OFFSET(W491,-1,0))</f>
        <v>61.024999999999999</v>
      </c>
      <c r="X489" s="209">
        <f ca="1">SUMPRODUCT($B12:OFFSET($B13,-1,0),X490:OFFSET(X491,-1,0))</f>
        <v>61.024999999999999</v>
      </c>
      <c r="Y489" s="209">
        <f ca="1">SUMPRODUCT($B12:OFFSET($B13,-1,0),Y490:OFFSET(Y491,-1,0))</f>
        <v>61.024999999999999</v>
      </c>
      <c r="AA489" s="11"/>
    </row>
    <row r="490" spans="1:27" s="180" customFormat="1" hidden="1" outlineLevel="2" x14ac:dyDescent="0.2">
      <c r="A490" s="180" t="str">
        <f ca="1">"        " &amp; A12</f>
        <v xml:space="preserve">        Проект 1</v>
      </c>
      <c r="C490" s="208" t="str">
        <f t="shared" ca="1" si="65"/>
        <v>тыс. EUR</v>
      </c>
      <c r="D490" s="89" t="e">
        <f ca="1">"[" &amp; F12 &amp; "];int_end"</f>
        <v>#NAME?</v>
      </c>
      <c r="F490" s="93">
        <f ca="1">IF(F$33&lt;$B28,0,IF(F$33&gt;$C28,IF(LIFE_PRJ=1,E490,0),OFFSET(Проект!F$1487,0,1-$B28)))</f>
        <v>0</v>
      </c>
      <c r="G490" s="93">
        <f ca="1">IF(G$33&lt;$B28,0,IF(G$33&gt;$C28,IF(LIFE_PRJ=1,F490,0),OFFSET(Проект!G$1487,0,1-$B28)))</f>
        <v>0</v>
      </c>
      <c r="H490" s="93">
        <f ca="1">IF(H$33&lt;$B28,0,IF(H$33&gt;$C28,IF(LIFE_PRJ=1,G490,0),OFFSET(Проект!H$1487,0,1-$B28)))</f>
        <v>0</v>
      </c>
      <c r="I490" s="93">
        <f ca="1">IF(I$33&lt;$B28,0,IF(I$33&gt;$C28,IF(LIFE_PRJ=1,H490,0),OFFSET(Проект!I$1487,0,1-$B28)))</f>
        <v>0</v>
      </c>
      <c r="J490" s="93">
        <f ca="1">IF(J$33&lt;$B28,0,IF(J$33&gt;$C28,IF(LIFE_PRJ=1,I490,0),OFFSET(Проект!J$1487,0,1-$B28)))</f>
        <v>0</v>
      </c>
      <c r="K490" s="93">
        <f ca="1">IF(K$33&lt;$B28,0,IF(K$33&gt;$C28,IF(LIFE_PRJ=1,J490,0),OFFSET(Проект!K$1487,0,1-$B28)))</f>
        <v>61.024999999999999</v>
      </c>
      <c r="L490" s="93">
        <f ca="1">IF(L$33&lt;$B28,0,IF(L$33&gt;$C28,IF(LIFE_PRJ=1,K490,0),OFFSET(Проект!L$1487,0,1-$B28)))</f>
        <v>61.024999999999999</v>
      </c>
      <c r="M490" s="93">
        <f ca="1">IF(M$33&lt;$B28,0,IF(M$33&gt;$C28,IF(LIFE_PRJ=1,L490,0),OFFSET(Проект!M$1487,0,1-$B28)))</f>
        <v>61.024999999999999</v>
      </c>
      <c r="N490" s="93">
        <f ca="1">IF(N$33&lt;$B28,0,IF(N$33&gt;$C28,IF(LIFE_PRJ=1,M490,0),OFFSET(Проект!N$1487,0,1-$B28)))</f>
        <v>61.024999999999999</v>
      </c>
      <c r="O490" s="93">
        <f ca="1">IF(O$33&lt;$B28,0,IF(O$33&gt;$C28,IF(LIFE_PRJ=1,N490,0),OFFSET(Проект!O$1487,0,1-$B28)))</f>
        <v>61.024999999999999</v>
      </c>
      <c r="P490" s="93">
        <f ca="1">IF(P$33&lt;$B28,0,IF(P$33&gt;$C28,IF(LIFE_PRJ=1,O490,0),OFFSET(Проект!P$1487,0,1-$B28)))</f>
        <v>61.024999999999999</v>
      </c>
      <c r="Q490" s="93">
        <f ca="1">IF(Q$33&lt;$B28,0,IF(Q$33&gt;$C28,IF(LIFE_PRJ=1,P490,0),OFFSET(Проект!Q$1487,0,1-$B28)))</f>
        <v>61.024999999999999</v>
      </c>
      <c r="R490" s="93">
        <f ca="1">IF(R$33&lt;$B28,0,IF(R$33&gt;$C28,IF(LIFE_PRJ=1,Q490,0),OFFSET(Проект!R$1487,0,1-$B28)))</f>
        <v>61.024999999999999</v>
      </c>
      <c r="S490" s="93">
        <f ca="1">IF(S$33&lt;$B28,0,IF(S$33&gt;$C28,IF(LIFE_PRJ=1,R490,0),OFFSET(Проект!S$1487,0,1-$B28)))</f>
        <v>61.024999999999999</v>
      </c>
      <c r="T490" s="93">
        <f ca="1">IF(T$33&lt;$B28,0,IF(T$33&gt;$C28,IF(LIFE_PRJ=1,S490,0),OFFSET(Проект!T$1487,0,1-$B28)))</f>
        <v>61.024999999999999</v>
      </c>
      <c r="U490" s="93">
        <f ca="1">IF(U$33&lt;$B28,0,IF(U$33&gt;$C28,IF(LIFE_PRJ=1,T490,0),OFFSET(Проект!U$1487,0,1-$B28)))</f>
        <v>61.024999999999999</v>
      </c>
      <c r="V490" s="93">
        <f ca="1">IF(V$33&lt;$B28,0,IF(V$33&gt;$C28,IF(LIFE_PRJ=1,U490,0),OFFSET(Проект!V$1487,0,1-$B28)))</f>
        <v>61.024999999999999</v>
      </c>
      <c r="W490" s="93">
        <f ca="1">IF(W$33&lt;$B28,0,IF(W$33&gt;$C28,IF(LIFE_PRJ=1,V490,0),OFFSET(Проект!W$1487,0,1-$B28)))</f>
        <v>61.024999999999999</v>
      </c>
      <c r="X490" s="93">
        <f ca="1">IF(X$33&lt;$B28,0,IF(X$33&gt;$C28,IF(LIFE_PRJ=1,W490,0),OFFSET(Проект!X$1487,0,1-$B28)))</f>
        <v>61.024999999999999</v>
      </c>
      <c r="Y490" s="93">
        <f ca="1">IF(Y$33&lt;$B28,0,IF(Y$33&gt;$C28,IF(LIFE_PRJ=1,X490,0),OFFSET(Проект!AC$1487,0,1-$B28)))</f>
        <v>61.024999999999999</v>
      </c>
    </row>
    <row r="491" spans="1:27" outlineLevel="1" collapsed="1" x14ac:dyDescent="0.2">
      <c r="A491" t="str">
        <f ca="1">Language!A$795</f>
        <v>Авансы покупателей</v>
      </c>
      <c r="C491" s="5" t="str">
        <f t="shared" ca="1" si="65"/>
        <v>тыс. EUR</v>
      </c>
      <c r="D491" s="16" t="s">
        <v>2616</v>
      </c>
      <c r="F491" s="209">
        <f ca="1">SUMPRODUCT($B12:OFFSET($B13,-1,0),F492:OFFSET(F493,-1,0))</f>
        <v>0</v>
      </c>
      <c r="G491" s="209">
        <f ca="1">SUMPRODUCT($B12:OFFSET($B13,-1,0),G492:OFFSET(G493,-1,0))</f>
        <v>0</v>
      </c>
      <c r="H491" s="209">
        <f ca="1">SUMPRODUCT($B12:OFFSET($B13,-1,0),H492:OFFSET(H493,-1,0))</f>
        <v>0</v>
      </c>
      <c r="I491" s="209">
        <f ca="1">SUMPRODUCT($B12:OFFSET($B13,-1,0),I492:OFFSET(I493,-1,0))</f>
        <v>0</v>
      </c>
      <c r="J491" s="209">
        <f ca="1">SUMPRODUCT($B12:OFFSET($B13,-1,0),J492:OFFSET(J493,-1,0))</f>
        <v>0</v>
      </c>
      <c r="K491" s="209">
        <f ca="1">SUMPRODUCT($B12:OFFSET($B13,-1,0),K492:OFFSET(K493,-1,0))</f>
        <v>0</v>
      </c>
      <c r="L491" s="209">
        <f ca="1">SUMPRODUCT($B12:OFFSET($B13,-1,0),L492:OFFSET(L493,-1,0))</f>
        <v>0</v>
      </c>
      <c r="M491" s="209">
        <f ca="1">SUMPRODUCT($B12:OFFSET($B13,-1,0),M492:OFFSET(M493,-1,0))</f>
        <v>0</v>
      </c>
      <c r="N491" s="209">
        <f ca="1">SUMPRODUCT($B12:OFFSET($B13,-1,0),N492:OFFSET(N493,-1,0))</f>
        <v>0</v>
      </c>
      <c r="O491" s="209">
        <f ca="1">SUMPRODUCT($B12:OFFSET($B13,-1,0),O492:OFFSET(O493,-1,0))</f>
        <v>0</v>
      </c>
      <c r="P491" s="209">
        <f ca="1">SUMPRODUCT($B12:OFFSET($B13,-1,0),P492:OFFSET(P493,-1,0))</f>
        <v>0</v>
      </c>
      <c r="Q491" s="209">
        <f ca="1">SUMPRODUCT($B12:OFFSET($B13,-1,0),Q492:OFFSET(Q493,-1,0))</f>
        <v>0</v>
      </c>
      <c r="R491" s="209">
        <f ca="1">SUMPRODUCT($B12:OFFSET($B13,-1,0),R492:OFFSET(R493,-1,0))</f>
        <v>0</v>
      </c>
      <c r="S491" s="209">
        <f ca="1">SUMPRODUCT($B12:OFFSET($B13,-1,0),S492:OFFSET(S493,-1,0))</f>
        <v>0</v>
      </c>
      <c r="T491" s="209">
        <f ca="1">SUMPRODUCT($B12:OFFSET($B13,-1,0),T492:OFFSET(T493,-1,0))</f>
        <v>0</v>
      </c>
      <c r="U491" s="209">
        <f ca="1">SUMPRODUCT($B12:OFFSET($B13,-1,0),U492:OFFSET(U493,-1,0))</f>
        <v>0</v>
      </c>
      <c r="V491" s="209">
        <f ca="1">SUMPRODUCT($B12:OFFSET($B13,-1,0),V492:OFFSET(V493,-1,0))</f>
        <v>0</v>
      </c>
      <c r="W491" s="209">
        <f ca="1">SUMPRODUCT($B12:OFFSET($B13,-1,0),W492:OFFSET(W493,-1,0))</f>
        <v>0</v>
      </c>
      <c r="X491" s="209">
        <f ca="1">SUMPRODUCT($B12:OFFSET($B13,-1,0),X492:OFFSET(X493,-1,0))</f>
        <v>0</v>
      </c>
      <c r="Y491" s="209">
        <f ca="1">SUMPRODUCT($B12:OFFSET($B13,-1,0),Y492:OFFSET(Y493,-1,0))</f>
        <v>0</v>
      </c>
      <c r="AA491" s="11"/>
    </row>
    <row r="492" spans="1:27" s="180" customFormat="1" hidden="1" outlineLevel="2" x14ac:dyDescent="0.2">
      <c r="A492" s="180" t="str">
        <f ca="1">"        " &amp; A12</f>
        <v xml:space="preserve">        Проект 1</v>
      </c>
      <c r="C492" s="208" t="str">
        <f t="shared" ca="1" si="65"/>
        <v>тыс. EUR</v>
      </c>
      <c r="D492" s="89" t="e">
        <f ca="1">"[" &amp; F12 &amp; "];int_end"</f>
        <v>#NAME?</v>
      </c>
      <c r="F492" s="93">
        <f ca="1">IF(F$33&lt;$B28,0,IF(F$33&gt;$C28,IF(LIFE_PRJ=1,E492,0),OFFSET(Проект!F$1488,0,1-$B28)))</f>
        <v>0</v>
      </c>
      <c r="G492" s="93">
        <f ca="1">IF(G$33&lt;$B28,0,IF(G$33&gt;$C28,IF(LIFE_PRJ=1,F492,0),OFFSET(Проект!G$1488,0,1-$B28)))</f>
        <v>0</v>
      </c>
      <c r="H492" s="93">
        <f ca="1">IF(H$33&lt;$B28,0,IF(H$33&gt;$C28,IF(LIFE_PRJ=1,G492,0),OFFSET(Проект!H$1488,0,1-$B28)))</f>
        <v>0</v>
      </c>
      <c r="I492" s="93">
        <f ca="1">IF(I$33&lt;$B28,0,IF(I$33&gt;$C28,IF(LIFE_PRJ=1,H492,0),OFFSET(Проект!I$1488,0,1-$B28)))</f>
        <v>0</v>
      </c>
      <c r="J492" s="93">
        <f ca="1">IF(J$33&lt;$B28,0,IF(J$33&gt;$C28,IF(LIFE_PRJ=1,I492,0),OFFSET(Проект!J$1488,0,1-$B28)))</f>
        <v>0</v>
      </c>
      <c r="K492" s="93">
        <f ca="1">IF(K$33&lt;$B28,0,IF(K$33&gt;$C28,IF(LIFE_PRJ=1,J492,0),OFFSET(Проект!K$1488,0,1-$B28)))</f>
        <v>0</v>
      </c>
      <c r="L492" s="93">
        <f ca="1">IF(L$33&lt;$B28,0,IF(L$33&gt;$C28,IF(LIFE_PRJ=1,K492,0),OFFSET(Проект!L$1488,0,1-$B28)))</f>
        <v>0</v>
      </c>
      <c r="M492" s="93">
        <f ca="1">IF(M$33&lt;$B28,0,IF(M$33&gt;$C28,IF(LIFE_PRJ=1,L492,0),OFFSET(Проект!M$1488,0,1-$B28)))</f>
        <v>0</v>
      </c>
      <c r="N492" s="93">
        <f ca="1">IF(N$33&lt;$B28,0,IF(N$33&gt;$C28,IF(LIFE_PRJ=1,M492,0),OFFSET(Проект!N$1488,0,1-$B28)))</f>
        <v>0</v>
      </c>
      <c r="O492" s="93">
        <f ca="1">IF(O$33&lt;$B28,0,IF(O$33&gt;$C28,IF(LIFE_PRJ=1,N492,0),OFFSET(Проект!O$1488,0,1-$B28)))</f>
        <v>0</v>
      </c>
      <c r="P492" s="93">
        <f ca="1">IF(P$33&lt;$B28,0,IF(P$33&gt;$C28,IF(LIFE_PRJ=1,O492,0),OFFSET(Проект!P$1488,0,1-$B28)))</f>
        <v>0</v>
      </c>
      <c r="Q492" s="93">
        <f ca="1">IF(Q$33&lt;$B28,0,IF(Q$33&gt;$C28,IF(LIFE_PRJ=1,P492,0),OFFSET(Проект!Q$1488,0,1-$B28)))</f>
        <v>0</v>
      </c>
      <c r="R492" s="93">
        <f ca="1">IF(R$33&lt;$B28,0,IF(R$33&gt;$C28,IF(LIFE_PRJ=1,Q492,0),OFFSET(Проект!R$1488,0,1-$B28)))</f>
        <v>0</v>
      </c>
      <c r="S492" s="93">
        <f ca="1">IF(S$33&lt;$B28,0,IF(S$33&gt;$C28,IF(LIFE_PRJ=1,R492,0),OFFSET(Проект!S$1488,0,1-$B28)))</f>
        <v>0</v>
      </c>
      <c r="T492" s="93">
        <f ca="1">IF(T$33&lt;$B28,0,IF(T$33&gt;$C28,IF(LIFE_PRJ=1,S492,0),OFFSET(Проект!T$1488,0,1-$B28)))</f>
        <v>0</v>
      </c>
      <c r="U492" s="93">
        <f ca="1">IF(U$33&lt;$B28,0,IF(U$33&gt;$C28,IF(LIFE_PRJ=1,T492,0),OFFSET(Проект!U$1488,0,1-$B28)))</f>
        <v>0</v>
      </c>
      <c r="V492" s="93">
        <f ca="1">IF(V$33&lt;$B28,0,IF(V$33&gt;$C28,IF(LIFE_PRJ=1,U492,0),OFFSET(Проект!V$1488,0,1-$B28)))</f>
        <v>0</v>
      </c>
      <c r="W492" s="93">
        <f ca="1">IF(W$33&lt;$B28,0,IF(W$33&gt;$C28,IF(LIFE_PRJ=1,V492,0),OFFSET(Проект!W$1488,0,1-$B28)))</f>
        <v>0</v>
      </c>
      <c r="X492" s="93">
        <f ca="1">IF(X$33&lt;$B28,0,IF(X$33&gt;$C28,IF(LIFE_PRJ=1,W492,0),OFFSET(Проект!X$1488,0,1-$B28)))</f>
        <v>0</v>
      </c>
      <c r="Y492" s="93">
        <f ca="1">IF(Y$33&lt;$B28,0,IF(Y$33&gt;$C28,IF(LIFE_PRJ=1,X492,0),OFFSET(Проект!AC$1488,0,1-$B28)))</f>
        <v>0</v>
      </c>
    </row>
    <row r="493" spans="1:27" outlineLevel="1" collapsed="1" x14ac:dyDescent="0.2">
      <c r="A493" t="str">
        <f ca="1">Language!A$796</f>
        <v>Краткосрочные кредиты</v>
      </c>
      <c r="C493" s="5" t="str">
        <f t="shared" ca="1" si="65"/>
        <v>тыс. EUR</v>
      </c>
      <c r="D493" s="16" t="s">
        <v>2616</v>
      </c>
      <c r="F493" s="209">
        <f ca="1">SUMPRODUCT($B12:OFFSET($B13,-1,0),F494:OFFSET(F495,-1,0))</f>
        <v>0</v>
      </c>
      <c r="G493" s="209">
        <f ca="1">SUMPRODUCT($B12:OFFSET($B13,-1,0),G494:OFFSET(G495,-1,0))</f>
        <v>0</v>
      </c>
      <c r="H493" s="209">
        <f ca="1">SUMPRODUCT($B12:OFFSET($B13,-1,0),H494:OFFSET(H495,-1,0))</f>
        <v>0</v>
      </c>
      <c r="I493" s="209">
        <f ca="1">SUMPRODUCT($B12:OFFSET($B13,-1,0),I494:OFFSET(I495,-1,0))</f>
        <v>0</v>
      </c>
      <c r="J493" s="209">
        <f ca="1">SUMPRODUCT($B12:OFFSET($B13,-1,0),J494:OFFSET(J495,-1,0))</f>
        <v>0</v>
      </c>
      <c r="K493" s="209">
        <f ca="1">SUMPRODUCT($B12:OFFSET($B13,-1,0),K494:OFFSET(K495,-1,0))</f>
        <v>0</v>
      </c>
      <c r="L493" s="209">
        <f ca="1">SUMPRODUCT($B12:OFFSET($B13,-1,0),L494:OFFSET(L495,-1,0))</f>
        <v>0</v>
      </c>
      <c r="M493" s="209">
        <f ca="1">SUMPRODUCT($B12:OFFSET($B13,-1,0),M494:OFFSET(M495,-1,0))</f>
        <v>0</v>
      </c>
      <c r="N493" s="209">
        <f ca="1">SUMPRODUCT($B12:OFFSET($B13,-1,0),N494:OFFSET(N495,-1,0))</f>
        <v>0</v>
      </c>
      <c r="O493" s="209">
        <f ca="1">SUMPRODUCT($B12:OFFSET($B13,-1,0),O494:OFFSET(O495,-1,0))</f>
        <v>0</v>
      </c>
      <c r="P493" s="209">
        <f ca="1">SUMPRODUCT($B12:OFFSET($B13,-1,0),P494:OFFSET(P495,-1,0))</f>
        <v>0</v>
      </c>
      <c r="Q493" s="209">
        <f ca="1">SUMPRODUCT($B12:OFFSET($B13,-1,0),Q494:OFFSET(Q495,-1,0))</f>
        <v>0</v>
      </c>
      <c r="R493" s="209">
        <f ca="1">SUMPRODUCT($B12:OFFSET($B13,-1,0),R494:OFFSET(R495,-1,0))</f>
        <v>0</v>
      </c>
      <c r="S493" s="209">
        <f ca="1">SUMPRODUCT($B12:OFFSET($B13,-1,0),S494:OFFSET(S495,-1,0))</f>
        <v>0</v>
      </c>
      <c r="T493" s="209">
        <f ca="1">SUMPRODUCT($B12:OFFSET($B13,-1,0),T494:OFFSET(T495,-1,0))</f>
        <v>0</v>
      </c>
      <c r="U493" s="209">
        <f ca="1">SUMPRODUCT($B12:OFFSET($B13,-1,0),U494:OFFSET(U495,-1,0))</f>
        <v>0</v>
      </c>
      <c r="V493" s="209">
        <f ca="1">SUMPRODUCT($B12:OFFSET($B13,-1,0),V494:OFFSET(V495,-1,0))</f>
        <v>0</v>
      </c>
      <c r="W493" s="209">
        <f ca="1">SUMPRODUCT($B12:OFFSET($B13,-1,0),W494:OFFSET(W495,-1,0))</f>
        <v>0</v>
      </c>
      <c r="X493" s="209">
        <f ca="1">SUMPRODUCT($B12:OFFSET($B13,-1,0),X494:OFFSET(X495,-1,0))</f>
        <v>0</v>
      </c>
      <c r="Y493" s="209">
        <f ca="1">SUMPRODUCT($B12:OFFSET($B13,-1,0),Y494:OFFSET(Y495,-1,0))</f>
        <v>0</v>
      </c>
      <c r="AA493" s="11"/>
    </row>
    <row r="494" spans="1:27" s="180" customFormat="1" hidden="1" outlineLevel="2" x14ac:dyDescent="0.2">
      <c r="A494" s="180" t="str">
        <f ca="1">"        " &amp; A12</f>
        <v xml:space="preserve">        Проект 1</v>
      </c>
      <c r="C494" s="208" t="str">
        <f t="shared" ca="1" si="65"/>
        <v>тыс. EUR</v>
      </c>
      <c r="D494" s="89" t="e">
        <f ca="1">"[" &amp; F12 &amp; "];int_end"</f>
        <v>#NAME?</v>
      </c>
      <c r="F494" s="93">
        <f ca="1">IF(F$33&lt;$B28,0,IF(F$33&gt;$C28,IF(LIFE_PRJ=1,E494,0),OFFSET(Проект!F$1489,0,1-$B28)))</f>
        <v>0</v>
      </c>
      <c r="G494" s="93">
        <f ca="1">IF(G$33&lt;$B28,0,IF(G$33&gt;$C28,IF(LIFE_PRJ=1,F494,0),OFFSET(Проект!G$1489,0,1-$B28)))</f>
        <v>0</v>
      </c>
      <c r="H494" s="93">
        <f ca="1">IF(H$33&lt;$B28,0,IF(H$33&gt;$C28,IF(LIFE_PRJ=1,G494,0),OFFSET(Проект!H$1489,0,1-$B28)))</f>
        <v>0</v>
      </c>
      <c r="I494" s="93">
        <f ca="1">IF(I$33&lt;$B28,0,IF(I$33&gt;$C28,IF(LIFE_PRJ=1,H494,0),OFFSET(Проект!I$1489,0,1-$B28)))</f>
        <v>0</v>
      </c>
      <c r="J494" s="93">
        <f ca="1">IF(J$33&lt;$B28,0,IF(J$33&gt;$C28,IF(LIFE_PRJ=1,I494,0),OFFSET(Проект!J$1489,0,1-$B28)))</f>
        <v>0</v>
      </c>
      <c r="K494" s="93">
        <f ca="1">IF(K$33&lt;$B28,0,IF(K$33&gt;$C28,IF(LIFE_PRJ=1,J494,0),OFFSET(Проект!K$1489,0,1-$B28)))</f>
        <v>0</v>
      </c>
      <c r="L494" s="93">
        <f ca="1">IF(L$33&lt;$B28,0,IF(L$33&gt;$C28,IF(LIFE_PRJ=1,K494,0),OFFSET(Проект!L$1489,0,1-$B28)))</f>
        <v>0</v>
      </c>
      <c r="M494" s="93">
        <f ca="1">IF(M$33&lt;$B28,0,IF(M$33&gt;$C28,IF(LIFE_PRJ=1,L494,0),OFFSET(Проект!M$1489,0,1-$B28)))</f>
        <v>0</v>
      </c>
      <c r="N494" s="93">
        <f ca="1">IF(N$33&lt;$B28,0,IF(N$33&gt;$C28,IF(LIFE_PRJ=1,M494,0),OFFSET(Проект!N$1489,0,1-$B28)))</f>
        <v>0</v>
      </c>
      <c r="O494" s="93">
        <f ca="1">IF(O$33&lt;$B28,0,IF(O$33&gt;$C28,IF(LIFE_PRJ=1,N494,0),OFFSET(Проект!O$1489,0,1-$B28)))</f>
        <v>0</v>
      </c>
      <c r="P494" s="93">
        <f ca="1">IF(P$33&lt;$B28,0,IF(P$33&gt;$C28,IF(LIFE_PRJ=1,O494,0),OFFSET(Проект!P$1489,0,1-$B28)))</f>
        <v>0</v>
      </c>
      <c r="Q494" s="93">
        <f ca="1">IF(Q$33&lt;$B28,0,IF(Q$33&gt;$C28,IF(LIFE_PRJ=1,P494,0),OFFSET(Проект!Q$1489,0,1-$B28)))</f>
        <v>0</v>
      </c>
      <c r="R494" s="93">
        <f ca="1">IF(R$33&lt;$B28,0,IF(R$33&gt;$C28,IF(LIFE_PRJ=1,Q494,0),OFFSET(Проект!R$1489,0,1-$B28)))</f>
        <v>0</v>
      </c>
      <c r="S494" s="93">
        <f ca="1">IF(S$33&lt;$B28,0,IF(S$33&gt;$C28,IF(LIFE_PRJ=1,R494,0),OFFSET(Проект!S$1489,0,1-$B28)))</f>
        <v>0</v>
      </c>
      <c r="T494" s="93">
        <f ca="1">IF(T$33&lt;$B28,0,IF(T$33&gt;$C28,IF(LIFE_PRJ=1,S494,0),OFFSET(Проект!T$1489,0,1-$B28)))</f>
        <v>0</v>
      </c>
      <c r="U494" s="93">
        <f ca="1">IF(U$33&lt;$B28,0,IF(U$33&gt;$C28,IF(LIFE_PRJ=1,T494,0),OFFSET(Проект!U$1489,0,1-$B28)))</f>
        <v>0</v>
      </c>
      <c r="V494" s="93">
        <f ca="1">IF(V$33&lt;$B28,0,IF(V$33&gt;$C28,IF(LIFE_PRJ=1,U494,0),OFFSET(Проект!V$1489,0,1-$B28)))</f>
        <v>0</v>
      </c>
      <c r="W494" s="93">
        <f ca="1">IF(W$33&lt;$B28,0,IF(W$33&gt;$C28,IF(LIFE_PRJ=1,V494,0),OFFSET(Проект!W$1489,0,1-$B28)))</f>
        <v>0</v>
      </c>
      <c r="X494" s="93">
        <f ca="1">IF(X$33&lt;$B28,0,IF(X$33&gt;$C28,IF(LIFE_PRJ=1,W494,0),OFFSET(Проект!X$1489,0,1-$B28)))</f>
        <v>0</v>
      </c>
      <c r="Y494" s="93">
        <f ca="1">IF(Y$33&lt;$B28,0,IF(Y$33&gt;$C28,IF(LIFE_PRJ=1,X494,0),OFFSET(Проект!AC$1489,0,1-$B28)))</f>
        <v>0</v>
      </c>
    </row>
    <row r="495" spans="1:27" outlineLevel="1" collapsed="1" x14ac:dyDescent="0.2">
      <c r="A495" t="str">
        <f ca="1">Language!A$797</f>
        <v>Прочие краткосрочные обязательства</v>
      </c>
      <c r="C495" s="5" t="str">
        <f t="shared" ca="1" si="65"/>
        <v>тыс. EUR</v>
      </c>
      <c r="D495" s="16" t="s">
        <v>2616</v>
      </c>
      <c r="F495" s="209">
        <f ca="1">SUMPRODUCT($B12:OFFSET($B13,-1,0),F496:OFFSET(F497,-1,0))</f>
        <v>0</v>
      </c>
      <c r="G495" s="209">
        <f ca="1">SUMPRODUCT($B12:OFFSET($B13,-1,0),G496:OFFSET(G497,-1,0))</f>
        <v>0</v>
      </c>
      <c r="H495" s="209">
        <f ca="1">SUMPRODUCT($B12:OFFSET($B13,-1,0),H496:OFFSET(H497,-1,0))</f>
        <v>0</v>
      </c>
      <c r="I495" s="209">
        <f ca="1">SUMPRODUCT($B12:OFFSET($B13,-1,0),I496:OFFSET(I497,-1,0))</f>
        <v>0</v>
      </c>
      <c r="J495" s="209">
        <f ca="1">SUMPRODUCT($B12:OFFSET($B13,-1,0),J496:OFFSET(J497,-1,0))</f>
        <v>0</v>
      </c>
      <c r="K495" s="209">
        <f ca="1">SUMPRODUCT($B12:OFFSET($B13,-1,0),K496:OFFSET(K497,-1,0))</f>
        <v>0</v>
      </c>
      <c r="L495" s="209">
        <f ca="1">SUMPRODUCT($B12:OFFSET($B13,-1,0),L496:OFFSET(L497,-1,0))</f>
        <v>0</v>
      </c>
      <c r="M495" s="209">
        <f ca="1">SUMPRODUCT($B12:OFFSET($B13,-1,0),M496:OFFSET(M497,-1,0))</f>
        <v>0</v>
      </c>
      <c r="N495" s="209">
        <f ca="1">SUMPRODUCT($B12:OFFSET($B13,-1,0),N496:OFFSET(N497,-1,0))</f>
        <v>0</v>
      </c>
      <c r="O495" s="209">
        <f ca="1">SUMPRODUCT($B12:OFFSET($B13,-1,0),O496:OFFSET(O497,-1,0))</f>
        <v>0</v>
      </c>
      <c r="P495" s="209">
        <f ca="1">SUMPRODUCT($B12:OFFSET($B13,-1,0),P496:OFFSET(P497,-1,0))</f>
        <v>0</v>
      </c>
      <c r="Q495" s="209">
        <f ca="1">SUMPRODUCT($B12:OFFSET($B13,-1,0),Q496:OFFSET(Q497,-1,0))</f>
        <v>0</v>
      </c>
      <c r="R495" s="209">
        <f ca="1">SUMPRODUCT($B12:OFFSET($B13,-1,0),R496:OFFSET(R497,-1,0))</f>
        <v>0</v>
      </c>
      <c r="S495" s="209">
        <f ca="1">SUMPRODUCT($B12:OFFSET($B13,-1,0),S496:OFFSET(S497,-1,0))</f>
        <v>0</v>
      </c>
      <c r="T495" s="209">
        <f ca="1">SUMPRODUCT($B12:OFFSET($B13,-1,0),T496:OFFSET(T497,-1,0))</f>
        <v>0</v>
      </c>
      <c r="U495" s="209">
        <f ca="1">SUMPRODUCT($B12:OFFSET($B13,-1,0),U496:OFFSET(U497,-1,0))</f>
        <v>0</v>
      </c>
      <c r="V495" s="209">
        <f ca="1">SUMPRODUCT($B12:OFFSET($B13,-1,0),V496:OFFSET(V497,-1,0))</f>
        <v>0</v>
      </c>
      <c r="W495" s="209">
        <f ca="1">SUMPRODUCT($B12:OFFSET($B13,-1,0),W496:OFFSET(W497,-1,0))</f>
        <v>0</v>
      </c>
      <c r="X495" s="209">
        <f ca="1">SUMPRODUCT($B12:OFFSET($B13,-1,0),X496:OFFSET(X497,-1,0))</f>
        <v>0</v>
      </c>
      <c r="Y495" s="209">
        <f ca="1">SUMPRODUCT($B12:OFFSET($B13,-1,0),Y496:OFFSET(Y497,-1,0))</f>
        <v>0</v>
      </c>
      <c r="AA495" s="11"/>
    </row>
    <row r="496" spans="1:27" s="180" customFormat="1" hidden="1" outlineLevel="2" x14ac:dyDescent="0.2">
      <c r="A496" s="180" t="str">
        <f ca="1">"        " &amp; A12</f>
        <v xml:space="preserve">        Проект 1</v>
      </c>
      <c r="C496" s="208" t="str">
        <f t="shared" ca="1" si="65"/>
        <v>тыс. EUR</v>
      </c>
      <c r="D496" s="89" t="e">
        <f ca="1">"[" &amp; F12 &amp; "];int_end"</f>
        <v>#NAME?</v>
      </c>
      <c r="F496" s="93">
        <f ca="1">IF(F$33&lt;$B28,0,IF(F$33&gt;$C28,IF(LIFE_PRJ=1,E496,0),OFFSET(Проект!F$1490,0,1-$B28)))</f>
        <v>0</v>
      </c>
      <c r="G496" s="93">
        <f ca="1">IF(G$33&lt;$B28,0,IF(G$33&gt;$C28,IF(LIFE_PRJ=1,F496,0),OFFSET(Проект!G$1490,0,1-$B28)))</f>
        <v>0</v>
      </c>
      <c r="H496" s="93">
        <f ca="1">IF(H$33&lt;$B28,0,IF(H$33&gt;$C28,IF(LIFE_PRJ=1,G496,0),OFFSET(Проект!H$1490,0,1-$B28)))</f>
        <v>0</v>
      </c>
      <c r="I496" s="93">
        <f ca="1">IF(I$33&lt;$B28,0,IF(I$33&gt;$C28,IF(LIFE_PRJ=1,H496,0),OFFSET(Проект!I$1490,0,1-$B28)))</f>
        <v>0</v>
      </c>
      <c r="J496" s="93">
        <f ca="1">IF(J$33&lt;$B28,0,IF(J$33&gt;$C28,IF(LIFE_PRJ=1,I496,0),OFFSET(Проект!J$1490,0,1-$B28)))</f>
        <v>0</v>
      </c>
      <c r="K496" s="93">
        <f ca="1">IF(K$33&lt;$B28,0,IF(K$33&gt;$C28,IF(LIFE_PRJ=1,J496,0),OFFSET(Проект!K$1490,0,1-$B28)))</f>
        <v>0</v>
      </c>
      <c r="L496" s="93">
        <f ca="1">IF(L$33&lt;$B28,0,IF(L$33&gt;$C28,IF(LIFE_PRJ=1,K496,0),OFFSET(Проект!L$1490,0,1-$B28)))</f>
        <v>0</v>
      </c>
      <c r="M496" s="93">
        <f ca="1">IF(M$33&lt;$B28,0,IF(M$33&gt;$C28,IF(LIFE_PRJ=1,L496,0),OFFSET(Проект!M$1490,0,1-$B28)))</f>
        <v>0</v>
      </c>
      <c r="N496" s="93">
        <f ca="1">IF(N$33&lt;$B28,0,IF(N$33&gt;$C28,IF(LIFE_PRJ=1,M496,0),OFFSET(Проект!N$1490,0,1-$B28)))</f>
        <v>0</v>
      </c>
      <c r="O496" s="93">
        <f ca="1">IF(O$33&lt;$B28,0,IF(O$33&gt;$C28,IF(LIFE_PRJ=1,N496,0),OFFSET(Проект!O$1490,0,1-$B28)))</f>
        <v>0</v>
      </c>
      <c r="P496" s="93">
        <f ca="1">IF(P$33&lt;$B28,0,IF(P$33&gt;$C28,IF(LIFE_PRJ=1,O496,0),OFFSET(Проект!P$1490,0,1-$B28)))</f>
        <v>0</v>
      </c>
      <c r="Q496" s="93">
        <f ca="1">IF(Q$33&lt;$B28,0,IF(Q$33&gt;$C28,IF(LIFE_PRJ=1,P496,0),OFFSET(Проект!Q$1490,0,1-$B28)))</f>
        <v>0</v>
      </c>
      <c r="R496" s="93">
        <f ca="1">IF(R$33&lt;$B28,0,IF(R$33&gt;$C28,IF(LIFE_PRJ=1,Q496,0),OFFSET(Проект!R$1490,0,1-$B28)))</f>
        <v>0</v>
      </c>
      <c r="S496" s="93">
        <f ca="1">IF(S$33&lt;$B28,0,IF(S$33&gt;$C28,IF(LIFE_PRJ=1,R496,0),OFFSET(Проект!S$1490,0,1-$B28)))</f>
        <v>0</v>
      </c>
      <c r="T496" s="93">
        <f ca="1">IF(T$33&lt;$B28,0,IF(T$33&gt;$C28,IF(LIFE_PRJ=1,S496,0),OFFSET(Проект!T$1490,0,1-$B28)))</f>
        <v>0</v>
      </c>
      <c r="U496" s="93">
        <f ca="1">IF(U$33&lt;$B28,0,IF(U$33&gt;$C28,IF(LIFE_PRJ=1,T496,0),OFFSET(Проект!U$1490,0,1-$B28)))</f>
        <v>0</v>
      </c>
      <c r="V496" s="93">
        <f ca="1">IF(V$33&lt;$B28,0,IF(V$33&gt;$C28,IF(LIFE_PRJ=1,U496,0),OFFSET(Проект!V$1490,0,1-$B28)))</f>
        <v>0</v>
      </c>
      <c r="W496" s="93">
        <f ca="1">IF(W$33&lt;$B28,0,IF(W$33&gt;$C28,IF(LIFE_PRJ=1,V496,0),OFFSET(Проект!W$1490,0,1-$B28)))</f>
        <v>0</v>
      </c>
      <c r="X496" s="93">
        <f ca="1">IF(X$33&lt;$B28,0,IF(X$33&gt;$C28,IF(LIFE_PRJ=1,W496,0),OFFSET(Проект!X$1490,0,1-$B28)))</f>
        <v>0</v>
      </c>
      <c r="Y496" s="93">
        <f ca="1">IF(Y$33&lt;$B28,0,IF(Y$33&gt;$C28,IF(LIFE_PRJ=1,X496,0),OFFSET(Проект!AC$1490,0,1-$B28)))</f>
        <v>0</v>
      </c>
    </row>
    <row r="497" spans="1:27" outlineLevel="1" collapsed="1" x14ac:dyDescent="0.2">
      <c r="A497" s="35" t="str">
        <f ca="1">Language!A$798</f>
        <v>Суммарные краткосрочные обязательства</v>
      </c>
      <c r="C497" s="5" t="str">
        <f t="shared" ca="1" si="65"/>
        <v>тыс. EUR</v>
      </c>
      <c r="D497" s="16" t="s">
        <v>2616</v>
      </c>
      <c r="F497" s="159">
        <f ca="1">SUMPRODUCT($B12:OFFSET($B13,-1,0),F498:OFFSET(F499,-1,0))</f>
        <v>0</v>
      </c>
      <c r="G497" s="159">
        <f ca="1">SUMPRODUCT($B12:OFFSET($B13,-1,0),G498:OFFSET(G499,-1,0))</f>
        <v>0</v>
      </c>
      <c r="H497" s="159">
        <f ca="1">SUMPRODUCT($B12:OFFSET($B13,-1,0),H498:OFFSET(H499,-1,0))</f>
        <v>0</v>
      </c>
      <c r="I497" s="159">
        <f ca="1">SUMPRODUCT($B12:OFFSET($B13,-1,0),I498:OFFSET(I499,-1,0))</f>
        <v>0</v>
      </c>
      <c r="J497" s="159">
        <f ca="1">SUMPRODUCT($B12:OFFSET($B13,-1,0),J498:OFFSET(J499,-1,0))</f>
        <v>2100.7184576271193</v>
      </c>
      <c r="K497" s="159">
        <f ca="1">SUMPRODUCT($B12:OFFSET($B13,-1,0),K498:OFFSET(K499,-1,0))</f>
        <v>98.76332976744186</v>
      </c>
      <c r="L497" s="159">
        <f ca="1">SUMPRODUCT($B12:OFFSET($B13,-1,0),L498:OFFSET(L499,-1,0))</f>
        <v>98.76332976744186</v>
      </c>
      <c r="M497" s="159">
        <f ca="1">SUMPRODUCT($B12:OFFSET($B13,-1,0),M498:OFFSET(M499,-1,0))</f>
        <v>98.76332976744186</v>
      </c>
      <c r="N497" s="159">
        <f ca="1">SUMPRODUCT($B12:OFFSET($B13,-1,0),N498:OFFSET(N499,-1,0))</f>
        <v>146.66763385530092</v>
      </c>
      <c r="O497" s="159">
        <f ca="1">SUMPRODUCT($B12:OFFSET($B13,-1,0),O498:OFFSET(O499,-1,0))</f>
        <v>188.32308843766876</v>
      </c>
      <c r="P497" s="159">
        <f ca="1">SUMPRODUCT($B12:OFFSET($B13,-1,0),P498:OFFSET(P499,-1,0))</f>
        <v>188.32308843766739</v>
      </c>
      <c r="Q497" s="159">
        <f ca="1">SUMPRODUCT($B12:OFFSET($B13,-1,0),Q498:OFFSET(Q499,-1,0))</f>
        <v>188.32308843766739</v>
      </c>
      <c r="R497" s="159">
        <f ca="1">SUMPRODUCT($B12:OFFSET($B13,-1,0),R498:OFFSET(R499,-1,0))</f>
        <v>188.32308843766739</v>
      </c>
      <c r="S497" s="159">
        <f ca="1">SUMPRODUCT($B12:OFFSET($B13,-1,0),S498:OFFSET(S499,-1,0))</f>
        <v>188.32308843766739</v>
      </c>
      <c r="T497" s="159">
        <f ca="1">SUMPRODUCT($B12:OFFSET($B13,-1,0),T498:OFFSET(T499,-1,0))</f>
        <v>188.32308843766739</v>
      </c>
      <c r="U497" s="159">
        <f ca="1">SUMPRODUCT($B12:OFFSET($B13,-1,0),U498:OFFSET(U499,-1,0))</f>
        <v>188.32308843766739</v>
      </c>
      <c r="V497" s="159">
        <f ca="1">SUMPRODUCT($B12:OFFSET($B13,-1,0),V498:OFFSET(V499,-1,0))</f>
        <v>188.32308843766739</v>
      </c>
      <c r="W497" s="159">
        <f ca="1">SUMPRODUCT($B12:OFFSET($B13,-1,0),W498:OFFSET(W499,-1,0))</f>
        <v>188.32308843766739</v>
      </c>
      <c r="X497" s="159">
        <f ca="1">SUMPRODUCT($B12:OFFSET($B13,-1,0),X498:OFFSET(X499,-1,0))</f>
        <v>188.32308843766739</v>
      </c>
      <c r="Y497" s="159">
        <f ca="1">SUMPRODUCT($B12:OFFSET($B13,-1,0),Y498:OFFSET(Y499,-1,0))</f>
        <v>188.32308843766739</v>
      </c>
      <c r="AA497" s="11"/>
    </row>
    <row r="498" spans="1:27" s="180" customFormat="1" hidden="1" outlineLevel="2" x14ac:dyDescent="0.2">
      <c r="A498" s="180" t="str">
        <f ca="1">"        " &amp; A12</f>
        <v xml:space="preserve">        Проект 1</v>
      </c>
      <c r="C498" s="208" t="str">
        <f t="shared" ca="1" si="65"/>
        <v>тыс. EUR</v>
      </c>
      <c r="D498" s="89" t="e">
        <f ca="1">"[" &amp; F12 &amp; "];int_end"</f>
        <v>#NAME?</v>
      </c>
      <c r="F498" s="93">
        <f ca="1">IF(F$33&lt;$B28,0,IF(F$33&gt;$C28,IF(LIFE_PRJ=1,E498,0),OFFSET(Проект!F$1491,0,1-$B28)))</f>
        <v>0</v>
      </c>
      <c r="G498" s="93">
        <f ca="1">IF(G$33&lt;$B28,0,IF(G$33&gt;$C28,IF(LIFE_PRJ=1,F498,0),OFFSET(Проект!G$1491,0,1-$B28)))</f>
        <v>0</v>
      </c>
      <c r="H498" s="93">
        <f ca="1">IF(H$33&lt;$B28,0,IF(H$33&gt;$C28,IF(LIFE_PRJ=1,G498,0),OFFSET(Проект!H$1491,0,1-$B28)))</f>
        <v>0</v>
      </c>
      <c r="I498" s="93">
        <f ca="1">IF(I$33&lt;$B28,0,IF(I$33&gt;$C28,IF(LIFE_PRJ=1,H498,0),OFFSET(Проект!I$1491,0,1-$B28)))</f>
        <v>0</v>
      </c>
      <c r="J498" s="93">
        <f ca="1">IF(J$33&lt;$B28,0,IF(J$33&gt;$C28,IF(LIFE_PRJ=1,I498,0),OFFSET(Проект!J$1491,0,1-$B28)))</f>
        <v>2100.7184576271193</v>
      </c>
      <c r="K498" s="93">
        <f ca="1">IF(K$33&lt;$B28,0,IF(K$33&gt;$C28,IF(LIFE_PRJ=1,J498,0),OFFSET(Проект!K$1491,0,1-$B28)))</f>
        <v>98.76332976744186</v>
      </c>
      <c r="L498" s="93">
        <f ca="1">IF(L$33&lt;$B28,0,IF(L$33&gt;$C28,IF(LIFE_PRJ=1,K498,0),OFFSET(Проект!L$1491,0,1-$B28)))</f>
        <v>98.76332976744186</v>
      </c>
      <c r="M498" s="93">
        <f ca="1">IF(M$33&lt;$B28,0,IF(M$33&gt;$C28,IF(LIFE_PRJ=1,L498,0),OFFSET(Проект!M$1491,0,1-$B28)))</f>
        <v>98.76332976744186</v>
      </c>
      <c r="N498" s="93">
        <f ca="1">IF(N$33&lt;$B28,0,IF(N$33&gt;$C28,IF(LIFE_PRJ=1,M498,0),OFFSET(Проект!N$1491,0,1-$B28)))</f>
        <v>146.66763385530092</v>
      </c>
      <c r="O498" s="93">
        <f ca="1">IF(O$33&lt;$B28,0,IF(O$33&gt;$C28,IF(LIFE_PRJ=1,N498,0),OFFSET(Проект!O$1491,0,1-$B28)))</f>
        <v>188.32308843766876</v>
      </c>
      <c r="P498" s="93">
        <f ca="1">IF(P$33&lt;$B28,0,IF(P$33&gt;$C28,IF(LIFE_PRJ=1,O498,0),OFFSET(Проект!P$1491,0,1-$B28)))</f>
        <v>188.32308843766739</v>
      </c>
      <c r="Q498" s="93">
        <f ca="1">IF(Q$33&lt;$B28,0,IF(Q$33&gt;$C28,IF(LIFE_PRJ=1,P498,0),OFFSET(Проект!Q$1491,0,1-$B28)))</f>
        <v>188.32308843766739</v>
      </c>
      <c r="R498" s="93">
        <f ca="1">IF(R$33&lt;$B28,0,IF(R$33&gt;$C28,IF(LIFE_PRJ=1,Q498,0),OFFSET(Проект!R$1491,0,1-$B28)))</f>
        <v>188.32308843766739</v>
      </c>
      <c r="S498" s="93">
        <f ca="1">IF(S$33&lt;$B28,0,IF(S$33&gt;$C28,IF(LIFE_PRJ=1,R498,0),OFFSET(Проект!S$1491,0,1-$B28)))</f>
        <v>188.32308843766739</v>
      </c>
      <c r="T498" s="93">
        <f ca="1">IF(T$33&lt;$B28,0,IF(T$33&gt;$C28,IF(LIFE_PRJ=1,S498,0),OFFSET(Проект!T$1491,0,1-$B28)))</f>
        <v>188.32308843766739</v>
      </c>
      <c r="U498" s="93">
        <f ca="1">IF(U$33&lt;$B28,0,IF(U$33&gt;$C28,IF(LIFE_PRJ=1,T498,0),OFFSET(Проект!U$1491,0,1-$B28)))</f>
        <v>188.32308843766739</v>
      </c>
      <c r="V498" s="93">
        <f ca="1">IF(V$33&lt;$B28,0,IF(V$33&gt;$C28,IF(LIFE_PRJ=1,U498,0),OFFSET(Проект!V$1491,0,1-$B28)))</f>
        <v>188.32308843766739</v>
      </c>
      <c r="W498" s="93">
        <f ca="1">IF(W$33&lt;$B28,0,IF(W$33&gt;$C28,IF(LIFE_PRJ=1,V498,0),OFFSET(Проект!W$1491,0,1-$B28)))</f>
        <v>188.32308843766739</v>
      </c>
      <c r="X498" s="93">
        <f ca="1">IF(X$33&lt;$B28,0,IF(X$33&gt;$C28,IF(LIFE_PRJ=1,W498,0),OFFSET(Проект!X$1491,0,1-$B28)))</f>
        <v>188.32308843766739</v>
      </c>
      <c r="Y498" s="93">
        <f ca="1">IF(Y$33&lt;$B28,0,IF(Y$33&gt;$C28,IF(LIFE_PRJ=1,X498,0),OFFSET(Проект!AC$1491,0,1-$B28)))</f>
        <v>188.32308843766739</v>
      </c>
    </row>
    <row r="499" spans="1:27" outlineLevel="1" x14ac:dyDescent="0.2">
      <c r="C499" s="5"/>
      <c r="D499" s="16"/>
      <c r="F499" s="43"/>
      <c r="G499" s="43"/>
      <c r="H499" s="43"/>
      <c r="I499" s="43"/>
      <c r="J499" s="43"/>
      <c r="K499" s="43"/>
      <c r="L499" s="43"/>
      <c r="M499" s="43"/>
      <c r="N499" s="43"/>
      <c r="O499" s="43"/>
      <c r="P499" s="43"/>
      <c r="Q499" s="43"/>
      <c r="R499" s="43"/>
      <c r="S499" s="43"/>
      <c r="T499" s="43"/>
      <c r="U499" s="43"/>
      <c r="V499" s="43"/>
      <c r="W499" s="43"/>
      <c r="X499" s="43"/>
      <c r="Y499" s="43"/>
      <c r="AA499" s="11"/>
    </row>
    <row r="500" spans="1:27" outlineLevel="1" collapsed="1" x14ac:dyDescent="0.2">
      <c r="A500" s="35" t="str">
        <f ca="1">Language!A$799</f>
        <v>Долгосрочные обязательства</v>
      </c>
      <c r="C500" s="5" t="str">
        <f t="shared" ca="1" si="65"/>
        <v>тыс. EUR</v>
      </c>
      <c r="D500" s="16" t="s">
        <v>2616</v>
      </c>
      <c r="F500" s="159">
        <f ca="1">SUMPRODUCT($B12:OFFSET($B13,-1,0),F501:OFFSET(F502,-1,0))</f>
        <v>0</v>
      </c>
      <c r="G500" s="159">
        <f ca="1">SUMPRODUCT($B12:OFFSET($B13,-1,0),G501:OFFSET(G502,-1,0))</f>
        <v>0</v>
      </c>
      <c r="H500" s="159">
        <f ca="1">SUMPRODUCT($B12:OFFSET($B13,-1,0),H501:OFFSET(H502,-1,0))</f>
        <v>0</v>
      </c>
      <c r="I500" s="159">
        <f ca="1">SUMPRODUCT($B12:OFFSET($B13,-1,0),I501:OFFSET(I502,-1,0))</f>
        <v>0</v>
      </c>
      <c r="J500" s="159">
        <f ca="1">SUMPRODUCT($B12:OFFSET($B13,-1,0),J501:OFFSET(J502,-1,0))</f>
        <v>0</v>
      </c>
      <c r="K500" s="159">
        <f ca="1">SUMPRODUCT($B12:OFFSET($B13,-1,0),K501:OFFSET(K502,-1,0))</f>
        <v>0</v>
      </c>
      <c r="L500" s="159">
        <f ca="1">SUMPRODUCT($B12:OFFSET($B13,-1,0),L501:OFFSET(L502,-1,0))</f>
        <v>0</v>
      </c>
      <c r="M500" s="159">
        <f ca="1">SUMPRODUCT($B12:OFFSET($B13,-1,0),M501:OFFSET(M502,-1,0))</f>
        <v>0</v>
      </c>
      <c r="N500" s="159">
        <f ca="1">SUMPRODUCT($B12:OFFSET($B13,-1,0),N501:OFFSET(N502,-1,0))</f>
        <v>0</v>
      </c>
      <c r="O500" s="159">
        <f ca="1">SUMPRODUCT($B12:OFFSET($B13,-1,0),O501:OFFSET(O502,-1,0))</f>
        <v>0</v>
      </c>
      <c r="P500" s="159">
        <f ca="1">SUMPRODUCT($B12:OFFSET($B13,-1,0),P501:OFFSET(P502,-1,0))</f>
        <v>0</v>
      </c>
      <c r="Q500" s="159">
        <f ca="1">SUMPRODUCT($B12:OFFSET($B13,-1,0),Q501:OFFSET(Q502,-1,0))</f>
        <v>0</v>
      </c>
      <c r="R500" s="159">
        <f ca="1">SUMPRODUCT($B12:OFFSET($B13,-1,0),R501:OFFSET(R502,-1,0))</f>
        <v>0</v>
      </c>
      <c r="S500" s="159">
        <f ca="1">SUMPRODUCT($B12:OFFSET($B13,-1,0),S501:OFFSET(S502,-1,0))</f>
        <v>0</v>
      </c>
      <c r="T500" s="159">
        <f ca="1">SUMPRODUCT($B12:OFFSET($B13,-1,0),T501:OFFSET(T502,-1,0))</f>
        <v>0</v>
      </c>
      <c r="U500" s="159">
        <f ca="1">SUMPRODUCT($B12:OFFSET($B13,-1,0),U501:OFFSET(U502,-1,0))</f>
        <v>0</v>
      </c>
      <c r="V500" s="159">
        <f ca="1">SUMPRODUCT($B12:OFFSET($B13,-1,0),V501:OFFSET(V502,-1,0))</f>
        <v>0</v>
      </c>
      <c r="W500" s="159">
        <f ca="1">SUMPRODUCT($B12:OFFSET($B13,-1,0),W501:OFFSET(W502,-1,0))</f>
        <v>0</v>
      </c>
      <c r="X500" s="159">
        <f ca="1">SUMPRODUCT($B12:OFFSET($B13,-1,0),X501:OFFSET(X502,-1,0))</f>
        <v>0</v>
      </c>
      <c r="Y500" s="159">
        <f ca="1">SUMPRODUCT($B12:OFFSET($B13,-1,0),Y501:OFFSET(Y502,-1,0))</f>
        <v>0</v>
      </c>
      <c r="AA500" s="11"/>
    </row>
    <row r="501" spans="1:27" s="180" customFormat="1" hidden="1" outlineLevel="2" x14ac:dyDescent="0.2">
      <c r="A501" s="180" t="str">
        <f ca="1">"        " &amp; A12</f>
        <v xml:space="preserve">        Проект 1</v>
      </c>
      <c r="C501" s="208" t="str">
        <f t="shared" ca="1" si="65"/>
        <v>тыс. EUR</v>
      </c>
      <c r="D501" s="89" t="e">
        <f ca="1">"[" &amp; F12 &amp; "];int_end"</f>
        <v>#NAME?</v>
      </c>
      <c r="F501" s="93">
        <f ca="1">IF(F$33&lt;$B28,0,IF(F$33&gt;$C28,IF(LIFE_PRJ=1,E501,0),OFFSET(Проект!F$1493,0,1-$B28)))</f>
        <v>0</v>
      </c>
      <c r="G501" s="93">
        <f ca="1">IF(G$33&lt;$B28,0,IF(G$33&gt;$C28,IF(LIFE_PRJ=1,F501,0),OFFSET(Проект!G$1493,0,1-$B28)))</f>
        <v>0</v>
      </c>
      <c r="H501" s="93">
        <f ca="1">IF(H$33&lt;$B28,0,IF(H$33&gt;$C28,IF(LIFE_PRJ=1,G501,0),OFFSET(Проект!H$1493,0,1-$B28)))</f>
        <v>0</v>
      </c>
      <c r="I501" s="93">
        <f ca="1">IF(I$33&lt;$B28,0,IF(I$33&gt;$C28,IF(LIFE_PRJ=1,H501,0),OFFSET(Проект!I$1493,0,1-$B28)))</f>
        <v>0</v>
      </c>
      <c r="J501" s="93">
        <f ca="1">IF(J$33&lt;$B28,0,IF(J$33&gt;$C28,IF(LIFE_PRJ=1,I501,0),OFFSET(Проект!J$1493,0,1-$B28)))</f>
        <v>0</v>
      </c>
      <c r="K501" s="93">
        <f ca="1">IF(K$33&lt;$B28,0,IF(K$33&gt;$C28,IF(LIFE_PRJ=1,J501,0),OFFSET(Проект!K$1493,0,1-$B28)))</f>
        <v>0</v>
      </c>
      <c r="L501" s="93">
        <f ca="1">IF(L$33&lt;$B28,0,IF(L$33&gt;$C28,IF(LIFE_PRJ=1,K501,0),OFFSET(Проект!L$1493,0,1-$B28)))</f>
        <v>0</v>
      </c>
      <c r="M501" s="93">
        <f ca="1">IF(M$33&lt;$B28,0,IF(M$33&gt;$C28,IF(LIFE_PRJ=1,L501,0),OFFSET(Проект!M$1493,0,1-$B28)))</f>
        <v>0</v>
      </c>
      <c r="N501" s="93">
        <f ca="1">IF(N$33&lt;$B28,0,IF(N$33&gt;$C28,IF(LIFE_PRJ=1,M501,0),OFFSET(Проект!N$1493,0,1-$B28)))</f>
        <v>0</v>
      </c>
      <c r="O501" s="93">
        <f ca="1">IF(O$33&lt;$B28,0,IF(O$33&gt;$C28,IF(LIFE_PRJ=1,N501,0),OFFSET(Проект!O$1493,0,1-$B28)))</f>
        <v>0</v>
      </c>
      <c r="P501" s="93">
        <f ca="1">IF(P$33&lt;$B28,0,IF(P$33&gt;$C28,IF(LIFE_PRJ=1,O501,0),OFFSET(Проект!P$1493,0,1-$B28)))</f>
        <v>0</v>
      </c>
      <c r="Q501" s="93">
        <f ca="1">IF(Q$33&lt;$B28,0,IF(Q$33&gt;$C28,IF(LIFE_PRJ=1,P501,0),OFFSET(Проект!Q$1493,0,1-$B28)))</f>
        <v>0</v>
      </c>
      <c r="R501" s="93">
        <f ca="1">IF(R$33&lt;$B28,0,IF(R$33&gt;$C28,IF(LIFE_PRJ=1,Q501,0),OFFSET(Проект!R$1493,0,1-$B28)))</f>
        <v>0</v>
      </c>
      <c r="S501" s="93">
        <f ca="1">IF(S$33&lt;$B28,0,IF(S$33&gt;$C28,IF(LIFE_PRJ=1,R501,0),OFFSET(Проект!S$1493,0,1-$B28)))</f>
        <v>0</v>
      </c>
      <c r="T501" s="93">
        <f ca="1">IF(T$33&lt;$B28,0,IF(T$33&gt;$C28,IF(LIFE_PRJ=1,S501,0),OFFSET(Проект!T$1493,0,1-$B28)))</f>
        <v>0</v>
      </c>
      <c r="U501" s="93">
        <f ca="1">IF(U$33&lt;$B28,0,IF(U$33&gt;$C28,IF(LIFE_PRJ=1,T501,0),OFFSET(Проект!U$1493,0,1-$B28)))</f>
        <v>0</v>
      </c>
      <c r="V501" s="93">
        <f ca="1">IF(V$33&lt;$B28,0,IF(V$33&gt;$C28,IF(LIFE_PRJ=1,U501,0),OFFSET(Проект!V$1493,0,1-$B28)))</f>
        <v>0</v>
      </c>
      <c r="W501" s="93">
        <f ca="1">IF(W$33&lt;$B28,0,IF(W$33&gt;$C28,IF(LIFE_PRJ=1,V501,0),OFFSET(Проект!W$1493,0,1-$B28)))</f>
        <v>0</v>
      </c>
      <c r="X501" s="93">
        <f ca="1">IF(X$33&lt;$B28,0,IF(X$33&gt;$C28,IF(LIFE_PRJ=1,W501,0),OFFSET(Проект!X$1493,0,1-$B28)))</f>
        <v>0</v>
      </c>
      <c r="Y501" s="93">
        <f ca="1">IF(Y$33&lt;$B28,0,IF(Y$33&gt;$C28,IF(LIFE_PRJ=1,X501,0),OFFSET(Проект!AC$1493,0,1-$B28)))</f>
        <v>0</v>
      </c>
    </row>
    <row r="502" spans="1:27" outlineLevel="1" x14ac:dyDescent="0.2">
      <c r="F502" s="43"/>
      <c r="G502" s="43"/>
      <c r="H502" s="43"/>
      <c r="I502" s="43"/>
      <c r="J502" s="43"/>
      <c r="K502" s="43"/>
      <c r="L502" s="43"/>
      <c r="M502" s="43"/>
      <c r="N502" s="43"/>
      <c r="O502" s="43"/>
      <c r="P502" s="43"/>
      <c r="Q502" s="43"/>
      <c r="R502" s="43"/>
      <c r="S502" s="43"/>
      <c r="T502" s="43"/>
      <c r="U502" s="43"/>
      <c r="V502" s="43"/>
      <c r="W502" s="43"/>
      <c r="X502" s="43"/>
      <c r="Y502" s="43"/>
      <c r="AA502" s="11"/>
    </row>
    <row r="503" spans="1:27" outlineLevel="1" collapsed="1" x14ac:dyDescent="0.2">
      <c r="A503" t="str">
        <f ca="1">Language!A$800</f>
        <v>Средства собственников</v>
      </c>
      <c r="C503" s="5" t="str">
        <f t="shared" ref="C503:C510" ca="1" si="66">CUR_Report</f>
        <v>тыс. EUR</v>
      </c>
      <c r="D503" s="16" t="s">
        <v>2616</v>
      </c>
      <c r="F503" s="209">
        <f ca="1">SUMPRODUCT($B12:OFFSET($B13,-1,0),F504:OFFSET(F505,-1,0))</f>
        <v>0</v>
      </c>
      <c r="G503" s="209">
        <f ca="1">SUMPRODUCT($B12:OFFSET($B13,-1,0),G504:OFFSET(G505,-1,0))</f>
        <v>0</v>
      </c>
      <c r="H503" s="209">
        <f ca="1">SUMPRODUCT($B12:OFFSET($B13,-1,0),H504:OFFSET(H505,-1,0))</f>
        <v>0</v>
      </c>
      <c r="I503" s="209">
        <f ca="1">SUMPRODUCT($B12:OFFSET($B13,-1,0),I504:OFFSET(I505,-1,0))</f>
        <v>0</v>
      </c>
      <c r="J503" s="209">
        <f ca="1">SUMPRODUCT($B12:OFFSET($B13,-1,0),J504:OFFSET(J505,-1,0))</f>
        <v>0</v>
      </c>
      <c r="K503" s="209">
        <f ca="1">SUMPRODUCT($B12:OFFSET($B13,-1,0),K504:OFFSET(K505,-1,0))</f>
        <v>0</v>
      </c>
      <c r="L503" s="209">
        <f ca="1">SUMPRODUCT($B12:OFFSET($B13,-1,0),L504:OFFSET(L505,-1,0))</f>
        <v>0</v>
      </c>
      <c r="M503" s="209">
        <f ca="1">SUMPRODUCT($B12:OFFSET($B13,-1,0),M504:OFFSET(M505,-1,0))</f>
        <v>0</v>
      </c>
      <c r="N503" s="209">
        <f ca="1">SUMPRODUCT($B12:OFFSET($B13,-1,0),N504:OFFSET(N505,-1,0))</f>
        <v>0</v>
      </c>
      <c r="O503" s="209">
        <f ca="1">SUMPRODUCT($B12:OFFSET($B13,-1,0),O504:OFFSET(O505,-1,0))</f>
        <v>0</v>
      </c>
      <c r="P503" s="209">
        <f ca="1">SUMPRODUCT($B12:OFFSET($B13,-1,0),P504:OFFSET(P505,-1,0))</f>
        <v>0</v>
      </c>
      <c r="Q503" s="209">
        <f ca="1">SUMPRODUCT($B12:OFFSET($B13,-1,0),Q504:OFFSET(Q505,-1,0))</f>
        <v>0</v>
      </c>
      <c r="R503" s="209">
        <f ca="1">SUMPRODUCT($B12:OFFSET($B13,-1,0),R504:OFFSET(R505,-1,0))</f>
        <v>0</v>
      </c>
      <c r="S503" s="209">
        <f ca="1">SUMPRODUCT($B12:OFFSET($B13,-1,0),S504:OFFSET(S505,-1,0))</f>
        <v>0</v>
      </c>
      <c r="T503" s="209">
        <f ca="1">SUMPRODUCT($B12:OFFSET($B13,-1,0),T504:OFFSET(T505,-1,0))</f>
        <v>0</v>
      </c>
      <c r="U503" s="209">
        <f ca="1">SUMPRODUCT($B12:OFFSET($B13,-1,0),U504:OFFSET(U505,-1,0))</f>
        <v>0</v>
      </c>
      <c r="V503" s="209">
        <f ca="1">SUMPRODUCT($B12:OFFSET($B13,-1,0),V504:OFFSET(V505,-1,0))</f>
        <v>0</v>
      </c>
      <c r="W503" s="209">
        <f ca="1">SUMPRODUCT($B12:OFFSET($B13,-1,0),W504:OFFSET(W505,-1,0))</f>
        <v>0</v>
      </c>
      <c r="X503" s="209">
        <f ca="1">SUMPRODUCT($B12:OFFSET($B13,-1,0),X504:OFFSET(X505,-1,0))</f>
        <v>0</v>
      </c>
      <c r="Y503" s="209">
        <f ca="1">SUMPRODUCT($B12:OFFSET($B13,-1,0),Y504:OFFSET(Y505,-1,0))</f>
        <v>0</v>
      </c>
      <c r="AA503" s="11"/>
    </row>
    <row r="504" spans="1:27" s="180" customFormat="1" hidden="1" outlineLevel="2" x14ac:dyDescent="0.2">
      <c r="A504" s="180" t="str">
        <f ca="1">"        " &amp; A12</f>
        <v xml:space="preserve">        Проект 1</v>
      </c>
      <c r="C504" s="208" t="str">
        <f t="shared" ca="1" si="66"/>
        <v>тыс. EUR</v>
      </c>
      <c r="D504" s="89" t="e">
        <f ca="1">"[" &amp; F12 &amp; "];int_end"</f>
        <v>#NAME?</v>
      </c>
      <c r="F504" s="93">
        <f ca="1">IF(F$33&lt;$B28,0,IF(F$33&gt;$C28,IF(LIFE_PRJ=1,E504,0),OFFSET(Проект!F$1495,0,1-$B28)))</f>
        <v>0</v>
      </c>
      <c r="G504" s="93">
        <f ca="1">IF(G$33&lt;$B28,0,IF(G$33&gt;$C28,IF(LIFE_PRJ=1,F504,0),OFFSET(Проект!G$1495,0,1-$B28)))</f>
        <v>0</v>
      </c>
      <c r="H504" s="93">
        <f ca="1">IF(H$33&lt;$B28,0,IF(H$33&gt;$C28,IF(LIFE_PRJ=1,G504,0),OFFSET(Проект!H$1495,0,1-$B28)))</f>
        <v>0</v>
      </c>
      <c r="I504" s="93">
        <f ca="1">IF(I$33&lt;$B28,0,IF(I$33&gt;$C28,IF(LIFE_PRJ=1,H504,0),OFFSET(Проект!I$1495,0,1-$B28)))</f>
        <v>0</v>
      </c>
      <c r="J504" s="93">
        <f ca="1">IF(J$33&lt;$B28,0,IF(J$33&gt;$C28,IF(LIFE_PRJ=1,I504,0),OFFSET(Проект!J$1495,0,1-$B28)))</f>
        <v>0</v>
      </c>
      <c r="K504" s="93">
        <f ca="1">IF(K$33&lt;$B28,0,IF(K$33&gt;$C28,IF(LIFE_PRJ=1,J504,0),OFFSET(Проект!K$1495,0,1-$B28)))</f>
        <v>0</v>
      </c>
      <c r="L504" s="93">
        <f ca="1">IF(L$33&lt;$B28,0,IF(L$33&gt;$C28,IF(LIFE_PRJ=1,K504,0),OFFSET(Проект!L$1495,0,1-$B28)))</f>
        <v>0</v>
      </c>
      <c r="M504" s="93">
        <f ca="1">IF(M$33&lt;$B28,0,IF(M$33&gt;$C28,IF(LIFE_PRJ=1,L504,0),OFFSET(Проект!M$1495,0,1-$B28)))</f>
        <v>0</v>
      </c>
      <c r="N504" s="93">
        <f ca="1">IF(N$33&lt;$B28,0,IF(N$33&gt;$C28,IF(LIFE_PRJ=1,M504,0),OFFSET(Проект!N$1495,0,1-$B28)))</f>
        <v>0</v>
      </c>
      <c r="O504" s="93">
        <f ca="1">IF(O$33&lt;$B28,0,IF(O$33&gt;$C28,IF(LIFE_PRJ=1,N504,0),OFFSET(Проект!O$1495,0,1-$B28)))</f>
        <v>0</v>
      </c>
      <c r="P504" s="93">
        <f ca="1">IF(P$33&lt;$B28,0,IF(P$33&gt;$C28,IF(LIFE_PRJ=1,O504,0),OFFSET(Проект!P$1495,0,1-$B28)))</f>
        <v>0</v>
      </c>
      <c r="Q504" s="93">
        <f ca="1">IF(Q$33&lt;$B28,0,IF(Q$33&gt;$C28,IF(LIFE_PRJ=1,P504,0),OFFSET(Проект!Q$1495,0,1-$B28)))</f>
        <v>0</v>
      </c>
      <c r="R504" s="93">
        <f ca="1">IF(R$33&lt;$B28,0,IF(R$33&gt;$C28,IF(LIFE_PRJ=1,Q504,0),OFFSET(Проект!R$1495,0,1-$B28)))</f>
        <v>0</v>
      </c>
      <c r="S504" s="93">
        <f ca="1">IF(S$33&lt;$B28,0,IF(S$33&gt;$C28,IF(LIFE_PRJ=1,R504,0),OFFSET(Проект!S$1495,0,1-$B28)))</f>
        <v>0</v>
      </c>
      <c r="T504" s="93">
        <f ca="1">IF(T$33&lt;$B28,0,IF(T$33&gt;$C28,IF(LIFE_PRJ=1,S504,0),OFFSET(Проект!T$1495,0,1-$B28)))</f>
        <v>0</v>
      </c>
      <c r="U504" s="93">
        <f ca="1">IF(U$33&lt;$B28,0,IF(U$33&gt;$C28,IF(LIFE_PRJ=1,T504,0),OFFSET(Проект!U$1495,0,1-$B28)))</f>
        <v>0</v>
      </c>
      <c r="V504" s="93">
        <f ca="1">IF(V$33&lt;$B28,0,IF(V$33&gt;$C28,IF(LIFE_PRJ=1,U504,0),OFFSET(Проект!V$1495,0,1-$B28)))</f>
        <v>0</v>
      </c>
      <c r="W504" s="93">
        <f ca="1">IF(W$33&lt;$B28,0,IF(W$33&gt;$C28,IF(LIFE_PRJ=1,V504,0),OFFSET(Проект!W$1495,0,1-$B28)))</f>
        <v>0</v>
      </c>
      <c r="X504" s="93">
        <f ca="1">IF(X$33&lt;$B28,0,IF(X$33&gt;$C28,IF(LIFE_PRJ=1,W504,0),OFFSET(Проект!X$1495,0,1-$B28)))</f>
        <v>0</v>
      </c>
      <c r="Y504" s="93">
        <f ca="1">IF(Y$33&lt;$B28,0,IF(Y$33&gt;$C28,IF(LIFE_PRJ=1,X504,0),OFFSET(Проект!AC$1495,0,1-$B28)))</f>
        <v>0</v>
      </c>
    </row>
    <row r="505" spans="1:27" outlineLevel="1" collapsed="1" x14ac:dyDescent="0.2">
      <c r="A505" t="str">
        <f ca="1">Language!A$801</f>
        <v>Нераспределенная прибыль</v>
      </c>
      <c r="C505" s="5" t="str">
        <f t="shared" ca="1" si="66"/>
        <v>тыс. EUR</v>
      </c>
      <c r="D505" s="16" t="s">
        <v>2616</v>
      </c>
      <c r="F505" s="209">
        <f t="shared" ref="F505:T505" ca="1" si="67">F189</f>
        <v>0</v>
      </c>
      <c r="G505" s="209">
        <f t="shared" ca="1" si="67"/>
        <v>0</v>
      </c>
      <c r="H505" s="209">
        <f t="shared" ca="1" si="67"/>
        <v>0</v>
      </c>
      <c r="I505" s="209">
        <f t="shared" ca="1" si="67"/>
        <v>0</v>
      </c>
      <c r="J505" s="209">
        <f t="shared" ca="1" si="67"/>
        <v>-309.35251270876392</v>
      </c>
      <c r="K505" s="209">
        <f t="shared" ca="1" si="67"/>
        <v>-852.07452185621275</v>
      </c>
      <c r="L505" s="209">
        <f t="shared" ca="1" si="67"/>
        <v>-815.26579806644747</v>
      </c>
      <c r="M505" s="209">
        <f t="shared" ca="1" si="67"/>
        <v>-299.38973508517608</v>
      </c>
      <c r="N505" s="209">
        <f t="shared" ca="1" si="67"/>
        <v>612.67083649209246</v>
      </c>
      <c r="O505" s="209">
        <f t="shared" ca="1" si="67"/>
        <v>1758.0930131691875</v>
      </c>
      <c r="P505" s="209">
        <f t="shared" ca="1" si="67"/>
        <v>2903.5151898462827</v>
      </c>
      <c r="Q505" s="209">
        <f t="shared" ca="1" si="67"/>
        <v>4048.9373665233779</v>
      </c>
      <c r="R505" s="209">
        <f t="shared" ca="1" si="67"/>
        <v>5194.3595432004731</v>
      </c>
      <c r="S505" s="209">
        <f t="shared" ca="1" si="67"/>
        <v>6339.7817198775683</v>
      </c>
      <c r="T505" s="209">
        <f t="shared" ca="1" si="67"/>
        <v>7485.2038965546626</v>
      </c>
      <c r="U505" s="209">
        <f t="shared" ref="U505" ca="1" si="68">U189</f>
        <v>8630.6260732317605</v>
      </c>
      <c r="V505" s="209">
        <f t="shared" ref="V505" ca="1" si="69">V189</f>
        <v>9776.0482499088539</v>
      </c>
      <c r="W505" s="209">
        <f t="shared" ref="W505" ca="1" si="70">W189</f>
        <v>10921.470426585951</v>
      </c>
      <c r="X505" s="209">
        <f t="shared" ref="X505:Y505" ca="1" si="71">X189</f>
        <v>12066.892603263044</v>
      </c>
      <c r="Y505" s="209">
        <f t="shared" ca="1" si="71"/>
        <v>18868.720590691228</v>
      </c>
      <c r="AA505" s="11"/>
    </row>
    <row r="506" spans="1:27" s="180" customFormat="1" hidden="1" outlineLevel="2" x14ac:dyDescent="0.2">
      <c r="A506" s="180" t="str">
        <f ca="1">"        " &amp; A12</f>
        <v xml:space="preserve">        Проект 1</v>
      </c>
      <c r="C506" s="208" t="str">
        <f t="shared" ca="1" si="66"/>
        <v>тыс. EUR</v>
      </c>
      <c r="D506" s="89" t="e">
        <f ca="1">"[" &amp; F12 &amp; "];int_end"</f>
        <v>#NAME?</v>
      </c>
      <c r="F506" s="93">
        <f ca="1">IF(F$33&lt;$B28,0,IF(F$33&gt;$C28,IF(LIFE_PRJ=1,E506,0),OFFSET(Проект!F$1496,0,1-$B28)))</f>
        <v>0</v>
      </c>
      <c r="G506" s="93">
        <f ca="1">IF(G$33&lt;$B28,0,IF(G$33&gt;$C28,IF(LIFE_PRJ=1,F506,0),OFFSET(Проект!G$1496,0,1-$B28)))</f>
        <v>0</v>
      </c>
      <c r="H506" s="93">
        <f ca="1">IF(H$33&lt;$B28,0,IF(H$33&gt;$C28,IF(LIFE_PRJ=1,G506,0),OFFSET(Проект!H$1496,0,1-$B28)))</f>
        <v>0</v>
      </c>
      <c r="I506" s="93">
        <f ca="1">IF(I$33&lt;$B28,0,IF(I$33&gt;$C28,IF(LIFE_PRJ=1,H506,0),OFFSET(Проект!I$1496,0,1-$B28)))</f>
        <v>0</v>
      </c>
      <c r="J506" s="93">
        <f ca="1">IF(J$33&lt;$B28,0,IF(J$33&gt;$C28,IF(LIFE_PRJ=1,I506,0),OFFSET(Проект!J$1496,0,1-$B28)))</f>
        <v>-309.35251270876392</v>
      </c>
      <c r="K506" s="93">
        <f ca="1">IF(K$33&lt;$B28,0,IF(K$33&gt;$C28,IF(LIFE_PRJ=1,J506,0),OFFSET(Проект!K$1496,0,1-$B28)))</f>
        <v>-852.07452185621275</v>
      </c>
      <c r="L506" s="93">
        <f ca="1">IF(L$33&lt;$B28,0,IF(L$33&gt;$C28,IF(LIFE_PRJ=1,K506,0),OFFSET(Проект!L$1496,0,1-$B28)))</f>
        <v>-815.26579806644747</v>
      </c>
      <c r="M506" s="93">
        <f ca="1">IF(M$33&lt;$B28,0,IF(M$33&gt;$C28,IF(LIFE_PRJ=1,L506,0),OFFSET(Проект!M$1496,0,1-$B28)))</f>
        <v>-299.38973508517608</v>
      </c>
      <c r="N506" s="93">
        <f ca="1">IF(N$33&lt;$B28,0,IF(N$33&gt;$C28,IF(LIFE_PRJ=1,M506,0),OFFSET(Проект!N$1496,0,1-$B28)))</f>
        <v>612.67083649209246</v>
      </c>
      <c r="O506" s="93">
        <f ca="1">IF(O$33&lt;$B28,0,IF(O$33&gt;$C28,IF(LIFE_PRJ=1,N506,0),OFFSET(Проект!O$1496,0,1-$B28)))</f>
        <v>1758.0930131691875</v>
      </c>
      <c r="P506" s="93">
        <f ca="1">IF(P$33&lt;$B28,0,IF(P$33&gt;$C28,IF(LIFE_PRJ=1,O506,0),OFFSET(Проект!P$1496,0,1-$B28)))</f>
        <v>2903.5151898462827</v>
      </c>
      <c r="Q506" s="93">
        <f ca="1">IF(Q$33&lt;$B28,0,IF(Q$33&gt;$C28,IF(LIFE_PRJ=1,P506,0),OFFSET(Проект!Q$1496,0,1-$B28)))</f>
        <v>4048.9373665233779</v>
      </c>
      <c r="R506" s="93">
        <f ca="1">IF(R$33&lt;$B28,0,IF(R$33&gt;$C28,IF(LIFE_PRJ=1,Q506,0),OFFSET(Проект!R$1496,0,1-$B28)))</f>
        <v>5194.3595432004731</v>
      </c>
      <c r="S506" s="93">
        <f ca="1">IF(S$33&lt;$B28,0,IF(S$33&gt;$C28,IF(LIFE_PRJ=1,R506,0),OFFSET(Проект!S$1496,0,1-$B28)))</f>
        <v>6339.7817198775683</v>
      </c>
      <c r="T506" s="93">
        <f ca="1">IF(T$33&lt;$B28,0,IF(T$33&gt;$C28,IF(LIFE_PRJ=1,S506,0),OFFSET(Проект!T$1496,0,1-$B28)))</f>
        <v>7485.2038965546635</v>
      </c>
      <c r="U506" s="93">
        <f ca="1">IF(U$33&lt;$B28,0,IF(U$33&gt;$C28,IF(LIFE_PRJ=1,T506,0),OFFSET(Проект!U$1496,0,1-$B28)))</f>
        <v>8630.6260732317587</v>
      </c>
      <c r="V506" s="93">
        <f ca="1">IF(V$33&lt;$B28,0,IF(V$33&gt;$C28,IF(LIFE_PRJ=1,U506,0),OFFSET(Проект!V$1496,0,1-$B28)))</f>
        <v>9776.0482499088539</v>
      </c>
      <c r="W506" s="93">
        <f ca="1">IF(W$33&lt;$B28,0,IF(W$33&gt;$C28,IF(LIFE_PRJ=1,V506,0),OFFSET(Проект!W$1496,0,1-$B28)))</f>
        <v>10921.470426585949</v>
      </c>
      <c r="X506" s="93">
        <f ca="1">IF(X$33&lt;$B28,0,IF(X$33&gt;$C28,IF(LIFE_PRJ=1,W506,0),OFFSET(Проект!X$1496,0,1-$B28)))</f>
        <v>12066.892603263044</v>
      </c>
      <c r="Y506" s="93">
        <f ca="1">IF(Y$33&lt;$B28,0,IF(Y$33&gt;$C28,IF(LIFE_PRJ=1,X506,0),OFFSET(Проект!AC$1496,0,1-$B28)))</f>
        <v>17794.003486648522</v>
      </c>
    </row>
    <row r="507" spans="1:27" outlineLevel="1" collapsed="1" x14ac:dyDescent="0.2">
      <c r="A507" t="str">
        <f ca="1">Language!A$802</f>
        <v>Прочие источники финансирования</v>
      </c>
      <c r="C507" s="5" t="str">
        <f t="shared" ca="1" si="66"/>
        <v>тыс. EUR</v>
      </c>
      <c r="D507" s="16" t="s">
        <v>2616</v>
      </c>
      <c r="F507" s="209">
        <f ca="1">SUMPRODUCT($B12:OFFSET($B13,-1,0),F508:OFFSET(F509,-1,0))</f>
        <v>0</v>
      </c>
      <c r="G507" s="209">
        <f ca="1">SUMPRODUCT($B12:OFFSET($B13,-1,0),G508:OFFSET(G509,-1,0))</f>
        <v>0</v>
      </c>
      <c r="H507" s="209">
        <f ca="1">SUMPRODUCT($B12:OFFSET($B13,-1,0),H508:OFFSET(H509,-1,0))</f>
        <v>5695.3855543220343</v>
      </c>
      <c r="I507" s="209">
        <f ca="1">SUMPRODUCT($B12:OFFSET($B13,-1,0),I508:OFFSET(I509,-1,0))</f>
        <v>7214.9455543220338</v>
      </c>
      <c r="J507" s="209">
        <f ca="1">SUMPRODUCT($B12:OFFSET($B13,-1,0),J508:OFFSET(J509,-1,0))</f>
        <v>14239.834751501385</v>
      </c>
      <c r="K507" s="209">
        <f ca="1">SUMPRODUCT($B12:OFFSET($B13,-1,0),K508:OFFSET(K509,-1,0))</f>
        <v>17222.360449034895</v>
      </c>
      <c r="L507" s="209">
        <f ca="1">SUMPRODUCT($B12:OFFSET($B13,-1,0),L508:OFFSET(L509,-1,0))</f>
        <v>17222.360449034895</v>
      </c>
      <c r="M507" s="209">
        <f ca="1">SUMPRODUCT($B12:OFFSET($B13,-1,0),M508:OFFSET(M509,-1,0))</f>
        <v>17222.360449034895</v>
      </c>
      <c r="N507" s="209">
        <f ca="1">SUMPRODUCT($B12:OFFSET($B13,-1,0),N508:OFFSET(N509,-1,0))</f>
        <v>17222.360449034895</v>
      </c>
      <c r="O507" s="209">
        <f ca="1">SUMPRODUCT($B12:OFFSET($B13,-1,0),O508:OFFSET(O509,-1,0))</f>
        <v>17222.360449034895</v>
      </c>
      <c r="P507" s="209">
        <f ca="1">SUMPRODUCT($B12:OFFSET($B13,-1,0),P508:OFFSET(P509,-1,0))</f>
        <v>17222.360449034895</v>
      </c>
      <c r="Q507" s="209">
        <f ca="1">SUMPRODUCT($B12:OFFSET($B13,-1,0),Q508:OFFSET(Q509,-1,0))</f>
        <v>17222.360449034895</v>
      </c>
      <c r="R507" s="209">
        <f ca="1">SUMPRODUCT($B12:OFFSET($B13,-1,0),R508:OFFSET(R509,-1,0))</f>
        <v>17222.360449034895</v>
      </c>
      <c r="S507" s="209">
        <f ca="1">SUMPRODUCT($B12:OFFSET($B13,-1,0),S508:OFFSET(S509,-1,0))</f>
        <v>17222.360449034895</v>
      </c>
      <c r="T507" s="209">
        <f ca="1">SUMPRODUCT($B12:OFFSET($B13,-1,0),T508:OFFSET(T509,-1,0))</f>
        <v>17222.360449034895</v>
      </c>
      <c r="U507" s="209">
        <f ca="1">SUMPRODUCT($B12:OFFSET($B13,-1,0),U508:OFFSET(U509,-1,0))</f>
        <v>17222.360449034895</v>
      </c>
      <c r="V507" s="209">
        <f ca="1">SUMPRODUCT($B12:OFFSET($B13,-1,0),V508:OFFSET(V509,-1,0))</f>
        <v>17222.360449034895</v>
      </c>
      <c r="W507" s="209">
        <f ca="1">SUMPRODUCT($B12:OFFSET($B13,-1,0),W508:OFFSET(W509,-1,0))</f>
        <v>17222.360449034895</v>
      </c>
      <c r="X507" s="209">
        <f ca="1">SUMPRODUCT($B12:OFFSET($B13,-1,0),X508:OFFSET(X509,-1,0))</f>
        <v>17222.360449034895</v>
      </c>
      <c r="Y507" s="209">
        <f ca="1">SUMPRODUCT($B12:OFFSET($B13,-1,0),Y508:OFFSET(Y509,-1,0))</f>
        <v>17222.360449034895</v>
      </c>
      <c r="AA507" s="11"/>
    </row>
    <row r="508" spans="1:27" s="180" customFormat="1" hidden="1" outlineLevel="2" x14ac:dyDescent="0.2">
      <c r="A508" s="180" t="str">
        <f ca="1">"        " &amp; A12</f>
        <v xml:space="preserve">        Проект 1</v>
      </c>
      <c r="C508" s="208" t="str">
        <f t="shared" ca="1" si="66"/>
        <v>тыс. EUR</v>
      </c>
      <c r="D508" s="89" t="e">
        <f ca="1">"[" &amp; F12 &amp; "];int_end"</f>
        <v>#NAME?</v>
      </c>
      <c r="F508" s="93">
        <f ca="1">IF(F$33&lt;$B28,0,IF(F$33&gt;$C28,IF(LIFE_PRJ=1,E508,0),OFFSET(Проект!F$1497,0,1-$B28)))</f>
        <v>0</v>
      </c>
      <c r="G508" s="93">
        <f ca="1">IF(G$33&lt;$B28,0,IF(G$33&gt;$C28,IF(LIFE_PRJ=1,F508,0),OFFSET(Проект!G$1497,0,1-$B28)))</f>
        <v>0</v>
      </c>
      <c r="H508" s="93">
        <f ca="1">IF(H$33&lt;$B28,0,IF(H$33&gt;$C28,IF(LIFE_PRJ=1,G508,0),OFFSET(Проект!H$1497,0,1-$B28)))</f>
        <v>5695.3855543220343</v>
      </c>
      <c r="I508" s="93">
        <f ca="1">IF(I$33&lt;$B28,0,IF(I$33&gt;$C28,IF(LIFE_PRJ=1,H508,0),OFFSET(Проект!I$1497,0,1-$B28)))</f>
        <v>7214.9455543220338</v>
      </c>
      <c r="J508" s="93">
        <f ca="1">IF(J$33&lt;$B28,0,IF(J$33&gt;$C28,IF(LIFE_PRJ=1,I508,0),OFFSET(Проект!J$1497,0,1-$B28)))</f>
        <v>14239.834751501385</v>
      </c>
      <c r="K508" s="93">
        <f ca="1">IF(K$33&lt;$B28,0,IF(K$33&gt;$C28,IF(LIFE_PRJ=1,J508,0),OFFSET(Проект!K$1497,0,1-$B28)))</f>
        <v>17222.360449034895</v>
      </c>
      <c r="L508" s="93">
        <f ca="1">IF(L$33&lt;$B28,0,IF(L$33&gt;$C28,IF(LIFE_PRJ=1,K508,0),OFFSET(Проект!L$1497,0,1-$B28)))</f>
        <v>17222.360449034895</v>
      </c>
      <c r="M508" s="93">
        <f ca="1">IF(M$33&lt;$B28,0,IF(M$33&gt;$C28,IF(LIFE_PRJ=1,L508,0),OFFSET(Проект!M$1497,0,1-$B28)))</f>
        <v>17222.360449034895</v>
      </c>
      <c r="N508" s="93">
        <f ca="1">IF(N$33&lt;$B28,0,IF(N$33&gt;$C28,IF(LIFE_PRJ=1,M508,0),OFFSET(Проект!N$1497,0,1-$B28)))</f>
        <v>17222.360449034895</v>
      </c>
      <c r="O508" s="93">
        <f ca="1">IF(O$33&lt;$B28,0,IF(O$33&gt;$C28,IF(LIFE_PRJ=1,N508,0),OFFSET(Проект!O$1497,0,1-$B28)))</f>
        <v>17222.360449034895</v>
      </c>
      <c r="P508" s="93">
        <f ca="1">IF(P$33&lt;$B28,0,IF(P$33&gt;$C28,IF(LIFE_PRJ=1,O508,0),OFFSET(Проект!P$1497,0,1-$B28)))</f>
        <v>17222.360449034895</v>
      </c>
      <c r="Q508" s="93">
        <f ca="1">IF(Q$33&lt;$B28,0,IF(Q$33&gt;$C28,IF(LIFE_PRJ=1,P508,0),OFFSET(Проект!Q$1497,0,1-$B28)))</f>
        <v>17222.360449034895</v>
      </c>
      <c r="R508" s="93">
        <f ca="1">IF(R$33&lt;$B28,0,IF(R$33&gt;$C28,IF(LIFE_PRJ=1,Q508,0),OFFSET(Проект!R$1497,0,1-$B28)))</f>
        <v>17222.360449034895</v>
      </c>
      <c r="S508" s="93">
        <f ca="1">IF(S$33&lt;$B28,0,IF(S$33&gt;$C28,IF(LIFE_PRJ=1,R508,0),OFFSET(Проект!S$1497,0,1-$B28)))</f>
        <v>17222.360449034895</v>
      </c>
      <c r="T508" s="93">
        <f ca="1">IF(T$33&lt;$B28,0,IF(T$33&gt;$C28,IF(LIFE_PRJ=1,S508,0),OFFSET(Проект!T$1497,0,1-$B28)))</f>
        <v>17222.360449034895</v>
      </c>
      <c r="U508" s="93">
        <f ca="1">IF(U$33&lt;$B28,0,IF(U$33&gt;$C28,IF(LIFE_PRJ=1,T508,0),OFFSET(Проект!U$1497,0,1-$B28)))</f>
        <v>17222.360449034895</v>
      </c>
      <c r="V508" s="93">
        <f ca="1">IF(V$33&lt;$B28,0,IF(V$33&gt;$C28,IF(LIFE_PRJ=1,U508,0),OFFSET(Проект!V$1497,0,1-$B28)))</f>
        <v>17222.360449034895</v>
      </c>
      <c r="W508" s="93">
        <f ca="1">IF(W$33&lt;$B28,0,IF(W$33&gt;$C28,IF(LIFE_PRJ=1,V508,0),OFFSET(Проект!W$1497,0,1-$B28)))</f>
        <v>17222.360449034895</v>
      </c>
      <c r="X508" s="93">
        <f ca="1">IF(X$33&lt;$B28,0,IF(X$33&gt;$C28,IF(LIFE_PRJ=1,W508,0),OFFSET(Проект!X$1497,0,1-$B28)))</f>
        <v>17222.360449034895</v>
      </c>
      <c r="Y508" s="93">
        <f ca="1">IF(Y$33&lt;$B28,0,IF(Y$33&gt;$C28,IF(LIFE_PRJ=1,X508,0),OFFSET(Проект!AC$1497,0,1-$B28)))</f>
        <v>17222.360449034895</v>
      </c>
    </row>
    <row r="509" spans="1:27" outlineLevel="1" collapsed="1" x14ac:dyDescent="0.2">
      <c r="A509" s="35" t="str">
        <f ca="1">Language!A$803</f>
        <v>Суммарный собственный капитал</v>
      </c>
      <c r="C509" s="5" t="str">
        <f t="shared" ca="1" si="66"/>
        <v>тыс. EUR</v>
      </c>
      <c r="D509" s="16" t="s">
        <v>2616</v>
      </c>
      <c r="F509" s="159">
        <f t="shared" ref="F509:T509" ca="1" si="72">F503+F505+F507</f>
        <v>0</v>
      </c>
      <c r="G509" s="159">
        <f t="shared" ca="1" si="72"/>
        <v>0</v>
      </c>
      <c r="H509" s="159">
        <f t="shared" ca="1" si="72"/>
        <v>5695.3855543220343</v>
      </c>
      <c r="I509" s="159">
        <f t="shared" ca="1" si="72"/>
        <v>7214.9455543220338</v>
      </c>
      <c r="J509" s="159">
        <f t="shared" ca="1" si="72"/>
        <v>13930.482238792622</v>
      </c>
      <c r="K509" s="159">
        <f t="shared" ca="1" si="72"/>
        <v>16370.285927178682</v>
      </c>
      <c r="L509" s="159">
        <f t="shared" ca="1" si="72"/>
        <v>16407.094650968447</v>
      </c>
      <c r="M509" s="159">
        <f t="shared" ca="1" si="72"/>
        <v>16922.970713949719</v>
      </c>
      <c r="N509" s="159">
        <f t="shared" ca="1" si="72"/>
        <v>17835.031285526988</v>
      </c>
      <c r="O509" s="159">
        <f t="shared" ca="1" si="72"/>
        <v>18980.453462204081</v>
      </c>
      <c r="P509" s="159">
        <f t="shared" ca="1" si="72"/>
        <v>20125.875638881178</v>
      </c>
      <c r="Q509" s="159">
        <f t="shared" ca="1" si="72"/>
        <v>21271.297815558275</v>
      </c>
      <c r="R509" s="159">
        <f t="shared" ca="1" si="72"/>
        <v>22416.719992235368</v>
      </c>
      <c r="S509" s="159">
        <f t="shared" ca="1" si="72"/>
        <v>23562.142168912462</v>
      </c>
      <c r="T509" s="159">
        <f t="shared" ca="1" si="72"/>
        <v>24707.564345589559</v>
      </c>
      <c r="U509" s="159">
        <f t="shared" ref="U509" ca="1" si="73">U503+U505+U507</f>
        <v>25852.986522266656</v>
      </c>
      <c r="V509" s="159">
        <f t="shared" ref="V509" ca="1" si="74">V503+V505+V507</f>
        <v>26998.408698943749</v>
      </c>
      <c r="W509" s="159">
        <f t="shared" ref="W509" ca="1" si="75">W503+W505+W507</f>
        <v>28143.830875620846</v>
      </c>
      <c r="X509" s="159">
        <f t="shared" ref="X509:Y509" ca="1" si="76">X503+X505+X507</f>
        <v>29289.25305229794</v>
      </c>
      <c r="Y509" s="159">
        <f t="shared" ca="1" si="76"/>
        <v>36091.081039726123</v>
      </c>
      <c r="AA509" s="11"/>
    </row>
    <row r="510" spans="1:27" s="180" customFormat="1" hidden="1" outlineLevel="2" x14ac:dyDescent="0.2">
      <c r="A510" s="180" t="str">
        <f ca="1">"        " &amp; A12</f>
        <v xml:space="preserve">        Проект 1</v>
      </c>
      <c r="C510" s="208" t="str">
        <f t="shared" ca="1" si="66"/>
        <v>тыс. EUR</v>
      </c>
      <c r="D510" s="89" t="e">
        <f ca="1">"[" &amp; F12 &amp; "];int_end"</f>
        <v>#NAME?</v>
      </c>
      <c r="F510" s="93">
        <f ca="1">IF(F$33&lt;$B28,0,IF(F$33&gt;$C28,IF(LIFE_PRJ=1,E510,0),OFFSET(Проект!F$1498,0,1-$B28)))</f>
        <v>0</v>
      </c>
      <c r="G510" s="93">
        <f ca="1">IF(G$33&lt;$B28,0,IF(G$33&gt;$C28,IF(LIFE_PRJ=1,F510,0),OFFSET(Проект!G$1498,0,1-$B28)))</f>
        <v>0</v>
      </c>
      <c r="H510" s="93">
        <f ca="1">IF(H$33&lt;$B28,0,IF(H$33&gt;$C28,IF(LIFE_PRJ=1,G510,0),OFFSET(Проект!H$1498,0,1-$B28)))</f>
        <v>5695.3855543220343</v>
      </c>
      <c r="I510" s="93">
        <f ca="1">IF(I$33&lt;$B28,0,IF(I$33&gt;$C28,IF(LIFE_PRJ=1,H510,0),OFFSET(Проект!I$1498,0,1-$B28)))</f>
        <v>7214.9455543220338</v>
      </c>
      <c r="J510" s="93">
        <f ca="1">IF(J$33&lt;$B28,0,IF(J$33&gt;$C28,IF(LIFE_PRJ=1,I510,0),OFFSET(Проект!J$1498,0,1-$B28)))</f>
        <v>13930.482238792622</v>
      </c>
      <c r="K510" s="93">
        <f ca="1">IF(K$33&lt;$B28,0,IF(K$33&gt;$C28,IF(LIFE_PRJ=1,J510,0),OFFSET(Проект!K$1498,0,1-$B28)))</f>
        <v>16370.285927178682</v>
      </c>
      <c r="L510" s="93">
        <f ca="1">IF(L$33&lt;$B28,0,IF(L$33&gt;$C28,IF(LIFE_PRJ=1,K510,0),OFFSET(Проект!L$1498,0,1-$B28)))</f>
        <v>16407.094650968447</v>
      </c>
      <c r="M510" s="93">
        <f ca="1">IF(M$33&lt;$B28,0,IF(M$33&gt;$C28,IF(LIFE_PRJ=1,L510,0),OFFSET(Проект!M$1498,0,1-$B28)))</f>
        <v>16922.970713949719</v>
      </c>
      <c r="N510" s="93">
        <f ca="1">IF(N$33&lt;$B28,0,IF(N$33&gt;$C28,IF(LIFE_PRJ=1,M510,0),OFFSET(Проект!N$1498,0,1-$B28)))</f>
        <v>17835.031285526988</v>
      </c>
      <c r="O510" s="93">
        <f ca="1">IF(O$33&lt;$B28,0,IF(O$33&gt;$C28,IF(LIFE_PRJ=1,N510,0),OFFSET(Проект!O$1498,0,1-$B28)))</f>
        <v>18980.453462204081</v>
      </c>
      <c r="P510" s="93">
        <f ca="1">IF(P$33&lt;$B28,0,IF(P$33&gt;$C28,IF(LIFE_PRJ=1,O510,0),OFFSET(Проект!P$1498,0,1-$B28)))</f>
        <v>20125.875638881178</v>
      </c>
      <c r="Q510" s="93">
        <f ca="1">IF(Q$33&lt;$B28,0,IF(Q$33&gt;$C28,IF(LIFE_PRJ=1,P510,0),OFFSET(Проект!Q$1498,0,1-$B28)))</f>
        <v>21271.297815558275</v>
      </c>
      <c r="R510" s="93">
        <f ca="1">IF(R$33&lt;$B28,0,IF(R$33&gt;$C28,IF(LIFE_PRJ=1,Q510,0),OFFSET(Проект!R$1498,0,1-$B28)))</f>
        <v>22416.719992235368</v>
      </c>
      <c r="S510" s="93">
        <f ca="1">IF(S$33&lt;$B28,0,IF(S$33&gt;$C28,IF(LIFE_PRJ=1,R510,0),OFFSET(Проект!S$1498,0,1-$B28)))</f>
        <v>23562.142168912462</v>
      </c>
      <c r="T510" s="93">
        <f ca="1">IF(T$33&lt;$B28,0,IF(T$33&gt;$C28,IF(LIFE_PRJ=1,S510,0),OFFSET(Проект!T$1498,0,1-$B28)))</f>
        <v>24707.564345589559</v>
      </c>
      <c r="U510" s="93">
        <f ca="1">IF(U$33&lt;$B28,0,IF(U$33&gt;$C28,IF(LIFE_PRJ=1,T510,0),OFFSET(Проект!U$1498,0,1-$B28)))</f>
        <v>25852.986522266656</v>
      </c>
      <c r="V510" s="93">
        <f ca="1">IF(V$33&lt;$B28,0,IF(V$33&gt;$C28,IF(LIFE_PRJ=1,U510,0),OFFSET(Проект!V$1498,0,1-$B28)))</f>
        <v>26998.408698943749</v>
      </c>
      <c r="W510" s="93">
        <f ca="1">IF(W$33&lt;$B28,0,IF(W$33&gt;$C28,IF(LIFE_PRJ=1,V510,0),OFFSET(Проект!W$1498,0,1-$B28)))</f>
        <v>28143.830875620843</v>
      </c>
      <c r="X510" s="93">
        <f ca="1">IF(X$33&lt;$B28,0,IF(X$33&gt;$C28,IF(LIFE_PRJ=1,W510,0),OFFSET(Проект!X$1498,0,1-$B28)))</f>
        <v>29289.25305229794</v>
      </c>
      <c r="Y510" s="93">
        <f ca="1">IF(Y$33&lt;$B28,0,IF(Y$33&gt;$C28,IF(LIFE_PRJ=1,X510,0),OFFSET(Проект!AC$1498,0,1-$B28)))</f>
        <v>35016.363935683417</v>
      </c>
    </row>
    <row r="511" spans="1:27" outlineLevel="1" x14ac:dyDescent="0.2">
      <c r="A511" s="35"/>
      <c r="F511" s="43"/>
      <c r="G511" s="43"/>
      <c r="H511" s="43"/>
      <c r="I511" s="43"/>
      <c r="J511" s="43"/>
      <c r="K511" s="43"/>
      <c r="L511" s="43"/>
      <c r="M511" s="43"/>
      <c r="N511" s="43"/>
      <c r="O511" s="43"/>
      <c r="P511" s="43"/>
      <c r="Q511" s="43"/>
      <c r="R511" s="43"/>
      <c r="S511" s="43"/>
      <c r="T511" s="43"/>
      <c r="U511" s="43"/>
      <c r="V511" s="43"/>
      <c r="W511" s="43"/>
      <c r="X511" s="43"/>
      <c r="Y511" s="43"/>
      <c r="AA511" s="11"/>
    </row>
    <row r="512" spans="1:27" outlineLevel="1" collapsed="1" x14ac:dyDescent="0.2">
      <c r="A512" s="35" t="str">
        <f ca="1">Language!A$804</f>
        <v xml:space="preserve"> = ИТОГО ПАССИВОВ</v>
      </c>
      <c r="C512" s="5" t="str">
        <f ca="1">CUR_Report</f>
        <v>тыс. EUR</v>
      </c>
      <c r="D512" s="16" t="s">
        <v>2616</v>
      </c>
      <c r="F512" s="159">
        <f t="shared" ref="F512:T512" ca="1" si="77">F497+F500+F509</f>
        <v>0</v>
      </c>
      <c r="G512" s="159">
        <f t="shared" ca="1" si="77"/>
        <v>0</v>
      </c>
      <c r="H512" s="159">
        <f t="shared" ca="1" si="77"/>
        <v>5695.3855543220343</v>
      </c>
      <c r="I512" s="159">
        <f t="shared" ca="1" si="77"/>
        <v>7214.9455543220338</v>
      </c>
      <c r="J512" s="159">
        <f t="shared" ca="1" si="77"/>
        <v>16031.200696419741</v>
      </c>
      <c r="K512" s="159">
        <f t="shared" ca="1" si="77"/>
        <v>16469.049256946124</v>
      </c>
      <c r="L512" s="159">
        <f t="shared" ca="1" si="77"/>
        <v>16505.857980735887</v>
      </c>
      <c r="M512" s="159">
        <f t="shared" ca="1" si="77"/>
        <v>17021.734043717159</v>
      </c>
      <c r="N512" s="159">
        <f t="shared" ca="1" si="77"/>
        <v>17981.698919382288</v>
      </c>
      <c r="O512" s="159">
        <f t="shared" ca="1" si="77"/>
        <v>19168.776550641749</v>
      </c>
      <c r="P512" s="159">
        <f t="shared" ca="1" si="77"/>
        <v>20314.198727318846</v>
      </c>
      <c r="Q512" s="159">
        <f t="shared" ca="1" si="77"/>
        <v>21459.620903995943</v>
      </c>
      <c r="R512" s="159">
        <f t="shared" ca="1" si="77"/>
        <v>22605.043080673036</v>
      </c>
      <c r="S512" s="159">
        <f t="shared" ca="1" si="77"/>
        <v>23750.46525735013</v>
      </c>
      <c r="T512" s="159">
        <f t="shared" ca="1" si="77"/>
        <v>24895.887434027227</v>
      </c>
      <c r="U512" s="159">
        <f t="shared" ref="U512" ca="1" si="78">U497+U500+U509</f>
        <v>26041.309610704324</v>
      </c>
      <c r="V512" s="159">
        <f t="shared" ref="V512" ca="1" si="79">V497+V500+V509</f>
        <v>27186.731787381417</v>
      </c>
      <c r="W512" s="159">
        <f t="shared" ref="W512" ca="1" si="80">W497+W500+W509</f>
        <v>28332.153964058514</v>
      </c>
      <c r="X512" s="159">
        <f t="shared" ref="X512:Y512" ca="1" si="81">X497+X500+X509</f>
        <v>29477.576140735608</v>
      </c>
      <c r="Y512" s="159">
        <f t="shared" ca="1" si="81"/>
        <v>36279.404128163791</v>
      </c>
      <c r="AA512" s="22"/>
    </row>
    <row r="513" spans="1:27" s="180" customFormat="1" hidden="1" outlineLevel="2" x14ac:dyDescent="0.2">
      <c r="A513" s="180" t="str">
        <f ca="1">"        " &amp; A12</f>
        <v xml:space="preserve">        Проект 1</v>
      </c>
      <c r="C513" s="208" t="str">
        <f ca="1">CUR_Report</f>
        <v>тыс. EUR</v>
      </c>
      <c r="D513" s="89" t="e">
        <f ca="1">"[" &amp; F12 &amp; "];int_end"</f>
        <v>#NAME?</v>
      </c>
      <c r="F513" s="93">
        <f ca="1">IF(F$33&lt;$B28,0,IF(F$33&gt;$C28,IF(LIFE_PRJ=1,E513,0),OFFSET(Проект!F$1500,0,1-$B28)))</f>
        <v>0</v>
      </c>
      <c r="G513" s="93">
        <f ca="1">IF(G$33&lt;$B28,0,IF(G$33&gt;$C28,IF(LIFE_PRJ=1,F513,0),OFFSET(Проект!G$1500,0,1-$B28)))</f>
        <v>0</v>
      </c>
      <c r="H513" s="93">
        <f ca="1">IF(H$33&lt;$B28,0,IF(H$33&gt;$C28,IF(LIFE_PRJ=1,G513,0),OFFSET(Проект!H$1500,0,1-$B28)))</f>
        <v>5695.3855543220343</v>
      </c>
      <c r="I513" s="93">
        <f ca="1">IF(I$33&lt;$B28,0,IF(I$33&gt;$C28,IF(LIFE_PRJ=1,H513,0),OFFSET(Проект!I$1500,0,1-$B28)))</f>
        <v>7214.9455543220338</v>
      </c>
      <c r="J513" s="93">
        <f ca="1">IF(J$33&lt;$B28,0,IF(J$33&gt;$C28,IF(LIFE_PRJ=1,I513,0),OFFSET(Проект!J$1500,0,1-$B28)))</f>
        <v>16031.200696419741</v>
      </c>
      <c r="K513" s="93">
        <f ca="1">IF(K$33&lt;$B28,0,IF(K$33&gt;$C28,IF(LIFE_PRJ=1,J513,0),OFFSET(Проект!K$1500,0,1-$B28)))</f>
        <v>16469.049256946124</v>
      </c>
      <c r="L513" s="93">
        <f ca="1">IF(L$33&lt;$B28,0,IF(L$33&gt;$C28,IF(LIFE_PRJ=1,K513,0),OFFSET(Проект!L$1500,0,1-$B28)))</f>
        <v>16505.857980735887</v>
      </c>
      <c r="M513" s="93">
        <f ca="1">IF(M$33&lt;$B28,0,IF(M$33&gt;$C28,IF(LIFE_PRJ=1,L513,0),OFFSET(Проект!M$1500,0,1-$B28)))</f>
        <v>17021.734043717159</v>
      </c>
      <c r="N513" s="93">
        <f ca="1">IF(N$33&lt;$B28,0,IF(N$33&gt;$C28,IF(LIFE_PRJ=1,M513,0),OFFSET(Проект!N$1500,0,1-$B28)))</f>
        <v>17981.698919382288</v>
      </c>
      <c r="O513" s="93">
        <f ca="1">IF(O$33&lt;$B28,0,IF(O$33&gt;$C28,IF(LIFE_PRJ=1,N513,0),OFFSET(Проект!O$1500,0,1-$B28)))</f>
        <v>19168.776550641749</v>
      </c>
      <c r="P513" s="93">
        <f ca="1">IF(P$33&lt;$B28,0,IF(P$33&gt;$C28,IF(LIFE_PRJ=1,O513,0),OFFSET(Проект!P$1500,0,1-$B28)))</f>
        <v>20314.198727318846</v>
      </c>
      <c r="Q513" s="93">
        <f ca="1">IF(Q$33&lt;$B28,0,IF(Q$33&gt;$C28,IF(LIFE_PRJ=1,P513,0),OFFSET(Проект!Q$1500,0,1-$B28)))</f>
        <v>21459.620903995943</v>
      </c>
      <c r="R513" s="93">
        <f ca="1">IF(R$33&lt;$B28,0,IF(R$33&gt;$C28,IF(LIFE_PRJ=1,Q513,0),OFFSET(Проект!R$1500,0,1-$B28)))</f>
        <v>22605.043080673036</v>
      </c>
      <c r="S513" s="93">
        <f ca="1">IF(S$33&lt;$B28,0,IF(S$33&gt;$C28,IF(LIFE_PRJ=1,R513,0),OFFSET(Проект!S$1500,0,1-$B28)))</f>
        <v>23750.46525735013</v>
      </c>
      <c r="T513" s="93">
        <f ca="1">IF(T$33&lt;$B28,0,IF(T$33&gt;$C28,IF(LIFE_PRJ=1,S513,0),OFFSET(Проект!T$1500,0,1-$B28)))</f>
        <v>24895.887434027227</v>
      </c>
      <c r="U513" s="93">
        <f ca="1">IF(U$33&lt;$B28,0,IF(U$33&gt;$C28,IF(LIFE_PRJ=1,T513,0),OFFSET(Проект!U$1500,0,1-$B28)))</f>
        <v>26041.309610704324</v>
      </c>
      <c r="V513" s="93">
        <f ca="1">IF(V$33&lt;$B28,0,IF(V$33&gt;$C28,IF(LIFE_PRJ=1,U513,0),OFFSET(Проект!V$1500,0,1-$B28)))</f>
        <v>27186.731787381417</v>
      </c>
      <c r="W513" s="93">
        <f ca="1">IF(W$33&lt;$B28,0,IF(W$33&gt;$C28,IF(LIFE_PRJ=1,V513,0),OFFSET(Проект!W$1500,0,1-$B28)))</f>
        <v>28332.153964058511</v>
      </c>
      <c r="X513" s="93">
        <f ca="1">IF(X$33&lt;$B28,0,IF(X$33&gt;$C28,IF(LIFE_PRJ=1,W513,0),OFFSET(Проект!X$1500,0,1-$B28)))</f>
        <v>29477.576140735608</v>
      </c>
      <c r="Y513" s="93">
        <f ca="1">IF(Y$33&lt;$B28,0,IF(Y$33&gt;$C28,IF(LIFE_PRJ=1,X513,0),OFFSET(Проект!AC$1500,0,1-$B28)))</f>
        <v>35204.687024121085</v>
      </c>
      <c r="AA513" s="205"/>
    </row>
    <row r="514" spans="1:27" s="11" customFormat="1" outlineLevel="1" x14ac:dyDescent="0.2">
      <c r="A514" s="64" t="str">
        <f ca="1">Language!A$805</f>
        <v>Контроль сходимости баланса</v>
      </c>
      <c r="B514" s="145" t="str">
        <f ca="1">IF(OR(MAX(F514:Z514)&lt;&gt;0,MIN(F514:Z514)&lt;&gt;0),Language!A806,"")</f>
        <v/>
      </c>
      <c r="C514" s="64"/>
      <c r="D514" s="64"/>
      <c r="E514" s="64"/>
      <c r="F514" s="146">
        <f t="shared" ref="F514:T514" ca="1" si="82">IF(AND(0&lt;=ABS(F478-F512),ABS(F478-F512)&lt;=1),0,F478-F512)</f>
        <v>0</v>
      </c>
      <c r="G514" s="146">
        <f t="shared" ca="1" si="82"/>
        <v>0</v>
      </c>
      <c r="H514" s="146">
        <f t="shared" ca="1" si="82"/>
        <v>0</v>
      </c>
      <c r="I514" s="146">
        <f t="shared" ca="1" si="82"/>
        <v>0</v>
      </c>
      <c r="J514" s="146">
        <f t="shared" ca="1" si="82"/>
        <v>0</v>
      </c>
      <c r="K514" s="146">
        <f t="shared" ca="1" si="82"/>
        <v>0</v>
      </c>
      <c r="L514" s="146">
        <f t="shared" ca="1" si="82"/>
        <v>0</v>
      </c>
      <c r="M514" s="146">
        <f t="shared" ca="1" si="82"/>
        <v>0</v>
      </c>
      <c r="N514" s="146">
        <f t="shared" ca="1" si="82"/>
        <v>0</v>
      </c>
      <c r="O514" s="146">
        <f t="shared" ca="1" si="82"/>
        <v>0</v>
      </c>
      <c r="P514" s="146">
        <f t="shared" ca="1" si="82"/>
        <v>0</v>
      </c>
      <c r="Q514" s="146">
        <f t="shared" ca="1" si="82"/>
        <v>0</v>
      </c>
      <c r="R514" s="146">
        <f t="shared" ca="1" si="82"/>
        <v>0</v>
      </c>
      <c r="S514" s="146">
        <f t="shared" ca="1" si="82"/>
        <v>0</v>
      </c>
      <c r="T514" s="146">
        <f t="shared" ca="1" si="82"/>
        <v>0</v>
      </c>
      <c r="U514" s="146">
        <f t="shared" ref="U514" ca="1" si="83">IF(AND(0&lt;=ABS(U478-U512),ABS(U478-U512)&lt;=1),0,U478-U512)</f>
        <v>0</v>
      </c>
      <c r="V514" s="146">
        <f t="shared" ref="V514" ca="1" si="84">IF(AND(0&lt;=ABS(V478-V512),ABS(V478-V512)&lt;=1),0,V478-V512)</f>
        <v>0</v>
      </c>
      <c r="W514" s="146">
        <f t="shared" ref="W514" ca="1" si="85">IF(AND(0&lt;=ABS(W478-W512),ABS(W478-W512)&lt;=1),0,W478-W512)</f>
        <v>0</v>
      </c>
      <c r="X514" s="146">
        <f t="shared" ref="X514:Y514" ca="1" si="86">IF(AND(0&lt;=ABS(X478-X512),ABS(X478-X512)&lt;=1),0,X478-X512)</f>
        <v>0</v>
      </c>
      <c r="Y514" s="146">
        <f t="shared" ca="1" si="86"/>
        <v>0</v>
      </c>
      <c r="Z514" s="64"/>
      <c r="AA514" s="22"/>
    </row>
    <row r="515" spans="1:27" outlineLevel="1" x14ac:dyDescent="0.2"/>
    <row r="516" spans="1:27" outlineLevel="1" collapsed="1" x14ac:dyDescent="0.2">
      <c r="A516" s="11" t="str">
        <f ca="1">Language!A977</f>
        <v>График: Активы проектов</v>
      </c>
    </row>
    <row r="517" spans="1:27" hidden="1" outlineLevel="2" x14ac:dyDescent="0.2"/>
    <row r="518" spans="1:27" hidden="1" outlineLevel="2" x14ac:dyDescent="0.2"/>
    <row r="519" spans="1:27" hidden="1" outlineLevel="2" x14ac:dyDescent="0.2"/>
    <row r="520" spans="1:27" hidden="1" outlineLevel="2" x14ac:dyDescent="0.2"/>
    <row r="521" spans="1:27" hidden="1" outlineLevel="2" x14ac:dyDescent="0.2"/>
    <row r="522" spans="1:27" hidden="1" outlineLevel="2" x14ac:dyDescent="0.2"/>
    <row r="523" spans="1:27" hidden="1" outlineLevel="2" x14ac:dyDescent="0.2"/>
    <row r="524" spans="1:27" hidden="1" outlineLevel="2" x14ac:dyDescent="0.2"/>
    <row r="525" spans="1:27" hidden="1" outlineLevel="2" x14ac:dyDescent="0.2"/>
    <row r="526" spans="1:27" hidden="1" outlineLevel="2" x14ac:dyDescent="0.2"/>
    <row r="527" spans="1:27" hidden="1" outlineLevel="2" x14ac:dyDescent="0.2"/>
    <row r="528" spans="1:27" hidden="1" outlineLevel="2" x14ac:dyDescent="0.2"/>
    <row r="529" spans="1:1" hidden="1" outlineLevel="2" x14ac:dyDescent="0.2"/>
    <row r="530" spans="1:1" hidden="1" outlineLevel="2" x14ac:dyDescent="0.2"/>
    <row r="531" spans="1:1" hidden="1" outlineLevel="2" x14ac:dyDescent="0.2"/>
    <row r="532" spans="1:1" hidden="1" outlineLevel="2" x14ac:dyDescent="0.2"/>
    <row r="533" spans="1:1" hidden="1" outlineLevel="2" x14ac:dyDescent="0.2"/>
    <row r="534" spans="1:1" hidden="1" outlineLevel="2" x14ac:dyDescent="0.2"/>
    <row r="535" spans="1:1" hidden="1" outlineLevel="2" x14ac:dyDescent="0.2"/>
    <row r="536" spans="1:1" hidden="1" outlineLevel="2" x14ac:dyDescent="0.2"/>
    <row r="537" spans="1:1" hidden="1" outlineLevel="2" x14ac:dyDescent="0.2"/>
    <row r="538" spans="1:1" hidden="1" outlineLevel="2" x14ac:dyDescent="0.2"/>
    <row r="539" spans="1:1" hidden="1" outlineLevel="2" x14ac:dyDescent="0.2"/>
    <row r="540" spans="1:1" outlineLevel="1" x14ac:dyDescent="0.2"/>
    <row r="541" spans="1:1" outlineLevel="1" collapsed="1" x14ac:dyDescent="0.2">
      <c r="A541" s="11" t="str">
        <f ca="1">Language!A978</f>
        <v>График: Пассивы проектов</v>
      </c>
    </row>
    <row r="542" spans="1:1" hidden="1" outlineLevel="2" x14ac:dyDescent="0.2"/>
    <row r="543" spans="1:1" hidden="1" outlineLevel="2" x14ac:dyDescent="0.2"/>
    <row r="544" spans="1:1" hidden="1" outlineLevel="2" x14ac:dyDescent="0.2"/>
    <row r="545" hidden="1" outlineLevel="2" x14ac:dyDescent="0.2"/>
    <row r="546" hidden="1" outlineLevel="2" x14ac:dyDescent="0.2"/>
    <row r="547" hidden="1" outlineLevel="2" x14ac:dyDescent="0.2"/>
    <row r="548" hidden="1" outlineLevel="2" x14ac:dyDescent="0.2"/>
    <row r="549" hidden="1" outlineLevel="2" x14ac:dyDescent="0.2"/>
    <row r="550" hidden="1" outlineLevel="2" x14ac:dyDescent="0.2"/>
    <row r="551" hidden="1" outlineLevel="2" x14ac:dyDescent="0.2"/>
    <row r="552" hidden="1" outlineLevel="2" x14ac:dyDescent="0.2"/>
    <row r="553" hidden="1" outlineLevel="2" x14ac:dyDescent="0.2"/>
    <row r="554" hidden="1" outlineLevel="2" x14ac:dyDescent="0.2"/>
    <row r="555" hidden="1" outlineLevel="2" x14ac:dyDescent="0.2"/>
    <row r="556" hidden="1" outlineLevel="2" x14ac:dyDescent="0.2"/>
    <row r="557" hidden="1" outlineLevel="2" x14ac:dyDescent="0.2"/>
    <row r="558" hidden="1" outlineLevel="2" x14ac:dyDescent="0.2"/>
    <row r="559" hidden="1" outlineLevel="2" x14ac:dyDescent="0.2"/>
    <row r="560" hidden="1" outlineLevel="2" x14ac:dyDescent="0.2"/>
    <row r="561" spans="1:27" hidden="1" outlineLevel="2" x14ac:dyDescent="0.2"/>
    <row r="562" spans="1:27" hidden="1" outlineLevel="2" x14ac:dyDescent="0.2"/>
    <row r="563" spans="1:27" hidden="1" outlineLevel="2" x14ac:dyDescent="0.2"/>
    <row r="564" spans="1:27" hidden="1" outlineLevel="2" x14ac:dyDescent="0.2"/>
    <row r="565" spans="1:27" outlineLevel="1" x14ac:dyDescent="0.2"/>
    <row r="566" spans="1:27" outlineLevel="1" x14ac:dyDescent="0.2"/>
    <row r="567" spans="1:27" s="4" customFormat="1" ht="15.95" customHeight="1" thickBot="1" x14ac:dyDescent="0.25">
      <c r="A567" s="165" t="str">
        <f ca="1">Language!A979</f>
        <v xml:space="preserve">         СВОДНЫЕ ПОКАЗАТЕЛИ ФИНАНСОВОЙ СОСТОЯТЕЛЬНОСТИ</v>
      </c>
      <c r="B567" s="165"/>
      <c r="C567" s="165"/>
      <c r="D567" s="165"/>
      <c r="E567" s="165"/>
      <c r="F567" s="177" t="str">
        <f ca="1">IF(Проект!ShowRealDates,F36,F34)</f>
        <v>1 кв. 2016</v>
      </c>
      <c r="G567" s="177" t="str">
        <f ca="1">IF(Проект!ShowRealDates,G36,G34)</f>
        <v>2 кв. 2016</v>
      </c>
      <c r="H567" s="177" t="str">
        <f ca="1">IF(Проект!ShowRealDates,H36,H34)</f>
        <v>3 кв. 2016</v>
      </c>
      <c r="I567" s="177" t="str">
        <f ca="1">IF(Проект!ShowRealDates,I36,I34)</f>
        <v>4 кв. 2016</v>
      </c>
      <c r="J567" s="177" t="str">
        <f ca="1">IF(Проект!ShowRealDates,J36,J34)</f>
        <v>1 кв. 2017</v>
      </c>
      <c r="K567" s="177" t="str">
        <f ca="1">IF(Проект!ShowRealDates,K36,K34)</f>
        <v>2 кв. 2017</v>
      </c>
      <c r="L567" s="177" t="str">
        <f ca="1">IF(Проект!ShowRealDates,L36,L34)</f>
        <v>3 кв. 2017</v>
      </c>
      <c r="M567" s="177" t="str">
        <f ca="1">IF(Проект!ShowRealDates,M36,M34)</f>
        <v>4 кв. 2017</v>
      </c>
      <c r="N567" s="177" t="str">
        <f ca="1">IF(Проект!ShowRealDates,N36,N34)</f>
        <v>1 кв. 2018</v>
      </c>
      <c r="O567" s="177" t="str">
        <f ca="1">IF(Проект!ShowRealDates,O36,O34)</f>
        <v>2 кв. 2018</v>
      </c>
      <c r="P567" s="177" t="str">
        <f ca="1">IF(Проект!ShowRealDates,P36,P34)</f>
        <v>3 кв. 2018</v>
      </c>
      <c r="Q567" s="177" t="str">
        <f ca="1">IF(Проект!ShowRealDates,Q36,Q34)</f>
        <v>4 кв. 2018</v>
      </c>
      <c r="R567" s="177" t="str">
        <f ca="1">IF(Проект!ShowRealDates,R36,R34)</f>
        <v>1 кв. 2019</v>
      </c>
      <c r="S567" s="177" t="str">
        <f ca="1">IF(Проект!ShowRealDates,S36,S34)</f>
        <v>2 кв. 2019</v>
      </c>
      <c r="T567" s="177" t="str">
        <f ca="1">IF(Проект!ShowRealDates,T36,T34)</f>
        <v>3 кв. 2019</v>
      </c>
      <c r="U567" s="177" t="str">
        <f ca="1">IF(Проект!ShowRealDates,U36,U34)</f>
        <v>4 кв. 2019</v>
      </c>
      <c r="V567" s="177" t="str">
        <f ca="1">IF(Проект!ShowRealDates,V36,V34)</f>
        <v>1 кв. 2020</v>
      </c>
      <c r="W567" s="177" t="str">
        <f ca="1">IF(Проект!ShowRealDates,W36,W34)</f>
        <v>2 кв. 2020</v>
      </c>
      <c r="X567" s="177" t="str">
        <f ca="1">IF(Проект!ShowRealDates,X36,X34)</f>
        <v>3 кв. 2020</v>
      </c>
      <c r="Y567" s="177" t="str">
        <f ca="1">IF(Проект!ShowRealDates,Y36,Y34)</f>
        <v>4 кв. 2020</v>
      </c>
      <c r="Z567" s="166"/>
      <c r="AA567" s="109"/>
    </row>
    <row r="568" spans="1:27" ht="12" outlineLevel="1" thickTop="1" x14ac:dyDescent="0.2"/>
    <row r="569" spans="1:27" outlineLevel="1" x14ac:dyDescent="0.2">
      <c r="A569" t="str">
        <f ca="1">Language!A$810</f>
        <v>Рентабельность активов</v>
      </c>
      <c r="C569" s="17" t="s">
        <v>2430</v>
      </c>
      <c r="D569" s="16" t="s">
        <v>2429</v>
      </c>
      <c r="F569" s="157" t="str">
        <f t="shared" ref="F569:T569" ca="1" si="87">IF(F478&gt;0,F172/IF(OR(F$33=1,F$33=PRJ_Len),F478,(F478+OFFSET(F478,0,-1))/2)*360/PRJ_Step,"-")</f>
        <v>-</v>
      </c>
      <c r="G569" s="157" t="str">
        <f t="shared" ca="1" si="87"/>
        <v>-</v>
      </c>
      <c r="H569" s="157">
        <f t="shared" ca="1" si="87"/>
        <v>0</v>
      </c>
      <c r="I569" s="157">
        <f t="shared" ca="1" si="87"/>
        <v>0</v>
      </c>
      <c r="J569" s="157">
        <f t="shared" ca="1" si="87"/>
        <v>-0.10646152162064888</v>
      </c>
      <c r="K569" s="157">
        <f t="shared" ca="1" si="87"/>
        <v>-0.13359208250427435</v>
      </c>
      <c r="L569" s="157">
        <f t="shared" ca="1" si="87"/>
        <v>8.9301173221077966E-3</v>
      </c>
      <c r="M569" s="157">
        <f t="shared" ca="1" si="87"/>
        <v>0.12309289915124753</v>
      </c>
      <c r="N569" s="157">
        <f t="shared" ca="1" si="87"/>
        <v>0.2084505419885555</v>
      </c>
      <c r="O569" s="157">
        <f t="shared" ca="1" si="87"/>
        <v>0.24665572371504377</v>
      </c>
      <c r="P569" s="157">
        <f t="shared" ca="1" si="87"/>
        <v>0.23208426793843373</v>
      </c>
      <c r="Q569" s="157">
        <f t="shared" ca="1" si="87"/>
        <v>0.21935694399723132</v>
      </c>
      <c r="R569" s="157">
        <f t="shared" ca="1" si="87"/>
        <v>0.20795296241462075</v>
      </c>
      <c r="S569" s="157">
        <f t="shared" ca="1" si="87"/>
        <v>0.19767612829521039</v>
      </c>
      <c r="T569" s="157">
        <f t="shared" ca="1" si="87"/>
        <v>0.1883672034273802</v>
      </c>
      <c r="U569" s="157">
        <f t="shared" ref="U569" ca="1" si="88">IF(U478&gt;0,U172/IF(OR(U$33=1,U$33=PRJ_Len),U478,(U478+OFFSET(U478,0,-1))/2)*360/PRJ_Step,"-")</f>
        <v>0.17989559585247208</v>
      </c>
      <c r="V569" s="157">
        <f t="shared" ref="V569" ca="1" si="89">IF(V478&gt;0,V172/IF(OR(V$33=1,V$33=PRJ_Len),V478,(V478+OFFSET(V478,0,-1))/2)*360/PRJ_Step,"-")</f>
        <v>0.17215319543480906</v>
      </c>
      <c r="W569" s="157">
        <f t="shared" ref="W569" ca="1" si="90">IF(W478&gt;0,W172/IF(OR(W$33=1,W$33=PRJ_Len),W478,(W478+OFFSET(W478,0,-1))/2)*360/PRJ_Step,"-")</f>
        <v>0.165049735588022</v>
      </c>
      <c r="X569" s="157">
        <f t="shared" ref="X569:Y569" ca="1" si="91">IF(X478&gt;0,X172/IF(OR(X$33=1,X$33=PRJ_Len),X478,(X478+OFFSET(X478,0,-1))/2)*360/PRJ_Step,"-")</f>
        <v>0.15850925781535261</v>
      </c>
      <c r="Y569" s="157">
        <f t="shared" ca="1" si="91"/>
        <v>0.12628897350471102</v>
      </c>
      <c r="AA569" s="11"/>
    </row>
    <row r="570" spans="1:27" outlineLevel="1" x14ac:dyDescent="0.2">
      <c r="A570" t="str">
        <f ca="1">Language!A$811</f>
        <v>Рентабельность собственного капитала</v>
      </c>
      <c r="C570" s="17" t="s">
        <v>2430</v>
      </c>
      <c r="D570" s="16" t="s">
        <v>2429</v>
      </c>
      <c r="F570" s="157" t="str">
        <f t="shared" ref="F570:T570" ca="1" si="92">IF(F509&gt;0,F172/IF(OR(F$33=1,F$33=PRJ_Len),F509,(F509+OFFSET(F509,0,-1))/2)*360/PRJ_Step,"-")</f>
        <v>-</v>
      </c>
      <c r="G570" s="157" t="str">
        <f t="shared" ca="1" si="92"/>
        <v>-</v>
      </c>
      <c r="H570" s="157">
        <f t="shared" ca="1" si="92"/>
        <v>0</v>
      </c>
      <c r="I570" s="157">
        <f t="shared" ca="1" si="92"/>
        <v>0</v>
      </c>
      <c r="J570" s="157">
        <f t="shared" ca="1" si="92"/>
        <v>-0.11703807205432649</v>
      </c>
      <c r="K570" s="157">
        <f t="shared" ca="1" si="92"/>
        <v>-0.14328930703662948</v>
      </c>
      <c r="L570" s="157">
        <f t="shared" ca="1" si="92"/>
        <v>8.9839329782943865E-3</v>
      </c>
      <c r="M570" s="157">
        <f t="shared" ca="1" si="92"/>
        <v>0.12382239454573912</v>
      </c>
      <c r="N570" s="157">
        <f t="shared" ca="1" si="92"/>
        <v>0.20992243952135103</v>
      </c>
      <c r="O570" s="157">
        <f t="shared" ca="1" si="92"/>
        <v>0.24890008854172424</v>
      </c>
      <c r="P570" s="157">
        <f t="shared" ca="1" si="92"/>
        <v>0.23431954939392316</v>
      </c>
      <c r="Q570" s="157">
        <f t="shared" ca="1" si="92"/>
        <v>0.22135273132842542</v>
      </c>
      <c r="R570" s="157">
        <f t="shared" ca="1" si="92"/>
        <v>0.20974578095374422</v>
      </c>
      <c r="S570" s="157">
        <f t="shared" ca="1" si="92"/>
        <v>0.19929543670090691</v>
      </c>
      <c r="T570" s="157">
        <f t="shared" ca="1" si="92"/>
        <v>0.18983702357220136</v>
      </c>
      <c r="U570" s="157">
        <f t="shared" ref="U570" ca="1" si="93">IF(U509&gt;0,U172/IF(OR(U$33=1,U$33=PRJ_Len),U509,(U509+OFFSET(U509,0,-1))/2)*360/PRJ_Step,"-")</f>
        <v>0.18123571156030188</v>
      </c>
      <c r="V570" s="157">
        <f t="shared" ref="V570" ca="1" si="94">IF(V509&gt;0,V172/IF(OR(V$33=1,V$33=PRJ_Len),V509,(V509+OFFSET(V509,0,-1))/2)*360/PRJ_Step,"-")</f>
        <v>0.17338004749095631</v>
      </c>
      <c r="W570" s="157">
        <f t="shared" ref="W570" ca="1" si="95">IF(W509&gt;0,W172/IF(OR(W$33=1,W$33=PRJ_Len),W509,(W509+OFFSET(W509,0,-1))/2)*360/PRJ_Step,"-")</f>
        <v>0.16617709915510112</v>
      </c>
      <c r="X570" s="157">
        <f t="shared" ref="X570:Y570" ca="1" si="96">IF(X509&gt;0,X172/IF(OR(X$33=1,X$33=PRJ_Len),X509,(X509+OFFSET(X509,0,-1))/2)*360/PRJ_Step,"-")</f>
        <v>0.15954876156253825</v>
      </c>
      <c r="Y570" s="157">
        <f t="shared" ca="1" si="96"/>
        <v>0.12694794876510435</v>
      </c>
      <c r="AA570" s="11"/>
    </row>
    <row r="571" spans="1:27" outlineLevel="1" x14ac:dyDescent="0.2">
      <c r="A571" t="str">
        <f ca="1">Language!A$812</f>
        <v>Рентабельность внеоборотных активов</v>
      </c>
      <c r="C571" s="17" t="s">
        <v>2430</v>
      </c>
      <c r="D571" s="16" t="s">
        <v>2429</v>
      </c>
      <c r="F571" s="157" t="str">
        <f t="shared" ref="F571:T571" ca="1" si="97">IF(F475&gt;0,F172/IF(OR(F$33=1,F$33=PRJ_Len),F475,(F475+OFFSET(F475,0,-1))/2)*360/PRJ_Step,"-")</f>
        <v>-</v>
      </c>
      <c r="G571" s="157" t="str">
        <f t="shared" ca="1" si="97"/>
        <v>-</v>
      </c>
      <c r="H571" s="157">
        <f t="shared" ca="1" si="97"/>
        <v>0</v>
      </c>
      <c r="I571" s="157">
        <f t="shared" ca="1" si="97"/>
        <v>0</v>
      </c>
      <c r="J571" s="157">
        <f t="shared" ca="1" si="97"/>
        <v>-0.12911796510331525</v>
      </c>
      <c r="K571" s="157">
        <f t="shared" ca="1" si="97"/>
        <v>-0.16559983427273942</v>
      </c>
      <c r="L571" s="157">
        <f t="shared" ca="1" si="97"/>
        <v>1.1502826941248386E-2</v>
      </c>
      <c r="M571" s="157">
        <f t="shared" ca="1" si="97"/>
        <v>0.16520542884120915</v>
      </c>
      <c r="N571" s="157">
        <f t="shared" ca="1" si="97"/>
        <v>0.29949819567213376</v>
      </c>
      <c r="O571" s="157">
        <f t="shared" ca="1" si="97"/>
        <v>0.38592942911914718</v>
      </c>
      <c r="P571" s="157">
        <f t="shared" ca="1" si="97"/>
        <v>0.39625491820401343</v>
      </c>
      <c r="Q571" s="157">
        <f t="shared" ca="1" si="97"/>
        <v>0.40714811019866265</v>
      </c>
      <c r="R571" s="157">
        <f t="shared" ca="1" si="97"/>
        <v>0.41865714763805562</v>
      </c>
      <c r="S571" s="157">
        <f t="shared" ca="1" si="97"/>
        <v>0.43083577487229635</v>
      </c>
      <c r="T571" s="157">
        <f t="shared" ca="1" si="97"/>
        <v>0.44374417725511439</v>
      </c>
      <c r="U571" s="157">
        <f t="shared" ref="U571" ca="1" si="98">IF(U475&gt;0,U172/IF(OR(U$33=1,U$33=PRJ_Len),U475,(U475+OFFSET(U475,0,-1))/2)*360/PRJ_Step,"-")</f>
        <v>0.45744997585098351</v>
      </c>
      <c r="V571" s="157">
        <f t="shared" ref="V571" ca="1" si="99">IF(V475&gt;0,V172/IF(OR(V$33=1,V$33=PRJ_Len),V475,(V475+OFFSET(V475,0,-1))/2)*360/PRJ_Step,"-")</f>
        <v>0.4720294123567349</v>
      </c>
      <c r="W571" s="157">
        <f t="shared" ref="W571" ca="1" si="100">IF(W475&gt;0,W172/IF(OR(W$33=1,W$33=PRJ_Len),W475,(W475+OFFSET(W475,0,-1))/2)*360/PRJ_Step,"-")</f>
        <v>0.48756876807110894</v>
      </c>
      <c r="X571" s="157">
        <f t="shared" ref="X571:Y571" ca="1" si="101">IF(X475&gt;0,X172/IF(OR(X$33=1,X$33=PRJ_Len),X475,(X475+OFFSET(X475,0,-1))/2)*360/PRJ_Step,"-")</f>
        <v>0.50416607268274449</v>
      </c>
      <c r="Y571" s="157">
        <f t="shared" ca="1" si="101"/>
        <v>0.62030231754473186</v>
      </c>
      <c r="AA571" s="11"/>
    </row>
    <row r="572" spans="1:27" outlineLevel="1" x14ac:dyDescent="0.2">
      <c r="A572" t="str">
        <f ca="1">Language!A$813</f>
        <v>Прямые расходы к выручке от реализации</v>
      </c>
      <c r="C572" s="17" t="s">
        <v>2430</v>
      </c>
      <c r="D572" s="16" t="s">
        <v>2429</v>
      </c>
      <c r="F572" s="157" t="str">
        <f t="shared" ref="F572:T572" ca="1" si="102">IF(F127&gt;0,F129/F127,"-")</f>
        <v>-</v>
      </c>
      <c r="G572" s="157" t="str">
        <f t="shared" ca="1" si="102"/>
        <v>-</v>
      </c>
      <c r="H572" s="157" t="str">
        <f t="shared" ca="1" si="102"/>
        <v>-</v>
      </c>
      <c r="I572" s="157" t="str">
        <f t="shared" ca="1" si="102"/>
        <v>-</v>
      </c>
      <c r="J572" s="157" t="str">
        <f t="shared" ca="1" si="102"/>
        <v>-</v>
      </c>
      <c r="K572" s="157">
        <f t="shared" ca="1" si="102"/>
        <v>1.556699623953508</v>
      </c>
      <c r="L572" s="157">
        <f t="shared" ca="1" si="102"/>
        <v>0.91836867024595492</v>
      </c>
      <c r="M572" s="157">
        <f t="shared" ca="1" si="102"/>
        <v>0.83211609339478443</v>
      </c>
      <c r="N572" s="157">
        <f t="shared" ca="1" si="102"/>
        <v>0.78979332259911694</v>
      </c>
      <c r="O572" s="157">
        <f t="shared" ca="1" si="102"/>
        <v>0.77433228154985068</v>
      </c>
      <c r="P572" s="157">
        <f t="shared" ca="1" si="102"/>
        <v>0.77433228154985068</v>
      </c>
      <c r="Q572" s="157">
        <f t="shared" ca="1" si="102"/>
        <v>0.77433228154985068</v>
      </c>
      <c r="R572" s="157">
        <f t="shared" ca="1" si="102"/>
        <v>0.77433228154985068</v>
      </c>
      <c r="S572" s="157">
        <f t="shared" ca="1" si="102"/>
        <v>0.77433228154985068</v>
      </c>
      <c r="T572" s="157">
        <f t="shared" ca="1" si="102"/>
        <v>0.77433228154985068</v>
      </c>
      <c r="U572" s="157">
        <f t="shared" ref="U572" ca="1" si="103">IF(U127&gt;0,U129/U127,"-")</f>
        <v>0.77433228154985068</v>
      </c>
      <c r="V572" s="157">
        <f t="shared" ref="V572" ca="1" si="104">IF(V127&gt;0,V129/V127,"-")</f>
        <v>0.77433228154985068</v>
      </c>
      <c r="W572" s="157">
        <f t="shared" ref="W572" ca="1" si="105">IF(W127&gt;0,W129/W127,"-")</f>
        <v>0.77433228154985068</v>
      </c>
      <c r="X572" s="157">
        <f t="shared" ref="X572:Y572" ca="1" si="106">IF(X127&gt;0,X129/X127,"-")</f>
        <v>0.77433228154985068</v>
      </c>
      <c r="Y572" s="157">
        <f t="shared" ca="1" si="106"/>
        <v>0.77433228154985068</v>
      </c>
      <c r="AA572" s="11"/>
    </row>
    <row r="573" spans="1:27" outlineLevel="1" x14ac:dyDescent="0.2">
      <c r="A573" t="str">
        <f ca="1">Language!A$814</f>
        <v>Прибыльность продаж</v>
      </c>
      <c r="C573" s="17" t="s">
        <v>2430</v>
      </c>
      <c r="D573" s="16" t="s">
        <v>2429</v>
      </c>
      <c r="F573" s="157" t="str">
        <f t="shared" ref="F573:T573" ca="1" si="107">IF(F127&gt;0,F172/F127,"-")</f>
        <v>-</v>
      </c>
      <c r="G573" s="157" t="str">
        <f t="shared" ca="1" si="107"/>
        <v>-</v>
      </c>
      <c r="H573" s="157" t="str">
        <f t="shared" ca="1" si="107"/>
        <v>-</v>
      </c>
      <c r="I573" s="157" t="str">
        <f t="shared" ca="1" si="107"/>
        <v>-</v>
      </c>
      <c r="J573" s="157" t="str">
        <f t="shared" ca="1" si="107"/>
        <v>-</v>
      </c>
      <c r="K573" s="157">
        <f t="shared" ca="1" si="107"/>
        <v>-0.75951817457962389</v>
      </c>
      <c r="L573" s="157">
        <f t="shared" ca="1" si="107"/>
        <v>1.3477059435166394E-2</v>
      </c>
      <c r="M573" s="157">
        <f t="shared" ca="1" si="107"/>
        <v>0.11773420550074816</v>
      </c>
      <c r="N573" s="157">
        <f t="shared" ca="1" si="107"/>
        <v>0.14595256285397906</v>
      </c>
      <c r="O573" s="157">
        <f t="shared" ca="1" si="107"/>
        <v>0.15220703688452486</v>
      </c>
      <c r="P573" s="157">
        <f t="shared" ca="1" si="107"/>
        <v>0.15220703688452486</v>
      </c>
      <c r="Q573" s="157">
        <f t="shared" ca="1" si="107"/>
        <v>0.15220703688452486</v>
      </c>
      <c r="R573" s="157">
        <f t="shared" ca="1" si="107"/>
        <v>0.15220703688452486</v>
      </c>
      <c r="S573" s="157">
        <f t="shared" ca="1" si="107"/>
        <v>0.15220703688452486</v>
      </c>
      <c r="T573" s="157">
        <f t="shared" ca="1" si="107"/>
        <v>0.15220703688452486</v>
      </c>
      <c r="U573" s="157">
        <f t="shared" ref="U573" ca="1" si="108">IF(U127&gt;0,U172/U127,"-")</f>
        <v>0.15220703688452486</v>
      </c>
      <c r="V573" s="157">
        <f t="shared" ref="V573" ca="1" si="109">IF(V127&gt;0,V172/V127,"-")</f>
        <v>0.15220703688452486</v>
      </c>
      <c r="W573" s="157">
        <f t="shared" ref="W573" ca="1" si="110">IF(W127&gt;0,W172/W127,"-")</f>
        <v>0.15220703688452486</v>
      </c>
      <c r="X573" s="157">
        <f t="shared" ref="X573:Y573" ca="1" si="111">IF(X127&gt;0,X172/X127,"-")</f>
        <v>0.15220703688452486</v>
      </c>
      <c r="Y573" s="157">
        <f t="shared" ca="1" si="111"/>
        <v>0.15220703688452486</v>
      </c>
      <c r="AA573" s="11"/>
    </row>
    <row r="574" spans="1:27" outlineLevel="1" x14ac:dyDescent="0.2">
      <c r="AA574" s="11"/>
    </row>
    <row r="575" spans="1:27" outlineLevel="1" x14ac:dyDescent="0.2">
      <c r="A575" s="118" t="str">
        <f ca="1">Language!A$815</f>
        <v>Доля постоянных  затрат</v>
      </c>
      <c r="C575" s="17" t="s">
        <v>2430</v>
      </c>
      <c r="D575" s="16" t="s">
        <v>2429</v>
      </c>
      <c r="F575" s="292">
        <f t="shared" ref="F575:T575" ca="1" si="112">IF((F129+F146+F148+F150)&gt;0,(F136+F138+F140+F142+F146+F148+F150)/(F129+F146+F148+F150),0)</f>
        <v>0</v>
      </c>
      <c r="G575" s="292">
        <f t="shared" ca="1" si="112"/>
        <v>0</v>
      </c>
      <c r="H575" s="292">
        <f t="shared" ca="1" si="112"/>
        <v>0</v>
      </c>
      <c r="I575" s="292">
        <f t="shared" ca="1" si="112"/>
        <v>0</v>
      </c>
      <c r="J575" s="292">
        <f t="shared" ca="1" si="112"/>
        <v>1</v>
      </c>
      <c r="K575" s="292">
        <f t="shared" ca="1" si="112"/>
        <v>0.61967427131554198</v>
      </c>
      <c r="L575" s="292">
        <f t="shared" ca="1" si="112"/>
        <v>0.31110351263506747</v>
      </c>
      <c r="M575" s="292">
        <f t="shared" ca="1" si="112"/>
        <v>0.22988204136424598</v>
      </c>
      <c r="N575" s="292">
        <f t="shared" ca="1" si="112"/>
        <v>0.18224278861632501</v>
      </c>
      <c r="O575" s="292">
        <f t="shared" ca="1" si="112"/>
        <v>0.1614269138910023</v>
      </c>
      <c r="P575" s="292">
        <f t="shared" ca="1" si="112"/>
        <v>0.1614269138910023</v>
      </c>
      <c r="Q575" s="292">
        <f t="shared" ca="1" si="112"/>
        <v>0.1614269138910023</v>
      </c>
      <c r="R575" s="292">
        <f t="shared" ca="1" si="112"/>
        <v>0.1614269138910023</v>
      </c>
      <c r="S575" s="292">
        <f t="shared" ca="1" si="112"/>
        <v>0.1614269138910023</v>
      </c>
      <c r="T575" s="292">
        <f t="shared" ca="1" si="112"/>
        <v>0.1614269138910023</v>
      </c>
      <c r="U575" s="292">
        <f t="shared" ref="U575" ca="1" si="113">IF((U129+U146+U148+U150)&gt;0,(U136+U138+U140+U142+U146+U148+U150)/(U129+U146+U148+U150),0)</f>
        <v>0.1614269138910023</v>
      </c>
      <c r="V575" s="292">
        <f t="shared" ref="V575" ca="1" si="114">IF((V129+V146+V148+V150)&gt;0,(V136+V138+V140+V142+V146+V148+V150)/(V129+V146+V148+V150),0)</f>
        <v>0.1614269138910023</v>
      </c>
      <c r="W575" s="292">
        <f t="shared" ref="W575" ca="1" si="115">IF((W129+W146+W148+W150)&gt;0,(W136+W138+W140+W142+W146+W148+W150)/(W129+W146+W148+W150),0)</f>
        <v>0.1614269138910023</v>
      </c>
      <c r="X575" s="292">
        <f t="shared" ref="X575:Y575" ca="1" si="116">IF((X129+X146+X148+X150)&gt;0,(X136+X138+X140+X142+X146+X148+X150)/(X129+X146+X148+X150),0)</f>
        <v>0.1614269138910023</v>
      </c>
      <c r="Y575" s="292">
        <f t="shared" ca="1" si="116"/>
        <v>0.1614269138910023</v>
      </c>
      <c r="AA575" s="11"/>
    </row>
    <row r="576" spans="1:27" outlineLevel="1" x14ac:dyDescent="0.2">
      <c r="A576" s="118" t="str">
        <f ca="1">Language!A$816</f>
        <v>Точка безубыточности</v>
      </c>
      <c r="C576" s="5" t="str">
        <f ca="1">CUR_Report</f>
        <v>тыс. EUR</v>
      </c>
      <c r="D576" s="16" t="s">
        <v>2429</v>
      </c>
      <c r="F576" s="143" t="str">
        <f t="shared" ref="F576:T576" ca="1" si="117">IF((F127-(F129+F146+F148+F150)*(1-F575))=0,"-",F575*(F129+F146+F148+F150)/(F127-(F129+F146+F148+F150)*(1-F575))*F127)</f>
        <v>-</v>
      </c>
      <c r="G576" s="143" t="str">
        <f t="shared" ca="1" si="117"/>
        <v>-</v>
      </c>
      <c r="H576" s="143" t="str">
        <f t="shared" ca="1" si="117"/>
        <v>-</v>
      </c>
      <c r="I576" s="143" t="str">
        <f t="shared" ca="1" si="117"/>
        <v>-</v>
      </c>
      <c r="J576" s="143" t="str">
        <f t="shared" ca="1" si="117"/>
        <v>-</v>
      </c>
      <c r="K576" s="143">
        <f t="shared" ca="1" si="117"/>
        <v>2282.054519404157</v>
      </c>
      <c r="L576" s="143">
        <f t="shared" ca="1" si="117"/>
        <v>2576.7843881609483</v>
      </c>
      <c r="M576" s="143">
        <f t="shared" ca="1" si="117"/>
        <v>2743.0813189971382</v>
      </c>
      <c r="N576" s="143">
        <f t="shared" ca="1" si="117"/>
        <v>2930.6032268751514</v>
      </c>
      <c r="O576" s="143">
        <f t="shared" ca="1" si="117"/>
        <v>3071.7307605891556</v>
      </c>
      <c r="P576" s="143">
        <f t="shared" ca="1" si="117"/>
        <v>3071.7307605891556</v>
      </c>
      <c r="Q576" s="143">
        <f t="shared" ca="1" si="117"/>
        <v>3071.7307605891556</v>
      </c>
      <c r="R576" s="143">
        <f t="shared" ca="1" si="117"/>
        <v>3071.7307605891556</v>
      </c>
      <c r="S576" s="143">
        <f t="shared" ca="1" si="117"/>
        <v>3071.7307605891556</v>
      </c>
      <c r="T576" s="143">
        <f t="shared" ca="1" si="117"/>
        <v>3071.7307605891556</v>
      </c>
      <c r="U576" s="143">
        <f t="shared" ref="U576" ca="1" si="118">IF((U127-(U129+U146+U148+U150)*(1-U575))=0,"-",U575*(U129+U146+U148+U150)/(U127-(U129+U146+U148+U150)*(1-U575))*U127)</f>
        <v>3071.7307605891556</v>
      </c>
      <c r="V576" s="143">
        <f t="shared" ref="V576" ca="1" si="119">IF((V127-(V129+V146+V148+V150)*(1-V575))=0,"-",V575*(V129+V146+V148+V150)/(V127-(V129+V146+V148+V150)*(1-V575))*V127)</f>
        <v>3071.7307605891556</v>
      </c>
      <c r="W576" s="143">
        <f t="shared" ref="W576" ca="1" si="120">IF((W127-(W129+W146+W148+W150)*(1-W575))=0,"-",W575*(W129+W146+W148+W150)/(W127-(W129+W146+W148+W150)*(1-W575))*W127)</f>
        <v>3071.7307605891556</v>
      </c>
      <c r="X576" s="143">
        <f t="shared" ref="X576:Y576" ca="1" si="121">IF((X127-(X129+X146+X148+X150)*(1-X575))=0,"-",X575*(X129+X146+X148+X150)/(X127-(X129+X146+X148+X150)*(1-X575))*X127)</f>
        <v>3071.7307605891556</v>
      </c>
      <c r="Y576" s="143">
        <f t="shared" ca="1" si="121"/>
        <v>3071.7307605891556</v>
      </c>
      <c r="AA576" s="11"/>
    </row>
    <row r="577" spans="1:27" outlineLevel="1" x14ac:dyDescent="0.2">
      <c r="A577" s="118" t="str">
        <f ca="1">Language!A$817</f>
        <v>"Запас прочности"</v>
      </c>
      <c r="C577" s="17" t="s">
        <v>2430</v>
      </c>
      <c r="D577" s="16" t="s">
        <v>2429</v>
      </c>
      <c r="F577" s="157" t="str">
        <f t="shared" ref="F577:T577" ca="1" si="122">IF(ISERR((F127-F576)/F127),"-",(F127-F576)/F127)</f>
        <v>-</v>
      </c>
      <c r="G577" s="157" t="str">
        <f t="shared" ca="1" si="122"/>
        <v>-</v>
      </c>
      <c r="H577" s="157" t="str">
        <f t="shared" ca="1" si="122"/>
        <v>-</v>
      </c>
      <c r="I577" s="157" t="str">
        <f t="shared" ca="1" si="122"/>
        <v>-</v>
      </c>
      <c r="J577" s="157" t="str">
        <f t="shared" ca="1" si="122"/>
        <v>-</v>
      </c>
      <c r="K577" s="157">
        <f t="shared" ca="1" si="122"/>
        <v>-2.1936458327750019</v>
      </c>
      <c r="L577" s="157">
        <f t="shared" ca="1" si="122"/>
        <v>5.654223305318621E-2</v>
      </c>
      <c r="M577" s="157">
        <f t="shared" ca="1" si="122"/>
        <v>0.3739688214070187</v>
      </c>
      <c r="N577" s="157">
        <f t="shared" ca="1" si="122"/>
        <v>0.53102999405962936</v>
      </c>
      <c r="O577" s="157">
        <f t="shared" ca="1" si="122"/>
        <v>0.59181946473860991</v>
      </c>
      <c r="P577" s="157">
        <f t="shared" ca="1" si="122"/>
        <v>0.59181946473860991</v>
      </c>
      <c r="Q577" s="157">
        <f t="shared" ca="1" si="122"/>
        <v>0.59181946473860991</v>
      </c>
      <c r="R577" s="157">
        <f t="shared" ca="1" si="122"/>
        <v>0.59181946473860991</v>
      </c>
      <c r="S577" s="157">
        <f t="shared" ca="1" si="122"/>
        <v>0.59181946473860991</v>
      </c>
      <c r="T577" s="157">
        <f t="shared" ca="1" si="122"/>
        <v>0.59181946473860991</v>
      </c>
      <c r="U577" s="157">
        <f t="shared" ref="U577" ca="1" si="123">IF(ISERR((U127-U576)/U127),"-",(U127-U576)/U127)</f>
        <v>0.59181946473860991</v>
      </c>
      <c r="V577" s="157">
        <f t="shared" ref="V577" ca="1" si="124">IF(ISERR((V127-V576)/V127),"-",(V127-V576)/V127)</f>
        <v>0.59181946473860991</v>
      </c>
      <c r="W577" s="157">
        <f t="shared" ref="W577" ca="1" si="125">IF(ISERR((W127-W576)/W127),"-",(W127-W576)/W127)</f>
        <v>0.59181946473860991</v>
      </c>
      <c r="X577" s="157">
        <f t="shared" ref="X577:Y577" ca="1" si="126">IF(ISERR((X127-X576)/X127),"-",(X127-X576)/X127)</f>
        <v>0.59181946473860991</v>
      </c>
      <c r="Y577" s="157">
        <f t="shared" ca="1" si="126"/>
        <v>0.59181946473860991</v>
      </c>
      <c r="AA577" s="11"/>
    </row>
    <row r="578" spans="1:27" outlineLevel="1" x14ac:dyDescent="0.2">
      <c r="AA578" s="11"/>
    </row>
    <row r="579" spans="1:27" outlineLevel="1" x14ac:dyDescent="0.2">
      <c r="A579" t="str">
        <f ca="1">Language!A$818</f>
        <v>Рентабельность по EBITDA</v>
      </c>
      <c r="C579" s="17" t="s">
        <v>2430</v>
      </c>
      <c r="D579" s="16" t="s">
        <v>2429</v>
      </c>
      <c r="F579" s="61" t="str">
        <f t="shared" ref="F579:T579" ca="1" si="127">IF((F129+F146+F148+F150+F152)&gt;0,F176/(F129+F146+F148+F150+F152),"-")</f>
        <v>-</v>
      </c>
      <c r="G579" s="61" t="str">
        <f t="shared" ca="1" si="127"/>
        <v>-</v>
      </c>
      <c r="H579" s="61" t="str">
        <f t="shared" ca="1" si="127"/>
        <v>-</v>
      </c>
      <c r="I579" s="61" t="str">
        <f t="shared" ca="1" si="127"/>
        <v>-</v>
      </c>
      <c r="J579" s="61">
        <f t="shared" ca="1" si="127"/>
        <v>0</v>
      </c>
      <c r="K579" s="61">
        <f t="shared" ca="1" si="127"/>
        <v>-0.18561414472251095</v>
      </c>
      <c r="L579" s="61">
        <f t="shared" ca="1" si="127"/>
        <v>0.12847411309839638</v>
      </c>
      <c r="M579" s="61">
        <f t="shared" ca="1" si="127"/>
        <v>0.2134676636496716</v>
      </c>
      <c r="N579" s="61">
        <f t="shared" ca="1" si="127"/>
        <v>0.26286559576152846</v>
      </c>
      <c r="O579" s="61">
        <f t="shared" ca="1" si="127"/>
        <v>0.28201007711575748</v>
      </c>
      <c r="P579" s="61">
        <f t="shared" ca="1" si="127"/>
        <v>0.28201007711575748</v>
      </c>
      <c r="Q579" s="61">
        <f t="shared" ca="1" si="127"/>
        <v>0.28201007711575748</v>
      </c>
      <c r="R579" s="61">
        <f t="shared" ca="1" si="127"/>
        <v>0.28201007711575748</v>
      </c>
      <c r="S579" s="61">
        <f t="shared" ca="1" si="127"/>
        <v>0.28201007711575748</v>
      </c>
      <c r="T579" s="61">
        <f t="shared" ca="1" si="127"/>
        <v>0.28201007711575748</v>
      </c>
      <c r="U579" s="61">
        <f t="shared" ref="U579" ca="1" si="128">IF((U129+U146+U148+U150+U152)&gt;0,U176/(U129+U146+U148+U150+U152),"-")</f>
        <v>0.28201007711575748</v>
      </c>
      <c r="V579" s="61">
        <f t="shared" ref="V579" ca="1" si="129">IF((V129+V146+V148+V150+V152)&gt;0,V176/(V129+V146+V148+V150+V152),"-")</f>
        <v>0.28201007711575748</v>
      </c>
      <c r="W579" s="61">
        <f t="shared" ref="W579" ca="1" si="130">IF((W129+W146+W148+W150+W152)&gt;0,W176/(W129+W146+W148+W150+W152),"-")</f>
        <v>0.28201007711575748</v>
      </c>
      <c r="X579" s="61">
        <f t="shared" ref="X579:Y579" ca="1" si="131">IF((X129+X146+X148+X150+X152)&gt;0,X176/(X129+X146+X148+X150+X152),"-")</f>
        <v>0.28201007711575748</v>
      </c>
      <c r="Y579" s="61">
        <f t="shared" ca="1" si="131"/>
        <v>0.28201007711575748</v>
      </c>
      <c r="AA579" s="11"/>
    </row>
    <row r="580" spans="1:27" outlineLevel="1" x14ac:dyDescent="0.2">
      <c r="A580" t="str">
        <f ca="1">Language!A$819</f>
        <v>Рентабельность по EBIT</v>
      </c>
      <c r="C580" s="17" t="s">
        <v>2430</v>
      </c>
      <c r="D580" s="16" t="s">
        <v>2429</v>
      </c>
      <c r="F580" s="61" t="str">
        <f t="shared" ref="F580:T580" ca="1" si="132">IF((F129+F146+F148+F150+F152)&gt;0,F178/(F129+F146+F148+F150+F152),"-")</f>
        <v>-</v>
      </c>
      <c r="G580" s="61" t="str">
        <f t="shared" ca="1" si="132"/>
        <v>-</v>
      </c>
      <c r="H580" s="61" t="str">
        <f t="shared" ca="1" si="132"/>
        <v>-</v>
      </c>
      <c r="I580" s="61" t="str">
        <f t="shared" ca="1" si="132"/>
        <v>-</v>
      </c>
      <c r="J580" s="61">
        <f t="shared" ca="1" si="132"/>
        <v>-1</v>
      </c>
      <c r="K580" s="61">
        <f t="shared" ca="1" si="132"/>
        <v>-0.43166259124381284</v>
      </c>
      <c r="L580" s="61">
        <f t="shared" ca="1" si="132"/>
        <v>1.3661171860281427E-2</v>
      </c>
      <c r="M580" s="61">
        <f t="shared" ca="1" si="132"/>
        <v>0.13344527945523565</v>
      </c>
      <c r="N580" s="61">
        <f t="shared" ca="1" si="132"/>
        <v>0.20329737073391294</v>
      </c>
      <c r="O580" s="61">
        <f t="shared" ca="1" si="132"/>
        <v>0.2313904912628337</v>
      </c>
      <c r="P580" s="61">
        <f t="shared" ca="1" si="132"/>
        <v>0.2313904912628337</v>
      </c>
      <c r="Q580" s="61">
        <f t="shared" ca="1" si="132"/>
        <v>0.2313904912628337</v>
      </c>
      <c r="R580" s="61">
        <f t="shared" ca="1" si="132"/>
        <v>0.2313904912628337</v>
      </c>
      <c r="S580" s="61">
        <f t="shared" ca="1" si="132"/>
        <v>0.2313904912628337</v>
      </c>
      <c r="T580" s="61">
        <f t="shared" ca="1" si="132"/>
        <v>0.2313904912628337</v>
      </c>
      <c r="U580" s="61">
        <f t="shared" ref="U580" ca="1" si="133">IF((U129+U146+U148+U150+U152)&gt;0,U178/(U129+U146+U148+U150+U152),"-")</f>
        <v>0.2313904912628337</v>
      </c>
      <c r="V580" s="61">
        <f t="shared" ref="V580" ca="1" si="134">IF((V129+V146+V148+V150+V152)&gt;0,V178/(V129+V146+V148+V150+V152),"-")</f>
        <v>0.2313904912628337</v>
      </c>
      <c r="W580" s="61">
        <f t="shared" ref="W580" ca="1" si="135">IF((W129+W146+W148+W150+W152)&gt;0,W178/(W129+W146+W148+W150+W152),"-")</f>
        <v>0.2313904912628337</v>
      </c>
      <c r="X580" s="61">
        <f t="shared" ref="X580:Y580" ca="1" si="136">IF((X129+X146+X148+X150+X152)&gt;0,X178/(X129+X146+X148+X150+X152),"-")</f>
        <v>0.2313904912628337</v>
      </c>
      <c r="Y580" s="61">
        <f t="shared" ca="1" si="136"/>
        <v>0.2313904912628337</v>
      </c>
      <c r="AA580" s="11"/>
    </row>
    <row r="581" spans="1:27" outlineLevel="1" x14ac:dyDescent="0.2">
      <c r="A581" t="str">
        <f ca="1">Language!A$820</f>
        <v xml:space="preserve">Рентабельность по чистой прибыли </v>
      </c>
      <c r="C581" s="17" t="s">
        <v>2430</v>
      </c>
      <c r="D581" s="16" t="s">
        <v>2429</v>
      </c>
      <c r="F581" s="61" t="str">
        <f t="shared" ref="F581:T581" ca="1" si="137">IF((F129+F146+F148+F150+F152)&gt;0,F172/(F129+F146+F148+F150+F152),"-")</f>
        <v>-</v>
      </c>
      <c r="G581" s="61" t="str">
        <f t="shared" ca="1" si="137"/>
        <v>-</v>
      </c>
      <c r="H581" s="61" t="str">
        <f t="shared" ca="1" si="137"/>
        <v>-</v>
      </c>
      <c r="I581" s="61" t="str">
        <f t="shared" ca="1" si="137"/>
        <v>-</v>
      </c>
      <c r="J581" s="61">
        <f t="shared" ca="1" si="137"/>
        <v>-1</v>
      </c>
      <c r="K581" s="61">
        <f t="shared" ca="1" si="137"/>
        <v>-0.43166259124381284</v>
      </c>
      <c r="L581" s="61">
        <f t="shared" ca="1" si="137"/>
        <v>1.3661171860281433E-2</v>
      </c>
      <c r="M581" s="61">
        <f t="shared" ca="1" si="137"/>
        <v>0.13344527945523565</v>
      </c>
      <c r="N581" s="61">
        <f t="shared" ca="1" si="137"/>
        <v>0.17562433513406922</v>
      </c>
      <c r="O581" s="61">
        <f t="shared" ca="1" si="137"/>
        <v>0.18742629792289531</v>
      </c>
      <c r="P581" s="61">
        <f t="shared" ca="1" si="137"/>
        <v>0.18742629792289531</v>
      </c>
      <c r="Q581" s="61">
        <f t="shared" ca="1" si="137"/>
        <v>0.18742629792289531</v>
      </c>
      <c r="R581" s="61">
        <f t="shared" ca="1" si="137"/>
        <v>0.18742629792289531</v>
      </c>
      <c r="S581" s="61">
        <f t="shared" ca="1" si="137"/>
        <v>0.18742629792289531</v>
      </c>
      <c r="T581" s="61">
        <f t="shared" ca="1" si="137"/>
        <v>0.18742629792289531</v>
      </c>
      <c r="U581" s="61">
        <f t="shared" ref="U581" ca="1" si="138">IF((U129+U146+U148+U150+U152)&gt;0,U172/(U129+U146+U148+U150+U152),"-")</f>
        <v>0.18742629792289531</v>
      </c>
      <c r="V581" s="61">
        <f t="shared" ref="V581" ca="1" si="139">IF((V129+V146+V148+V150+V152)&gt;0,V172/(V129+V146+V148+V150+V152),"-")</f>
        <v>0.18742629792289531</v>
      </c>
      <c r="W581" s="61">
        <f t="shared" ref="W581" ca="1" si="140">IF((W129+W146+W148+W150+W152)&gt;0,W172/(W129+W146+W148+W150+W152),"-")</f>
        <v>0.18742629792289531</v>
      </c>
      <c r="X581" s="61">
        <f t="shared" ref="X581:Y581" ca="1" si="141">IF((X129+X146+X148+X150+X152)&gt;0,X172/(X129+X146+X148+X150+X152),"-")</f>
        <v>0.18742629792289531</v>
      </c>
      <c r="Y581" s="61">
        <f t="shared" ca="1" si="141"/>
        <v>0.18742629792289531</v>
      </c>
      <c r="AA581" s="11"/>
    </row>
    <row r="582" spans="1:27" outlineLevel="1" x14ac:dyDescent="0.2">
      <c r="AA582" s="11"/>
    </row>
    <row r="583" spans="1:27" outlineLevel="1" x14ac:dyDescent="0.2">
      <c r="A583" t="str">
        <f ca="1">Language!A$821</f>
        <v>Эффективная ставка налога на прибыль</v>
      </c>
      <c r="B583" s="155"/>
      <c r="C583" s="5" t="s">
        <v>2430</v>
      </c>
      <c r="D583" s="16" t="s">
        <v>2429</v>
      </c>
      <c r="F583" s="162">
        <f t="shared" ref="F583:T583" ca="1" si="142">IF(F168&gt;0,F170/F168,0)</f>
        <v>0</v>
      </c>
      <c r="G583" s="162">
        <f t="shared" ca="1" si="142"/>
        <v>0</v>
      </c>
      <c r="H583" s="162">
        <f t="shared" ca="1" si="142"/>
        <v>0</v>
      </c>
      <c r="I583" s="162">
        <f t="shared" ca="1" si="142"/>
        <v>0</v>
      </c>
      <c r="J583" s="162">
        <f t="shared" ca="1" si="142"/>
        <v>0</v>
      </c>
      <c r="K583" s="162">
        <f t="shared" ca="1" si="142"/>
        <v>0</v>
      </c>
      <c r="L583" s="162">
        <f t="shared" ca="1" si="142"/>
        <v>0</v>
      </c>
      <c r="M583" s="162">
        <f t="shared" ca="1" si="142"/>
        <v>0</v>
      </c>
      <c r="N583" s="162">
        <f t="shared" ca="1" si="142"/>
        <v>0.13612097146137597</v>
      </c>
      <c r="O583" s="162">
        <f t="shared" ca="1" si="142"/>
        <v>0.19</v>
      </c>
      <c r="P583" s="162">
        <f t="shared" ca="1" si="142"/>
        <v>0.19</v>
      </c>
      <c r="Q583" s="162">
        <f t="shared" ca="1" si="142"/>
        <v>0.19</v>
      </c>
      <c r="R583" s="162">
        <f t="shared" ca="1" si="142"/>
        <v>0.19</v>
      </c>
      <c r="S583" s="162">
        <f t="shared" ca="1" si="142"/>
        <v>0.19</v>
      </c>
      <c r="T583" s="162">
        <f t="shared" ca="1" si="142"/>
        <v>0.19</v>
      </c>
      <c r="U583" s="162">
        <f t="shared" ref="U583" ca="1" si="143">IF(U168&gt;0,U170/U168,0)</f>
        <v>0.19</v>
      </c>
      <c r="V583" s="162">
        <f t="shared" ref="V583" ca="1" si="144">IF(V168&gt;0,V170/V168,0)</f>
        <v>0.19</v>
      </c>
      <c r="W583" s="162">
        <f t="shared" ref="W583" ca="1" si="145">IF(W168&gt;0,W170/W168,0)</f>
        <v>0.19</v>
      </c>
      <c r="X583" s="162">
        <f t="shared" ref="X583:Y583" ca="1" si="146">IF(X168&gt;0,X170/X168,0)</f>
        <v>0.19</v>
      </c>
      <c r="Y583" s="162">
        <f t="shared" ca="1" si="146"/>
        <v>0.19</v>
      </c>
      <c r="AA583" s="11"/>
    </row>
    <row r="584" spans="1:27" outlineLevel="1" x14ac:dyDescent="0.2">
      <c r="AA584" s="11"/>
    </row>
    <row r="585" spans="1:27" outlineLevel="1" x14ac:dyDescent="0.2">
      <c r="A585" t="str">
        <f ca="1">Language!A$822</f>
        <v>Коэффициент общей ликвидности</v>
      </c>
      <c r="C585" s="5" t="str">
        <f ca="1">Language!A$198</f>
        <v>разы</v>
      </c>
      <c r="D585" s="16" t="s">
        <v>2429</v>
      </c>
      <c r="F585" s="163" t="str">
        <f t="shared" ref="F585:T585" ca="1" si="147">IF(F497&gt;0,F458/F497,"-")</f>
        <v>-</v>
      </c>
      <c r="G585" s="163" t="str">
        <f t="shared" ca="1" si="147"/>
        <v>-</v>
      </c>
      <c r="H585" s="163" t="str">
        <f t="shared" ca="1" si="147"/>
        <v>-</v>
      </c>
      <c r="I585" s="163" t="str">
        <f t="shared" ca="1" si="147"/>
        <v>-</v>
      </c>
      <c r="J585" s="163">
        <f t="shared" ca="1" si="147"/>
        <v>1.3173036284850805</v>
      </c>
      <c r="K585" s="163">
        <f t="shared" ca="1" si="147"/>
        <v>35.584919303232248</v>
      </c>
      <c r="L585" s="163">
        <f t="shared" ca="1" si="147"/>
        <v>39.089876429664045</v>
      </c>
      <c r="M585" s="163">
        <f t="shared" ca="1" si="147"/>
        <v>47.445493617067534</v>
      </c>
      <c r="N585" s="163">
        <f t="shared" ca="1" si="147"/>
        <v>40.603316245836851</v>
      </c>
      <c r="O585" s="163">
        <f t="shared" ca="1" si="147"/>
        <v>39.568289402230988</v>
      </c>
      <c r="P585" s="163">
        <f t="shared" ca="1" si="147"/>
        <v>47.293176995434536</v>
      </c>
      <c r="Q585" s="163">
        <f t="shared" ca="1" si="147"/>
        <v>55.018064588637806</v>
      </c>
      <c r="R585" s="163">
        <f t="shared" ca="1" si="147"/>
        <v>62.742952181841083</v>
      </c>
      <c r="S585" s="163">
        <f t="shared" ca="1" si="147"/>
        <v>70.467839775044339</v>
      </c>
      <c r="T585" s="163">
        <f t="shared" ca="1" si="147"/>
        <v>78.192727368247617</v>
      </c>
      <c r="U585" s="163">
        <f t="shared" ref="U585" ca="1" si="148">IF(U497&gt;0,U458/U497,"-")</f>
        <v>85.917614961450866</v>
      </c>
      <c r="V585" s="163">
        <f t="shared" ref="V585" ca="1" si="149">IF(V497&gt;0,V458/V497,"-")</f>
        <v>93.642502554654143</v>
      </c>
      <c r="W585" s="163">
        <f t="shared" ref="W585" ca="1" si="150">IF(W497&gt;0,W458/W497,"-")</f>
        <v>101.36739014785741</v>
      </c>
      <c r="X585" s="163">
        <f t="shared" ref="X585:Y585" ca="1" si="151">IF(X497&gt;0,X458/X497,"-")</f>
        <v>109.09227774106068</v>
      </c>
      <c r="Y585" s="163">
        <f t="shared" ca="1" si="151"/>
        <v>153.42348864160454</v>
      </c>
      <c r="AA585" s="11"/>
    </row>
    <row r="586" spans="1:27" outlineLevel="1" x14ac:dyDescent="0.2">
      <c r="A586" t="str">
        <f ca="1">Language!A$823</f>
        <v>Чистый оборотный капитал</v>
      </c>
      <c r="C586" s="5" t="str">
        <f ca="1">CUR_Report</f>
        <v>тыс. EUR</v>
      </c>
      <c r="D586" s="16" t="s">
        <v>2429</v>
      </c>
      <c r="F586" s="130">
        <f t="shared" ref="F586:T586" ca="1" si="152">F458-F497</f>
        <v>0</v>
      </c>
      <c r="G586" s="130">
        <f t="shared" ca="1" si="152"/>
        <v>0</v>
      </c>
      <c r="H586" s="130">
        <f t="shared" ca="1" si="152"/>
        <v>1027.5924207268845</v>
      </c>
      <c r="I586" s="130">
        <f t="shared" ca="1" si="152"/>
        <v>1311.7377865805431</v>
      </c>
      <c r="J586" s="130">
        <f t="shared" ca="1" si="152"/>
        <v>666.56558903066707</v>
      </c>
      <c r="K586" s="130">
        <f t="shared" ca="1" si="152"/>
        <v>3415.7217901254917</v>
      </c>
      <c r="L586" s="130">
        <f t="shared" ca="1" si="152"/>
        <v>3761.8830266240211</v>
      </c>
      <c r="M586" s="130">
        <f t="shared" ca="1" si="152"/>
        <v>4587.1116023140567</v>
      </c>
      <c r="N586" s="130">
        <f t="shared" ca="1" si="152"/>
        <v>5808.5246866000898</v>
      </c>
      <c r="O586" s="130">
        <f t="shared" ca="1" si="152"/>
        <v>7263.2993759859492</v>
      </c>
      <c r="P586" s="130">
        <f t="shared" ca="1" si="152"/>
        <v>8718.0740653718076</v>
      </c>
      <c r="Q586" s="130">
        <f t="shared" ca="1" si="152"/>
        <v>10172.848754757666</v>
      </c>
      <c r="R586" s="130">
        <f t="shared" ca="1" si="152"/>
        <v>11627.623444143526</v>
      </c>
      <c r="S586" s="130">
        <f t="shared" ca="1" si="152"/>
        <v>13082.398133529383</v>
      </c>
      <c r="T586" s="130">
        <f t="shared" ca="1" si="152"/>
        <v>14537.172822915243</v>
      </c>
      <c r="U586" s="130">
        <f t="shared" ref="U586" ca="1" si="153">U458-U497</f>
        <v>15991.9475123011</v>
      </c>
      <c r="V586" s="130">
        <f t="shared" ref="V586" ca="1" si="154">V458-V497</f>
        <v>17446.72220168696</v>
      </c>
      <c r="W586" s="130">
        <f t="shared" ref="W586" ca="1" si="155">W458-W497</f>
        <v>18901.496891072817</v>
      </c>
      <c r="X586" s="130">
        <f t="shared" ref="X586:Y586" ca="1" si="156">X458-X497</f>
        <v>20356.271580458677</v>
      </c>
      <c r="Y586" s="130">
        <f t="shared" ca="1" si="156"/>
        <v>28704.862131430684</v>
      </c>
      <c r="AA586" s="11"/>
    </row>
    <row r="587" spans="1:27" outlineLevel="1" x14ac:dyDescent="0.2">
      <c r="AA587" s="11"/>
    </row>
    <row r="588" spans="1:27" outlineLevel="1" x14ac:dyDescent="0.2">
      <c r="A588" t="str">
        <f ca="1">Language!A$824</f>
        <v>Коэффициент общей платежеспособности</v>
      </c>
      <c r="C588" s="5" t="str">
        <f ca="1">Language!A$198</f>
        <v>разы</v>
      </c>
      <c r="D588" s="16" t="s">
        <v>2429</v>
      </c>
      <c r="F588" s="163" t="str">
        <f t="shared" ref="F588:T588" ca="1" si="157">IF(F512&gt;0,F509/F512,"-")</f>
        <v>-</v>
      </c>
      <c r="G588" s="163" t="str">
        <f t="shared" ca="1" si="157"/>
        <v>-</v>
      </c>
      <c r="H588" s="163">
        <f t="shared" ca="1" si="157"/>
        <v>1</v>
      </c>
      <c r="I588" s="163">
        <f t="shared" ca="1" si="157"/>
        <v>1</v>
      </c>
      <c r="J588" s="163">
        <f t="shared" ca="1" si="157"/>
        <v>0.86896062887564784</v>
      </c>
      <c r="K588" s="163">
        <f t="shared" ca="1" si="157"/>
        <v>0.99400309463973535</v>
      </c>
      <c r="L588" s="163">
        <f t="shared" ca="1" si="157"/>
        <v>0.99401646797865895</v>
      </c>
      <c r="M588" s="163">
        <f t="shared" ca="1" si="157"/>
        <v>0.99419781031040755</v>
      </c>
      <c r="N588" s="163">
        <f t="shared" ca="1" si="157"/>
        <v>0.99184350519309339</v>
      </c>
      <c r="O588" s="163">
        <f t="shared" ca="1" si="157"/>
        <v>0.99017552904640838</v>
      </c>
      <c r="P588" s="163">
        <f t="shared" ca="1" si="157"/>
        <v>0.99072948478226663</v>
      </c>
      <c r="Q588" s="163">
        <f t="shared" ca="1" si="157"/>
        <v>0.99122430497350489</v>
      </c>
      <c r="R588" s="163">
        <f t="shared" ca="1" si="157"/>
        <v>0.99166897900766748</v>
      </c>
      <c r="S588" s="163">
        <f t="shared" ca="1" si="157"/>
        <v>0.99207076213467493</v>
      </c>
      <c r="T588" s="163">
        <f t="shared" ca="1" si="157"/>
        <v>0.99243557439208729</v>
      </c>
      <c r="U588" s="163">
        <f t="shared" ref="U588" ca="1" si="158">IF(U512&gt;0,U509/U512,"-")</f>
        <v>0.99276829425044522</v>
      </c>
      <c r="V588" s="163">
        <f t="shared" ref="V588" ca="1" si="159">IF(V512&gt;0,V509/V512,"-")</f>
        <v>0.99307297802801453</v>
      </c>
      <c r="W588" s="163">
        <f t="shared" ref="W588" ca="1" si="160">IF(W512&gt;0,W509/W512,"-")</f>
        <v>0.99335302608207732</v>
      </c>
      <c r="X588" s="163">
        <f t="shared" ref="X588:Y588" ca="1" si="161">IF(X512&gt;0,X509/X512,"-")</f>
        <v>0.99361131025364668</v>
      </c>
      <c r="Y588" s="163">
        <f t="shared" ca="1" si="161"/>
        <v>0.99480909091636727</v>
      </c>
      <c r="AA588" s="11"/>
    </row>
    <row r="589" spans="1:27" outlineLevel="1" x14ac:dyDescent="0.2">
      <c r="A589" t="str">
        <f ca="1">Language!A$825</f>
        <v>Коэффициент автономии</v>
      </c>
      <c r="C589" s="5" t="str">
        <f ca="1">Language!A$198</f>
        <v>разы</v>
      </c>
      <c r="D589" s="16" t="s">
        <v>2429</v>
      </c>
      <c r="F589" s="163" t="str">
        <f t="shared" ref="F589:T589" ca="1" si="162">IF((F497+F500)&gt;0,F509/(F497+F500),"-")</f>
        <v>-</v>
      </c>
      <c r="G589" s="163" t="str">
        <f t="shared" ca="1" si="162"/>
        <v>-</v>
      </c>
      <c r="H589" s="163" t="str">
        <f t="shared" ca="1" si="162"/>
        <v>-</v>
      </c>
      <c r="I589" s="163" t="str">
        <f t="shared" ca="1" si="162"/>
        <v>-</v>
      </c>
      <c r="J589" s="163">
        <f t="shared" ca="1" si="162"/>
        <v>6.6312942546941258</v>
      </c>
      <c r="K589" s="163">
        <f t="shared" ca="1" si="162"/>
        <v>165.75267324143297</v>
      </c>
      <c r="L589" s="163">
        <f t="shared" ca="1" si="162"/>
        <v>166.12536950305599</v>
      </c>
      <c r="M589" s="163">
        <f t="shared" ca="1" si="162"/>
        <v>171.34872582565066</v>
      </c>
      <c r="N589" s="163">
        <f t="shared" ca="1" si="162"/>
        <v>121.60168413927397</v>
      </c>
      <c r="O589" s="163">
        <f t="shared" ca="1" si="162"/>
        <v>100.78665138547915</v>
      </c>
      <c r="P589" s="163">
        <f t="shared" ca="1" si="162"/>
        <v>106.86886990780523</v>
      </c>
      <c r="Q589" s="163">
        <f t="shared" ca="1" si="162"/>
        <v>112.9510884301306</v>
      </c>
      <c r="R589" s="163">
        <f t="shared" ca="1" si="162"/>
        <v>119.03330695245593</v>
      </c>
      <c r="S589" s="163">
        <f t="shared" ca="1" si="162"/>
        <v>125.11552547478128</v>
      </c>
      <c r="T589" s="163">
        <f t="shared" ca="1" si="162"/>
        <v>131.19774399710664</v>
      </c>
      <c r="U589" s="163">
        <f t="shared" ref="U589" ca="1" si="163">IF((U497+U500)&gt;0,U509/(U497+U500),"-")</f>
        <v>137.27996251943199</v>
      </c>
      <c r="V589" s="163">
        <f t="shared" ref="V589" ca="1" si="164">IF((V497+V500)&gt;0,V509/(V497+V500),"-")</f>
        <v>143.36218104175734</v>
      </c>
      <c r="W589" s="163">
        <f t="shared" ref="W589" ca="1" si="165">IF((W497+W500)&gt;0,W509/(W497+W500),"-")</f>
        <v>149.44439956408269</v>
      </c>
      <c r="X589" s="163">
        <f t="shared" ref="X589:Y589" ca="1" si="166">IF((X497+X500)&gt;0,X509/(X497+X500),"-")</f>
        <v>155.52661808640804</v>
      </c>
      <c r="Y589" s="163">
        <f t="shared" ca="1" si="166"/>
        <v>191.64448363256224</v>
      </c>
      <c r="AA589" s="11"/>
    </row>
    <row r="590" spans="1:27" outlineLevel="1" x14ac:dyDescent="0.2">
      <c r="A590" t="str">
        <f ca="1">Language!A$826</f>
        <v>Доля долгосрочных кредитов в валюте баланса</v>
      </c>
      <c r="C590" s="5" t="s">
        <v>2430</v>
      </c>
      <c r="D590" s="16" t="s">
        <v>2429</v>
      </c>
      <c r="F590" s="61" t="str">
        <f t="shared" ref="F590:T590" ca="1" si="167">IF(F512&gt;0,F500/F512,"-")</f>
        <v>-</v>
      </c>
      <c r="G590" s="61" t="str">
        <f t="shared" ca="1" si="167"/>
        <v>-</v>
      </c>
      <c r="H590" s="61">
        <f t="shared" ca="1" si="167"/>
        <v>0</v>
      </c>
      <c r="I590" s="61">
        <f t="shared" ca="1" si="167"/>
        <v>0</v>
      </c>
      <c r="J590" s="61">
        <f t="shared" ca="1" si="167"/>
        <v>0</v>
      </c>
      <c r="K590" s="61">
        <f t="shared" ca="1" si="167"/>
        <v>0</v>
      </c>
      <c r="L590" s="61">
        <f t="shared" ca="1" si="167"/>
        <v>0</v>
      </c>
      <c r="M590" s="61">
        <f t="shared" ca="1" si="167"/>
        <v>0</v>
      </c>
      <c r="N590" s="61">
        <f t="shared" ca="1" si="167"/>
        <v>0</v>
      </c>
      <c r="O590" s="61">
        <f t="shared" ca="1" si="167"/>
        <v>0</v>
      </c>
      <c r="P590" s="61">
        <f t="shared" ca="1" si="167"/>
        <v>0</v>
      </c>
      <c r="Q590" s="61">
        <f t="shared" ca="1" si="167"/>
        <v>0</v>
      </c>
      <c r="R590" s="61">
        <f t="shared" ca="1" si="167"/>
        <v>0</v>
      </c>
      <c r="S590" s="61">
        <f t="shared" ca="1" si="167"/>
        <v>0</v>
      </c>
      <c r="T590" s="61">
        <f t="shared" ca="1" si="167"/>
        <v>0</v>
      </c>
      <c r="U590" s="61">
        <f t="shared" ref="U590" ca="1" si="168">IF(U512&gt;0,U500/U512,"-")</f>
        <v>0</v>
      </c>
      <c r="V590" s="61">
        <f t="shared" ref="V590" ca="1" si="169">IF(V512&gt;0,V500/V512,"-")</f>
        <v>0</v>
      </c>
      <c r="W590" s="61">
        <f t="shared" ref="W590" ca="1" si="170">IF(W512&gt;0,W500/W512,"-")</f>
        <v>0</v>
      </c>
      <c r="X590" s="61">
        <f t="shared" ref="X590:Y590" ca="1" si="171">IF(X512&gt;0,X500/X512,"-")</f>
        <v>0</v>
      </c>
      <c r="Y590" s="61">
        <f t="shared" ca="1" si="171"/>
        <v>0</v>
      </c>
      <c r="AA590" s="11"/>
    </row>
    <row r="591" spans="1:27" outlineLevel="1" x14ac:dyDescent="0.2">
      <c r="A591" t="str">
        <f ca="1">Language!A$827</f>
        <v>Общий коэффициент покрытия долга</v>
      </c>
      <c r="C591" s="5" t="str">
        <f ca="1">Language!A$198</f>
        <v>разы</v>
      </c>
      <c r="D591" s="16" t="s">
        <v>2429</v>
      </c>
      <c r="F591" s="163" t="str">
        <f t="shared" ref="F591:T591" ca="1" si="172">IF((-F320-F282)&gt;0,(F330-F320-F282)/(-F320-F282),"-")</f>
        <v>-</v>
      </c>
      <c r="G591" s="163" t="str">
        <f t="shared" ca="1" si="172"/>
        <v>-</v>
      </c>
      <c r="H591" s="163" t="str">
        <f t="shared" ca="1" si="172"/>
        <v>-</v>
      </c>
      <c r="I591" s="163" t="str">
        <f t="shared" ca="1" si="172"/>
        <v>-</v>
      </c>
      <c r="J591" s="163" t="str">
        <f t="shared" ca="1" si="172"/>
        <v>-</v>
      </c>
      <c r="K591" s="163" t="str">
        <f t="shared" ca="1" si="172"/>
        <v>-</v>
      </c>
      <c r="L591" s="163" t="str">
        <f t="shared" ca="1" si="172"/>
        <v>-</v>
      </c>
      <c r="M591" s="163" t="str">
        <f t="shared" ca="1" si="172"/>
        <v>-</v>
      </c>
      <c r="N591" s="163" t="str">
        <f t="shared" ca="1" si="172"/>
        <v>-</v>
      </c>
      <c r="O591" s="163" t="str">
        <f t="shared" ca="1" si="172"/>
        <v>-</v>
      </c>
      <c r="P591" s="163" t="str">
        <f t="shared" ca="1" si="172"/>
        <v>-</v>
      </c>
      <c r="Q591" s="163" t="str">
        <f t="shared" ca="1" si="172"/>
        <v>-</v>
      </c>
      <c r="R591" s="163" t="str">
        <f t="shared" ca="1" si="172"/>
        <v>-</v>
      </c>
      <c r="S591" s="163" t="str">
        <f t="shared" ca="1" si="172"/>
        <v>-</v>
      </c>
      <c r="T591" s="163" t="str">
        <f t="shared" ca="1" si="172"/>
        <v>-</v>
      </c>
      <c r="U591" s="163" t="str">
        <f t="shared" ref="U591" ca="1" si="173">IF((-U320-U282)&gt;0,(U330-U320-U282)/(-U320-U282),"-")</f>
        <v>-</v>
      </c>
      <c r="V591" s="163" t="str">
        <f t="shared" ref="V591" ca="1" si="174">IF((-V320-V282)&gt;0,(V330-V320-V282)/(-V320-V282),"-")</f>
        <v>-</v>
      </c>
      <c r="W591" s="163" t="str">
        <f t="shared" ref="W591" ca="1" si="175">IF((-W320-W282)&gt;0,(W330-W320-W282)/(-W320-W282),"-")</f>
        <v>-</v>
      </c>
      <c r="X591" s="163" t="str">
        <f t="shared" ref="X591:Y591" ca="1" si="176">IF((-X320-X282)&gt;0,(X330-X320-X282)/(-X320-X282),"-")</f>
        <v>-</v>
      </c>
      <c r="Y591" s="163" t="str">
        <f t="shared" ca="1" si="176"/>
        <v>-</v>
      </c>
      <c r="AA591" s="11"/>
    </row>
    <row r="592" spans="1:27" outlineLevel="1" x14ac:dyDescent="0.2">
      <c r="A592" t="str">
        <f ca="1">Language!A$828</f>
        <v>Покрытие процентов по кредитам</v>
      </c>
      <c r="C592" s="5" t="str">
        <f ca="1">Language!A$198</f>
        <v>разы</v>
      </c>
      <c r="D592" s="16" t="s">
        <v>2429</v>
      </c>
      <c r="F592" s="212" t="str">
        <f t="shared" ref="F592:T592" ca="1" si="177">IF(F154&gt;0,(F168+F154)/F154,"-")</f>
        <v>-</v>
      </c>
      <c r="G592" s="212" t="str">
        <f t="shared" ca="1" si="177"/>
        <v>-</v>
      </c>
      <c r="H592" s="212" t="str">
        <f t="shared" ca="1" si="177"/>
        <v>-</v>
      </c>
      <c r="I592" s="212" t="str">
        <f t="shared" ca="1" si="177"/>
        <v>-</v>
      </c>
      <c r="J592" s="212" t="str">
        <f t="shared" ca="1" si="177"/>
        <v>-</v>
      </c>
      <c r="K592" s="212" t="str">
        <f t="shared" ca="1" si="177"/>
        <v>-</v>
      </c>
      <c r="L592" s="212" t="str">
        <f t="shared" ca="1" si="177"/>
        <v>-</v>
      </c>
      <c r="M592" s="212" t="str">
        <f t="shared" ca="1" si="177"/>
        <v>-</v>
      </c>
      <c r="N592" s="212" t="str">
        <f t="shared" ca="1" si="177"/>
        <v>-</v>
      </c>
      <c r="O592" s="212" t="str">
        <f t="shared" ca="1" si="177"/>
        <v>-</v>
      </c>
      <c r="P592" s="212" t="str">
        <f t="shared" ca="1" si="177"/>
        <v>-</v>
      </c>
      <c r="Q592" s="212" t="str">
        <f t="shared" ca="1" si="177"/>
        <v>-</v>
      </c>
      <c r="R592" s="212" t="str">
        <f t="shared" ca="1" si="177"/>
        <v>-</v>
      </c>
      <c r="S592" s="212" t="str">
        <f t="shared" ca="1" si="177"/>
        <v>-</v>
      </c>
      <c r="T592" s="212" t="str">
        <f t="shared" ca="1" si="177"/>
        <v>-</v>
      </c>
      <c r="U592" s="212" t="str">
        <f t="shared" ref="U592" ca="1" si="178">IF(U154&gt;0,(U168+U154)/U154,"-")</f>
        <v>-</v>
      </c>
      <c r="V592" s="212" t="str">
        <f t="shared" ref="V592" ca="1" si="179">IF(V154&gt;0,(V168+V154)/V154,"-")</f>
        <v>-</v>
      </c>
      <c r="W592" s="212" t="str">
        <f t="shared" ref="W592" ca="1" si="180">IF(W154&gt;0,(W168+W154)/W154,"-")</f>
        <v>-</v>
      </c>
      <c r="X592" s="212" t="str">
        <f t="shared" ref="X592:Y592" ca="1" si="181">IF(X154&gt;0,(X168+X154)/X154,"-")</f>
        <v>-</v>
      </c>
      <c r="Y592" s="212" t="str">
        <f t="shared" ca="1" si="181"/>
        <v>-</v>
      </c>
      <c r="AA592" s="11"/>
    </row>
    <row r="593" spans="1:27" outlineLevel="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11"/>
    </row>
    <row r="594" spans="1:27" outlineLevel="1" collapsed="1" x14ac:dyDescent="0.2">
      <c r="A594" s="22" t="str">
        <f ca="1">Language!A$829</f>
        <v>График: Рентабельность активов</v>
      </c>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1"/>
    </row>
    <row r="595" spans="1:27" hidden="1" outlineLevel="2"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1"/>
    </row>
    <row r="596" spans="1:27" hidden="1" outlineLevel="2"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1"/>
    </row>
    <row r="597" spans="1:27" hidden="1" outlineLevel="2"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1"/>
    </row>
    <row r="598" spans="1:27" hidden="1" outlineLevel="2"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1"/>
    </row>
    <row r="599" spans="1:27" hidden="1" outlineLevel="2"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1"/>
    </row>
    <row r="600" spans="1:27" hidden="1" outlineLevel="2"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1"/>
    </row>
    <row r="601" spans="1:27" hidden="1" outlineLevel="2"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1"/>
    </row>
    <row r="602" spans="1:27" hidden="1" outlineLevel="2"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1"/>
    </row>
    <row r="603" spans="1:27" hidden="1" outlineLevel="2"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1"/>
    </row>
    <row r="604" spans="1:27" hidden="1" outlineLevel="2"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1"/>
    </row>
    <row r="605" spans="1:27" hidden="1" outlineLevel="2"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1"/>
    </row>
    <row r="606" spans="1:27" hidden="1" outlineLevel="2"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1"/>
    </row>
    <row r="607" spans="1:27" hidden="1" outlineLevel="2"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1"/>
    </row>
    <row r="608" spans="1:27" hidden="1" outlineLevel="2"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1"/>
    </row>
    <row r="609" spans="1:27" hidden="1" outlineLevel="2"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1"/>
    </row>
    <row r="610" spans="1:27" hidden="1" outlineLevel="2"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1"/>
    </row>
    <row r="611" spans="1:27" hidden="1" outlineLevel="2"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1"/>
    </row>
    <row r="612" spans="1:27" hidden="1" outlineLevel="2"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1"/>
    </row>
    <row r="613" spans="1:27" hidden="1" outlineLevel="2"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1"/>
    </row>
    <row r="614" spans="1:27" hidden="1" outlineLevel="2"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1"/>
    </row>
    <row r="615" spans="1:27" hidden="1" outlineLevel="2"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1"/>
    </row>
    <row r="616" spans="1:27" hidden="1" outlineLevel="2"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1"/>
    </row>
    <row r="617" spans="1:27" hidden="1" outlineLevel="2"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1"/>
    </row>
    <row r="618" spans="1:27" outlineLevel="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1"/>
    </row>
    <row r="619" spans="1:27" outlineLevel="1" collapsed="1" x14ac:dyDescent="0.2">
      <c r="A619" s="22" t="str">
        <f ca="1">Language!A$830</f>
        <v>График: Прибыльность продаж</v>
      </c>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1"/>
    </row>
    <row r="620" spans="1:27" hidden="1" outlineLevel="2"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1"/>
    </row>
    <row r="621" spans="1:27" hidden="1" outlineLevel="2"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1"/>
    </row>
    <row r="622" spans="1:27" hidden="1" outlineLevel="2"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1"/>
    </row>
    <row r="623" spans="1:27" hidden="1" outlineLevel="2"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1"/>
    </row>
    <row r="624" spans="1:27" hidden="1" outlineLevel="2"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1"/>
    </row>
    <row r="625" spans="1:27" hidden="1" outlineLevel="2"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1"/>
    </row>
    <row r="626" spans="1:27" hidden="1" outlineLevel="2"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1"/>
    </row>
    <row r="627" spans="1:27" hidden="1" outlineLevel="2"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1"/>
    </row>
    <row r="628" spans="1:27" hidden="1" outlineLevel="2"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1"/>
    </row>
    <row r="629" spans="1:27" hidden="1" outlineLevel="2"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1"/>
    </row>
    <row r="630" spans="1:27" hidden="1" outlineLevel="2"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1"/>
    </row>
    <row r="631" spans="1:27" hidden="1" outlineLevel="2"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1"/>
    </row>
    <row r="632" spans="1:27" hidden="1" outlineLevel="2"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1"/>
    </row>
    <row r="633" spans="1:27" hidden="1" outlineLevel="2"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1"/>
    </row>
    <row r="634" spans="1:27" hidden="1" outlineLevel="2"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1"/>
    </row>
    <row r="635" spans="1:27" hidden="1" outlineLevel="2"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1"/>
    </row>
    <row r="636" spans="1:27" hidden="1" outlineLevel="2"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1"/>
    </row>
    <row r="637" spans="1:27" hidden="1" outlineLevel="2"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1"/>
    </row>
    <row r="638" spans="1:27" hidden="1" outlineLevel="2"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1"/>
    </row>
    <row r="639" spans="1:27" hidden="1" outlineLevel="2"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1"/>
    </row>
    <row r="640" spans="1:27" hidden="1" outlineLevel="2"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1"/>
    </row>
    <row r="641" spans="1:27" hidden="1" outlineLevel="2"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1"/>
    </row>
    <row r="642" spans="1:27" hidden="1" outlineLevel="2"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1"/>
    </row>
    <row r="643" spans="1:27" outlineLevel="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1"/>
    </row>
    <row r="644" spans="1:27" outlineLevel="1" collapsed="1" x14ac:dyDescent="0.2">
      <c r="A644" s="22" t="str">
        <f ca="1">Language!A$831</f>
        <v>График: Рентабельность по EBITDA</v>
      </c>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1"/>
    </row>
    <row r="645" spans="1:27" hidden="1" outlineLevel="2"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1"/>
    </row>
    <row r="646" spans="1:27" hidden="1" outlineLevel="2"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1"/>
    </row>
    <row r="647" spans="1:27" hidden="1" outlineLevel="2"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1"/>
    </row>
    <row r="648" spans="1:27" hidden="1" outlineLevel="2"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1"/>
    </row>
    <row r="649" spans="1:27" hidden="1" outlineLevel="2"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1"/>
    </row>
    <row r="650" spans="1:27" hidden="1" outlineLevel="2"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1"/>
    </row>
    <row r="651" spans="1:27" hidden="1" outlineLevel="2"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1"/>
    </row>
    <row r="652" spans="1:27" hidden="1" outlineLevel="2"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1"/>
    </row>
    <row r="653" spans="1:27" hidden="1" outlineLevel="2"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1"/>
    </row>
    <row r="654" spans="1:27" hidden="1" outlineLevel="2"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1"/>
    </row>
    <row r="655" spans="1:27" hidden="1" outlineLevel="2"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1"/>
    </row>
    <row r="656" spans="1:27" hidden="1" outlineLevel="2"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1"/>
    </row>
    <row r="657" spans="1:27" hidden="1" outlineLevel="2"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1"/>
    </row>
    <row r="658" spans="1:27" hidden="1" outlineLevel="2"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1"/>
    </row>
    <row r="659" spans="1:27" hidden="1" outlineLevel="2"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1"/>
    </row>
    <row r="660" spans="1:27" hidden="1" outlineLevel="2"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1"/>
    </row>
    <row r="661" spans="1:27" hidden="1" outlineLevel="2"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1"/>
    </row>
    <row r="662" spans="1:27" hidden="1" outlineLevel="2"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1"/>
    </row>
    <row r="663" spans="1:27" hidden="1" outlineLevel="2"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1"/>
    </row>
    <row r="664" spans="1:27" hidden="1" outlineLevel="2"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1"/>
    </row>
    <row r="665" spans="1:27" hidden="1" outlineLevel="2"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1"/>
    </row>
    <row r="666" spans="1:27" hidden="1" outlineLevel="2"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1"/>
    </row>
    <row r="667" spans="1:27" hidden="1" outlineLevel="2"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1"/>
    </row>
    <row r="668" spans="1:27" outlineLevel="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1"/>
    </row>
    <row r="669" spans="1:27" outlineLevel="1" x14ac:dyDescent="0.2">
      <c r="AA669" s="11"/>
    </row>
    <row r="670" spans="1:27" s="4" customFormat="1" ht="15.95" customHeight="1" thickBot="1" x14ac:dyDescent="0.25">
      <c r="A670" s="165" t="str">
        <f ca="1">Language!A$832</f>
        <v xml:space="preserve">         ЭФФЕКТИВНОСТЬ ПОЛНЫХ ИНВЕСТИЦИОННЫХ ЗАТРАТ</v>
      </c>
      <c r="B670" s="165"/>
      <c r="C670" s="165"/>
      <c r="D670" s="165"/>
      <c r="E670" s="165"/>
      <c r="F670" s="177" t="str">
        <f ca="1">IF(Проект!ShowRealDates,F36,F34)</f>
        <v>1 кв. 2016</v>
      </c>
      <c r="G670" s="177" t="str">
        <f ca="1">IF(Проект!ShowRealDates,G36,G34)</f>
        <v>2 кв. 2016</v>
      </c>
      <c r="H670" s="177" t="str">
        <f ca="1">IF(Проект!ShowRealDates,H36,H34)</f>
        <v>3 кв. 2016</v>
      </c>
      <c r="I670" s="177" t="str">
        <f ca="1">IF(Проект!ShowRealDates,I36,I34)</f>
        <v>4 кв. 2016</v>
      </c>
      <c r="J670" s="177" t="str">
        <f ca="1">IF(Проект!ShowRealDates,J36,J34)</f>
        <v>1 кв. 2017</v>
      </c>
      <c r="K670" s="177" t="str">
        <f ca="1">IF(Проект!ShowRealDates,K36,K34)</f>
        <v>2 кв. 2017</v>
      </c>
      <c r="L670" s="177" t="str">
        <f ca="1">IF(Проект!ShowRealDates,L36,L34)</f>
        <v>3 кв. 2017</v>
      </c>
      <c r="M670" s="177" t="str">
        <f ca="1">IF(Проект!ShowRealDates,M36,M34)</f>
        <v>4 кв. 2017</v>
      </c>
      <c r="N670" s="177" t="str">
        <f ca="1">IF(Проект!ShowRealDates,N36,N34)</f>
        <v>1 кв. 2018</v>
      </c>
      <c r="O670" s="177" t="str">
        <f ca="1">IF(Проект!ShowRealDates,O36,O34)</f>
        <v>2 кв. 2018</v>
      </c>
      <c r="P670" s="177" t="str">
        <f ca="1">IF(Проект!ShowRealDates,P36,P34)</f>
        <v>3 кв. 2018</v>
      </c>
      <c r="Q670" s="177" t="str">
        <f ca="1">IF(Проект!ShowRealDates,Q36,Q34)</f>
        <v>4 кв. 2018</v>
      </c>
      <c r="R670" s="177" t="str">
        <f ca="1">IF(Проект!ShowRealDates,R36,R34)</f>
        <v>1 кв. 2019</v>
      </c>
      <c r="S670" s="177" t="str">
        <f ca="1">IF(Проект!ShowRealDates,S36,S34)</f>
        <v>2 кв. 2019</v>
      </c>
      <c r="T670" s="177" t="str">
        <f ca="1">IF(Проект!ShowRealDates,T36,T34)</f>
        <v>3 кв. 2019</v>
      </c>
      <c r="U670" s="177" t="str">
        <f ca="1">IF(Проект!ShowRealDates,U36,U34)</f>
        <v>4 кв. 2019</v>
      </c>
      <c r="V670" s="177" t="str">
        <f ca="1">IF(Проект!ShowRealDates,V36,V34)</f>
        <v>1 кв. 2020</v>
      </c>
      <c r="W670" s="177" t="str">
        <f ca="1">IF(Проект!ShowRealDates,W36,W34)</f>
        <v>2 кв. 2020</v>
      </c>
      <c r="X670" s="177" t="str">
        <f ca="1">IF(Проект!ShowRealDates,X36,X34)</f>
        <v>3 кв. 2020</v>
      </c>
      <c r="Y670" s="177" t="str">
        <f ca="1">IF(Проект!ShowRealDates,Y36,Y34)</f>
        <v>4 кв. 2020</v>
      </c>
      <c r="Z670" s="165"/>
      <c r="AA670" s="166" t="str">
        <f ca="1">Language!A$372</f>
        <v>ИТОГО</v>
      </c>
    </row>
    <row r="671" spans="1:27" ht="12" outlineLevel="1" thickTop="1" x14ac:dyDescent="0.2">
      <c r="AA671" s="11"/>
    </row>
    <row r="672" spans="1:27" outlineLevel="1" collapsed="1" x14ac:dyDescent="0.2">
      <c r="A672" s="23" t="str">
        <f ca="1">Language!A104</f>
        <v>Предполагаемый темп годового роста цен</v>
      </c>
      <c r="C672" s="5" t="s">
        <v>2430</v>
      </c>
      <c r="D672" s="16" t="s">
        <v>2429</v>
      </c>
      <c r="F672" s="256">
        <f>Проект!F80</f>
        <v>0</v>
      </c>
      <c r="G672" s="256">
        <f t="shared" ref="G672:Y672" si="182">F672</f>
        <v>0</v>
      </c>
      <c r="H672" s="256">
        <f t="shared" si="182"/>
        <v>0</v>
      </c>
      <c r="I672" s="256">
        <f t="shared" si="182"/>
        <v>0</v>
      </c>
      <c r="J672" s="256">
        <f t="shared" si="182"/>
        <v>0</v>
      </c>
      <c r="K672" s="256">
        <f t="shared" si="182"/>
        <v>0</v>
      </c>
      <c r="L672" s="256">
        <f t="shared" si="182"/>
        <v>0</v>
      </c>
      <c r="M672" s="256">
        <f t="shared" si="182"/>
        <v>0</v>
      </c>
      <c r="N672" s="256">
        <f t="shared" si="182"/>
        <v>0</v>
      </c>
      <c r="O672" s="256">
        <f t="shared" si="182"/>
        <v>0</v>
      </c>
      <c r="P672" s="256">
        <f t="shared" si="182"/>
        <v>0</v>
      </c>
      <c r="Q672" s="256">
        <f t="shared" si="182"/>
        <v>0</v>
      </c>
      <c r="R672" s="256">
        <f t="shared" si="182"/>
        <v>0</v>
      </c>
      <c r="S672" s="256">
        <f t="shared" si="182"/>
        <v>0</v>
      </c>
      <c r="T672" s="256">
        <f t="shared" si="182"/>
        <v>0</v>
      </c>
      <c r="U672" s="256">
        <f t="shared" si="182"/>
        <v>0</v>
      </c>
      <c r="V672" s="256">
        <f t="shared" si="182"/>
        <v>0</v>
      </c>
      <c r="W672" s="256">
        <f t="shared" si="182"/>
        <v>0</v>
      </c>
      <c r="X672" s="256">
        <f t="shared" si="182"/>
        <v>0</v>
      </c>
      <c r="Y672" s="256">
        <f t="shared" si="182"/>
        <v>0</v>
      </c>
      <c r="AA672" s="11"/>
    </row>
    <row r="673" spans="1:27" hidden="1" outlineLevel="2" x14ac:dyDescent="0.2">
      <c r="A673" t="str">
        <f ca="1">Language!A106</f>
        <v>То же, в пересчете на период, равный шагу проекта</v>
      </c>
      <c r="C673" s="5" t="s">
        <v>2430</v>
      </c>
      <c r="D673" s="16" t="s">
        <v>2429</v>
      </c>
      <c r="F673" s="30">
        <f t="shared" ref="F673:T673" si="183">POWER(1+F672,PRJ_Step/360)-1</f>
        <v>0</v>
      </c>
      <c r="G673" s="30">
        <f t="shared" si="183"/>
        <v>0</v>
      </c>
      <c r="H673" s="30">
        <f t="shared" si="183"/>
        <v>0</v>
      </c>
      <c r="I673" s="30">
        <f t="shared" si="183"/>
        <v>0</v>
      </c>
      <c r="J673" s="30">
        <f t="shared" si="183"/>
        <v>0</v>
      </c>
      <c r="K673" s="30">
        <f t="shared" si="183"/>
        <v>0</v>
      </c>
      <c r="L673" s="30">
        <f t="shared" si="183"/>
        <v>0</v>
      </c>
      <c r="M673" s="30">
        <f t="shared" si="183"/>
        <v>0</v>
      </c>
      <c r="N673" s="30">
        <f t="shared" si="183"/>
        <v>0</v>
      </c>
      <c r="O673" s="30">
        <f t="shared" si="183"/>
        <v>0</v>
      </c>
      <c r="P673" s="30">
        <f t="shared" si="183"/>
        <v>0</v>
      </c>
      <c r="Q673" s="30">
        <f t="shared" si="183"/>
        <v>0</v>
      </c>
      <c r="R673" s="30">
        <f t="shared" si="183"/>
        <v>0</v>
      </c>
      <c r="S673" s="30">
        <f t="shared" si="183"/>
        <v>0</v>
      </c>
      <c r="T673" s="30">
        <f t="shared" si="183"/>
        <v>0</v>
      </c>
      <c r="U673" s="30">
        <f t="shared" ref="U673" si="184">POWER(1+U672,PRJ_Step/360)-1</f>
        <v>0</v>
      </c>
      <c r="V673" s="30">
        <f t="shared" ref="V673" si="185">POWER(1+V672,PRJ_Step/360)-1</f>
        <v>0</v>
      </c>
      <c r="W673" s="30">
        <f t="shared" ref="W673" si="186">POWER(1+W672,PRJ_Step/360)-1</f>
        <v>0</v>
      </c>
      <c r="X673" s="30">
        <f t="shared" ref="X673:Y673" si="187">POWER(1+X672,PRJ_Step/360)-1</f>
        <v>0</v>
      </c>
      <c r="Y673" s="30">
        <f t="shared" si="187"/>
        <v>0</v>
      </c>
      <c r="AA673" s="11"/>
    </row>
    <row r="674" spans="1:27" outlineLevel="1" x14ac:dyDescent="0.2">
      <c r="C674" s="5"/>
      <c r="D674" s="16"/>
      <c r="F674" s="30"/>
      <c r="G674" s="30"/>
      <c r="H674" s="30"/>
      <c r="I674" s="30"/>
      <c r="J674" s="30"/>
      <c r="K674" s="30"/>
      <c r="L674" s="30"/>
      <c r="M674" s="30"/>
      <c r="N674" s="30"/>
      <c r="O674" s="30"/>
      <c r="P674" s="30"/>
      <c r="Q674" s="30"/>
      <c r="R674" s="30"/>
      <c r="S674" s="30"/>
      <c r="T674" s="30"/>
      <c r="U674" s="30"/>
      <c r="V674" s="30"/>
      <c r="W674" s="30"/>
      <c r="X674" s="30"/>
      <c r="Y674" s="30"/>
      <c r="AA674" s="11"/>
    </row>
    <row r="675" spans="1:27" outlineLevel="1" x14ac:dyDescent="0.2">
      <c r="A675" t="str">
        <f ca="1">Language!A$838</f>
        <v>Учитывать ранее осуществленные инвестиции</v>
      </c>
      <c r="B675" s="254">
        <f>Проект!B1713</f>
        <v>1</v>
      </c>
      <c r="C675" s="36" t="str">
        <f ca="1">CHOOSE(B675,Language!A833,Language!A834)</f>
        <v>Да</v>
      </c>
      <c r="AA675" s="11"/>
    </row>
    <row r="676" spans="1:27" outlineLevel="1" x14ac:dyDescent="0.2">
      <c r="A676" t="str">
        <f ca="1">Language!A$839</f>
        <v>Учитывать остаточную стоимость проекта</v>
      </c>
      <c r="B676" s="254">
        <f>Проект!B1714</f>
        <v>2</v>
      </c>
      <c r="C676" s="36" t="str">
        <f ca="1">CHOOSE(B676,Language!A$833,Language!A$834)</f>
        <v>Нет</v>
      </c>
      <c r="AA676" s="11"/>
    </row>
    <row r="677" spans="1:27" outlineLevel="1" collapsed="1" x14ac:dyDescent="0.2">
      <c r="A677" t="str">
        <f ca="1">Language!A$841</f>
        <v>Годовая ставка дисконтирования:</v>
      </c>
      <c r="B677" s="272">
        <v>0.14000000000000001</v>
      </c>
      <c r="C677" s="5" t="s">
        <v>2430</v>
      </c>
      <c r="D677" s="16" t="s">
        <v>2429</v>
      </c>
      <c r="F677" s="250">
        <f>$B$677</f>
        <v>0.14000000000000001</v>
      </c>
      <c r="G677" s="250">
        <f t="shared" ref="G677:Y677" si="188">F677</f>
        <v>0.14000000000000001</v>
      </c>
      <c r="H677" s="250">
        <f t="shared" si="188"/>
        <v>0.14000000000000001</v>
      </c>
      <c r="I677" s="250">
        <f t="shared" si="188"/>
        <v>0.14000000000000001</v>
      </c>
      <c r="J677" s="250">
        <f t="shared" si="188"/>
        <v>0.14000000000000001</v>
      </c>
      <c r="K677" s="250">
        <f t="shared" si="188"/>
        <v>0.14000000000000001</v>
      </c>
      <c r="L677" s="250">
        <f t="shared" si="188"/>
        <v>0.14000000000000001</v>
      </c>
      <c r="M677" s="250">
        <f t="shared" si="188"/>
        <v>0.14000000000000001</v>
      </c>
      <c r="N677" s="250">
        <f t="shared" si="188"/>
        <v>0.14000000000000001</v>
      </c>
      <c r="O677" s="250">
        <f t="shared" si="188"/>
        <v>0.14000000000000001</v>
      </c>
      <c r="P677" s="250">
        <f t="shared" si="188"/>
        <v>0.14000000000000001</v>
      </c>
      <c r="Q677" s="250">
        <f t="shared" si="188"/>
        <v>0.14000000000000001</v>
      </c>
      <c r="R677" s="250">
        <f t="shared" si="188"/>
        <v>0.14000000000000001</v>
      </c>
      <c r="S677" s="250">
        <f t="shared" si="188"/>
        <v>0.14000000000000001</v>
      </c>
      <c r="T677" s="250">
        <f t="shared" si="188"/>
        <v>0.14000000000000001</v>
      </c>
      <c r="U677" s="250">
        <f t="shared" si="188"/>
        <v>0.14000000000000001</v>
      </c>
      <c r="V677" s="250">
        <f t="shared" si="188"/>
        <v>0.14000000000000001</v>
      </c>
      <c r="W677" s="250">
        <f t="shared" si="188"/>
        <v>0.14000000000000001</v>
      </c>
      <c r="X677" s="250">
        <f t="shared" si="188"/>
        <v>0.14000000000000001</v>
      </c>
      <c r="Y677" s="250">
        <f t="shared" si="188"/>
        <v>0.14000000000000001</v>
      </c>
      <c r="AA677" s="11"/>
    </row>
    <row r="678" spans="1:27" hidden="1" outlineLevel="2" x14ac:dyDescent="0.2">
      <c r="A678" t="str">
        <f ca="1">Language!A$842</f>
        <v xml:space="preserve">    ставка дисконтирования на расчетный период</v>
      </c>
      <c r="D678" s="16" t="s">
        <v>2429</v>
      </c>
      <c r="F678" s="250">
        <f t="shared" ref="F678:T678" si="189">IF(CalcMethod=1,(POWER(1+F677,PRJ_Step/360)-1-F673)/(1+F673),POWER(1+F677,PRJ_Step/360)-1)</f>
        <v>3.3299484758959608E-2</v>
      </c>
      <c r="G678" s="250">
        <f t="shared" si="189"/>
        <v>3.3299484758959608E-2</v>
      </c>
      <c r="H678" s="250">
        <f t="shared" si="189"/>
        <v>3.3299484758959608E-2</v>
      </c>
      <c r="I678" s="250">
        <f t="shared" si="189"/>
        <v>3.3299484758959608E-2</v>
      </c>
      <c r="J678" s="250">
        <f t="shared" si="189"/>
        <v>3.3299484758959608E-2</v>
      </c>
      <c r="K678" s="250">
        <f t="shared" si="189"/>
        <v>3.3299484758959608E-2</v>
      </c>
      <c r="L678" s="250">
        <f t="shared" si="189"/>
        <v>3.3299484758959608E-2</v>
      </c>
      <c r="M678" s="250">
        <f t="shared" si="189"/>
        <v>3.3299484758959608E-2</v>
      </c>
      <c r="N678" s="250">
        <f t="shared" si="189"/>
        <v>3.3299484758959608E-2</v>
      </c>
      <c r="O678" s="250">
        <f t="shared" si="189"/>
        <v>3.3299484758959608E-2</v>
      </c>
      <c r="P678" s="250">
        <f t="shared" si="189"/>
        <v>3.3299484758959608E-2</v>
      </c>
      <c r="Q678" s="250">
        <f t="shared" si="189"/>
        <v>3.3299484758959608E-2</v>
      </c>
      <c r="R678" s="250">
        <f t="shared" si="189"/>
        <v>3.3299484758959608E-2</v>
      </c>
      <c r="S678" s="250">
        <f t="shared" si="189"/>
        <v>3.3299484758959608E-2</v>
      </c>
      <c r="T678" s="250">
        <f t="shared" si="189"/>
        <v>3.3299484758959608E-2</v>
      </c>
      <c r="U678" s="250">
        <f t="shared" ref="U678" si="190">IF(CalcMethod=1,(POWER(1+U677,PRJ_Step/360)-1-U673)/(1+U673),POWER(1+U677,PRJ_Step/360)-1)</f>
        <v>3.3299484758959608E-2</v>
      </c>
      <c r="V678" s="250">
        <f t="shared" ref="V678" si="191">IF(CalcMethod=1,(POWER(1+V677,PRJ_Step/360)-1-V673)/(1+V673),POWER(1+V677,PRJ_Step/360)-1)</f>
        <v>3.3299484758959608E-2</v>
      </c>
      <c r="W678" s="250">
        <f t="shared" ref="W678" si="192">IF(CalcMethod=1,(POWER(1+W677,PRJ_Step/360)-1-W673)/(1+W673),POWER(1+W677,PRJ_Step/360)-1)</f>
        <v>3.3299484758959608E-2</v>
      </c>
      <c r="X678" s="250">
        <f t="shared" ref="X678:Y678" si="193">IF(CalcMethod=1,(POWER(1+X677,PRJ_Step/360)-1-X673)/(1+X673),POWER(1+X677,PRJ_Step/360)-1)</f>
        <v>3.3299484758959608E-2</v>
      </c>
      <c r="Y678" s="250">
        <f t="shared" si="193"/>
        <v>3.3299484758959608E-2</v>
      </c>
      <c r="AA678" s="11"/>
    </row>
    <row r="679" spans="1:27" hidden="1" outlineLevel="2" x14ac:dyDescent="0.2">
      <c r="A679" t="str">
        <f ca="1">Language!A$843</f>
        <v xml:space="preserve">    коэффициент дисконта для потока на начало периода</v>
      </c>
      <c r="D679" s="16" t="s">
        <v>2429</v>
      </c>
      <c r="F679" s="251">
        <v>1</v>
      </c>
      <c r="G679" s="251">
        <f t="shared" ref="G679:Y679" si="194">F679*(1+F678)</f>
        <v>1.0332994847589596</v>
      </c>
      <c r="H679" s="251">
        <f t="shared" si="194"/>
        <v>1.0677078252031313</v>
      </c>
      <c r="I679" s="251">
        <f t="shared" si="194"/>
        <v>1.1032619456555048</v>
      </c>
      <c r="J679" s="251">
        <f t="shared" si="194"/>
        <v>1.1400000000000003</v>
      </c>
      <c r="K679" s="251">
        <f t="shared" si="194"/>
        <v>1.1779614126252143</v>
      </c>
      <c r="L679" s="251">
        <f t="shared" si="194"/>
        <v>1.2171869207315702</v>
      </c>
      <c r="M679" s="251">
        <f t="shared" si="194"/>
        <v>1.2577186180472761</v>
      </c>
      <c r="N679" s="251">
        <f t="shared" si="194"/>
        <v>1.2996000000000012</v>
      </c>
      <c r="O679" s="251">
        <f t="shared" si="194"/>
        <v>1.3428760103927451</v>
      </c>
      <c r="P679" s="251">
        <f t="shared" si="194"/>
        <v>1.3875930896339908</v>
      </c>
      <c r="Q679" s="251">
        <f t="shared" si="194"/>
        <v>1.4337992245738955</v>
      </c>
      <c r="R679" s="251">
        <f t="shared" si="194"/>
        <v>1.481544000000002</v>
      </c>
      <c r="S679" s="251">
        <f t="shared" si="194"/>
        <v>1.5308786518477302</v>
      </c>
      <c r="T679" s="251">
        <f t="shared" si="194"/>
        <v>1.5818561221827503</v>
      </c>
      <c r="U679" s="251">
        <f t="shared" si="194"/>
        <v>1.6345311160142417</v>
      </c>
      <c r="V679" s="251">
        <f t="shared" si="194"/>
        <v>1.6889601600000033</v>
      </c>
      <c r="W679" s="251">
        <f t="shared" si="194"/>
        <v>1.7452016631064133</v>
      </c>
      <c r="X679" s="251">
        <f t="shared" si="194"/>
        <v>1.8033159792883362</v>
      </c>
      <c r="Y679" s="251">
        <f t="shared" si="194"/>
        <v>1.8633654722562365</v>
      </c>
      <c r="AA679" s="11"/>
    </row>
    <row r="680" spans="1:27" outlineLevel="1" x14ac:dyDescent="0.2">
      <c r="F680" s="135"/>
      <c r="AA680" s="11"/>
    </row>
    <row r="681" spans="1:27" outlineLevel="1" collapsed="1" x14ac:dyDescent="0.2">
      <c r="A681" s="23" t="str">
        <f ca="1">Language!A$845</f>
        <v>Учитываемые денежные потоки проекта:</v>
      </c>
      <c r="AA681" s="11"/>
    </row>
    <row r="682" spans="1:27" hidden="1" outlineLevel="2" x14ac:dyDescent="0.2">
      <c r="A682" t="str">
        <f ca="1">Language!A$846</f>
        <v>Денежные потоки от операционной деятельности</v>
      </c>
      <c r="B682" s="36" t="str">
        <f ca="1">Language!A$833</f>
        <v>Да</v>
      </c>
      <c r="C682" s="5" t="str">
        <f t="shared" ref="C682:C692" ca="1" si="195">CUR_Report</f>
        <v>тыс. EUR</v>
      </c>
      <c r="F682" s="84">
        <f t="shared" ref="F682:T682" ca="1" si="196">F289+F316-(F118-F50)*F42</f>
        <v>0</v>
      </c>
      <c r="G682" s="84">
        <f t="shared" ca="1" si="196"/>
        <v>0</v>
      </c>
      <c r="H682" s="84">
        <f t="shared" ca="1" si="196"/>
        <v>0</v>
      </c>
      <c r="I682" s="84">
        <f t="shared" ca="1" si="196"/>
        <v>0</v>
      </c>
      <c r="J682" s="84">
        <f t="shared" ca="1" si="196"/>
        <v>0</v>
      </c>
      <c r="K682" s="84">
        <f t="shared" ca="1" si="196"/>
        <v>2728.6487015162002</v>
      </c>
      <c r="L682" s="84">
        <f t="shared" ca="1" si="196"/>
        <v>15.623261900942907</v>
      </c>
      <c r="M682" s="84">
        <f t="shared" ca="1" si="196"/>
        <v>662.99303790614749</v>
      </c>
      <c r="N682" s="84">
        <f t="shared" ca="1" si="196"/>
        <v>916.10593866502677</v>
      </c>
      <c r="O682" s="84">
        <f t="shared" ca="1" si="196"/>
        <v>1243.6178106695488</v>
      </c>
      <c r="P682" s="84">
        <f t="shared" ca="1" si="196"/>
        <v>1454.7746893858593</v>
      </c>
      <c r="Q682" s="84">
        <f t="shared" ca="1" si="196"/>
        <v>1454.7746893858593</v>
      </c>
      <c r="R682" s="84">
        <f t="shared" ca="1" si="196"/>
        <v>1454.7746893858593</v>
      </c>
      <c r="S682" s="84">
        <f t="shared" ca="1" si="196"/>
        <v>1454.7746893858593</v>
      </c>
      <c r="T682" s="84">
        <f t="shared" ca="1" si="196"/>
        <v>1454.7746893858593</v>
      </c>
      <c r="U682" s="84">
        <f t="shared" ref="U682" ca="1" si="197">U289+U316-(U118-U50)*U42</f>
        <v>1454.7746893858593</v>
      </c>
      <c r="V682" s="84">
        <f t="shared" ref="V682" ca="1" si="198">V289+V316-(V118-V50)*V42</f>
        <v>1454.7746893858593</v>
      </c>
      <c r="W682" s="84">
        <f t="shared" ref="W682" ca="1" si="199">W289+W316-(W118-W50)*W42</f>
        <v>1454.7746893858593</v>
      </c>
      <c r="X682" s="84">
        <f t="shared" ref="X682:Y682" ca="1" si="200">X289+X316-(X118-X50)*X42</f>
        <v>1454.7746893858593</v>
      </c>
      <c r="Y682" s="84">
        <f t="shared" ca="1" si="200"/>
        <v>1454.7746893858593</v>
      </c>
      <c r="AA682" s="54">
        <f ca="1">SUM(F682:Y682)</f>
        <v>20114.735644516466</v>
      </c>
    </row>
    <row r="683" spans="1:27" hidden="1" outlineLevel="2" x14ac:dyDescent="0.2">
      <c r="A683" t="str">
        <f ca="1">Language!A$847</f>
        <v xml:space="preserve">    за исключением процентов по кредитам</v>
      </c>
      <c r="B683" s="36" t="str">
        <f ca="1">Language!A$833</f>
        <v>Да</v>
      </c>
      <c r="C683" s="5" t="str">
        <f t="shared" ca="1" si="195"/>
        <v>тыс. EUR</v>
      </c>
      <c r="D683" s="5"/>
      <c r="F683" s="53">
        <f t="shared" ref="F683:T683" ca="1" si="201">-F282</f>
        <v>0</v>
      </c>
      <c r="G683" s="53">
        <f t="shared" ca="1" si="201"/>
        <v>0</v>
      </c>
      <c r="H683" s="53">
        <f t="shared" ca="1" si="201"/>
        <v>0</v>
      </c>
      <c r="I683" s="53">
        <f t="shared" ca="1" si="201"/>
        <v>0</v>
      </c>
      <c r="J683" s="53">
        <f t="shared" ca="1" si="201"/>
        <v>0</v>
      </c>
      <c r="K683" s="53">
        <f t="shared" ca="1" si="201"/>
        <v>0</v>
      </c>
      <c r="L683" s="53">
        <f t="shared" ca="1" si="201"/>
        <v>0</v>
      </c>
      <c r="M683" s="53">
        <f t="shared" ca="1" si="201"/>
        <v>0</v>
      </c>
      <c r="N683" s="53">
        <f t="shared" ca="1" si="201"/>
        <v>0</v>
      </c>
      <c r="O683" s="53">
        <f t="shared" ca="1" si="201"/>
        <v>0</v>
      </c>
      <c r="P683" s="53">
        <f t="shared" ca="1" si="201"/>
        <v>0</v>
      </c>
      <c r="Q683" s="53">
        <f t="shared" ca="1" si="201"/>
        <v>0</v>
      </c>
      <c r="R683" s="53">
        <f t="shared" ca="1" si="201"/>
        <v>0</v>
      </c>
      <c r="S683" s="53">
        <f t="shared" ca="1" si="201"/>
        <v>0</v>
      </c>
      <c r="T683" s="53">
        <f t="shared" ca="1" si="201"/>
        <v>0</v>
      </c>
      <c r="U683" s="53">
        <f t="shared" ref="U683" ca="1" si="202">-U282</f>
        <v>0</v>
      </c>
      <c r="V683" s="53">
        <f t="shared" ref="V683" ca="1" si="203">-V282</f>
        <v>0</v>
      </c>
      <c r="W683" s="53">
        <f t="shared" ref="W683" ca="1" si="204">-W282</f>
        <v>0</v>
      </c>
      <c r="X683" s="53">
        <f t="shared" ref="X683:Y683" ca="1" si="205">-X282</f>
        <v>0</v>
      </c>
      <c r="Y683" s="53">
        <f t="shared" ca="1" si="205"/>
        <v>0</v>
      </c>
      <c r="AA683" s="54">
        <f ca="1">SUM(F683:Y683)</f>
        <v>0</v>
      </c>
    </row>
    <row r="684" spans="1:27" hidden="1" outlineLevel="2" x14ac:dyDescent="0.2">
      <c r="A684" t="str">
        <f ca="1">Language!A$848</f>
        <v>Денежные потоки от инвестиционной деятельности</v>
      </c>
      <c r="B684" s="36" t="str">
        <f ca="1">Language!A$833</f>
        <v>Да</v>
      </c>
      <c r="C684" s="5" t="str">
        <f t="shared" ca="1" si="195"/>
        <v>тыс. EUR</v>
      </c>
      <c r="D684" s="5"/>
      <c r="F684" s="53">
        <f t="shared" ref="F684:T684" ca="1" si="206">F309</f>
        <v>0</v>
      </c>
      <c r="G684" s="53">
        <f t="shared" ca="1" si="206"/>
        <v>0</v>
      </c>
      <c r="H684" s="53">
        <f t="shared" ca="1" si="206"/>
        <v>-5695.3855543220343</v>
      </c>
      <c r="I684" s="53">
        <f t="shared" ca="1" si="206"/>
        <v>-1519.56</v>
      </c>
      <c r="J684" s="53">
        <f t="shared" ca="1" si="206"/>
        <v>-7024.8891971793519</v>
      </c>
      <c r="K684" s="53">
        <f t="shared" ca="1" si="206"/>
        <v>-2883.7623677660667</v>
      </c>
      <c r="L684" s="53">
        <f t="shared" ca="1" si="206"/>
        <v>-5.6843418860808015E-14</v>
      </c>
      <c r="M684" s="53">
        <f t="shared" ca="1" si="206"/>
        <v>0</v>
      </c>
      <c r="N684" s="53">
        <f t="shared" ca="1" si="206"/>
        <v>47.90430408785906</v>
      </c>
      <c r="O684" s="53">
        <f t="shared" ca="1" si="206"/>
        <v>41.655454582366474</v>
      </c>
      <c r="P684" s="53">
        <f t="shared" ca="1" si="206"/>
        <v>0</v>
      </c>
      <c r="Q684" s="53">
        <f t="shared" ca="1" si="206"/>
        <v>0</v>
      </c>
      <c r="R684" s="53">
        <f t="shared" ca="1" si="206"/>
        <v>0</v>
      </c>
      <c r="S684" s="53">
        <f t="shared" ca="1" si="206"/>
        <v>0</v>
      </c>
      <c r="T684" s="53">
        <f t="shared" ca="1" si="206"/>
        <v>0</v>
      </c>
      <c r="U684" s="53">
        <f t="shared" ref="U684" ca="1" si="207">U309</f>
        <v>0</v>
      </c>
      <c r="V684" s="53">
        <f t="shared" ref="V684" ca="1" si="208">V309</f>
        <v>0</v>
      </c>
      <c r="W684" s="53">
        <f t="shared" ref="W684" ca="1" si="209">W309</f>
        <v>0</v>
      </c>
      <c r="X684" s="53">
        <f t="shared" ref="X684:Y684" ca="1" si="210">X309</f>
        <v>0</v>
      </c>
      <c r="Y684" s="53">
        <f t="shared" ca="1" si="210"/>
        <v>0</v>
      </c>
      <c r="AA684" s="54">
        <f ca="1">SUM(F684:Y684)</f>
        <v>-17034.037360597224</v>
      </c>
    </row>
    <row r="685" spans="1:27" hidden="1" outlineLevel="2" x14ac:dyDescent="0.2">
      <c r="A685" t="str">
        <f ca="1">Language!A$849</f>
        <v>Поступления собственного капитала</v>
      </c>
      <c r="B685" s="36" t="str">
        <f ca="1">Language!A$834</f>
        <v>Нет</v>
      </c>
      <c r="C685" s="5" t="str">
        <f t="shared" ca="1" si="195"/>
        <v>тыс. EUR</v>
      </c>
      <c r="D685" s="5"/>
      <c r="AA685" s="11"/>
    </row>
    <row r="686" spans="1:27" hidden="1" outlineLevel="2" x14ac:dyDescent="0.2">
      <c r="A686" t="str">
        <f ca="1">Language!A$850</f>
        <v>Поступления целевого финансирования</v>
      </c>
      <c r="B686" s="36" t="str">
        <f ca="1">Language!A$834</f>
        <v>Нет</v>
      </c>
      <c r="C686" s="5" t="str">
        <f t="shared" ca="1" si="195"/>
        <v>тыс. EUR</v>
      </c>
      <c r="D686" s="5"/>
      <c r="AA686" s="11"/>
    </row>
    <row r="687" spans="1:27" hidden="1" outlineLevel="2" x14ac:dyDescent="0.2">
      <c r="A687" t="str">
        <f ca="1">Language!A$851</f>
        <v>Поступления кредитов</v>
      </c>
      <c r="B687" s="36" t="str">
        <f ca="1">Language!A$834</f>
        <v>Нет</v>
      </c>
      <c r="C687" s="5" t="str">
        <f t="shared" ca="1" si="195"/>
        <v>тыс. EUR</v>
      </c>
      <c r="D687" s="5"/>
      <c r="AA687" s="11"/>
    </row>
    <row r="688" spans="1:27" hidden="1" outlineLevel="2" x14ac:dyDescent="0.2">
      <c r="A688" t="str">
        <f ca="1">Language!A$852</f>
        <v>Возврат кредитов</v>
      </c>
      <c r="B688" s="36" t="str">
        <f ca="1">Language!A$834</f>
        <v>Нет</v>
      </c>
      <c r="C688" s="5" t="str">
        <f t="shared" ca="1" si="195"/>
        <v>тыс. EUR</v>
      </c>
      <c r="D688" s="5"/>
      <c r="AA688" s="11"/>
    </row>
    <row r="689" spans="1:27" hidden="1" outlineLevel="2" x14ac:dyDescent="0.2">
      <c r="A689" t="str">
        <f ca="1">Language!A$853</f>
        <v>Лизинговые платежи</v>
      </c>
      <c r="B689" s="36" t="str">
        <f ca="1">Language!A$833</f>
        <v>Да</v>
      </c>
      <c r="C689" s="5" t="str">
        <f t="shared" ca="1" si="195"/>
        <v>тыс. EUR</v>
      </c>
      <c r="D689" s="5"/>
      <c r="F689" s="53">
        <f t="shared" ref="F689:T689" ca="1" si="211">F322</f>
        <v>0</v>
      </c>
      <c r="G689" s="53">
        <f t="shared" ca="1" si="211"/>
        <v>0</v>
      </c>
      <c r="H689" s="53">
        <f t="shared" ca="1" si="211"/>
        <v>0</v>
      </c>
      <c r="I689" s="53">
        <f t="shared" ca="1" si="211"/>
        <v>0</v>
      </c>
      <c r="J689" s="53">
        <f t="shared" ca="1" si="211"/>
        <v>0</v>
      </c>
      <c r="K689" s="53">
        <f t="shared" ca="1" si="211"/>
        <v>0</v>
      </c>
      <c r="L689" s="53">
        <f t="shared" ca="1" si="211"/>
        <v>0</v>
      </c>
      <c r="M689" s="53">
        <f t="shared" ca="1" si="211"/>
        <v>0</v>
      </c>
      <c r="N689" s="53">
        <f t="shared" ca="1" si="211"/>
        <v>0</v>
      </c>
      <c r="O689" s="53">
        <f t="shared" ca="1" si="211"/>
        <v>0</v>
      </c>
      <c r="P689" s="53">
        <f t="shared" ca="1" si="211"/>
        <v>0</v>
      </c>
      <c r="Q689" s="53">
        <f t="shared" ca="1" si="211"/>
        <v>0</v>
      </c>
      <c r="R689" s="53">
        <f t="shared" ca="1" si="211"/>
        <v>0</v>
      </c>
      <c r="S689" s="53">
        <f t="shared" ca="1" si="211"/>
        <v>0</v>
      </c>
      <c r="T689" s="53">
        <f t="shared" ca="1" si="211"/>
        <v>0</v>
      </c>
      <c r="U689" s="53">
        <f t="shared" ref="U689" ca="1" si="212">U322</f>
        <v>0</v>
      </c>
      <c r="V689" s="53">
        <f t="shared" ref="V689" ca="1" si="213">V322</f>
        <v>0</v>
      </c>
      <c r="W689" s="53">
        <f t="shared" ref="W689" ca="1" si="214">W322</f>
        <v>0</v>
      </c>
      <c r="X689" s="53">
        <f t="shared" ref="X689:Y689" ca="1" si="215">X322</f>
        <v>0</v>
      </c>
      <c r="Y689" s="53">
        <f t="shared" ca="1" si="215"/>
        <v>0</v>
      </c>
      <c r="AA689" s="54">
        <f ca="1">SUM(F689:Y689)</f>
        <v>0</v>
      </c>
    </row>
    <row r="690" spans="1:27" hidden="1" outlineLevel="2" x14ac:dyDescent="0.2">
      <c r="A690" t="str">
        <f ca="1">Language!A$854</f>
        <v>Выплата дивидендов</v>
      </c>
      <c r="B690" s="36" t="str">
        <f ca="1">Language!A$834</f>
        <v>Нет</v>
      </c>
      <c r="C690" s="5" t="str">
        <f t="shared" ca="1" si="195"/>
        <v>тыс. EUR</v>
      </c>
      <c r="D690" s="5"/>
      <c r="AA690" s="11"/>
    </row>
    <row r="691" spans="1:27" hidden="1" outlineLevel="2" x14ac:dyDescent="0.2">
      <c r="A691" t="str">
        <f ca="1">Language!A$855</f>
        <v>Ранее осуществленные инвестиции</v>
      </c>
      <c r="B691" s="36" t="str">
        <f ca="1">CHOOSE(B675,Language!A833,Language!A834)</f>
        <v>Да</v>
      </c>
      <c r="C691" s="5" t="str">
        <f t="shared" ca="1" si="195"/>
        <v>тыс. EUR</v>
      </c>
      <c r="D691" s="5"/>
      <c r="F691" s="53">
        <f t="shared" ref="F691:T691" ca="1" si="216">IF($B675=1,-F112,0)</f>
        <v>0</v>
      </c>
      <c r="G691" s="53">
        <f t="shared" ca="1" si="216"/>
        <v>0</v>
      </c>
      <c r="H691" s="53">
        <f t="shared" ca="1" si="216"/>
        <v>0</v>
      </c>
      <c r="I691" s="53">
        <f t="shared" ca="1" si="216"/>
        <v>0</v>
      </c>
      <c r="J691" s="53">
        <f t="shared" ca="1" si="216"/>
        <v>0</v>
      </c>
      <c r="K691" s="53">
        <f t="shared" ca="1" si="216"/>
        <v>0</v>
      </c>
      <c r="L691" s="53">
        <f t="shared" ca="1" si="216"/>
        <v>0</v>
      </c>
      <c r="M691" s="53">
        <f t="shared" ca="1" si="216"/>
        <v>0</v>
      </c>
      <c r="N691" s="53">
        <f t="shared" ca="1" si="216"/>
        <v>0</v>
      </c>
      <c r="O691" s="53">
        <f t="shared" ca="1" si="216"/>
        <v>0</v>
      </c>
      <c r="P691" s="53">
        <f t="shared" ca="1" si="216"/>
        <v>0</v>
      </c>
      <c r="Q691" s="53">
        <f t="shared" ca="1" si="216"/>
        <v>0</v>
      </c>
      <c r="R691" s="53">
        <f t="shared" ca="1" si="216"/>
        <v>0</v>
      </c>
      <c r="S691" s="53">
        <f t="shared" ca="1" si="216"/>
        <v>0</v>
      </c>
      <c r="T691" s="53">
        <f t="shared" ca="1" si="216"/>
        <v>0</v>
      </c>
      <c r="U691" s="53">
        <f t="shared" ref="U691" ca="1" si="217">IF($B675=1,-U112,0)</f>
        <v>0</v>
      </c>
      <c r="V691" s="53">
        <f t="shared" ref="V691" ca="1" si="218">IF($B675=1,-V112,0)</f>
        <v>0</v>
      </c>
      <c r="W691" s="53">
        <f t="shared" ref="W691" ca="1" si="219">IF($B675=1,-W112,0)</f>
        <v>0</v>
      </c>
      <c r="X691" s="53">
        <f t="shared" ref="X691:Y691" ca="1" si="220">IF($B675=1,-X112,0)</f>
        <v>0</v>
      </c>
      <c r="Y691" s="53">
        <f t="shared" ca="1" si="220"/>
        <v>0</v>
      </c>
      <c r="AA691" s="54">
        <f ca="1">SUM(F691:Y691)</f>
        <v>0</v>
      </c>
    </row>
    <row r="692" spans="1:27" hidden="1" outlineLevel="2" x14ac:dyDescent="0.2">
      <c r="A692" t="str">
        <f ca="1">Language!A$856</f>
        <v>Остаточная стоимость проекта</v>
      </c>
      <c r="B692" s="36" t="str">
        <f ca="1">CHOOSE(B676,Language!A$833,Language!A$834)</f>
        <v>Нет</v>
      </c>
      <c r="C692" s="5" t="str">
        <f t="shared" ca="1" si="195"/>
        <v>тыс. EUR</v>
      </c>
      <c r="D692" s="5"/>
      <c r="F692" s="110">
        <f t="shared" ref="F692:T692" si="221">IF($B676=1,IF(F$33=PRJ_Len,F$509-F$440,0),0)</f>
        <v>0</v>
      </c>
      <c r="G692" s="110">
        <f t="shared" si="221"/>
        <v>0</v>
      </c>
      <c r="H692" s="110">
        <f t="shared" si="221"/>
        <v>0</v>
      </c>
      <c r="I692" s="110">
        <f t="shared" si="221"/>
        <v>0</v>
      </c>
      <c r="J692" s="110">
        <f t="shared" si="221"/>
        <v>0</v>
      </c>
      <c r="K692" s="110">
        <f t="shared" si="221"/>
        <v>0</v>
      </c>
      <c r="L692" s="110">
        <f t="shared" si="221"/>
        <v>0</v>
      </c>
      <c r="M692" s="110">
        <f t="shared" si="221"/>
        <v>0</v>
      </c>
      <c r="N692" s="110">
        <f t="shared" si="221"/>
        <v>0</v>
      </c>
      <c r="O692" s="110">
        <f t="shared" si="221"/>
        <v>0</v>
      </c>
      <c r="P692" s="110">
        <f t="shared" si="221"/>
        <v>0</v>
      </c>
      <c r="Q692" s="110">
        <f t="shared" si="221"/>
        <v>0</v>
      </c>
      <c r="R692" s="110">
        <f t="shared" si="221"/>
        <v>0</v>
      </c>
      <c r="S692" s="110">
        <f t="shared" si="221"/>
        <v>0</v>
      </c>
      <c r="T692" s="110">
        <f t="shared" si="221"/>
        <v>0</v>
      </c>
      <c r="U692" s="110">
        <f t="shared" ref="U692" si="222">IF($B676=1,IF(U$33=PRJ_Len,U$509-U$440,0),0)</f>
        <v>0</v>
      </c>
      <c r="V692" s="110">
        <f t="shared" ref="V692" si="223">IF($B676=1,IF(V$33=PRJ_Len,V$509-V$440,0),0)</f>
        <v>0</v>
      </c>
      <c r="W692" s="110">
        <f t="shared" ref="W692" si="224">IF($B676=1,IF(W$33=PRJ_Len,W$509-W$440,0),0)</f>
        <v>0</v>
      </c>
      <c r="X692" s="110">
        <f t="shared" ref="X692:Y692" si="225">IF($B676=1,IF(X$33=PRJ_Len,X$509-X$440,0),0)</f>
        <v>0</v>
      </c>
      <c r="Y692" s="110">
        <f t="shared" si="225"/>
        <v>0</v>
      </c>
      <c r="AA692" s="54">
        <f>SUM(F692:Y692)</f>
        <v>0</v>
      </c>
    </row>
    <row r="693" spans="1:27" hidden="1" outlineLevel="2" x14ac:dyDescent="0.2">
      <c r="A693" s="63"/>
      <c r="B693" s="63"/>
      <c r="C693" s="67"/>
      <c r="D693" s="67"/>
      <c r="E693" s="63"/>
      <c r="F693" s="139"/>
      <c r="G693" s="139"/>
      <c r="H693" s="139"/>
      <c r="I693" s="139"/>
      <c r="J693" s="139"/>
      <c r="K693" s="139"/>
      <c r="L693" s="139"/>
      <c r="M693" s="139"/>
      <c r="N693" s="139"/>
      <c r="O693" s="139"/>
      <c r="P693" s="139"/>
      <c r="Q693" s="139"/>
      <c r="R693" s="139"/>
      <c r="S693" s="139"/>
      <c r="T693" s="139"/>
      <c r="U693" s="139"/>
      <c r="V693" s="139"/>
      <c r="W693" s="139"/>
      <c r="X693" s="139"/>
      <c r="Y693" s="139"/>
      <c r="Z693" s="139"/>
      <c r="AA693" s="160"/>
    </row>
    <row r="694" spans="1:27" outlineLevel="1" x14ac:dyDescent="0.2">
      <c r="A694" s="24" t="str">
        <f ca="1">Language!A$857</f>
        <v>Чистый денежный поток</v>
      </c>
      <c r="B694" s="24"/>
      <c r="C694" s="5" t="str">
        <f ca="1">CUR_Report</f>
        <v>тыс. EUR</v>
      </c>
      <c r="D694" s="114"/>
      <c r="E694" s="24"/>
      <c r="F694" s="161">
        <f t="shared" ref="F694:T694" ca="1" si="226">F684+F692+F682+F683+F689+F691</f>
        <v>0</v>
      </c>
      <c r="G694" s="161">
        <f t="shared" ca="1" si="226"/>
        <v>0</v>
      </c>
      <c r="H694" s="161">
        <f t="shared" ca="1" si="226"/>
        <v>-5695.3855543220343</v>
      </c>
      <c r="I694" s="161">
        <f t="shared" ca="1" si="226"/>
        <v>-1519.56</v>
      </c>
      <c r="J694" s="161">
        <f t="shared" ca="1" si="226"/>
        <v>-7024.8891971793519</v>
      </c>
      <c r="K694" s="161">
        <f t="shared" ca="1" si="226"/>
        <v>-155.11366624986658</v>
      </c>
      <c r="L694" s="161">
        <f t="shared" ca="1" si="226"/>
        <v>15.62326190094285</v>
      </c>
      <c r="M694" s="161">
        <f t="shared" ca="1" si="226"/>
        <v>662.99303790614749</v>
      </c>
      <c r="N694" s="161">
        <f t="shared" ca="1" si="226"/>
        <v>964.0102427528858</v>
      </c>
      <c r="O694" s="161">
        <f t="shared" ca="1" si="226"/>
        <v>1285.2732652519153</v>
      </c>
      <c r="P694" s="161">
        <f t="shared" ca="1" si="226"/>
        <v>1454.7746893858593</v>
      </c>
      <c r="Q694" s="161">
        <f t="shared" ca="1" si="226"/>
        <v>1454.7746893858593</v>
      </c>
      <c r="R694" s="161">
        <f t="shared" ca="1" si="226"/>
        <v>1454.7746893858593</v>
      </c>
      <c r="S694" s="161">
        <f t="shared" ca="1" si="226"/>
        <v>1454.7746893858593</v>
      </c>
      <c r="T694" s="161">
        <f t="shared" ca="1" si="226"/>
        <v>1454.7746893858593</v>
      </c>
      <c r="U694" s="161">
        <f t="shared" ref="U694" ca="1" si="227">U684+U692+U682+U683+U689+U691</f>
        <v>1454.7746893858593</v>
      </c>
      <c r="V694" s="161">
        <f t="shared" ref="V694" ca="1" si="228">V684+V692+V682+V683+V689+V691</f>
        <v>1454.7746893858593</v>
      </c>
      <c r="W694" s="161">
        <f t="shared" ref="W694" ca="1" si="229">W684+W692+W682+W683+W689+W691</f>
        <v>1454.7746893858593</v>
      </c>
      <c r="X694" s="161">
        <f t="shared" ref="X694:Y694" ca="1" si="230">X684+X692+X682+X683+X689+X691</f>
        <v>1454.7746893858593</v>
      </c>
      <c r="Y694" s="161">
        <f t="shared" ca="1" si="230"/>
        <v>1454.7746893858593</v>
      </c>
      <c r="Z694" s="24"/>
      <c r="AA694" s="54">
        <f ca="1">SUM(F694:Y694)</f>
        <v>3080.6982839192351</v>
      </c>
    </row>
    <row r="695" spans="1:27" outlineLevel="1" x14ac:dyDescent="0.2">
      <c r="A695" t="str">
        <f ca="1">Language!A$858</f>
        <v>Дисконтированный чистый денежный поток</v>
      </c>
      <c r="C695" s="5" t="str">
        <f ca="1">CUR_Report</f>
        <v>тыс. EUR</v>
      </c>
      <c r="D695" s="5"/>
      <c r="F695" s="53">
        <f t="shared" ref="F695:T695" ca="1" si="231">F694/F679</f>
        <v>0</v>
      </c>
      <c r="G695" s="53">
        <f t="shared" ca="1" si="231"/>
        <v>0</v>
      </c>
      <c r="H695" s="53">
        <f t="shared" ca="1" si="231"/>
        <v>-5334.2173016653569</v>
      </c>
      <c r="I695" s="53">
        <f t="shared" ca="1" si="231"/>
        <v>-1377.3338290002841</v>
      </c>
      <c r="J695" s="53">
        <f t="shared" ca="1" si="231"/>
        <v>-6162.1835062976752</v>
      </c>
      <c r="K695" s="53">
        <f t="shared" ca="1" si="231"/>
        <v>-131.67975163480017</v>
      </c>
      <c r="L695" s="53">
        <f t="shared" ca="1" si="231"/>
        <v>12.835548620217464</v>
      </c>
      <c r="M695" s="53">
        <f t="shared" ca="1" si="231"/>
        <v>527.13940017482219</v>
      </c>
      <c r="N695" s="53">
        <f t="shared" ca="1" si="231"/>
        <v>741.77457891111487</v>
      </c>
      <c r="O695" s="53">
        <f t="shared" ca="1" si="231"/>
        <v>957.10494141303263</v>
      </c>
      <c r="P695" s="53">
        <f t="shared" ca="1" si="231"/>
        <v>1048.4159226892584</v>
      </c>
      <c r="Q695" s="53">
        <f t="shared" ca="1" si="231"/>
        <v>1014.6292901073352</v>
      </c>
      <c r="R695" s="53">
        <f t="shared" ca="1" si="231"/>
        <v>981.93147782708945</v>
      </c>
      <c r="S695" s="53">
        <f t="shared" ca="1" si="231"/>
        <v>950.28739712973629</v>
      </c>
      <c r="T695" s="53">
        <f t="shared" ca="1" si="231"/>
        <v>919.66309007829636</v>
      </c>
      <c r="U695" s="53">
        <f t="shared" ref="U695" ca="1" si="232">U694/U679</f>
        <v>890.0256930766094</v>
      </c>
      <c r="V695" s="53">
        <f t="shared" ref="V695" ca="1" si="233">V694/V679</f>
        <v>861.34340160270949</v>
      </c>
      <c r="W695" s="53">
        <f t="shared" ref="W695" ca="1" si="234">W694/W679</f>
        <v>833.58543607871559</v>
      </c>
      <c r="X695" s="53">
        <f t="shared" ref="X695:Y695" ca="1" si="235">X694/X679</f>
        <v>806.72200884061056</v>
      </c>
      <c r="Y695" s="53">
        <f t="shared" ca="1" si="235"/>
        <v>780.72429217246395</v>
      </c>
      <c r="AA695" s="54">
        <f ca="1">SUM(F695:Y695)</f>
        <v>-1679.2319098761034</v>
      </c>
    </row>
    <row r="696" spans="1:27" outlineLevel="1" x14ac:dyDescent="0.2">
      <c r="A696" t="str">
        <f ca="1">Language!A$859</f>
        <v>Дисконтированный поток нарастающим итогом</v>
      </c>
      <c r="C696" s="5" t="str">
        <f ca="1">CUR_Report</f>
        <v>тыс. EUR</v>
      </c>
      <c r="D696" s="16" t="s">
        <v>2594</v>
      </c>
      <c r="F696" s="105">
        <f t="shared" ref="F696:Y696" ca="1" si="236">E696+F695</f>
        <v>0</v>
      </c>
      <c r="G696" s="105">
        <f t="shared" ca="1" si="236"/>
        <v>0</v>
      </c>
      <c r="H696" s="105">
        <f t="shared" ca="1" si="236"/>
        <v>-5334.2173016653569</v>
      </c>
      <c r="I696" s="105">
        <f t="shared" ca="1" si="236"/>
        <v>-6711.5511306656408</v>
      </c>
      <c r="J696" s="105">
        <f t="shared" ca="1" si="236"/>
        <v>-12873.734636963316</v>
      </c>
      <c r="K696" s="105">
        <f t="shared" ca="1" si="236"/>
        <v>-13005.414388598116</v>
      </c>
      <c r="L696" s="105">
        <f t="shared" ca="1" si="236"/>
        <v>-12992.578839977898</v>
      </c>
      <c r="M696" s="105">
        <f t="shared" ca="1" si="236"/>
        <v>-12465.439439803074</v>
      </c>
      <c r="N696" s="105">
        <f t="shared" ca="1" si="236"/>
        <v>-11723.66486089196</v>
      </c>
      <c r="O696" s="105">
        <f t="shared" ca="1" si="236"/>
        <v>-10766.559919478928</v>
      </c>
      <c r="P696" s="105">
        <f t="shared" ca="1" si="236"/>
        <v>-9718.1439967896695</v>
      </c>
      <c r="Q696" s="105">
        <f t="shared" ca="1" si="236"/>
        <v>-8703.5147066823338</v>
      </c>
      <c r="R696" s="105">
        <f t="shared" ca="1" si="236"/>
        <v>-7721.5832288552447</v>
      </c>
      <c r="S696" s="105">
        <f t="shared" ca="1" si="236"/>
        <v>-6771.2958317255088</v>
      </c>
      <c r="T696" s="105">
        <f t="shared" ca="1" si="236"/>
        <v>-5851.6327416472122</v>
      </c>
      <c r="U696" s="105">
        <f t="shared" ca="1" si="236"/>
        <v>-4961.6070485706032</v>
      </c>
      <c r="V696" s="105">
        <f t="shared" ca="1" si="236"/>
        <v>-4100.2636469678937</v>
      </c>
      <c r="W696" s="105">
        <f t="shared" ca="1" si="236"/>
        <v>-3266.678210889178</v>
      </c>
      <c r="X696" s="105">
        <f t="shared" ca="1" si="236"/>
        <v>-2459.9562020485673</v>
      </c>
      <c r="Y696" s="105">
        <f t="shared" ca="1" si="236"/>
        <v>-1679.2319098761034</v>
      </c>
      <c r="AA696" s="11"/>
    </row>
    <row r="697" spans="1:27" outlineLevel="1" x14ac:dyDescent="0.2">
      <c r="AA697" s="11"/>
    </row>
    <row r="698" spans="1:27" outlineLevel="1" collapsed="1" x14ac:dyDescent="0.2">
      <c r="A698" s="23" t="str">
        <f ca="1">Language!A$860</f>
        <v>Простой срок окупаемости</v>
      </c>
      <c r="B698" s="163">
        <f ca="1">IF(ISERROR(E700),Language!A$834,IF(E700&gt;=PRJ_Len,Language!A$834,IF(OR(E700=0),E700*PRJ_Step/360,(E700-OFFSET(F699,0,E700-1)/(-OFFSET(F699,0,E700-1)+OFFSET(F699,0,E700)))*PRJ_Step/360)))</f>
        <v>4.4705884171624257</v>
      </c>
      <c r="C698" s="17" t="str">
        <f ca="1">IF(B698=0,Language!A$33,IF(OR(B698&lt;1,AND(B698&gt;1,B698&lt;5)),Language!A$835,IF(B698=1,Language!A$37,Language!A$33)))</f>
        <v>года</v>
      </c>
      <c r="AA698" s="11"/>
    </row>
    <row r="699" spans="1:27" hidden="1" outlineLevel="2" x14ac:dyDescent="0.2">
      <c r="A699" t="str">
        <f ca="1">Language!A$861</f>
        <v xml:space="preserve">    недисконтированный поток нарастающим итогом</v>
      </c>
      <c r="D699" s="16" t="s">
        <v>2594</v>
      </c>
      <c r="F699" s="53">
        <f t="shared" ref="F699:Y699" ca="1" si="237">E699+F694</f>
        <v>0</v>
      </c>
      <c r="G699" s="53">
        <f t="shared" ca="1" si="237"/>
        <v>0</v>
      </c>
      <c r="H699" s="53">
        <f t="shared" ca="1" si="237"/>
        <v>-5695.3855543220343</v>
      </c>
      <c r="I699" s="53">
        <f t="shared" ca="1" si="237"/>
        <v>-7214.9455543220338</v>
      </c>
      <c r="J699" s="53">
        <f t="shared" ca="1" si="237"/>
        <v>-14239.834751501385</v>
      </c>
      <c r="K699" s="53">
        <f t="shared" ca="1" si="237"/>
        <v>-14394.948417751251</v>
      </c>
      <c r="L699" s="53">
        <f t="shared" ca="1" si="237"/>
        <v>-14379.325155850309</v>
      </c>
      <c r="M699" s="53">
        <f t="shared" ca="1" si="237"/>
        <v>-13716.332117944161</v>
      </c>
      <c r="N699" s="53">
        <f t="shared" ca="1" si="237"/>
        <v>-12752.321875191275</v>
      </c>
      <c r="O699" s="53">
        <f t="shared" ca="1" si="237"/>
        <v>-11467.04860993936</v>
      </c>
      <c r="P699" s="53">
        <f t="shared" ca="1" si="237"/>
        <v>-10012.2739205535</v>
      </c>
      <c r="Q699" s="53">
        <f t="shared" ca="1" si="237"/>
        <v>-8557.4992311676397</v>
      </c>
      <c r="R699" s="53">
        <f t="shared" ca="1" si="237"/>
        <v>-7102.7245417817803</v>
      </c>
      <c r="S699" s="53">
        <f t="shared" ca="1" si="237"/>
        <v>-5647.949852395921</v>
      </c>
      <c r="T699" s="53">
        <f t="shared" ca="1" si="237"/>
        <v>-4193.1751630100616</v>
      </c>
      <c r="U699" s="53">
        <f t="shared" ca="1" si="237"/>
        <v>-2738.4004736242023</v>
      </c>
      <c r="V699" s="53">
        <f t="shared" ca="1" si="237"/>
        <v>-1283.6257842383429</v>
      </c>
      <c r="W699" s="53">
        <f t="shared" ca="1" si="237"/>
        <v>171.14890514751642</v>
      </c>
      <c r="X699" s="53">
        <f t="shared" ca="1" si="237"/>
        <v>1625.9235945333758</v>
      </c>
      <c r="Y699" s="53">
        <f t="shared" ca="1" si="237"/>
        <v>3080.6982839192351</v>
      </c>
      <c r="AA699" s="11"/>
    </row>
    <row r="700" spans="1:27" hidden="1" outlineLevel="2" x14ac:dyDescent="0.2">
      <c r="A700" t="str">
        <f ca="1">Language!A$862</f>
        <v xml:space="preserve">    знак остатка денежных средств</v>
      </c>
      <c r="D700" s="16" t="s">
        <v>2594</v>
      </c>
      <c r="E700" s="100">
        <f ca="1">PRJ_Len+1-(MATCH(-1,F701:Z701,0))</f>
        <v>17</v>
      </c>
      <c r="F700" s="16">
        <f t="shared" ref="F700:T700" ca="1" si="238">SIGN(F699)</f>
        <v>0</v>
      </c>
      <c r="G700" s="16">
        <f t="shared" ca="1" si="238"/>
        <v>0</v>
      </c>
      <c r="H700" s="16">
        <f t="shared" ca="1" si="238"/>
        <v>-1</v>
      </c>
      <c r="I700" s="16">
        <f t="shared" ca="1" si="238"/>
        <v>-1</v>
      </c>
      <c r="J700" s="16">
        <f t="shared" ca="1" si="238"/>
        <v>-1</v>
      </c>
      <c r="K700" s="16">
        <f t="shared" ca="1" si="238"/>
        <v>-1</v>
      </c>
      <c r="L700" s="16">
        <f t="shared" ca="1" si="238"/>
        <v>-1</v>
      </c>
      <c r="M700" s="16">
        <f t="shared" ca="1" si="238"/>
        <v>-1</v>
      </c>
      <c r="N700" s="16">
        <f t="shared" ca="1" si="238"/>
        <v>-1</v>
      </c>
      <c r="O700" s="16">
        <f t="shared" ca="1" si="238"/>
        <v>-1</v>
      </c>
      <c r="P700" s="16">
        <f t="shared" ca="1" si="238"/>
        <v>-1</v>
      </c>
      <c r="Q700" s="16">
        <f t="shared" ca="1" si="238"/>
        <v>-1</v>
      </c>
      <c r="R700" s="16">
        <f t="shared" ca="1" si="238"/>
        <v>-1</v>
      </c>
      <c r="S700" s="16">
        <f t="shared" ca="1" si="238"/>
        <v>-1</v>
      </c>
      <c r="T700" s="16">
        <f t="shared" ca="1" si="238"/>
        <v>-1</v>
      </c>
      <c r="U700" s="16">
        <f t="shared" ref="U700" ca="1" si="239">SIGN(U699)</f>
        <v>-1</v>
      </c>
      <c r="V700" s="16">
        <f t="shared" ref="V700" ca="1" si="240">SIGN(V699)</f>
        <v>-1</v>
      </c>
      <c r="W700" s="16">
        <f t="shared" ref="W700" ca="1" si="241">SIGN(W699)</f>
        <v>1</v>
      </c>
      <c r="X700" s="16">
        <f t="shared" ref="X700:Y700" ca="1" si="242">SIGN(X699)</f>
        <v>1</v>
      </c>
      <c r="Y700" s="16">
        <f t="shared" ca="1" si="242"/>
        <v>1</v>
      </c>
      <c r="AA700" s="11"/>
    </row>
    <row r="701" spans="1:27" hidden="1" outlineLevel="2" x14ac:dyDescent="0.2">
      <c r="A701" t="str">
        <f ca="1">Language!A$863</f>
        <v xml:space="preserve">    знак остатка денежных средств (с конца)</v>
      </c>
      <c r="D701" s="16" t="s">
        <v>2594</v>
      </c>
      <c r="F701" s="100">
        <f t="shared" ref="F701:T701" ca="1" si="243">OFFSET(F700,0,PRJ_Len-F$33-F$33+1)</f>
        <v>1</v>
      </c>
      <c r="G701" s="100">
        <f t="shared" ca="1" si="243"/>
        <v>1</v>
      </c>
      <c r="H701" s="100">
        <f t="shared" ca="1" si="243"/>
        <v>1</v>
      </c>
      <c r="I701" s="100">
        <f t="shared" ca="1" si="243"/>
        <v>-1</v>
      </c>
      <c r="J701" s="100">
        <f t="shared" ca="1" si="243"/>
        <v>-1</v>
      </c>
      <c r="K701" s="100">
        <f t="shared" ca="1" si="243"/>
        <v>-1</v>
      </c>
      <c r="L701" s="100">
        <f t="shared" ca="1" si="243"/>
        <v>-1</v>
      </c>
      <c r="M701" s="100">
        <f t="shared" ca="1" si="243"/>
        <v>-1</v>
      </c>
      <c r="N701" s="100">
        <f t="shared" ca="1" si="243"/>
        <v>-1</v>
      </c>
      <c r="O701" s="100">
        <f t="shared" ca="1" si="243"/>
        <v>-1</v>
      </c>
      <c r="P701" s="100">
        <f t="shared" ca="1" si="243"/>
        <v>-1</v>
      </c>
      <c r="Q701" s="100">
        <f t="shared" ca="1" si="243"/>
        <v>-1</v>
      </c>
      <c r="R701" s="100">
        <f t="shared" ca="1" si="243"/>
        <v>-1</v>
      </c>
      <c r="S701" s="100">
        <f t="shared" ca="1" si="243"/>
        <v>-1</v>
      </c>
      <c r="T701" s="100">
        <f t="shared" ca="1" si="243"/>
        <v>-1</v>
      </c>
      <c r="U701" s="100">
        <f t="shared" ref="U701" ca="1" si="244">OFFSET(U700,0,PRJ_Len-U$33-U$33+1)</f>
        <v>-1</v>
      </c>
      <c r="V701" s="100">
        <f t="shared" ref="V701" ca="1" si="245">OFFSET(V700,0,PRJ_Len-V$33-V$33+1)</f>
        <v>-1</v>
      </c>
      <c r="W701" s="100">
        <f t="shared" ref="W701" ca="1" si="246">OFFSET(W700,0,PRJ_Len-W$33-W$33+1)</f>
        <v>-1</v>
      </c>
      <c r="X701" s="100">
        <f t="shared" ref="X701:Y701" ca="1" si="247">OFFSET(X700,0,PRJ_Len-X$33-X$33+1)</f>
        <v>0</v>
      </c>
      <c r="Y701" s="100">
        <f t="shared" ca="1" si="247"/>
        <v>0</v>
      </c>
      <c r="AA701" s="11"/>
    </row>
    <row r="702" spans="1:27" outlineLevel="1" x14ac:dyDescent="0.2">
      <c r="AA702" s="11"/>
    </row>
    <row r="703" spans="1:27" outlineLevel="1" x14ac:dyDescent="0.2">
      <c r="A703" s="35" t="str">
        <f ca="1">Language!A$864</f>
        <v>Чистая приведенная стоимость (NPV)</v>
      </c>
      <c r="B703" s="150">
        <f ca="1">AA695</f>
        <v>-1679.2319098761034</v>
      </c>
      <c r="C703" s="5" t="str">
        <f ca="1">CUR_Report</f>
        <v>тыс. EUR</v>
      </c>
      <c r="AA703" s="11"/>
    </row>
    <row r="704" spans="1:27" outlineLevel="1" collapsed="1" x14ac:dyDescent="0.2">
      <c r="A704" s="35" t="str">
        <f ca="1">Language!A$865</f>
        <v>Дисконтированный срок окупаемости (PBP)</v>
      </c>
      <c r="B704" s="149" t="str">
        <f ca="1">IF(ISERROR(E705),Language!A$834,IF(E705&gt;=PRJ_Len,Language!A$834,IF(OR(E705=0),E705*PRJ_Step/360,(E705-OFFSET(F696,0,E705-1)/(-OFFSET(F696,0,E705-1)+OFFSET(F696,0,E705)))*PRJ_Step/360)))</f>
        <v>Нет</v>
      </c>
      <c r="C704" s="17" t="str">
        <f ca="1">IF(B704=0,Language!A$33,IF(OR(B704&lt;1,AND(B704&gt;1,B704&lt;5)),Language!A$835,IF(B704=1,Language!A$37,Language!A$33)))</f>
        <v>лет</v>
      </c>
      <c r="AA704" s="11"/>
    </row>
    <row r="705" spans="1:27" hidden="1" outlineLevel="2" x14ac:dyDescent="0.2">
      <c r="A705" t="str">
        <f ca="1">Language!A$866</f>
        <v xml:space="preserve">    знак остатка дисконтированных денежных средств</v>
      </c>
      <c r="D705" s="16" t="s">
        <v>2594</v>
      </c>
      <c r="E705" s="100">
        <f ca="1">PRJ_Len+1-(MATCH(-1,F706:Z706,0))</f>
        <v>20</v>
      </c>
      <c r="F705" s="16">
        <f t="shared" ref="F705:T705" ca="1" si="248">SIGN(F696)</f>
        <v>0</v>
      </c>
      <c r="G705" s="16">
        <f t="shared" ca="1" si="248"/>
        <v>0</v>
      </c>
      <c r="H705" s="16">
        <f t="shared" ca="1" si="248"/>
        <v>-1</v>
      </c>
      <c r="I705" s="16">
        <f t="shared" ca="1" si="248"/>
        <v>-1</v>
      </c>
      <c r="J705" s="16">
        <f t="shared" ca="1" si="248"/>
        <v>-1</v>
      </c>
      <c r="K705" s="16">
        <f t="shared" ca="1" si="248"/>
        <v>-1</v>
      </c>
      <c r="L705" s="16">
        <f t="shared" ca="1" si="248"/>
        <v>-1</v>
      </c>
      <c r="M705" s="16">
        <f t="shared" ca="1" si="248"/>
        <v>-1</v>
      </c>
      <c r="N705" s="16">
        <f t="shared" ca="1" si="248"/>
        <v>-1</v>
      </c>
      <c r="O705" s="16">
        <f t="shared" ca="1" si="248"/>
        <v>-1</v>
      </c>
      <c r="P705" s="16">
        <f t="shared" ca="1" si="248"/>
        <v>-1</v>
      </c>
      <c r="Q705" s="16">
        <f t="shared" ca="1" si="248"/>
        <v>-1</v>
      </c>
      <c r="R705" s="16">
        <f t="shared" ca="1" si="248"/>
        <v>-1</v>
      </c>
      <c r="S705" s="16">
        <f t="shared" ca="1" si="248"/>
        <v>-1</v>
      </c>
      <c r="T705" s="16">
        <f t="shared" ca="1" si="248"/>
        <v>-1</v>
      </c>
      <c r="U705" s="16">
        <f t="shared" ref="U705" ca="1" si="249">SIGN(U696)</f>
        <v>-1</v>
      </c>
      <c r="V705" s="16">
        <f t="shared" ref="V705" ca="1" si="250">SIGN(V696)</f>
        <v>-1</v>
      </c>
      <c r="W705" s="16">
        <f t="shared" ref="W705" ca="1" si="251">SIGN(W696)</f>
        <v>-1</v>
      </c>
      <c r="X705" s="16">
        <f t="shared" ref="X705:Y705" ca="1" si="252">SIGN(X696)</f>
        <v>-1</v>
      </c>
      <c r="Y705" s="16">
        <f t="shared" ca="1" si="252"/>
        <v>-1</v>
      </c>
      <c r="AA705" s="11"/>
    </row>
    <row r="706" spans="1:27" hidden="1" outlineLevel="2" x14ac:dyDescent="0.2">
      <c r="A706" t="str">
        <f ca="1">Language!A$867</f>
        <v xml:space="preserve">    знак остатка дисконтированных денежных средств (с конца)</v>
      </c>
      <c r="D706" s="16" t="s">
        <v>2594</v>
      </c>
      <c r="F706" s="100">
        <f t="shared" ref="F706:T706" ca="1" si="253">OFFSET(F705,0,PRJ_Len-F$33-F$33+1)</f>
        <v>-1</v>
      </c>
      <c r="G706" s="100">
        <f t="shared" ca="1" si="253"/>
        <v>-1</v>
      </c>
      <c r="H706" s="100">
        <f t="shared" ca="1" si="253"/>
        <v>-1</v>
      </c>
      <c r="I706" s="100">
        <f t="shared" ca="1" si="253"/>
        <v>-1</v>
      </c>
      <c r="J706" s="100">
        <f t="shared" ca="1" si="253"/>
        <v>-1</v>
      </c>
      <c r="K706" s="100">
        <f t="shared" ca="1" si="253"/>
        <v>-1</v>
      </c>
      <c r="L706" s="100">
        <f t="shared" ca="1" si="253"/>
        <v>-1</v>
      </c>
      <c r="M706" s="100">
        <f t="shared" ca="1" si="253"/>
        <v>-1</v>
      </c>
      <c r="N706" s="100">
        <f t="shared" ca="1" si="253"/>
        <v>-1</v>
      </c>
      <c r="O706" s="100">
        <f t="shared" ca="1" si="253"/>
        <v>-1</v>
      </c>
      <c r="P706" s="100">
        <f t="shared" ca="1" si="253"/>
        <v>-1</v>
      </c>
      <c r="Q706" s="100">
        <f t="shared" ca="1" si="253"/>
        <v>-1</v>
      </c>
      <c r="R706" s="100">
        <f t="shared" ca="1" si="253"/>
        <v>-1</v>
      </c>
      <c r="S706" s="100">
        <f t="shared" ca="1" si="253"/>
        <v>-1</v>
      </c>
      <c r="T706" s="100">
        <f t="shared" ca="1" si="253"/>
        <v>-1</v>
      </c>
      <c r="U706" s="100">
        <f t="shared" ref="U706" ca="1" si="254">OFFSET(U705,0,PRJ_Len-U$33-U$33+1)</f>
        <v>-1</v>
      </c>
      <c r="V706" s="100">
        <f t="shared" ref="V706" ca="1" si="255">OFFSET(V705,0,PRJ_Len-V$33-V$33+1)</f>
        <v>-1</v>
      </c>
      <c r="W706" s="100">
        <f t="shared" ref="W706" ca="1" si="256">OFFSET(W705,0,PRJ_Len-W$33-W$33+1)</f>
        <v>-1</v>
      </c>
      <c r="X706" s="100">
        <f t="shared" ref="X706:Y706" ca="1" si="257">OFFSET(X705,0,PRJ_Len-X$33-X$33+1)</f>
        <v>0</v>
      </c>
      <c r="Y706" s="100">
        <f t="shared" ca="1" si="257"/>
        <v>0</v>
      </c>
      <c r="AA706" s="11"/>
    </row>
    <row r="707" spans="1:27" outlineLevel="1" collapsed="1" x14ac:dyDescent="0.2">
      <c r="A707" s="129" t="str">
        <f ca="1">Language!A$868</f>
        <v>Внутренняя норма рентабельности (IRR)</v>
      </c>
      <c r="B707" s="151">
        <f ca="1">IF(ISERROR(E707),Language!A$834,IF(AND(E707&gt;0,E707&lt;100),E707,Language!A$834))</f>
        <v>7.885133518602272E-2</v>
      </c>
      <c r="C707" s="215" t="str">
        <f ca="1">Language!A$837</f>
        <v>(номинальная - с учетом инфляции)</v>
      </c>
      <c r="E707" s="16">
        <f ca="1">(POWER(1+IRR(F708:Y708,0.2*PRJ_Step/360),360/PRJ_Step)-1)</f>
        <v>7.885133518602272E-2</v>
      </c>
      <c r="AA707" s="11"/>
    </row>
    <row r="708" spans="1:27" s="48" customFormat="1" hidden="1" outlineLevel="2" x14ac:dyDescent="0.2">
      <c r="A708" s="24" t="str">
        <f ca="1">Language!A$857</f>
        <v>Чистый денежный поток</v>
      </c>
      <c r="B708" s="222"/>
      <c r="C708" s="215"/>
      <c r="E708" s="100"/>
      <c r="F708" s="65">
        <f t="shared" ref="F708:T708" ca="1" si="258">F694*F709</f>
        <v>0</v>
      </c>
      <c r="G708" s="65">
        <f t="shared" ca="1" si="258"/>
        <v>0</v>
      </c>
      <c r="H708" s="65">
        <f t="shared" ca="1" si="258"/>
        <v>-5695.3855543220343</v>
      </c>
      <c r="I708" s="65">
        <f t="shared" ca="1" si="258"/>
        <v>-1519.56</v>
      </c>
      <c r="J708" s="65">
        <f t="shared" ca="1" si="258"/>
        <v>-7024.8891971793519</v>
      </c>
      <c r="K708" s="65">
        <f t="shared" ca="1" si="258"/>
        <v>-155.11366624986658</v>
      </c>
      <c r="L708" s="65">
        <f t="shared" ca="1" si="258"/>
        <v>15.62326190094285</v>
      </c>
      <c r="M708" s="65">
        <f t="shared" ca="1" si="258"/>
        <v>662.99303790614749</v>
      </c>
      <c r="N708" s="65">
        <f t="shared" ca="1" si="258"/>
        <v>964.0102427528858</v>
      </c>
      <c r="O708" s="65">
        <f t="shared" ca="1" si="258"/>
        <v>1285.2732652519153</v>
      </c>
      <c r="P708" s="65">
        <f t="shared" ca="1" si="258"/>
        <v>1454.7746893858593</v>
      </c>
      <c r="Q708" s="65">
        <f t="shared" ca="1" si="258"/>
        <v>1454.7746893858593</v>
      </c>
      <c r="R708" s="65">
        <f t="shared" ca="1" si="258"/>
        <v>1454.7746893858593</v>
      </c>
      <c r="S708" s="65">
        <f t="shared" ca="1" si="258"/>
        <v>1454.7746893858593</v>
      </c>
      <c r="T708" s="65">
        <f t="shared" ca="1" si="258"/>
        <v>1454.7746893858593</v>
      </c>
      <c r="U708" s="65">
        <f t="shared" ref="U708" ca="1" si="259">U694*U709</f>
        <v>1454.7746893858593</v>
      </c>
      <c r="V708" s="65">
        <f t="shared" ref="V708" ca="1" si="260">V694*V709</f>
        <v>1454.7746893858593</v>
      </c>
      <c r="W708" s="65">
        <f t="shared" ref="W708" ca="1" si="261">W694*W709</f>
        <v>1454.7746893858593</v>
      </c>
      <c r="X708" s="65">
        <f t="shared" ref="X708:Y708" ca="1" si="262">X694*X709</f>
        <v>1454.7746893858593</v>
      </c>
      <c r="Y708" s="65">
        <f t="shared" ca="1" si="262"/>
        <v>1454.7746893858593</v>
      </c>
      <c r="AA708" s="41"/>
    </row>
    <row r="709" spans="1:27" s="48" customFormat="1" hidden="1" outlineLevel="2" x14ac:dyDescent="0.2">
      <c r="A709" s="24" t="str">
        <f ca="1">Language!$A$118 &amp; IF(CalcMethod=1,Language!A$109,Language!A$108)</f>
        <v>Множитель прироста цен  (включен)</v>
      </c>
      <c r="B709" s="222"/>
      <c r="C709" s="215"/>
      <c r="E709" s="100"/>
      <c r="F709" s="315">
        <v>1</v>
      </c>
      <c r="G709" s="315">
        <f t="shared" ref="G709:Y709" si="263">IF(CalcMethod=1,F709*(1+G673),1)</f>
        <v>1</v>
      </c>
      <c r="H709" s="315">
        <f t="shared" si="263"/>
        <v>1</v>
      </c>
      <c r="I709" s="315">
        <f t="shared" si="263"/>
        <v>1</v>
      </c>
      <c r="J709" s="315">
        <f t="shared" si="263"/>
        <v>1</v>
      </c>
      <c r="K709" s="315">
        <f t="shared" si="263"/>
        <v>1</v>
      </c>
      <c r="L709" s="315">
        <f t="shared" si="263"/>
        <v>1</v>
      </c>
      <c r="M709" s="315">
        <f t="shared" si="263"/>
        <v>1</v>
      </c>
      <c r="N709" s="315">
        <f t="shared" si="263"/>
        <v>1</v>
      </c>
      <c r="O709" s="315">
        <f t="shared" si="263"/>
        <v>1</v>
      </c>
      <c r="P709" s="315">
        <f t="shared" si="263"/>
        <v>1</v>
      </c>
      <c r="Q709" s="315">
        <f t="shared" si="263"/>
        <v>1</v>
      </c>
      <c r="R709" s="315">
        <f t="shared" si="263"/>
        <v>1</v>
      </c>
      <c r="S709" s="315">
        <f t="shared" si="263"/>
        <v>1</v>
      </c>
      <c r="T709" s="315">
        <f t="shared" si="263"/>
        <v>1</v>
      </c>
      <c r="U709" s="315">
        <f t="shared" si="263"/>
        <v>1</v>
      </c>
      <c r="V709" s="315">
        <f t="shared" si="263"/>
        <v>1</v>
      </c>
      <c r="W709" s="315">
        <f t="shared" si="263"/>
        <v>1</v>
      </c>
      <c r="X709" s="315">
        <f t="shared" si="263"/>
        <v>1</v>
      </c>
      <c r="Y709" s="315">
        <f t="shared" si="263"/>
        <v>1</v>
      </c>
      <c r="AA709" s="41"/>
    </row>
    <row r="710" spans="1:27" outlineLevel="1" collapsed="1" x14ac:dyDescent="0.2">
      <c r="A710" s="23" t="str">
        <f ca="1">Language!A$869</f>
        <v>Норма доходности дисконтированных затрат (PI)</v>
      </c>
      <c r="B710" s="310">
        <f ca="1">IF(AA714&lt;0,AA712/-AA714,Language!A$834)</f>
        <v>0.87088209112750048</v>
      </c>
      <c r="C710" s="5" t="str">
        <f ca="1">Language!A$198</f>
        <v>разы</v>
      </c>
      <c r="AA710" s="11"/>
    </row>
    <row r="711" spans="1:27" hidden="1" outlineLevel="2" x14ac:dyDescent="0.2">
      <c r="A711" t="str">
        <f ca="1">Language!A$870</f>
        <v xml:space="preserve">    притоки</v>
      </c>
      <c r="C711" s="5" t="str">
        <f ca="1">CUR_Report</f>
        <v>тыс. EUR</v>
      </c>
      <c r="F711" s="43">
        <f t="shared" ref="F711:T711" ca="1" si="264">MAX(0,F694)</f>
        <v>0</v>
      </c>
      <c r="G711" s="43">
        <f t="shared" ca="1" si="264"/>
        <v>0</v>
      </c>
      <c r="H711" s="43">
        <f t="shared" ca="1" si="264"/>
        <v>0</v>
      </c>
      <c r="I711" s="43">
        <f t="shared" ca="1" si="264"/>
        <v>0</v>
      </c>
      <c r="J711" s="43">
        <f t="shared" ca="1" si="264"/>
        <v>0</v>
      </c>
      <c r="K711" s="43">
        <f t="shared" ca="1" si="264"/>
        <v>0</v>
      </c>
      <c r="L711" s="43">
        <f t="shared" ca="1" si="264"/>
        <v>15.62326190094285</v>
      </c>
      <c r="M711" s="43">
        <f t="shared" ca="1" si="264"/>
        <v>662.99303790614749</v>
      </c>
      <c r="N711" s="43">
        <f t="shared" ca="1" si="264"/>
        <v>964.0102427528858</v>
      </c>
      <c r="O711" s="43">
        <f t="shared" ca="1" si="264"/>
        <v>1285.2732652519153</v>
      </c>
      <c r="P711" s="43">
        <f t="shared" ca="1" si="264"/>
        <v>1454.7746893858593</v>
      </c>
      <c r="Q711" s="43">
        <f t="shared" ca="1" si="264"/>
        <v>1454.7746893858593</v>
      </c>
      <c r="R711" s="43">
        <f t="shared" ca="1" si="264"/>
        <v>1454.7746893858593</v>
      </c>
      <c r="S711" s="43">
        <f t="shared" ca="1" si="264"/>
        <v>1454.7746893858593</v>
      </c>
      <c r="T711" s="43">
        <f t="shared" ca="1" si="264"/>
        <v>1454.7746893858593</v>
      </c>
      <c r="U711" s="43">
        <f t="shared" ref="U711" ca="1" si="265">MAX(0,U694)</f>
        <v>1454.7746893858593</v>
      </c>
      <c r="V711" s="43">
        <f t="shared" ref="V711" ca="1" si="266">MAX(0,V694)</f>
        <v>1454.7746893858593</v>
      </c>
      <c r="W711" s="43">
        <f t="shared" ref="W711" ca="1" si="267">MAX(0,W694)</f>
        <v>1454.7746893858593</v>
      </c>
      <c r="X711" s="43">
        <f t="shared" ref="X711:Y711" ca="1" si="268">MAX(0,X694)</f>
        <v>1454.7746893858593</v>
      </c>
      <c r="Y711" s="43">
        <f t="shared" ca="1" si="268"/>
        <v>1454.7746893858593</v>
      </c>
      <c r="AA711" s="54">
        <f ca="1">SUM(F711:Y711)</f>
        <v>17475.646701670492</v>
      </c>
    </row>
    <row r="712" spans="1:27" hidden="1" outlineLevel="2" x14ac:dyDescent="0.2">
      <c r="A712" t="str">
        <f ca="1">Language!A$871</f>
        <v xml:space="preserve">    дисконтированные притоки</v>
      </c>
      <c r="C712" s="5" t="str">
        <f ca="1">CUR_Report</f>
        <v>тыс. EUR</v>
      </c>
      <c r="F712" s="43">
        <f t="shared" ref="F712:T712" ca="1" si="269">F711/F679</f>
        <v>0</v>
      </c>
      <c r="G712" s="43">
        <f t="shared" ca="1" si="269"/>
        <v>0</v>
      </c>
      <c r="H712" s="43">
        <f t="shared" ca="1" si="269"/>
        <v>0</v>
      </c>
      <c r="I712" s="43">
        <f t="shared" ca="1" si="269"/>
        <v>0</v>
      </c>
      <c r="J712" s="43">
        <f t="shared" ca="1" si="269"/>
        <v>0</v>
      </c>
      <c r="K712" s="43">
        <f t="shared" ca="1" si="269"/>
        <v>0</v>
      </c>
      <c r="L712" s="43">
        <f t="shared" ca="1" si="269"/>
        <v>12.835548620217464</v>
      </c>
      <c r="M712" s="43">
        <f t="shared" ca="1" si="269"/>
        <v>527.13940017482219</v>
      </c>
      <c r="N712" s="43">
        <f t="shared" ca="1" si="269"/>
        <v>741.77457891111487</v>
      </c>
      <c r="O712" s="43">
        <f t="shared" ca="1" si="269"/>
        <v>957.10494141303263</v>
      </c>
      <c r="P712" s="43">
        <f t="shared" ca="1" si="269"/>
        <v>1048.4159226892584</v>
      </c>
      <c r="Q712" s="43">
        <f t="shared" ca="1" si="269"/>
        <v>1014.6292901073352</v>
      </c>
      <c r="R712" s="43">
        <f t="shared" ca="1" si="269"/>
        <v>981.93147782708945</v>
      </c>
      <c r="S712" s="43">
        <f t="shared" ca="1" si="269"/>
        <v>950.28739712973629</v>
      </c>
      <c r="T712" s="43">
        <f t="shared" ca="1" si="269"/>
        <v>919.66309007829636</v>
      </c>
      <c r="U712" s="43">
        <f t="shared" ref="U712" ca="1" si="270">U711/U679</f>
        <v>890.0256930766094</v>
      </c>
      <c r="V712" s="43">
        <f t="shared" ref="V712" ca="1" si="271">V711/V679</f>
        <v>861.34340160270949</v>
      </c>
      <c r="W712" s="43">
        <f t="shared" ref="W712" ca="1" si="272">W711/W679</f>
        <v>833.58543607871559</v>
      </c>
      <c r="X712" s="43">
        <f t="shared" ref="X712:Y712" ca="1" si="273">X711/X679</f>
        <v>806.72200884061056</v>
      </c>
      <c r="Y712" s="43">
        <f t="shared" ca="1" si="273"/>
        <v>780.72429217246395</v>
      </c>
      <c r="AA712" s="54">
        <f ca="1">SUM(F712:Y712)</f>
        <v>11326.18247872201</v>
      </c>
    </row>
    <row r="713" spans="1:27" hidden="1" outlineLevel="2" x14ac:dyDescent="0.2">
      <c r="A713" t="str">
        <f ca="1">Language!A$872</f>
        <v xml:space="preserve">    оттоки</v>
      </c>
      <c r="C713" s="5" t="str">
        <f ca="1">CUR_Report</f>
        <v>тыс. EUR</v>
      </c>
      <c r="F713" s="43">
        <f t="shared" ref="F713:T713" ca="1" si="274">MIN(0,F694)</f>
        <v>0</v>
      </c>
      <c r="G713" s="43">
        <f t="shared" ca="1" si="274"/>
        <v>0</v>
      </c>
      <c r="H713" s="43">
        <f t="shared" ca="1" si="274"/>
        <v>-5695.3855543220343</v>
      </c>
      <c r="I713" s="43">
        <f t="shared" ca="1" si="274"/>
        <v>-1519.56</v>
      </c>
      <c r="J713" s="43">
        <f t="shared" ca="1" si="274"/>
        <v>-7024.8891971793519</v>
      </c>
      <c r="K713" s="43">
        <f t="shared" ca="1" si="274"/>
        <v>-155.11366624986658</v>
      </c>
      <c r="L713" s="43">
        <f t="shared" ca="1" si="274"/>
        <v>0</v>
      </c>
      <c r="M713" s="43">
        <f t="shared" ca="1" si="274"/>
        <v>0</v>
      </c>
      <c r="N713" s="43">
        <f t="shared" ca="1" si="274"/>
        <v>0</v>
      </c>
      <c r="O713" s="43">
        <f t="shared" ca="1" si="274"/>
        <v>0</v>
      </c>
      <c r="P713" s="43">
        <f t="shared" ca="1" si="274"/>
        <v>0</v>
      </c>
      <c r="Q713" s="43">
        <f t="shared" ca="1" si="274"/>
        <v>0</v>
      </c>
      <c r="R713" s="43">
        <f t="shared" ca="1" si="274"/>
        <v>0</v>
      </c>
      <c r="S713" s="43">
        <f t="shared" ca="1" si="274"/>
        <v>0</v>
      </c>
      <c r="T713" s="43">
        <f t="shared" ca="1" si="274"/>
        <v>0</v>
      </c>
      <c r="U713" s="43">
        <f t="shared" ref="U713" ca="1" si="275">MIN(0,U694)</f>
        <v>0</v>
      </c>
      <c r="V713" s="43">
        <f t="shared" ref="V713" ca="1" si="276">MIN(0,V694)</f>
        <v>0</v>
      </c>
      <c r="W713" s="43">
        <f t="shared" ref="W713" ca="1" si="277">MIN(0,W694)</f>
        <v>0</v>
      </c>
      <c r="X713" s="43">
        <f t="shared" ref="X713:Y713" ca="1" si="278">MIN(0,X694)</f>
        <v>0</v>
      </c>
      <c r="Y713" s="43">
        <f t="shared" ca="1" si="278"/>
        <v>0</v>
      </c>
      <c r="AA713" s="54">
        <f ca="1">SUM(F713:Y713)</f>
        <v>-14394.948417751251</v>
      </c>
    </row>
    <row r="714" spans="1:27" hidden="1" outlineLevel="2" x14ac:dyDescent="0.2">
      <c r="A714" t="str">
        <f ca="1">Language!A$873</f>
        <v xml:space="preserve">    дисконтированные оттоки</v>
      </c>
      <c r="C714" s="5" t="str">
        <f ca="1">CUR_Report</f>
        <v>тыс. EUR</v>
      </c>
      <c r="F714" s="43">
        <f t="shared" ref="F714:T714" ca="1" si="279">F713/F679</f>
        <v>0</v>
      </c>
      <c r="G714" s="43">
        <f t="shared" ca="1" si="279"/>
        <v>0</v>
      </c>
      <c r="H714" s="43">
        <f t="shared" ca="1" si="279"/>
        <v>-5334.2173016653569</v>
      </c>
      <c r="I714" s="43">
        <f t="shared" ca="1" si="279"/>
        <v>-1377.3338290002841</v>
      </c>
      <c r="J714" s="43">
        <f t="shared" ca="1" si="279"/>
        <v>-6162.1835062976752</v>
      </c>
      <c r="K714" s="43">
        <f t="shared" ca="1" si="279"/>
        <v>-131.67975163480017</v>
      </c>
      <c r="L714" s="43">
        <f t="shared" ca="1" si="279"/>
        <v>0</v>
      </c>
      <c r="M714" s="43">
        <f t="shared" ca="1" si="279"/>
        <v>0</v>
      </c>
      <c r="N714" s="43">
        <f t="shared" ca="1" si="279"/>
        <v>0</v>
      </c>
      <c r="O714" s="43">
        <f t="shared" ca="1" si="279"/>
        <v>0</v>
      </c>
      <c r="P714" s="43">
        <f t="shared" ca="1" si="279"/>
        <v>0</v>
      </c>
      <c r="Q714" s="43">
        <f t="shared" ca="1" si="279"/>
        <v>0</v>
      </c>
      <c r="R714" s="43">
        <f t="shared" ca="1" si="279"/>
        <v>0</v>
      </c>
      <c r="S714" s="43">
        <f t="shared" ca="1" si="279"/>
        <v>0</v>
      </c>
      <c r="T714" s="43">
        <f t="shared" ca="1" si="279"/>
        <v>0</v>
      </c>
      <c r="U714" s="43">
        <f t="shared" ref="U714" ca="1" si="280">U713/U679</f>
        <v>0</v>
      </c>
      <c r="V714" s="43">
        <f t="shared" ref="V714" ca="1" si="281">V713/V679</f>
        <v>0</v>
      </c>
      <c r="W714" s="43">
        <f t="shared" ref="W714" ca="1" si="282">W713/W679</f>
        <v>0</v>
      </c>
      <c r="X714" s="43">
        <f t="shared" ref="X714:Y714" ca="1" si="283">X713/X679</f>
        <v>0</v>
      </c>
      <c r="Y714" s="43">
        <f t="shared" ca="1" si="283"/>
        <v>0</v>
      </c>
      <c r="AA714" s="54">
        <f ca="1">SUM(F714:Y714)</f>
        <v>-13005.414388598116</v>
      </c>
    </row>
    <row r="715" spans="1:27" outlineLevel="1" x14ac:dyDescent="0.2">
      <c r="F715" s="43"/>
      <c r="G715" s="43"/>
      <c r="H715" s="43"/>
      <c r="I715" s="43"/>
      <c r="J715" s="43"/>
      <c r="K715" s="43"/>
      <c r="L715" s="43"/>
      <c r="M715" s="43"/>
      <c r="N715" s="43"/>
      <c r="O715" s="43"/>
      <c r="P715" s="43"/>
      <c r="Q715" s="43"/>
      <c r="R715" s="43"/>
      <c r="S715" s="43"/>
      <c r="T715" s="43"/>
      <c r="U715" s="43"/>
      <c r="V715" s="43"/>
      <c r="W715" s="43"/>
      <c r="X715" s="43"/>
      <c r="Y715" s="43"/>
      <c r="AA715" s="11"/>
    </row>
    <row r="716" spans="1:27" outlineLevel="1" x14ac:dyDescent="0.2">
      <c r="A716" s="23" t="str">
        <f ca="1">Language!A$874</f>
        <v>Модифицированная IRR (MIRR)</v>
      </c>
      <c r="B716" s="311">
        <f ca="1">IF(ISERROR(E716),Language!A$834,E716)</f>
        <v>0.10729851263326085</v>
      </c>
      <c r="C716" s="5"/>
      <c r="E716" s="152">
        <f ca="1">(POWER(1+MIRR(F694:Z694,POWER(1+B718,PRJ_Step/360)-1,POWER(1+B717,PRJ_Step/360)-1),360/PRJ_Step)-1)</f>
        <v>0.10729851263326085</v>
      </c>
      <c r="F716" s="43"/>
      <c r="G716" s="43"/>
      <c r="H716" s="43"/>
      <c r="I716" s="43"/>
      <c r="J716" s="43"/>
      <c r="K716" s="43"/>
      <c r="L716" s="43"/>
      <c r="M716" s="43"/>
      <c r="N716" s="43"/>
      <c r="O716" s="43"/>
      <c r="P716" s="43"/>
      <c r="Q716" s="43"/>
      <c r="R716" s="43"/>
      <c r="S716" s="43"/>
      <c r="T716" s="43"/>
      <c r="U716" s="43"/>
      <c r="V716" s="43"/>
      <c r="W716" s="43"/>
      <c r="X716" s="43"/>
      <c r="Y716" s="43"/>
      <c r="AA716" s="11"/>
    </row>
    <row r="717" spans="1:27" outlineLevel="1" x14ac:dyDescent="0.2">
      <c r="A717" t="str">
        <f ca="1">Language!A$875</f>
        <v>Ставка реинвестирования доходов</v>
      </c>
      <c r="B717" s="272">
        <f>B677</f>
        <v>0.14000000000000001</v>
      </c>
      <c r="AA717" s="11"/>
    </row>
    <row r="718" spans="1:27" outlineLevel="1" x14ac:dyDescent="0.2">
      <c r="A718" t="str">
        <f ca="1">Language!A$876</f>
        <v>Ставка дисконтирования инвестиционных затрат</v>
      </c>
      <c r="B718" s="272">
        <f>B677</f>
        <v>0.14000000000000001</v>
      </c>
      <c r="AA718" s="11"/>
    </row>
    <row r="719" spans="1:27" outlineLevel="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203"/>
    </row>
    <row r="720" spans="1:27" outlineLevel="1" collapsed="1" x14ac:dyDescent="0.2">
      <c r="A720" s="11" t="str">
        <f ca="1">Language!A980</f>
        <v>График: Окупаемость проектов (для полных инвестиционных затрат)</v>
      </c>
    </row>
    <row r="721" hidden="1" outlineLevel="2" x14ac:dyDescent="0.2"/>
    <row r="722" hidden="1" outlineLevel="2" x14ac:dyDescent="0.2"/>
    <row r="723" hidden="1" outlineLevel="2" x14ac:dyDescent="0.2"/>
    <row r="724" hidden="1" outlineLevel="2" x14ac:dyDescent="0.2"/>
    <row r="725" hidden="1" outlineLevel="2" x14ac:dyDescent="0.2"/>
    <row r="726" hidden="1" outlineLevel="2" x14ac:dyDescent="0.2"/>
    <row r="727" hidden="1" outlineLevel="2" x14ac:dyDescent="0.2"/>
    <row r="728" hidden="1" outlineLevel="2" x14ac:dyDescent="0.2"/>
    <row r="729" hidden="1" outlineLevel="2" x14ac:dyDescent="0.2"/>
    <row r="730" hidden="1" outlineLevel="2" x14ac:dyDescent="0.2"/>
    <row r="731" hidden="1" outlineLevel="2" x14ac:dyDescent="0.2"/>
    <row r="732" hidden="1" outlineLevel="2" x14ac:dyDescent="0.2"/>
    <row r="733" hidden="1" outlineLevel="2" x14ac:dyDescent="0.2"/>
    <row r="734" hidden="1" outlineLevel="2" x14ac:dyDescent="0.2"/>
    <row r="735" hidden="1" outlineLevel="2" x14ac:dyDescent="0.2"/>
    <row r="736" hidden="1" outlineLevel="2" x14ac:dyDescent="0.2"/>
    <row r="737" spans="1:27" hidden="1" outlineLevel="2" x14ac:dyDescent="0.2"/>
    <row r="738" spans="1:27" hidden="1" outlineLevel="2" x14ac:dyDescent="0.2"/>
    <row r="739" spans="1:27" hidden="1" outlineLevel="2" x14ac:dyDescent="0.2"/>
    <row r="740" spans="1:27" hidden="1" outlineLevel="2" x14ac:dyDescent="0.2"/>
    <row r="741" spans="1:27" hidden="1" outlineLevel="2" x14ac:dyDescent="0.2"/>
    <row r="742" spans="1:27" hidden="1" outlineLevel="2" x14ac:dyDescent="0.2"/>
    <row r="743" spans="1:27" hidden="1" outlineLevel="2" x14ac:dyDescent="0.2"/>
    <row r="744" spans="1:27" outlineLevel="1" x14ac:dyDescent="0.2"/>
    <row r="745" spans="1:27" outlineLevel="1" x14ac:dyDescent="0.2"/>
    <row r="746" spans="1:27" s="4" customFormat="1" ht="15.95" customHeight="1" thickBot="1" x14ac:dyDescent="0.25">
      <c r="A746" s="165" t="str">
        <f ca="1">Language!A878</f>
        <v xml:space="preserve">         ЭФФЕКТИВНОСТЬ ДЛЯ СОБСТВЕННОГО КАПИТАЛА</v>
      </c>
      <c r="B746" s="165"/>
      <c r="C746" s="165"/>
      <c r="D746" s="165"/>
      <c r="E746" s="165"/>
      <c r="F746" s="177" t="str">
        <f ca="1">IF(Проект!ShowRealDates,F36,F34)</f>
        <v>1 кв. 2016</v>
      </c>
      <c r="G746" s="177" t="str">
        <f ca="1">IF(Проект!ShowRealDates,G36,G34)</f>
        <v>2 кв. 2016</v>
      </c>
      <c r="H746" s="177" t="str">
        <f ca="1">IF(Проект!ShowRealDates,H36,H34)</f>
        <v>3 кв. 2016</v>
      </c>
      <c r="I746" s="177" t="str">
        <f ca="1">IF(Проект!ShowRealDates,I36,I34)</f>
        <v>4 кв. 2016</v>
      </c>
      <c r="J746" s="177" t="str">
        <f ca="1">IF(Проект!ShowRealDates,J36,J34)</f>
        <v>1 кв. 2017</v>
      </c>
      <c r="K746" s="177" t="str">
        <f ca="1">IF(Проект!ShowRealDates,K36,K34)</f>
        <v>2 кв. 2017</v>
      </c>
      <c r="L746" s="177" t="str">
        <f ca="1">IF(Проект!ShowRealDates,L36,L34)</f>
        <v>3 кв. 2017</v>
      </c>
      <c r="M746" s="177" t="str">
        <f ca="1">IF(Проект!ShowRealDates,M36,M34)</f>
        <v>4 кв. 2017</v>
      </c>
      <c r="N746" s="177" t="str">
        <f ca="1">IF(Проект!ShowRealDates,N36,N34)</f>
        <v>1 кв. 2018</v>
      </c>
      <c r="O746" s="177" t="str">
        <f ca="1">IF(Проект!ShowRealDates,O36,O34)</f>
        <v>2 кв. 2018</v>
      </c>
      <c r="P746" s="177" t="str">
        <f ca="1">IF(Проект!ShowRealDates,P36,P34)</f>
        <v>3 кв. 2018</v>
      </c>
      <c r="Q746" s="177" t="str">
        <f ca="1">IF(Проект!ShowRealDates,Q36,Q34)</f>
        <v>4 кв. 2018</v>
      </c>
      <c r="R746" s="177" t="str">
        <f ca="1">IF(Проект!ShowRealDates,R36,R34)</f>
        <v>1 кв. 2019</v>
      </c>
      <c r="S746" s="177" t="str">
        <f ca="1">IF(Проект!ShowRealDates,S36,S34)</f>
        <v>2 кв. 2019</v>
      </c>
      <c r="T746" s="177" t="str">
        <f ca="1">IF(Проект!ShowRealDates,T36,T34)</f>
        <v>3 кв. 2019</v>
      </c>
      <c r="U746" s="177" t="str">
        <f ca="1">IF(Проект!ShowRealDates,U36,U34)</f>
        <v>4 кв. 2019</v>
      </c>
      <c r="V746" s="177" t="str">
        <f ca="1">IF(Проект!ShowRealDates,V36,V34)</f>
        <v>1 кв. 2020</v>
      </c>
      <c r="W746" s="177" t="str">
        <f ca="1">IF(Проект!ShowRealDates,W36,W34)</f>
        <v>2 кв. 2020</v>
      </c>
      <c r="X746" s="177" t="str">
        <f ca="1">IF(Проект!ShowRealDates,X36,X34)</f>
        <v>3 кв. 2020</v>
      </c>
      <c r="Y746" s="177" t="str">
        <f ca="1">IF(Проект!ShowRealDates,Y36,Y34)</f>
        <v>4 кв. 2020</v>
      </c>
      <c r="Z746" s="165"/>
      <c r="AA746" s="166" t="str">
        <f ca="1">Language!A$372</f>
        <v>ИТОГО</v>
      </c>
    </row>
    <row r="747" spans="1:27" ht="12" outlineLevel="1" thickTop="1" x14ac:dyDescent="0.2">
      <c r="AA747" s="11"/>
    </row>
    <row r="748" spans="1:27" outlineLevel="1" collapsed="1" x14ac:dyDescent="0.2">
      <c r="A748" s="23" t="str">
        <f ca="1">Language!A104</f>
        <v>Предполагаемый темп годового роста цен</v>
      </c>
      <c r="C748" s="5" t="s">
        <v>2430</v>
      </c>
      <c r="D748" s="16" t="s">
        <v>2429</v>
      </c>
      <c r="F748" s="210">
        <f t="shared" ref="F748:T748" si="284">F672</f>
        <v>0</v>
      </c>
      <c r="G748" s="210">
        <f t="shared" si="284"/>
        <v>0</v>
      </c>
      <c r="H748" s="210">
        <f t="shared" si="284"/>
        <v>0</v>
      </c>
      <c r="I748" s="210">
        <f t="shared" si="284"/>
        <v>0</v>
      </c>
      <c r="J748" s="210">
        <f t="shared" si="284"/>
        <v>0</v>
      </c>
      <c r="K748" s="210">
        <f t="shared" si="284"/>
        <v>0</v>
      </c>
      <c r="L748" s="210">
        <f t="shared" si="284"/>
        <v>0</v>
      </c>
      <c r="M748" s="210">
        <f t="shared" si="284"/>
        <v>0</v>
      </c>
      <c r="N748" s="210">
        <f t="shared" si="284"/>
        <v>0</v>
      </c>
      <c r="O748" s="210">
        <f t="shared" si="284"/>
        <v>0</v>
      </c>
      <c r="P748" s="210">
        <f t="shared" si="284"/>
        <v>0</v>
      </c>
      <c r="Q748" s="210">
        <f t="shared" si="284"/>
        <v>0</v>
      </c>
      <c r="R748" s="210">
        <f t="shared" si="284"/>
        <v>0</v>
      </c>
      <c r="S748" s="210">
        <f t="shared" si="284"/>
        <v>0</v>
      </c>
      <c r="T748" s="210">
        <f t="shared" si="284"/>
        <v>0</v>
      </c>
      <c r="U748" s="210">
        <f t="shared" ref="U748" si="285">U672</f>
        <v>0</v>
      </c>
      <c r="V748" s="210">
        <f t="shared" ref="V748" si="286">V672</f>
        <v>0</v>
      </c>
      <c r="W748" s="210">
        <f t="shared" ref="W748" si="287">W672</f>
        <v>0</v>
      </c>
      <c r="X748" s="210">
        <f t="shared" ref="X748:Y748" si="288">X672</f>
        <v>0</v>
      </c>
      <c r="Y748" s="210">
        <f t="shared" si="288"/>
        <v>0</v>
      </c>
      <c r="AA748" s="11"/>
    </row>
    <row r="749" spans="1:27" hidden="1" outlineLevel="2" x14ac:dyDescent="0.2">
      <c r="A749" t="str">
        <f ca="1">Language!A106</f>
        <v>То же, в пересчете на период, равный шагу проекта</v>
      </c>
      <c r="C749" s="5" t="s">
        <v>2430</v>
      </c>
      <c r="D749" s="16" t="s">
        <v>2429</v>
      </c>
      <c r="F749" s="30">
        <f t="shared" ref="F749:T749" si="289">POWER(1+F748,PRJ_Step/360)-1</f>
        <v>0</v>
      </c>
      <c r="G749" s="30">
        <f t="shared" si="289"/>
        <v>0</v>
      </c>
      <c r="H749" s="30">
        <f t="shared" si="289"/>
        <v>0</v>
      </c>
      <c r="I749" s="30">
        <f t="shared" si="289"/>
        <v>0</v>
      </c>
      <c r="J749" s="30">
        <f t="shared" si="289"/>
        <v>0</v>
      </c>
      <c r="K749" s="30">
        <f t="shared" si="289"/>
        <v>0</v>
      </c>
      <c r="L749" s="30">
        <f t="shared" si="289"/>
        <v>0</v>
      </c>
      <c r="M749" s="30">
        <f t="shared" si="289"/>
        <v>0</v>
      </c>
      <c r="N749" s="30">
        <f t="shared" si="289"/>
        <v>0</v>
      </c>
      <c r="O749" s="30">
        <f t="shared" si="289"/>
        <v>0</v>
      </c>
      <c r="P749" s="30">
        <f t="shared" si="289"/>
        <v>0</v>
      </c>
      <c r="Q749" s="30">
        <f t="shared" si="289"/>
        <v>0</v>
      </c>
      <c r="R749" s="30">
        <f t="shared" si="289"/>
        <v>0</v>
      </c>
      <c r="S749" s="30">
        <f t="shared" si="289"/>
        <v>0</v>
      </c>
      <c r="T749" s="30">
        <f t="shared" si="289"/>
        <v>0</v>
      </c>
      <c r="U749" s="30">
        <f t="shared" ref="U749" si="290">POWER(1+U748,PRJ_Step/360)-1</f>
        <v>0</v>
      </c>
      <c r="V749" s="30">
        <f t="shared" ref="V749" si="291">POWER(1+V748,PRJ_Step/360)-1</f>
        <v>0</v>
      </c>
      <c r="W749" s="30">
        <f t="shared" ref="W749" si="292">POWER(1+W748,PRJ_Step/360)-1</f>
        <v>0</v>
      </c>
      <c r="X749" s="30">
        <f t="shared" ref="X749:Y749" si="293">POWER(1+X748,PRJ_Step/360)-1</f>
        <v>0</v>
      </c>
      <c r="Y749" s="30">
        <f t="shared" si="293"/>
        <v>0</v>
      </c>
      <c r="AA749" s="11"/>
    </row>
    <row r="750" spans="1:27" outlineLevel="1" x14ac:dyDescent="0.2">
      <c r="AA750" s="11"/>
    </row>
    <row r="751" spans="1:27" outlineLevel="1" x14ac:dyDescent="0.2">
      <c r="A751" t="str">
        <f ca="1">Language!A$838</f>
        <v>Учитывать ранее осуществленные инвестиции</v>
      </c>
      <c r="B751" s="254">
        <f>Проект!B1787</f>
        <v>1</v>
      </c>
      <c r="C751" s="36" t="str">
        <f ca="1">CHOOSE(B751,Language!A833,Language!A834)</f>
        <v>Да</v>
      </c>
      <c r="AA751" s="11"/>
    </row>
    <row r="752" spans="1:27" outlineLevel="1" x14ac:dyDescent="0.2">
      <c r="A752" t="str">
        <f ca="1">Language!A$839</f>
        <v>Учитывать остаточную стоимость проекта</v>
      </c>
      <c r="B752" s="254">
        <f>Проект!B1788</f>
        <v>2</v>
      </c>
      <c r="C752" s="36" t="str">
        <f ca="1">CHOOSE(B752,Language!A$833,Language!A$834)</f>
        <v>Нет</v>
      </c>
      <c r="AA752" s="11"/>
    </row>
    <row r="753" spans="1:27" outlineLevel="1" collapsed="1" x14ac:dyDescent="0.2">
      <c r="A753" t="str">
        <f ca="1">Language!A$841</f>
        <v>Годовая ставка дисконтирования:</v>
      </c>
      <c r="B753" s="272">
        <f>B677</f>
        <v>0.14000000000000001</v>
      </c>
      <c r="C753" s="5" t="s">
        <v>2430</v>
      </c>
      <c r="D753" s="16" t="s">
        <v>2429</v>
      </c>
      <c r="F753" s="250">
        <f>B753</f>
        <v>0.14000000000000001</v>
      </c>
      <c r="G753" s="250">
        <f t="shared" ref="G753:Y753" si="294">F753</f>
        <v>0.14000000000000001</v>
      </c>
      <c r="H753" s="250">
        <f t="shared" si="294"/>
        <v>0.14000000000000001</v>
      </c>
      <c r="I753" s="250">
        <f t="shared" si="294"/>
        <v>0.14000000000000001</v>
      </c>
      <c r="J753" s="250">
        <f t="shared" si="294"/>
        <v>0.14000000000000001</v>
      </c>
      <c r="K753" s="250">
        <f t="shared" si="294"/>
        <v>0.14000000000000001</v>
      </c>
      <c r="L753" s="250">
        <f t="shared" si="294"/>
        <v>0.14000000000000001</v>
      </c>
      <c r="M753" s="250">
        <f t="shared" si="294"/>
        <v>0.14000000000000001</v>
      </c>
      <c r="N753" s="250">
        <f t="shared" si="294"/>
        <v>0.14000000000000001</v>
      </c>
      <c r="O753" s="250">
        <f t="shared" si="294"/>
        <v>0.14000000000000001</v>
      </c>
      <c r="P753" s="250">
        <f t="shared" si="294"/>
        <v>0.14000000000000001</v>
      </c>
      <c r="Q753" s="250">
        <f t="shared" si="294"/>
        <v>0.14000000000000001</v>
      </c>
      <c r="R753" s="250">
        <f t="shared" si="294"/>
        <v>0.14000000000000001</v>
      </c>
      <c r="S753" s="250">
        <f t="shared" si="294"/>
        <v>0.14000000000000001</v>
      </c>
      <c r="T753" s="250">
        <f t="shared" si="294"/>
        <v>0.14000000000000001</v>
      </c>
      <c r="U753" s="250">
        <f t="shared" si="294"/>
        <v>0.14000000000000001</v>
      </c>
      <c r="V753" s="250">
        <f t="shared" si="294"/>
        <v>0.14000000000000001</v>
      </c>
      <c r="W753" s="250">
        <f t="shared" si="294"/>
        <v>0.14000000000000001</v>
      </c>
      <c r="X753" s="250">
        <f t="shared" si="294"/>
        <v>0.14000000000000001</v>
      </c>
      <c r="Y753" s="250">
        <f t="shared" si="294"/>
        <v>0.14000000000000001</v>
      </c>
      <c r="AA753" s="11"/>
    </row>
    <row r="754" spans="1:27" hidden="1" outlineLevel="2" x14ac:dyDescent="0.2">
      <c r="A754" t="str">
        <f ca="1">Language!A$842</f>
        <v xml:space="preserve">    ставка дисконтирования на расчетный период</v>
      </c>
      <c r="D754" s="16" t="s">
        <v>2429</v>
      </c>
      <c r="F754" s="250">
        <f t="shared" ref="F754:T754" si="295">IF(CalcMethod=1,(POWER(1+F753,PRJ_Step/360)-1-F749)/(1+F749),POWER(1+F753,PRJ_Step/360)-1)</f>
        <v>3.3299484758959608E-2</v>
      </c>
      <c r="G754" s="250">
        <f t="shared" si="295"/>
        <v>3.3299484758959608E-2</v>
      </c>
      <c r="H754" s="250">
        <f t="shared" si="295"/>
        <v>3.3299484758959608E-2</v>
      </c>
      <c r="I754" s="250">
        <f t="shared" si="295"/>
        <v>3.3299484758959608E-2</v>
      </c>
      <c r="J754" s="250">
        <f t="shared" si="295"/>
        <v>3.3299484758959608E-2</v>
      </c>
      <c r="K754" s="250">
        <f t="shared" si="295"/>
        <v>3.3299484758959608E-2</v>
      </c>
      <c r="L754" s="250">
        <f t="shared" si="295"/>
        <v>3.3299484758959608E-2</v>
      </c>
      <c r="M754" s="250">
        <f t="shared" si="295"/>
        <v>3.3299484758959608E-2</v>
      </c>
      <c r="N754" s="250">
        <f t="shared" si="295"/>
        <v>3.3299484758959608E-2</v>
      </c>
      <c r="O754" s="250">
        <f t="shared" si="295"/>
        <v>3.3299484758959608E-2</v>
      </c>
      <c r="P754" s="250">
        <f t="shared" si="295"/>
        <v>3.3299484758959608E-2</v>
      </c>
      <c r="Q754" s="250">
        <f t="shared" si="295"/>
        <v>3.3299484758959608E-2</v>
      </c>
      <c r="R754" s="250">
        <f t="shared" si="295"/>
        <v>3.3299484758959608E-2</v>
      </c>
      <c r="S754" s="250">
        <f t="shared" si="295"/>
        <v>3.3299484758959608E-2</v>
      </c>
      <c r="T754" s="250">
        <f t="shared" si="295"/>
        <v>3.3299484758959608E-2</v>
      </c>
      <c r="U754" s="250">
        <f t="shared" ref="U754" si="296">IF(CalcMethod=1,(POWER(1+U753,PRJ_Step/360)-1-U749)/(1+U749),POWER(1+U753,PRJ_Step/360)-1)</f>
        <v>3.3299484758959608E-2</v>
      </c>
      <c r="V754" s="250">
        <f t="shared" ref="V754" si="297">IF(CalcMethod=1,(POWER(1+V753,PRJ_Step/360)-1-V749)/(1+V749),POWER(1+V753,PRJ_Step/360)-1)</f>
        <v>3.3299484758959608E-2</v>
      </c>
      <c r="W754" s="250">
        <f t="shared" ref="W754" si="298">IF(CalcMethod=1,(POWER(1+W753,PRJ_Step/360)-1-W749)/(1+W749),POWER(1+W753,PRJ_Step/360)-1)</f>
        <v>3.3299484758959608E-2</v>
      </c>
      <c r="X754" s="250">
        <f t="shared" ref="X754:Y754" si="299">IF(CalcMethod=1,(POWER(1+X753,PRJ_Step/360)-1-X749)/(1+X749),POWER(1+X753,PRJ_Step/360)-1)</f>
        <v>3.3299484758959608E-2</v>
      </c>
      <c r="Y754" s="250">
        <f t="shared" si="299"/>
        <v>3.3299484758959608E-2</v>
      </c>
      <c r="AA754" s="11"/>
    </row>
    <row r="755" spans="1:27" hidden="1" outlineLevel="2" x14ac:dyDescent="0.2">
      <c r="A755" t="str">
        <f ca="1">Language!A$843</f>
        <v xml:space="preserve">    коэффициент дисконта для потока на начало периода</v>
      </c>
      <c r="D755" s="16" t="s">
        <v>2429</v>
      </c>
      <c r="F755" s="251">
        <v>1</v>
      </c>
      <c r="G755" s="251">
        <f t="shared" ref="G755:Y755" si="300">F755*(1+F754)</f>
        <v>1.0332994847589596</v>
      </c>
      <c r="H755" s="251">
        <f t="shared" si="300"/>
        <v>1.0677078252031313</v>
      </c>
      <c r="I755" s="251">
        <f t="shared" si="300"/>
        <v>1.1032619456555048</v>
      </c>
      <c r="J755" s="251">
        <f t="shared" si="300"/>
        <v>1.1400000000000003</v>
      </c>
      <c r="K755" s="251">
        <f t="shared" si="300"/>
        <v>1.1779614126252143</v>
      </c>
      <c r="L755" s="251">
        <f t="shared" si="300"/>
        <v>1.2171869207315702</v>
      </c>
      <c r="M755" s="251">
        <f t="shared" si="300"/>
        <v>1.2577186180472761</v>
      </c>
      <c r="N755" s="251">
        <f t="shared" si="300"/>
        <v>1.2996000000000012</v>
      </c>
      <c r="O755" s="251">
        <f t="shared" si="300"/>
        <v>1.3428760103927451</v>
      </c>
      <c r="P755" s="251">
        <f t="shared" si="300"/>
        <v>1.3875930896339908</v>
      </c>
      <c r="Q755" s="251">
        <f t="shared" si="300"/>
        <v>1.4337992245738955</v>
      </c>
      <c r="R755" s="251">
        <f t="shared" si="300"/>
        <v>1.481544000000002</v>
      </c>
      <c r="S755" s="251">
        <f t="shared" si="300"/>
        <v>1.5308786518477302</v>
      </c>
      <c r="T755" s="251">
        <f t="shared" si="300"/>
        <v>1.5818561221827503</v>
      </c>
      <c r="U755" s="251">
        <f t="shared" si="300"/>
        <v>1.6345311160142417</v>
      </c>
      <c r="V755" s="251">
        <f t="shared" si="300"/>
        <v>1.6889601600000033</v>
      </c>
      <c r="W755" s="251">
        <f t="shared" si="300"/>
        <v>1.7452016631064133</v>
      </c>
      <c r="X755" s="251">
        <f t="shared" si="300"/>
        <v>1.8033159792883362</v>
      </c>
      <c r="Y755" s="251">
        <f t="shared" si="300"/>
        <v>1.8633654722562365</v>
      </c>
      <c r="AA755" s="11"/>
    </row>
    <row r="756" spans="1:27" outlineLevel="1" x14ac:dyDescent="0.2">
      <c r="AA756" s="11"/>
    </row>
    <row r="757" spans="1:27" outlineLevel="1" collapsed="1" x14ac:dyDescent="0.2">
      <c r="A757" s="23" t="str">
        <f ca="1">Language!A$845</f>
        <v>Учитываемые денежные потоки проекта:</v>
      </c>
      <c r="AA757" s="11"/>
    </row>
    <row r="758" spans="1:27" hidden="1" outlineLevel="2" x14ac:dyDescent="0.2">
      <c r="A758" t="str">
        <f ca="1">Language!A$846</f>
        <v>Денежные потоки от операционной деятельности</v>
      </c>
      <c r="B758" s="36" t="str">
        <f ca="1">Language!A$833</f>
        <v>Да</v>
      </c>
      <c r="C758" s="5" t="str">
        <f t="shared" ref="C758:C768" ca="1" si="301">CUR_Report</f>
        <v>тыс. EUR</v>
      </c>
      <c r="F758" s="84">
        <f t="shared" ref="F758:T758" ca="1" si="302">F289</f>
        <v>0</v>
      </c>
      <c r="G758" s="84">
        <f t="shared" ca="1" si="302"/>
        <v>0</v>
      </c>
      <c r="H758" s="84">
        <f t="shared" ca="1" si="302"/>
        <v>0</v>
      </c>
      <c r="I758" s="84">
        <f t="shared" ca="1" si="302"/>
        <v>0</v>
      </c>
      <c r="J758" s="84">
        <f t="shared" ca="1" si="302"/>
        <v>0</v>
      </c>
      <c r="K758" s="84">
        <f t="shared" ca="1" si="302"/>
        <v>2728.6487015162002</v>
      </c>
      <c r="L758" s="84">
        <f t="shared" ca="1" si="302"/>
        <v>15.623261900942907</v>
      </c>
      <c r="M758" s="84">
        <f t="shared" ca="1" si="302"/>
        <v>662.99303790614749</v>
      </c>
      <c r="N758" s="84">
        <f t="shared" ca="1" si="302"/>
        <v>916.10593866502677</v>
      </c>
      <c r="O758" s="84">
        <f t="shared" ca="1" si="302"/>
        <v>1243.6178106695488</v>
      </c>
      <c r="P758" s="84">
        <f t="shared" ca="1" si="302"/>
        <v>1454.7746893858593</v>
      </c>
      <c r="Q758" s="84">
        <f t="shared" ca="1" si="302"/>
        <v>1454.7746893858593</v>
      </c>
      <c r="R758" s="84">
        <f t="shared" ca="1" si="302"/>
        <v>1454.7746893858593</v>
      </c>
      <c r="S758" s="84">
        <f t="shared" ca="1" si="302"/>
        <v>1454.7746893858593</v>
      </c>
      <c r="T758" s="84">
        <f t="shared" ca="1" si="302"/>
        <v>1454.7746893858593</v>
      </c>
      <c r="U758" s="84">
        <f t="shared" ref="U758" ca="1" si="303">U289</f>
        <v>1454.7746893858593</v>
      </c>
      <c r="V758" s="84">
        <f t="shared" ref="V758" ca="1" si="304">V289</f>
        <v>1454.7746893858593</v>
      </c>
      <c r="W758" s="84">
        <f t="shared" ref="W758" ca="1" si="305">W289</f>
        <v>1454.7746893858593</v>
      </c>
      <c r="X758" s="84">
        <f t="shared" ref="X758:Y758" ca="1" si="306">X289</f>
        <v>1454.7746893858593</v>
      </c>
      <c r="Y758" s="84">
        <f t="shared" ca="1" si="306"/>
        <v>1454.7746893858593</v>
      </c>
      <c r="Z758" s="43"/>
      <c r="AA758" s="54">
        <f ca="1">SUM(F758:Y758)</f>
        <v>20114.735644516466</v>
      </c>
    </row>
    <row r="759" spans="1:27" hidden="1" outlineLevel="2" x14ac:dyDescent="0.2">
      <c r="A759" t="str">
        <f ca="1">Language!A$847</f>
        <v xml:space="preserve">    за исключением процентов по кредитам</v>
      </c>
      <c r="B759" s="36" t="str">
        <f ca="1">Language!A$834</f>
        <v>Нет</v>
      </c>
      <c r="C759" s="5" t="str">
        <f t="shared" ca="1" si="301"/>
        <v>тыс. EUR</v>
      </c>
      <c r="D759" s="5"/>
      <c r="F759" s="43"/>
      <c r="G759" s="43"/>
      <c r="H759" s="43"/>
      <c r="I759" s="43"/>
      <c r="J759" s="43"/>
      <c r="K759" s="43"/>
      <c r="L759" s="43"/>
      <c r="M759" s="43"/>
      <c r="N759" s="43"/>
      <c r="O759" s="43"/>
      <c r="P759" s="43"/>
      <c r="Q759" s="43"/>
      <c r="R759" s="43"/>
      <c r="S759" s="43"/>
      <c r="T759" s="43"/>
      <c r="U759" s="43"/>
      <c r="V759" s="43"/>
      <c r="W759" s="43"/>
      <c r="X759" s="43"/>
      <c r="Y759" s="43"/>
      <c r="Z759" s="43"/>
      <c r="AA759" s="54"/>
    </row>
    <row r="760" spans="1:27" hidden="1" outlineLevel="2" x14ac:dyDescent="0.2">
      <c r="A760" t="str">
        <f ca="1">Language!A$848</f>
        <v>Денежные потоки от инвестиционной деятельности</v>
      </c>
      <c r="B760" s="36" t="str">
        <f ca="1">Language!A$833</f>
        <v>Да</v>
      </c>
      <c r="C760" s="5" t="str">
        <f t="shared" ca="1" si="301"/>
        <v>тыс. EUR</v>
      </c>
      <c r="D760" s="5"/>
      <c r="F760" s="43">
        <f t="shared" ref="F760:T760" ca="1" si="307">F309</f>
        <v>0</v>
      </c>
      <c r="G760" s="43">
        <f t="shared" ca="1" si="307"/>
        <v>0</v>
      </c>
      <c r="H760" s="43">
        <f t="shared" ca="1" si="307"/>
        <v>-5695.3855543220343</v>
      </c>
      <c r="I760" s="43">
        <f t="shared" ca="1" si="307"/>
        <v>-1519.56</v>
      </c>
      <c r="J760" s="43">
        <f t="shared" ca="1" si="307"/>
        <v>-7024.8891971793519</v>
      </c>
      <c r="K760" s="43">
        <f t="shared" ca="1" si="307"/>
        <v>-2883.7623677660667</v>
      </c>
      <c r="L760" s="43">
        <f t="shared" ca="1" si="307"/>
        <v>-5.6843418860808015E-14</v>
      </c>
      <c r="M760" s="43">
        <f t="shared" ca="1" si="307"/>
        <v>0</v>
      </c>
      <c r="N760" s="43">
        <f t="shared" ca="1" si="307"/>
        <v>47.90430408785906</v>
      </c>
      <c r="O760" s="43">
        <f t="shared" ca="1" si="307"/>
        <v>41.655454582366474</v>
      </c>
      <c r="P760" s="43">
        <f t="shared" ca="1" si="307"/>
        <v>0</v>
      </c>
      <c r="Q760" s="43">
        <f t="shared" ca="1" si="307"/>
        <v>0</v>
      </c>
      <c r="R760" s="43">
        <f t="shared" ca="1" si="307"/>
        <v>0</v>
      </c>
      <c r="S760" s="43">
        <f t="shared" ca="1" si="307"/>
        <v>0</v>
      </c>
      <c r="T760" s="43">
        <f t="shared" ca="1" si="307"/>
        <v>0</v>
      </c>
      <c r="U760" s="43">
        <f t="shared" ref="U760" ca="1" si="308">U309</f>
        <v>0</v>
      </c>
      <c r="V760" s="43">
        <f t="shared" ref="V760" ca="1" si="309">V309</f>
        <v>0</v>
      </c>
      <c r="W760" s="43">
        <f t="shared" ref="W760" ca="1" si="310">W309</f>
        <v>0</v>
      </c>
      <c r="X760" s="43">
        <f t="shared" ref="X760:Y760" ca="1" si="311">X309</f>
        <v>0</v>
      </c>
      <c r="Y760" s="43">
        <f t="shared" ca="1" si="311"/>
        <v>0</v>
      </c>
      <c r="Z760" s="43"/>
      <c r="AA760" s="54">
        <f ca="1">SUM(F760:Y760)</f>
        <v>-17034.037360597224</v>
      </c>
    </row>
    <row r="761" spans="1:27" hidden="1" outlineLevel="2" x14ac:dyDescent="0.2">
      <c r="A761" t="str">
        <f ca="1">Language!A$849</f>
        <v>Поступления собственного капитала</v>
      </c>
      <c r="B761" s="36" t="str">
        <f ca="1">Language!A$834</f>
        <v>Нет</v>
      </c>
      <c r="C761" s="5" t="str">
        <f t="shared" ca="1" si="301"/>
        <v>тыс. EUR</v>
      </c>
      <c r="D761" s="5"/>
      <c r="F761" s="43"/>
      <c r="G761" s="43"/>
      <c r="H761" s="43"/>
      <c r="I761" s="43"/>
      <c r="J761" s="43"/>
      <c r="K761" s="43"/>
      <c r="L761" s="43"/>
      <c r="M761" s="43"/>
      <c r="N761" s="43"/>
      <c r="O761" s="43"/>
      <c r="P761" s="43"/>
      <c r="Q761" s="43"/>
      <c r="R761" s="43"/>
      <c r="S761" s="43"/>
      <c r="T761" s="43"/>
      <c r="U761" s="43"/>
      <c r="V761" s="43"/>
      <c r="W761" s="43"/>
      <c r="X761" s="43"/>
      <c r="Y761" s="43"/>
      <c r="Z761" s="43"/>
      <c r="AA761" s="54"/>
    </row>
    <row r="762" spans="1:27" hidden="1" outlineLevel="2" x14ac:dyDescent="0.2">
      <c r="A762" t="str">
        <f ca="1">Language!A$850</f>
        <v>Поступления целевого финансирования</v>
      </c>
      <c r="B762" s="36" t="str">
        <f ca="1">Language!A$833</f>
        <v>Да</v>
      </c>
      <c r="C762" s="5" t="str">
        <f t="shared" ca="1" si="301"/>
        <v>тыс. EUR</v>
      </c>
      <c r="D762" s="5"/>
      <c r="F762" s="53">
        <f t="shared" ref="F762:T762" ca="1" si="312">F314+F316</f>
        <v>0</v>
      </c>
      <c r="G762" s="53">
        <f t="shared" ca="1" si="312"/>
        <v>0</v>
      </c>
      <c r="H762" s="53">
        <f t="shared" ca="1" si="312"/>
        <v>5695.3855543220343</v>
      </c>
      <c r="I762" s="53">
        <f t="shared" ca="1" si="312"/>
        <v>1519.56</v>
      </c>
      <c r="J762" s="53">
        <f t="shared" ca="1" si="312"/>
        <v>7024.8891971793519</v>
      </c>
      <c r="K762" s="53">
        <f t="shared" ca="1" si="312"/>
        <v>2982.5256975335087</v>
      </c>
      <c r="L762" s="53">
        <f t="shared" ca="1" si="312"/>
        <v>0</v>
      </c>
      <c r="M762" s="53">
        <f t="shared" ca="1" si="312"/>
        <v>0</v>
      </c>
      <c r="N762" s="53">
        <f t="shared" ca="1" si="312"/>
        <v>0</v>
      </c>
      <c r="O762" s="53">
        <f t="shared" ca="1" si="312"/>
        <v>0</v>
      </c>
      <c r="P762" s="53">
        <f t="shared" ca="1" si="312"/>
        <v>0</v>
      </c>
      <c r="Q762" s="53">
        <f t="shared" ca="1" si="312"/>
        <v>0</v>
      </c>
      <c r="R762" s="53">
        <f t="shared" ca="1" si="312"/>
        <v>0</v>
      </c>
      <c r="S762" s="53">
        <f t="shared" ca="1" si="312"/>
        <v>0</v>
      </c>
      <c r="T762" s="53">
        <f t="shared" ca="1" si="312"/>
        <v>0</v>
      </c>
      <c r="U762" s="53">
        <f t="shared" ref="U762" ca="1" si="313">U314+U316</f>
        <v>0</v>
      </c>
      <c r="V762" s="53">
        <f t="shared" ref="V762" ca="1" si="314">V314+V316</f>
        <v>0</v>
      </c>
      <c r="W762" s="53">
        <f t="shared" ref="W762" ca="1" si="315">W314+W316</f>
        <v>0</v>
      </c>
      <c r="X762" s="53">
        <f t="shared" ref="X762:Y762" ca="1" si="316">X314+X316</f>
        <v>0</v>
      </c>
      <c r="Y762" s="53">
        <f t="shared" ca="1" si="316"/>
        <v>0</v>
      </c>
      <c r="Z762" s="43"/>
      <c r="AA762" s="54">
        <f ca="1">SUM(F762:Y762)</f>
        <v>17222.360449034895</v>
      </c>
    </row>
    <row r="763" spans="1:27" hidden="1" outlineLevel="2" x14ac:dyDescent="0.2">
      <c r="A763" t="str">
        <f ca="1">Language!A$851</f>
        <v>Поступления кредитов</v>
      </c>
      <c r="B763" s="36" t="str">
        <f ca="1">Language!A$833</f>
        <v>Да</v>
      </c>
      <c r="C763" s="5" t="str">
        <f t="shared" ca="1" si="301"/>
        <v>тыс. EUR</v>
      </c>
      <c r="D763" s="5"/>
      <c r="F763" s="53">
        <f t="shared" ref="F763:T763" ca="1" si="317">F318</f>
        <v>0</v>
      </c>
      <c r="G763" s="53">
        <f t="shared" ca="1" si="317"/>
        <v>0</v>
      </c>
      <c r="H763" s="53">
        <f t="shared" ca="1" si="317"/>
        <v>0</v>
      </c>
      <c r="I763" s="53">
        <f t="shared" ca="1" si="317"/>
        <v>0</v>
      </c>
      <c r="J763" s="53">
        <f t="shared" ca="1" si="317"/>
        <v>0</v>
      </c>
      <c r="K763" s="53">
        <f t="shared" ca="1" si="317"/>
        <v>0</v>
      </c>
      <c r="L763" s="53">
        <f t="shared" ca="1" si="317"/>
        <v>0</v>
      </c>
      <c r="M763" s="53">
        <f t="shared" ca="1" si="317"/>
        <v>0</v>
      </c>
      <c r="N763" s="53">
        <f t="shared" ca="1" si="317"/>
        <v>0</v>
      </c>
      <c r="O763" s="53">
        <f t="shared" ca="1" si="317"/>
        <v>0</v>
      </c>
      <c r="P763" s="53">
        <f t="shared" ca="1" si="317"/>
        <v>0</v>
      </c>
      <c r="Q763" s="53">
        <f t="shared" ca="1" si="317"/>
        <v>0</v>
      </c>
      <c r="R763" s="53">
        <f t="shared" ca="1" si="317"/>
        <v>0</v>
      </c>
      <c r="S763" s="53">
        <f t="shared" ca="1" si="317"/>
        <v>0</v>
      </c>
      <c r="T763" s="53">
        <f t="shared" ca="1" si="317"/>
        <v>0</v>
      </c>
      <c r="U763" s="53">
        <f t="shared" ref="U763" ca="1" si="318">U318</f>
        <v>0</v>
      </c>
      <c r="V763" s="53">
        <f t="shared" ref="V763" ca="1" si="319">V318</f>
        <v>0</v>
      </c>
      <c r="W763" s="53">
        <f t="shared" ref="W763" ca="1" si="320">W318</f>
        <v>0</v>
      </c>
      <c r="X763" s="53">
        <f t="shared" ref="X763:Y763" ca="1" si="321">X318</f>
        <v>0</v>
      </c>
      <c r="Y763" s="53">
        <f t="shared" ca="1" si="321"/>
        <v>0</v>
      </c>
      <c r="Z763" s="43"/>
      <c r="AA763" s="54">
        <f ca="1">SUM(F763:Y763)</f>
        <v>0</v>
      </c>
    </row>
    <row r="764" spans="1:27" hidden="1" outlineLevel="2" x14ac:dyDescent="0.2">
      <c r="A764" t="str">
        <f ca="1">Language!A$852</f>
        <v>Возврат кредитов</v>
      </c>
      <c r="B764" s="36" t="str">
        <f ca="1">Language!A$833</f>
        <v>Да</v>
      </c>
      <c r="C764" s="5" t="str">
        <f t="shared" ca="1" si="301"/>
        <v>тыс. EUR</v>
      </c>
      <c r="D764" s="5"/>
      <c r="F764" s="53">
        <f t="shared" ref="F764:T764" ca="1" si="322">F320</f>
        <v>0</v>
      </c>
      <c r="G764" s="53">
        <f t="shared" ca="1" si="322"/>
        <v>0</v>
      </c>
      <c r="H764" s="53">
        <f t="shared" ca="1" si="322"/>
        <v>0</v>
      </c>
      <c r="I764" s="53">
        <f t="shared" ca="1" si="322"/>
        <v>0</v>
      </c>
      <c r="J764" s="53">
        <f t="shared" ca="1" si="322"/>
        <v>0</v>
      </c>
      <c r="K764" s="53">
        <f t="shared" ca="1" si="322"/>
        <v>0</v>
      </c>
      <c r="L764" s="53">
        <f t="shared" ca="1" si="322"/>
        <v>0</v>
      </c>
      <c r="M764" s="53">
        <f t="shared" ca="1" si="322"/>
        <v>0</v>
      </c>
      <c r="N764" s="53">
        <f t="shared" ca="1" si="322"/>
        <v>0</v>
      </c>
      <c r="O764" s="53">
        <f t="shared" ca="1" si="322"/>
        <v>0</v>
      </c>
      <c r="P764" s="53">
        <f t="shared" ca="1" si="322"/>
        <v>0</v>
      </c>
      <c r="Q764" s="53">
        <f t="shared" ca="1" si="322"/>
        <v>0</v>
      </c>
      <c r="R764" s="53">
        <f t="shared" ca="1" si="322"/>
        <v>0</v>
      </c>
      <c r="S764" s="53">
        <f t="shared" ca="1" si="322"/>
        <v>0</v>
      </c>
      <c r="T764" s="53">
        <f t="shared" ca="1" si="322"/>
        <v>0</v>
      </c>
      <c r="U764" s="53">
        <f t="shared" ref="U764" ca="1" si="323">U320</f>
        <v>0</v>
      </c>
      <c r="V764" s="53">
        <f t="shared" ref="V764" ca="1" si="324">V320</f>
        <v>0</v>
      </c>
      <c r="W764" s="53">
        <f t="shared" ref="W764" ca="1" si="325">W320</f>
        <v>0</v>
      </c>
      <c r="X764" s="53">
        <f t="shared" ref="X764:Y764" ca="1" si="326">X320</f>
        <v>0</v>
      </c>
      <c r="Y764" s="53">
        <f t="shared" ca="1" si="326"/>
        <v>0</v>
      </c>
      <c r="Z764" s="43"/>
      <c r="AA764" s="54">
        <f ca="1">SUM(F764:Y764)</f>
        <v>0</v>
      </c>
    </row>
    <row r="765" spans="1:27" hidden="1" outlineLevel="2" x14ac:dyDescent="0.2">
      <c r="A765" t="str">
        <f ca="1">Language!A$853</f>
        <v>Лизинговые платежи</v>
      </c>
      <c r="B765" s="36" t="str">
        <f ca="1">Language!A$833</f>
        <v>Да</v>
      </c>
      <c r="C765" s="5" t="str">
        <f t="shared" ca="1" si="301"/>
        <v>тыс. EUR</v>
      </c>
      <c r="D765" s="5"/>
      <c r="F765" s="43">
        <f t="shared" ref="F765:T765" ca="1" si="327">F322</f>
        <v>0</v>
      </c>
      <c r="G765" s="43">
        <f t="shared" ca="1" si="327"/>
        <v>0</v>
      </c>
      <c r="H765" s="43">
        <f t="shared" ca="1" si="327"/>
        <v>0</v>
      </c>
      <c r="I765" s="43">
        <f t="shared" ca="1" si="327"/>
        <v>0</v>
      </c>
      <c r="J765" s="43">
        <f t="shared" ca="1" si="327"/>
        <v>0</v>
      </c>
      <c r="K765" s="43">
        <f t="shared" ca="1" si="327"/>
        <v>0</v>
      </c>
      <c r="L765" s="43">
        <f t="shared" ca="1" si="327"/>
        <v>0</v>
      </c>
      <c r="M765" s="43">
        <f t="shared" ca="1" si="327"/>
        <v>0</v>
      </c>
      <c r="N765" s="43">
        <f t="shared" ca="1" si="327"/>
        <v>0</v>
      </c>
      <c r="O765" s="43">
        <f t="shared" ca="1" si="327"/>
        <v>0</v>
      </c>
      <c r="P765" s="43">
        <f t="shared" ca="1" si="327"/>
        <v>0</v>
      </c>
      <c r="Q765" s="43">
        <f t="shared" ca="1" si="327"/>
        <v>0</v>
      </c>
      <c r="R765" s="43">
        <f t="shared" ca="1" si="327"/>
        <v>0</v>
      </c>
      <c r="S765" s="43">
        <f t="shared" ca="1" si="327"/>
        <v>0</v>
      </c>
      <c r="T765" s="43">
        <f t="shared" ca="1" si="327"/>
        <v>0</v>
      </c>
      <c r="U765" s="43">
        <f t="shared" ref="U765" ca="1" si="328">U322</f>
        <v>0</v>
      </c>
      <c r="V765" s="43">
        <f t="shared" ref="V765" ca="1" si="329">V322</f>
        <v>0</v>
      </c>
      <c r="W765" s="43">
        <f t="shared" ref="W765" ca="1" si="330">W322</f>
        <v>0</v>
      </c>
      <c r="X765" s="43">
        <f t="shared" ref="X765:Y765" ca="1" si="331">X322</f>
        <v>0</v>
      </c>
      <c r="Y765" s="43">
        <f t="shared" ca="1" si="331"/>
        <v>0</v>
      </c>
      <c r="Z765" s="43"/>
      <c r="AA765" s="54">
        <f ca="1">SUM(F765:Y765)</f>
        <v>0</v>
      </c>
    </row>
    <row r="766" spans="1:27" hidden="1" outlineLevel="2" x14ac:dyDescent="0.2">
      <c r="A766" t="str">
        <f ca="1">Language!A$854</f>
        <v>Выплата дивидендов</v>
      </c>
      <c r="B766" s="36" t="str">
        <f ca="1">Language!A$834</f>
        <v>Нет</v>
      </c>
      <c r="C766" s="5" t="str">
        <f t="shared" ca="1" si="301"/>
        <v>тыс. EUR</v>
      </c>
      <c r="D766" s="5"/>
      <c r="F766" s="43"/>
      <c r="G766" s="43"/>
      <c r="H766" s="43"/>
      <c r="I766" s="43"/>
      <c r="J766" s="43"/>
      <c r="K766" s="43"/>
      <c r="L766" s="43"/>
      <c r="M766" s="43"/>
      <c r="N766" s="43"/>
      <c r="O766" s="43"/>
      <c r="P766" s="43"/>
      <c r="Q766" s="43"/>
      <c r="R766" s="43"/>
      <c r="S766" s="43"/>
      <c r="T766" s="43"/>
      <c r="U766" s="43"/>
      <c r="V766" s="43"/>
      <c r="W766" s="43"/>
      <c r="X766" s="43"/>
      <c r="Y766" s="43"/>
      <c r="Z766" s="43"/>
      <c r="AA766" s="54"/>
    </row>
    <row r="767" spans="1:27" hidden="1" outlineLevel="2" x14ac:dyDescent="0.2">
      <c r="A767" t="str">
        <f ca="1">Language!A$855</f>
        <v>Ранее осуществленные инвестиции</v>
      </c>
      <c r="B767" s="36" t="str">
        <f ca="1">CHOOSE(B751,Language!A833,Language!A834)</f>
        <v>Да</v>
      </c>
      <c r="C767" s="5" t="str">
        <f t="shared" ca="1" si="301"/>
        <v>тыс. EUR</v>
      </c>
      <c r="D767" s="5"/>
      <c r="F767" s="53">
        <f t="shared" ref="F767:T767" ca="1" si="332">IF($B751=1,-F112,0)</f>
        <v>0</v>
      </c>
      <c r="G767" s="53">
        <f t="shared" ca="1" si="332"/>
        <v>0</v>
      </c>
      <c r="H767" s="53">
        <f t="shared" ca="1" si="332"/>
        <v>0</v>
      </c>
      <c r="I767" s="53">
        <f t="shared" ca="1" si="332"/>
        <v>0</v>
      </c>
      <c r="J767" s="53">
        <f t="shared" ca="1" si="332"/>
        <v>0</v>
      </c>
      <c r="K767" s="53">
        <f t="shared" ca="1" si="332"/>
        <v>0</v>
      </c>
      <c r="L767" s="53">
        <f t="shared" ca="1" si="332"/>
        <v>0</v>
      </c>
      <c r="M767" s="53">
        <f t="shared" ca="1" si="332"/>
        <v>0</v>
      </c>
      <c r="N767" s="53">
        <f t="shared" ca="1" si="332"/>
        <v>0</v>
      </c>
      <c r="O767" s="53">
        <f t="shared" ca="1" si="332"/>
        <v>0</v>
      </c>
      <c r="P767" s="53">
        <f t="shared" ca="1" si="332"/>
        <v>0</v>
      </c>
      <c r="Q767" s="53">
        <f t="shared" ca="1" si="332"/>
        <v>0</v>
      </c>
      <c r="R767" s="53">
        <f t="shared" ca="1" si="332"/>
        <v>0</v>
      </c>
      <c r="S767" s="53">
        <f t="shared" ca="1" si="332"/>
        <v>0</v>
      </c>
      <c r="T767" s="53">
        <f t="shared" ca="1" si="332"/>
        <v>0</v>
      </c>
      <c r="U767" s="53">
        <f t="shared" ref="U767" ca="1" si="333">IF($B751=1,-U112,0)</f>
        <v>0</v>
      </c>
      <c r="V767" s="53">
        <f t="shared" ref="V767" ca="1" si="334">IF($B751=1,-V112,0)</f>
        <v>0</v>
      </c>
      <c r="W767" s="53">
        <f t="shared" ref="W767" ca="1" si="335">IF($B751=1,-W112,0)</f>
        <v>0</v>
      </c>
      <c r="X767" s="53">
        <f t="shared" ref="X767:Y767" ca="1" si="336">IF($B751=1,-X112,0)</f>
        <v>0</v>
      </c>
      <c r="Y767" s="53">
        <f t="shared" ca="1" si="336"/>
        <v>0</v>
      </c>
      <c r="AA767" s="54">
        <f ca="1">SUM(F767:Y767)</f>
        <v>0</v>
      </c>
    </row>
    <row r="768" spans="1:27" hidden="1" outlineLevel="2" x14ac:dyDescent="0.2">
      <c r="A768" t="str">
        <f ca="1">Language!A$856</f>
        <v>Остаточная стоимость проекта</v>
      </c>
      <c r="B768" s="36" t="str">
        <f ca="1">CHOOSE(B752,Language!A$833,Language!A$834)</f>
        <v>Нет</v>
      </c>
      <c r="C768" s="5" t="str">
        <f t="shared" ca="1" si="301"/>
        <v>тыс. EUR</v>
      </c>
      <c r="D768" s="5"/>
      <c r="F768" s="110">
        <f t="shared" ref="F768:T768" si="337">IF($B752=1,IF(F$33=PRJ_Len,F$509-F$440,0),0)</f>
        <v>0</v>
      </c>
      <c r="G768" s="110">
        <f t="shared" si="337"/>
        <v>0</v>
      </c>
      <c r="H768" s="110">
        <f t="shared" si="337"/>
        <v>0</v>
      </c>
      <c r="I768" s="110">
        <f t="shared" si="337"/>
        <v>0</v>
      </c>
      <c r="J768" s="110">
        <f t="shared" si="337"/>
        <v>0</v>
      </c>
      <c r="K768" s="110">
        <f t="shared" si="337"/>
        <v>0</v>
      </c>
      <c r="L768" s="110">
        <f t="shared" si="337"/>
        <v>0</v>
      </c>
      <c r="M768" s="110">
        <f t="shared" si="337"/>
        <v>0</v>
      </c>
      <c r="N768" s="110">
        <f t="shared" si="337"/>
        <v>0</v>
      </c>
      <c r="O768" s="110">
        <f t="shared" si="337"/>
        <v>0</v>
      </c>
      <c r="P768" s="110">
        <f t="shared" si="337"/>
        <v>0</v>
      </c>
      <c r="Q768" s="110">
        <f t="shared" si="337"/>
        <v>0</v>
      </c>
      <c r="R768" s="110">
        <f t="shared" si="337"/>
        <v>0</v>
      </c>
      <c r="S768" s="110">
        <f t="shared" si="337"/>
        <v>0</v>
      </c>
      <c r="T768" s="110">
        <f t="shared" si="337"/>
        <v>0</v>
      </c>
      <c r="U768" s="110">
        <f t="shared" ref="U768" si="338">IF($B752=1,IF(U$33=PRJ_Len,U$509-U$440,0),0)</f>
        <v>0</v>
      </c>
      <c r="V768" s="110">
        <f t="shared" ref="V768" si="339">IF($B752=1,IF(V$33=PRJ_Len,V$509-V$440,0),0)</f>
        <v>0</v>
      </c>
      <c r="W768" s="110">
        <f t="shared" ref="W768" si="340">IF($B752=1,IF(W$33=PRJ_Len,W$509-W$440,0),0)</f>
        <v>0</v>
      </c>
      <c r="X768" s="110">
        <f t="shared" ref="X768:Y768" si="341">IF($B752=1,IF(X$33=PRJ_Len,X$509-X$440,0),0)</f>
        <v>0</v>
      </c>
      <c r="Y768" s="110">
        <f t="shared" si="341"/>
        <v>0</v>
      </c>
      <c r="Z768" s="43"/>
      <c r="AA768" s="54">
        <f>SUM(F768:Y768)</f>
        <v>0</v>
      </c>
    </row>
    <row r="769" spans="1:27" hidden="1" outlineLevel="2" x14ac:dyDescent="0.2">
      <c r="A769" s="63"/>
      <c r="B769" s="63"/>
      <c r="C769" s="67"/>
      <c r="D769" s="67"/>
      <c r="E769" s="63"/>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1"/>
    </row>
    <row r="770" spans="1:27" outlineLevel="1" x14ac:dyDescent="0.2">
      <c r="A770" s="24" t="str">
        <f ca="1">Language!A$857</f>
        <v>Чистый денежный поток</v>
      </c>
      <c r="B770" s="19"/>
      <c r="C770" s="5" t="str">
        <f ca="1">CUR_Report</f>
        <v>тыс. EUR</v>
      </c>
      <c r="D770" s="26"/>
      <c r="E770" s="19"/>
      <c r="F770" s="65">
        <f t="shared" ref="F770:T770" ca="1" si="342">F760+F762+F763+F764+F768+F758+F759+F765+F767</f>
        <v>0</v>
      </c>
      <c r="G770" s="65">
        <f t="shared" ca="1" si="342"/>
        <v>0</v>
      </c>
      <c r="H770" s="65">
        <f t="shared" ca="1" si="342"/>
        <v>0</v>
      </c>
      <c r="I770" s="65">
        <f t="shared" ca="1" si="342"/>
        <v>0</v>
      </c>
      <c r="J770" s="65">
        <f t="shared" ca="1" si="342"/>
        <v>0</v>
      </c>
      <c r="K770" s="65">
        <f t="shared" ca="1" si="342"/>
        <v>2827.4120312836421</v>
      </c>
      <c r="L770" s="65">
        <f t="shared" ca="1" si="342"/>
        <v>15.62326190094285</v>
      </c>
      <c r="M770" s="65">
        <f t="shared" ca="1" si="342"/>
        <v>662.99303790614749</v>
      </c>
      <c r="N770" s="65">
        <f t="shared" ca="1" si="342"/>
        <v>964.0102427528858</v>
      </c>
      <c r="O770" s="65">
        <f t="shared" ca="1" si="342"/>
        <v>1285.2732652519153</v>
      </c>
      <c r="P770" s="65">
        <f t="shared" ca="1" si="342"/>
        <v>1454.7746893858593</v>
      </c>
      <c r="Q770" s="65">
        <f t="shared" ca="1" si="342"/>
        <v>1454.7746893858593</v>
      </c>
      <c r="R770" s="65">
        <f t="shared" ca="1" si="342"/>
        <v>1454.7746893858593</v>
      </c>
      <c r="S770" s="65">
        <f t="shared" ca="1" si="342"/>
        <v>1454.7746893858593</v>
      </c>
      <c r="T770" s="65">
        <f t="shared" ca="1" si="342"/>
        <v>1454.7746893858593</v>
      </c>
      <c r="U770" s="65">
        <f t="shared" ref="U770" ca="1" si="343">U760+U762+U763+U764+U768+U758+U759+U765+U767</f>
        <v>1454.7746893858593</v>
      </c>
      <c r="V770" s="65">
        <f t="shared" ref="V770" ca="1" si="344">V760+V762+V763+V764+V768+V758+V759+V765+V767</f>
        <v>1454.7746893858593</v>
      </c>
      <c r="W770" s="65">
        <f t="shared" ref="W770" ca="1" si="345">W760+W762+W763+W764+W768+W758+W759+W765+W767</f>
        <v>1454.7746893858593</v>
      </c>
      <c r="X770" s="65">
        <f t="shared" ref="X770:Y770" ca="1" si="346">X760+X762+X763+X764+X768+X758+X759+X765+X767</f>
        <v>1454.7746893858593</v>
      </c>
      <c r="Y770" s="65">
        <f t="shared" ca="1" si="346"/>
        <v>1454.7746893858593</v>
      </c>
      <c r="Z770" s="65"/>
      <c r="AA770" s="54">
        <f ca="1">SUM(F770:Y770)</f>
        <v>20303.058732954134</v>
      </c>
    </row>
    <row r="771" spans="1:27" outlineLevel="1" x14ac:dyDescent="0.2">
      <c r="A771" t="str">
        <f ca="1">Language!A$858</f>
        <v>Дисконтированный чистый денежный поток</v>
      </c>
      <c r="B771" s="19"/>
      <c r="C771" s="5" t="str">
        <f ca="1">CUR_Report</f>
        <v>тыс. EUR</v>
      </c>
      <c r="D771" s="26"/>
      <c r="E771" s="19"/>
      <c r="F771" s="53">
        <f t="shared" ref="F771:T771" ca="1" si="347">F770/F755</f>
        <v>0</v>
      </c>
      <c r="G771" s="53">
        <f t="shared" ca="1" si="347"/>
        <v>0</v>
      </c>
      <c r="H771" s="53">
        <f t="shared" ca="1" si="347"/>
        <v>0</v>
      </c>
      <c r="I771" s="53">
        <f t="shared" ca="1" si="347"/>
        <v>0</v>
      </c>
      <c r="J771" s="53">
        <f t="shared" ca="1" si="347"/>
        <v>0</v>
      </c>
      <c r="K771" s="53">
        <f t="shared" ca="1" si="347"/>
        <v>2400.2586171158605</v>
      </c>
      <c r="L771" s="53">
        <f t="shared" ca="1" si="347"/>
        <v>12.835548620217464</v>
      </c>
      <c r="M771" s="53">
        <f t="shared" ca="1" si="347"/>
        <v>527.13940017482219</v>
      </c>
      <c r="N771" s="53">
        <f t="shared" ca="1" si="347"/>
        <v>741.77457891111487</v>
      </c>
      <c r="O771" s="53">
        <f t="shared" ca="1" si="347"/>
        <v>957.10494141303263</v>
      </c>
      <c r="P771" s="53">
        <f t="shared" ca="1" si="347"/>
        <v>1048.4159226892584</v>
      </c>
      <c r="Q771" s="53">
        <f t="shared" ca="1" si="347"/>
        <v>1014.6292901073352</v>
      </c>
      <c r="R771" s="53">
        <f t="shared" ca="1" si="347"/>
        <v>981.93147782708945</v>
      </c>
      <c r="S771" s="53">
        <f t="shared" ca="1" si="347"/>
        <v>950.28739712973629</v>
      </c>
      <c r="T771" s="53">
        <f t="shared" ca="1" si="347"/>
        <v>919.66309007829636</v>
      </c>
      <c r="U771" s="53">
        <f t="shared" ref="U771" ca="1" si="348">U770/U755</f>
        <v>890.0256930766094</v>
      </c>
      <c r="V771" s="53">
        <f t="shared" ref="V771" ca="1" si="349">V770/V755</f>
        <v>861.34340160270949</v>
      </c>
      <c r="W771" s="53">
        <f t="shared" ref="W771" ca="1" si="350">W770/W755</f>
        <v>833.58543607871559</v>
      </c>
      <c r="X771" s="53">
        <f t="shared" ref="X771:Y771" ca="1" si="351">X770/X755</f>
        <v>806.72200884061056</v>
      </c>
      <c r="Y771" s="53">
        <f t="shared" ca="1" si="351"/>
        <v>780.72429217246395</v>
      </c>
      <c r="Z771" s="65"/>
      <c r="AA771" s="54">
        <f ca="1">SUM(F771:Y771)</f>
        <v>13726.441095837874</v>
      </c>
    </row>
    <row r="772" spans="1:27" outlineLevel="1" x14ac:dyDescent="0.2">
      <c r="A772" t="str">
        <f ca="1">Language!A$859</f>
        <v>Дисконтированный поток нарастающим итогом</v>
      </c>
      <c r="C772" s="5" t="str">
        <f ca="1">CUR_Report</f>
        <v>тыс. EUR</v>
      </c>
      <c r="D772" s="16" t="s">
        <v>2594</v>
      </c>
      <c r="F772" s="43">
        <f t="shared" ref="F772:Y772" ca="1" si="352">E772+F771</f>
        <v>0</v>
      </c>
      <c r="G772" s="43">
        <f t="shared" ca="1" si="352"/>
        <v>0</v>
      </c>
      <c r="H772" s="43">
        <f t="shared" ca="1" si="352"/>
        <v>0</v>
      </c>
      <c r="I772" s="43">
        <f t="shared" ca="1" si="352"/>
        <v>0</v>
      </c>
      <c r="J772" s="43">
        <f t="shared" ca="1" si="352"/>
        <v>0</v>
      </c>
      <c r="K772" s="43">
        <f t="shared" ca="1" si="352"/>
        <v>2400.2586171158605</v>
      </c>
      <c r="L772" s="43">
        <f t="shared" ca="1" si="352"/>
        <v>2413.0941657360781</v>
      </c>
      <c r="M772" s="43">
        <f t="shared" ca="1" si="352"/>
        <v>2940.2335659109003</v>
      </c>
      <c r="N772" s="43">
        <f t="shared" ca="1" si="352"/>
        <v>3682.0081448220153</v>
      </c>
      <c r="O772" s="43">
        <f t="shared" ca="1" si="352"/>
        <v>4639.1130862350483</v>
      </c>
      <c r="P772" s="43">
        <f t="shared" ca="1" si="352"/>
        <v>5687.5290089243063</v>
      </c>
      <c r="Q772" s="43">
        <f t="shared" ca="1" si="352"/>
        <v>6702.1582990316419</v>
      </c>
      <c r="R772" s="43">
        <f t="shared" ca="1" si="352"/>
        <v>7684.0897768587311</v>
      </c>
      <c r="S772" s="43">
        <f t="shared" ca="1" si="352"/>
        <v>8634.3771739884669</v>
      </c>
      <c r="T772" s="43">
        <f t="shared" ca="1" si="352"/>
        <v>9554.0402640667635</v>
      </c>
      <c r="U772" s="43">
        <f t="shared" ca="1" si="352"/>
        <v>10444.065957143373</v>
      </c>
      <c r="V772" s="43">
        <f t="shared" ca="1" si="352"/>
        <v>11305.409358746083</v>
      </c>
      <c r="W772" s="43">
        <f t="shared" ca="1" si="352"/>
        <v>12138.994794824799</v>
      </c>
      <c r="X772" s="43">
        <f t="shared" ca="1" si="352"/>
        <v>12945.716803665409</v>
      </c>
      <c r="Y772" s="43">
        <f t="shared" ca="1" si="352"/>
        <v>13726.441095837874</v>
      </c>
      <c r="Z772" s="43"/>
      <c r="AA772" s="54"/>
    </row>
    <row r="773" spans="1:27" outlineLevel="1" x14ac:dyDescent="0.2">
      <c r="F773" s="43"/>
      <c r="G773" s="43"/>
      <c r="H773" s="43"/>
      <c r="I773" s="43"/>
      <c r="J773" s="43"/>
      <c r="K773" s="43"/>
      <c r="L773" s="43"/>
      <c r="M773" s="43"/>
      <c r="N773" s="43"/>
      <c r="O773" s="43"/>
      <c r="P773" s="43"/>
      <c r="Q773" s="43"/>
      <c r="R773" s="43"/>
      <c r="S773" s="43"/>
      <c r="T773" s="43"/>
      <c r="U773" s="43"/>
      <c r="V773" s="43"/>
      <c r="W773" s="43"/>
      <c r="X773" s="43"/>
      <c r="Y773" s="43"/>
      <c r="Z773" s="43"/>
      <c r="AA773" s="54"/>
    </row>
    <row r="774" spans="1:27" outlineLevel="1" collapsed="1" x14ac:dyDescent="0.2">
      <c r="A774" s="23" t="str">
        <f ca="1">Language!A$860</f>
        <v>Простой срок окупаемости</v>
      </c>
      <c r="B774" s="163" t="str">
        <f ca="1">IF(ISERROR(E776),Language!A$834,IF(E776&gt;=PRJ_Len,Language!A$834,IF(OR(E776=0),E776*PRJ_Step/360,(E776-OFFSET(F775,0,E776-1)/(-OFFSET(F775,0,E776-1)+OFFSET(F775,0,E776)))*PRJ_Step/360)))</f>
        <v>Нет</v>
      </c>
      <c r="C774" s="17" t="str">
        <f ca="1">IF(B774=0,Language!A$33,IF(OR(B774&lt;1,AND(B774&gt;1,B774&lt;5)),Language!A$835,IF(B774=1,Language!A$37,Language!A$33)))</f>
        <v>лет</v>
      </c>
      <c r="AA774" s="11"/>
    </row>
    <row r="775" spans="1:27" hidden="1" outlineLevel="2" x14ac:dyDescent="0.2">
      <c r="A775" t="str">
        <f ca="1">Language!A$861</f>
        <v xml:space="preserve">    недисконтированный поток нарастающим итогом</v>
      </c>
      <c r="D775" s="16" t="s">
        <v>2594</v>
      </c>
      <c r="F775" s="53">
        <f t="shared" ref="F775:Y775" ca="1" si="353">E775+F770</f>
        <v>0</v>
      </c>
      <c r="G775" s="53">
        <f t="shared" ca="1" si="353"/>
        <v>0</v>
      </c>
      <c r="H775" s="53">
        <f t="shared" ca="1" si="353"/>
        <v>0</v>
      </c>
      <c r="I775" s="53">
        <f t="shared" ca="1" si="353"/>
        <v>0</v>
      </c>
      <c r="J775" s="53">
        <f t="shared" ca="1" si="353"/>
        <v>0</v>
      </c>
      <c r="K775" s="53">
        <f t="shared" ca="1" si="353"/>
        <v>2827.4120312836421</v>
      </c>
      <c r="L775" s="53">
        <f t="shared" ca="1" si="353"/>
        <v>2843.035293184585</v>
      </c>
      <c r="M775" s="53">
        <f t="shared" ca="1" si="353"/>
        <v>3506.0283310907325</v>
      </c>
      <c r="N775" s="53">
        <f t="shared" ca="1" si="353"/>
        <v>4470.038573843618</v>
      </c>
      <c r="O775" s="53">
        <f t="shared" ca="1" si="353"/>
        <v>5755.3118390955333</v>
      </c>
      <c r="P775" s="53">
        <f t="shared" ca="1" si="353"/>
        <v>7210.0865284813926</v>
      </c>
      <c r="Q775" s="53">
        <f t="shared" ca="1" si="353"/>
        <v>8664.861217867252</v>
      </c>
      <c r="R775" s="53">
        <f t="shared" ca="1" si="353"/>
        <v>10119.635907253112</v>
      </c>
      <c r="S775" s="53">
        <f t="shared" ca="1" si="353"/>
        <v>11574.410596638972</v>
      </c>
      <c r="T775" s="53">
        <f t="shared" ca="1" si="353"/>
        <v>13029.185286024833</v>
      </c>
      <c r="U775" s="53">
        <f t="shared" ca="1" si="353"/>
        <v>14483.959975410693</v>
      </c>
      <c r="V775" s="53">
        <f t="shared" ca="1" si="353"/>
        <v>15938.734664796553</v>
      </c>
      <c r="W775" s="53">
        <f t="shared" ca="1" si="353"/>
        <v>17393.509354182414</v>
      </c>
      <c r="X775" s="53">
        <f t="shared" ca="1" si="353"/>
        <v>18848.284043568274</v>
      </c>
      <c r="Y775" s="53">
        <f t="shared" ca="1" si="353"/>
        <v>20303.058732954134</v>
      </c>
      <c r="AA775" s="11"/>
    </row>
    <row r="776" spans="1:27" hidden="1" outlineLevel="2" x14ac:dyDescent="0.2">
      <c r="A776" t="str">
        <f ca="1">Language!A$862</f>
        <v xml:space="preserve">    знак остатка денежных средств</v>
      </c>
      <c r="D776" s="16" t="s">
        <v>2594</v>
      </c>
      <c r="E776" s="100" t="e">
        <f ca="1">PRJ_Len+1-(MATCH(-1,F777:Z777,0))</f>
        <v>#N/A</v>
      </c>
      <c r="F776" s="16">
        <f t="shared" ref="F776:T776" ca="1" si="354">SIGN(F775)</f>
        <v>0</v>
      </c>
      <c r="G776" s="16">
        <f t="shared" ca="1" si="354"/>
        <v>0</v>
      </c>
      <c r="H776" s="16">
        <f t="shared" ca="1" si="354"/>
        <v>0</v>
      </c>
      <c r="I776" s="16">
        <f t="shared" ca="1" si="354"/>
        <v>0</v>
      </c>
      <c r="J776" s="16">
        <f t="shared" ca="1" si="354"/>
        <v>0</v>
      </c>
      <c r="K776" s="16">
        <f t="shared" ca="1" si="354"/>
        <v>1</v>
      </c>
      <c r="L776" s="16">
        <f t="shared" ca="1" si="354"/>
        <v>1</v>
      </c>
      <c r="M776" s="16">
        <f t="shared" ca="1" si="354"/>
        <v>1</v>
      </c>
      <c r="N776" s="16">
        <f t="shared" ca="1" si="354"/>
        <v>1</v>
      </c>
      <c r="O776" s="16">
        <f t="shared" ca="1" si="354"/>
        <v>1</v>
      </c>
      <c r="P776" s="16">
        <f t="shared" ca="1" si="354"/>
        <v>1</v>
      </c>
      <c r="Q776" s="16">
        <f t="shared" ca="1" si="354"/>
        <v>1</v>
      </c>
      <c r="R776" s="16">
        <f t="shared" ca="1" si="354"/>
        <v>1</v>
      </c>
      <c r="S776" s="16">
        <f t="shared" ca="1" si="354"/>
        <v>1</v>
      </c>
      <c r="T776" s="16">
        <f t="shared" ca="1" si="354"/>
        <v>1</v>
      </c>
      <c r="U776" s="16">
        <f t="shared" ref="U776" ca="1" si="355">SIGN(U775)</f>
        <v>1</v>
      </c>
      <c r="V776" s="16">
        <f t="shared" ref="V776" ca="1" si="356">SIGN(V775)</f>
        <v>1</v>
      </c>
      <c r="W776" s="16">
        <f t="shared" ref="W776" ca="1" si="357">SIGN(W775)</f>
        <v>1</v>
      </c>
      <c r="X776" s="16">
        <f t="shared" ref="X776:Y776" ca="1" si="358">SIGN(X775)</f>
        <v>1</v>
      </c>
      <c r="Y776" s="16">
        <f t="shared" ca="1" si="358"/>
        <v>1</v>
      </c>
      <c r="AA776" s="11"/>
    </row>
    <row r="777" spans="1:27" hidden="1" outlineLevel="2" x14ac:dyDescent="0.2">
      <c r="A777" t="str">
        <f ca="1">Language!A$863</f>
        <v xml:space="preserve">    знак остатка денежных средств (с конца)</v>
      </c>
      <c r="D777" s="16" t="s">
        <v>2594</v>
      </c>
      <c r="F777" s="100">
        <f t="shared" ref="F777:T777" ca="1" si="359">OFFSET(F776,0,PRJ_Len-F$33-F$33+1)</f>
        <v>1</v>
      </c>
      <c r="G777" s="100">
        <f t="shared" ca="1" si="359"/>
        <v>1</v>
      </c>
      <c r="H777" s="100">
        <f t="shared" ca="1" si="359"/>
        <v>1</v>
      </c>
      <c r="I777" s="100">
        <f t="shared" ca="1" si="359"/>
        <v>1</v>
      </c>
      <c r="J777" s="100">
        <f t="shared" ca="1" si="359"/>
        <v>1</v>
      </c>
      <c r="K777" s="100">
        <f t="shared" ca="1" si="359"/>
        <v>1</v>
      </c>
      <c r="L777" s="100">
        <f t="shared" ca="1" si="359"/>
        <v>1</v>
      </c>
      <c r="M777" s="100">
        <f t="shared" ca="1" si="359"/>
        <v>1</v>
      </c>
      <c r="N777" s="100">
        <f t="shared" ca="1" si="359"/>
        <v>1</v>
      </c>
      <c r="O777" s="100">
        <f t="shared" ca="1" si="359"/>
        <v>1</v>
      </c>
      <c r="P777" s="100">
        <f t="shared" ca="1" si="359"/>
        <v>1</v>
      </c>
      <c r="Q777" s="100">
        <f t="shared" ca="1" si="359"/>
        <v>1</v>
      </c>
      <c r="R777" s="100">
        <f t="shared" ca="1" si="359"/>
        <v>1</v>
      </c>
      <c r="S777" s="100">
        <f t="shared" ca="1" si="359"/>
        <v>1</v>
      </c>
      <c r="T777" s="100">
        <f t="shared" ca="1" si="359"/>
        <v>1</v>
      </c>
      <c r="U777" s="100">
        <f t="shared" ref="U777" ca="1" si="360">OFFSET(U776,0,PRJ_Len-U$33-U$33+1)</f>
        <v>0</v>
      </c>
      <c r="V777" s="100">
        <f t="shared" ref="V777" ca="1" si="361">OFFSET(V776,0,PRJ_Len-V$33-V$33+1)</f>
        <v>0</v>
      </c>
      <c r="W777" s="100">
        <f t="shared" ref="W777" ca="1" si="362">OFFSET(W776,0,PRJ_Len-W$33-W$33+1)</f>
        <v>0</v>
      </c>
      <c r="X777" s="100">
        <f t="shared" ref="X777:Y777" ca="1" si="363">OFFSET(X776,0,PRJ_Len-X$33-X$33+1)</f>
        <v>0</v>
      </c>
      <c r="Y777" s="100">
        <f t="shared" ca="1" si="363"/>
        <v>0</v>
      </c>
      <c r="AA777" s="11"/>
    </row>
    <row r="778" spans="1:27" outlineLevel="1" x14ac:dyDescent="0.2">
      <c r="AA778" s="11"/>
    </row>
    <row r="779" spans="1:27" outlineLevel="1" x14ac:dyDescent="0.2">
      <c r="A779" s="35" t="str">
        <f ca="1">Language!A$864</f>
        <v>Чистая приведенная стоимость (NPV)</v>
      </c>
      <c r="B779" s="150">
        <f ca="1">AA771</f>
        <v>13726.441095837874</v>
      </c>
      <c r="C779" s="5" t="str">
        <f ca="1">CUR_Report</f>
        <v>тыс. EUR</v>
      </c>
      <c r="AA779" s="11"/>
    </row>
    <row r="780" spans="1:27" outlineLevel="1" collapsed="1" x14ac:dyDescent="0.2">
      <c r="A780" s="35" t="str">
        <f ca="1">Language!A$865</f>
        <v>Дисконтированный срок окупаемости (PBP)</v>
      </c>
      <c r="B780" s="149" t="str">
        <f ca="1">IF(ISERROR(E781),Language!A$834,IF(E781&gt;=PRJ_Len,Language!A$834,IF(OR(E781=0),E781*PRJ_Step/360,(E781-OFFSET(F772,0,E781-1)/(-OFFSET(F772,0,E781-1)+OFFSET(F772,0,E781)))*PRJ_Step/360)))</f>
        <v>Нет</v>
      </c>
      <c r="C780" s="17" t="str">
        <f ca="1">IF(B780=0,Language!A$33,IF(OR(B780&lt;1,AND(B780&gt;1,B780&lt;5)),Language!A$835,IF(B780=1,Language!A$37,Language!A$33)))</f>
        <v>лет</v>
      </c>
      <c r="AA780" s="11"/>
    </row>
    <row r="781" spans="1:27" hidden="1" outlineLevel="2" x14ac:dyDescent="0.2">
      <c r="A781" t="str">
        <f ca="1">Language!A$866</f>
        <v xml:space="preserve">    знак остатка дисконтированных денежных средств</v>
      </c>
      <c r="D781" s="16" t="s">
        <v>2594</v>
      </c>
      <c r="E781" s="100" t="e">
        <f ca="1">PRJ_Len+1-(MATCH(-1,F782:Z782,0))</f>
        <v>#N/A</v>
      </c>
      <c r="F781" s="16">
        <f t="shared" ref="F781:T781" ca="1" si="364">SIGN(F772)</f>
        <v>0</v>
      </c>
      <c r="G781" s="16">
        <f t="shared" ca="1" si="364"/>
        <v>0</v>
      </c>
      <c r="H781" s="16">
        <f t="shared" ca="1" si="364"/>
        <v>0</v>
      </c>
      <c r="I781" s="16">
        <f t="shared" ca="1" si="364"/>
        <v>0</v>
      </c>
      <c r="J781" s="16">
        <f t="shared" ca="1" si="364"/>
        <v>0</v>
      </c>
      <c r="K781" s="16">
        <f t="shared" ca="1" si="364"/>
        <v>1</v>
      </c>
      <c r="L781" s="16">
        <f t="shared" ca="1" si="364"/>
        <v>1</v>
      </c>
      <c r="M781" s="16">
        <f t="shared" ca="1" si="364"/>
        <v>1</v>
      </c>
      <c r="N781" s="16">
        <f t="shared" ca="1" si="364"/>
        <v>1</v>
      </c>
      <c r="O781" s="16">
        <f t="shared" ca="1" si="364"/>
        <v>1</v>
      </c>
      <c r="P781" s="16">
        <f t="shared" ca="1" si="364"/>
        <v>1</v>
      </c>
      <c r="Q781" s="16">
        <f t="shared" ca="1" si="364"/>
        <v>1</v>
      </c>
      <c r="R781" s="16">
        <f t="shared" ca="1" si="364"/>
        <v>1</v>
      </c>
      <c r="S781" s="16">
        <f t="shared" ca="1" si="364"/>
        <v>1</v>
      </c>
      <c r="T781" s="16">
        <f t="shared" ca="1" si="364"/>
        <v>1</v>
      </c>
      <c r="U781" s="16">
        <f t="shared" ref="U781" ca="1" si="365">SIGN(U772)</f>
        <v>1</v>
      </c>
      <c r="V781" s="16">
        <f t="shared" ref="V781" ca="1" si="366">SIGN(V772)</f>
        <v>1</v>
      </c>
      <c r="W781" s="16">
        <f t="shared" ref="W781" ca="1" si="367">SIGN(W772)</f>
        <v>1</v>
      </c>
      <c r="X781" s="16">
        <f t="shared" ref="X781:Y781" ca="1" si="368">SIGN(X772)</f>
        <v>1</v>
      </c>
      <c r="Y781" s="16">
        <f t="shared" ca="1" si="368"/>
        <v>1</v>
      </c>
      <c r="AA781" s="11"/>
    </row>
    <row r="782" spans="1:27" hidden="1" outlineLevel="2" x14ac:dyDescent="0.2">
      <c r="A782" t="str">
        <f ca="1">Language!A$867</f>
        <v xml:space="preserve">    знак остатка дисконтированных денежных средств (с конца)</v>
      </c>
      <c r="D782" s="16" t="s">
        <v>2594</v>
      </c>
      <c r="F782" s="100">
        <f t="shared" ref="F782:T782" ca="1" si="369">OFFSET(F781,0,PRJ_Len-F$33-F$33+1)</f>
        <v>1</v>
      </c>
      <c r="G782" s="100">
        <f t="shared" ca="1" si="369"/>
        <v>1</v>
      </c>
      <c r="H782" s="100">
        <f t="shared" ca="1" si="369"/>
        <v>1</v>
      </c>
      <c r="I782" s="100">
        <f t="shared" ca="1" si="369"/>
        <v>1</v>
      </c>
      <c r="J782" s="100">
        <f t="shared" ca="1" si="369"/>
        <v>1</v>
      </c>
      <c r="K782" s="100">
        <f t="shared" ca="1" si="369"/>
        <v>1</v>
      </c>
      <c r="L782" s="100">
        <f t="shared" ca="1" si="369"/>
        <v>1</v>
      </c>
      <c r="M782" s="100">
        <f t="shared" ca="1" si="369"/>
        <v>1</v>
      </c>
      <c r="N782" s="100">
        <f t="shared" ca="1" si="369"/>
        <v>1</v>
      </c>
      <c r="O782" s="100">
        <f t="shared" ca="1" si="369"/>
        <v>1</v>
      </c>
      <c r="P782" s="100">
        <f t="shared" ca="1" si="369"/>
        <v>1</v>
      </c>
      <c r="Q782" s="100">
        <f t="shared" ca="1" si="369"/>
        <v>1</v>
      </c>
      <c r="R782" s="100">
        <f t="shared" ca="1" si="369"/>
        <v>1</v>
      </c>
      <c r="S782" s="100">
        <f t="shared" ca="1" si="369"/>
        <v>1</v>
      </c>
      <c r="T782" s="100">
        <f t="shared" ca="1" si="369"/>
        <v>1</v>
      </c>
      <c r="U782" s="100">
        <f t="shared" ref="U782" ca="1" si="370">OFFSET(U781,0,PRJ_Len-U$33-U$33+1)</f>
        <v>0</v>
      </c>
      <c r="V782" s="100">
        <f t="shared" ref="V782" ca="1" si="371">OFFSET(V781,0,PRJ_Len-V$33-V$33+1)</f>
        <v>0</v>
      </c>
      <c r="W782" s="100">
        <f t="shared" ref="W782" ca="1" si="372">OFFSET(W781,0,PRJ_Len-W$33-W$33+1)</f>
        <v>0</v>
      </c>
      <c r="X782" s="100">
        <f t="shared" ref="X782:Y782" ca="1" si="373">OFFSET(X781,0,PRJ_Len-X$33-X$33+1)</f>
        <v>0</v>
      </c>
      <c r="Y782" s="100">
        <f t="shared" ca="1" si="373"/>
        <v>0</v>
      </c>
      <c r="AA782" s="11"/>
    </row>
    <row r="783" spans="1:27" outlineLevel="1" collapsed="1" x14ac:dyDescent="0.2">
      <c r="A783" s="129" t="str">
        <f ca="1">Language!A$868</f>
        <v>Внутренняя норма рентабельности (IRR)</v>
      </c>
      <c r="B783" s="151" t="str">
        <f ca="1">IF(ISERROR(E783),Language!A$834,IF(AND(E783&gt;0,E783&lt;100),E783,Language!A$834))</f>
        <v>Нет</v>
      </c>
      <c r="C783" s="215" t="str">
        <f ca="1">Language!A$837</f>
        <v>(номинальная - с учетом инфляции)</v>
      </c>
      <c r="E783" s="16" t="e">
        <f ca="1">(POWER(1+IRR(F784:Y784,0.2*PRJ_Step/360),360/PRJ_Step)-1)</f>
        <v>#NUM!</v>
      </c>
      <c r="AA783" s="11"/>
    </row>
    <row r="784" spans="1:27" s="48" customFormat="1" hidden="1" outlineLevel="2" x14ac:dyDescent="0.2">
      <c r="A784" s="24" t="str">
        <f ca="1">Language!A$857</f>
        <v>Чистый денежный поток</v>
      </c>
      <c r="B784" s="222"/>
      <c r="C784" s="215"/>
      <c r="E784" s="100"/>
      <c r="F784" s="65">
        <f t="shared" ref="F784:T784" ca="1" si="374">F770*F785</f>
        <v>0</v>
      </c>
      <c r="G784" s="65">
        <f t="shared" ca="1" si="374"/>
        <v>0</v>
      </c>
      <c r="H784" s="65">
        <f t="shared" ca="1" si="374"/>
        <v>0</v>
      </c>
      <c r="I784" s="65">
        <f t="shared" ca="1" si="374"/>
        <v>0</v>
      </c>
      <c r="J784" s="65">
        <f t="shared" ca="1" si="374"/>
        <v>0</v>
      </c>
      <c r="K784" s="65">
        <f t="shared" ca="1" si="374"/>
        <v>2827.4120312836421</v>
      </c>
      <c r="L784" s="65">
        <f t="shared" ca="1" si="374"/>
        <v>15.62326190094285</v>
      </c>
      <c r="M784" s="65">
        <f t="shared" ca="1" si="374"/>
        <v>662.99303790614749</v>
      </c>
      <c r="N784" s="65">
        <f t="shared" ca="1" si="374"/>
        <v>964.0102427528858</v>
      </c>
      <c r="O784" s="65">
        <f t="shared" ca="1" si="374"/>
        <v>1285.2732652519153</v>
      </c>
      <c r="P784" s="65">
        <f t="shared" ca="1" si="374"/>
        <v>1454.7746893858593</v>
      </c>
      <c r="Q784" s="65">
        <f t="shared" ca="1" si="374"/>
        <v>1454.7746893858593</v>
      </c>
      <c r="R784" s="65">
        <f t="shared" ca="1" si="374"/>
        <v>1454.7746893858593</v>
      </c>
      <c r="S784" s="65">
        <f t="shared" ca="1" si="374"/>
        <v>1454.7746893858593</v>
      </c>
      <c r="T784" s="65">
        <f t="shared" ca="1" si="374"/>
        <v>1454.7746893858593</v>
      </c>
      <c r="U784" s="65">
        <f t="shared" ref="U784" ca="1" si="375">U770*U785</f>
        <v>1454.7746893858593</v>
      </c>
      <c r="V784" s="65">
        <f t="shared" ref="V784" ca="1" si="376">V770*V785</f>
        <v>1454.7746893858593</v>
      </c>
      <c r="W784" s="65">
        <f t="shared" ref="W784" ca="1" si="377">W770*W785</f>
        <v>1454.7746893858593</v>
      </c>
      <c r="X784" s="65">
        <f t="shared" ref="X784:Y784" ca="1" si="378">X770*X785</f>
        <v>1454.7746893858593</v>
      </c>
      <c r="Y784" s="65">
        <f t="shared" ca="1" si="378"/>
        <v>1454.7746893858593</v>
      </c>
      <c r="AA784" s="41"/>
    </row>
    <row r="785" spans="1:27" s="48" customFormat="1" hidden="1" outlineLevel="2" x14ac:dyDescent="0.2">
      <c r="A785" s="24" t="str">
        <f ca="1">Language!$A$118 &amp; IF(CalcMethod=1,Language!A$109,Language!A$108)</f>
        <v>Множитель прироста цен  (включен)</v>
      </c>
      <c r="B785" s="222"/>
      <c r="C785" s="215"/>
      <c r="E785" s="100"/>
      <c r="F785" s="315">
        <v>1</v>
      </c>
      <c r="G785" s="315">
        <f t="shared" ref="G785:Y785" si="379">IF(CalcMethod=1,F785*(1+G749),1)</f>
        <v>1</v>
      </c>
      <c r="H785" s="315">
        <f t="shared" si="379"/>
        <v>1</v>
      </c>
      <c r="I785" s="315">
        <f t="shared" si="379"/>
        <v>1</v>
      </c>
      <c r="J785" s="315">
        <f t="shared" si="379"/>
        <v>1</v>
      </c>
      <c r="K785" s="315">
        <f t="shared" si="379"/>
        <v>1</v>
      </c>
      <c r="L785" s="315">
        <f t="shared" si="379"/>
        <v>1</v>
      </c>
      <c r="M785" s="315">
        <f t="shared" si="379"/>
        <v>1</v>
      </c>
      <c r="N785" s="315">
        <f t="shared" si="379"/>
        <v>1</v>
      </c>
      <c r="O785" s="315">
        <f t="shared" si="379"/>
        <v>1</v>
      </c>
      <c r="P785" s="315">
        <f t="shared" si="379"/>
        <v>1</v>
      </c>
      <c r="Q785" s="315">
        <f t="shared" si="379"/>
        <v>1</v>
      </c>
      <c r="R785" s="315">
        <f t="shared" si="379"/>
        <v>1</v>
      </c>
      <c r="S785" s="315">
        <f t="shared" si="379"/>
        <v>1</v>
      </c>
      <c r="T785" s="315">
        <f t="shared" si="379"/>
        <v>1</v>
      </c>
      <c r="U785" s="315">
        <f t="shared" si="379"/>
        <v>1</v>
      </c>
      <c r="V785" s="315">
        <f t="shared" si="379"/>
        <v>1</v>
      </c>
      <c r="W785" s="315">
        <f t="shared" si="379"/>
        <v>1</v>
      </c>
      <c r="X785" s="315">
        <f t="shared" si="379"/>
        <v>1</v>
      </c>
      <c r="Y785" s="315">
        <f t="shared" si="379"/>
        <v>1</v>
      </c>
      <c r="AA785" s="41"/>
    </row>
    <row r="786" spans="1:27" outlineLevel="1" collapsed="1" x14ac:dyDescent="0.2">
      <c r="A786" s="23" t="str">
        <f ca="1">Language!A$869</f>
        <v>Норма доходности дисконтированных затрат (PI)</v>
      </c>
      <c r="B786" s="310" t="str">
        <f ca="1">IF(AA790&lt;0,AA788/-AA790,Language!A$834)</f>
        <v>Нет</v>
      </c>
      <c r="C786" s="5" t="str">
        <f ca="1">Language!A$198</f>
        <v>разы</v>
      </c>
      <c r="AA786" s="11"/>
    </row>
    <row r="787" spans="1:27" hidden="1" outlineLevel="2" x14ac:dyDescent="0.2">
      <c r="A787" t="str">
        <f ca="1">Language!A$870</f>
        <v xml:space="preserve">    притоки</v>
      </c>
      <c r="C787" s="5" t="str">
        <f ca="1">CUR_Report</f>
        <v>тыс. EUR</v>
      </c>
      <c r="F787" s="43">
        <f t="shared" ref="F787:T787" ca="1" si="380">MAX(0,F770)</f>
        <v>0</v>
      </c>
      <c r="G787" s="43">
        <f t="shared" ca="1" si="380"/>
        <v>0</v>
      </c>
      <c r="H787" s="43">
        <f t="shared" ca="1" si="380"/>
        <v>0</v>
      </c>
      <c r="I787" s="43">
        <f t="shared" ca="1" si="380"/>
        <v>0</v>
      </c>
      <c r="J787" s="43">
        <f t="shared" ca="1" si="380"/>
        <v>0</v>
      </c>
      <c r="K787" s="43">
        <f t="shared" ca="1" si="380"/>
        <v>2827.4120312836421</v>
      </c>
      <c r="L787" s="43">
        <f t="shared" ca="1" si="380"/>
        <v>15.62326190094285</v>
      </c>
      <c r="M787" s="43">
        <f t="shared" ca="1" si="380"/>
        <v>662.99303790614749</v>
      </c>
      <c r="N787" s="43">
        <f t="shared" ca="1" si="380"/>
        <v>964.0102427528858</v>
      </c>
      <c r="O787" s="43">
        <f t="shared" ca="1" si="380"/>
        <v>1285.2732652519153</v>
      </c>
      <c r="P787" s="43">
        <f t="shared" ca="1" si="380"/>
        <v>1454.7746893858593</v>
      </c>
      <c r="Q787" s="43">
        <f t="shared" ca="1" si="380"/>
        <v>1454.7746893858593</v>
      </c>
      <c r="R787" s="43">
        <f t="shared" ca="1" si="380"/>
        <v>1454.7746893858593</v>
      </c>
      <c r="S787" s="43">
        <f t="shared" ca="1" si="380"/>
        <v>1454.7746893858593</v>
      </c>
      <c r="T787" s="43">
        <f t="shared" ca="1" si="380"/>
        <v>1454.7746893858593</v>
      </c>
      <c r="U787" s="43">
        <f t="shared" ref="U787" ca="1" si="381">MAX(0,U770)</f>
        <v>1454.7746893858593</v>
      </c>
      <c r="V787" s="43">
        <f t="shared" ref="V787" ca="1" si="382">MAX(0,V770)</f>
        <v>1454.7746893858593</v>
      </c>
      <c r="W787" s="43">
        <f t="shared" ref="W787" ca="1" si="383">MAX(0,W770)</f>
        <v>1454.7746893858593</v>
      </c>
      <c r="X787" s="43">
        <f t="shared" ref="X787:Y787" ca="1" si="384">MAX(0,X770)</f>
        <v>1454.7746893858593</v>
      </c>
      <c r="Y787" s="43">
        <f t="shared" ca="1" si="384"/>
        <v>1454.7746893858593</v>
      </c>
      <c r="AA787" s="54">
        <f ca="1">SUM(F787:Y787)</f>
        <v>20303.058732954134</v>
      </c>
    </row>
    <row r="788" spans="1:27" hidden="1" outlineLevel="2" x14ac:dyDescent="0.2">
      <c r="A788" t="str">
        <f ca="1">Language!A$871</f>
        <v xml:space="preserve">    дисконтированные притоки</v>
      </c>
      <c r="C788" s="5" t="str">
        <f ca="1">CUR_Report</f>
        <v>тыс. EUR</v>
      </c>
      <c r="F788" s="43">
        <f t="shared" ref="F788:T788" ca="1" si="385">F787/F755</f>
        <v>0</v>
      </c>
      <c r="G788" s="43">
        <f t="shared" ca="1" si="385"/>
        <v>0</v>
      </c>
      <c r="H788" s="43">
        <f t="shared" ca="1" si="385"/>
        <v>0</v>
      </c>
      <c r="I788" s="43">
        <f t="shared" ca="1" si="385"/>
        <v>0</v>
      </c>
      <c r="J788" s="43">
        <f t="shared" ca="1" si="385"/>
        <v>0</v>
      </c>
      <c r="K788" s="43">
        <f t="shared" ca="1" si="385"/>
        <v>2400.2586171158605</v>
      </c>
      <c r="L788" s="43">
        <f t="shared" ca="1" si="385"/>
        <v>12.835548620217464</v>
      </c>
      <c r="M788" s="43">
        <f t="shared" ca="1" si="385"/>
        <v>527.13940017482219</v>
      </c>
      <c r="N788" s="43">
        <f t="shared" ca="1" si="385"/>
        <v>741.77457891111487</v>
      </c>
      <c r="O788" s="43">
        <f t="shared" ca="1" si="385"/>
        <v>957.10494141303263</v>
      </c>
      <c r="P788" s="43">
        <f t="shared" ca="1" si="385"/>
        <v>1048.4159226892584</v>
      </c>
      <c r="Q788" s="43">
        <f t="shared" ca="1" si="385"/>
        <v>1014.6292901073352</v>
      </c>
      <c r="R788" s="43">
        <f t="shared" ca="1" si="385"/>
        <v>981.93147782708945</v>
      </c>
      <c r="S788" s="43">
        <f t="shared" ca="1" si="385"/>
        <v>950.28739712973629</v>
      </c>
      <c r="T788" s="43">
        <f t="shared" ca="1" si="385"/>
        <v>919.66309007829636</v>
      </c>
      <c r="U788" s="43">
        <f t="shared" ref="U788" ca="1" si="386">U787/U755</f>
        <v>890.0256930766094</v>
      </c>
      <c r="V788" s="43">
        <f t="shared" ref="V788" ca="1" si="387">V787/V755</f>
        <v>861.34340160270949</v>
      </c>
      <c r="W788" s="43">
        <f t="shared" ref="W788" ca="1" si="388">W787/W755</f>
        <v>833.58543607871559</v>
      </c>
      <c r="X788" s="43">
        <f t="shared" ref="X788:Y788" ca="1" si="389">X787/X755</f>
        <v>806.72200884061056</v>
      </c>
      <c r="Y788" s="43">
        <f t="shared" ca="1" si="389"/>
        <v>780.72429217246395</v>
      </c>
      <c r="AA788" s="54">
        <f ca="1">SUM(F788:Y788)</f>
        <v>13726.441095837874</v>
      </c>
    </row>
    <row r="789" spans="1:27" hidden="1" outlineLevel="2" x14ac:dyDescent="0.2">
      <c r="A789" t="str">
        <f ca="1">Language!A$872</f>
        <v xml:space="preserve">    оттоки</v>
      </c>
      <c r="C789" s="5" t="str">
        <f ca="1">CUR_Report</f>
        <v>тыс. EUR</v>
      </c>
      <c r="F789" s="43">
        <f t="shared" ref="F789:T789" ca="1" si="390">MIN(0,F770)</f>
        <v>0</v>
      </c>
      <c r="G789" s="43">
        <f t="shared" ca="1" si="390"/>
        <v>0</v>
      </c>
      <c r="H789" s="43">
        <f t="shared" ca="1" si="390"/>
        <v>0</v>
      </c>
      <c r="I789" s="43">
        <f t="shared" ca="1" si="390"/>
        <v>0</v>
      </c>
      <c r="J789" s="43">
        <f t="shared" ca="1" si="390"/>
        <v>0</v>
      </c>
      <c r="K789" s="43">
        <f t="shared" ca="1" si="390"/>
        <v>0</v>
      </c>
      <c r="L789" s="43">
        <f t="shared" ca="1" si="390"/>
        <v>0</v>
      </c>
      <c r="M789" s="43">
        <f t="shared" ca="1" si="390"/>
        <v>0</v>
      </c>
      <c r="N789" s="43">
        <f t="shared" ca="1" si="390"/>
        <v>0</v>
      </c>
      <c r="O789" s="43">
        <f t="shared" ca="1" si="390"/>
        <v>0</v>
      </c>
      <c r="P789" s="43">
        <f t="shared" ca="1" si="390"/>
        <v>0</v>
      </c>
      <c r="Q789" s="43">
        <f t="shared" ca="1" si="390"/>
        <v>0</v>
      </c>
      <c r="R789" s="43">
        <f t="shared" ca="1" si="390"/>
        <v>0</v>
      </c>
      <c r="S789" s="43">
        <f t="shared" ca="1" si="390"/>
        <v>0</v>
      </c>
      <c r="T789" s="43">
        <f t="shared" ca="1" si="390"/>
        <v>0</v>
      </c>
      <c r="U789" s="43">
        <f t="shared" ref="U789" ca="1" si="391">MIN(0,U770)</f>
        <v>0</v>
      </c>
      <c r="V789" s="43">
        <f t="shared" ref="V789" ca="1" si="392">MIN(0,V770)</f>
        <v>0</v>
      </c>
      <c r="W789" s="43">
        <f t="shared" ref="W789" ca="1" si="393">MIN(0,W770)</f>
        <v>0</v>
      </c>
      <c r="X789" s="43">
        <f t="shared" ref="X789:Y789" ca="1" si="394">MIN(0,X770)</f>
        <v>0</v>
      </c>
      <c r="Y789" s="43">
        <f t="shared" ca="1" si="394"/>
        <v>0</v>
      </c>
      <c r="AA789" s="54">
        <f ca="1">SUM(F789:Y789)</f>
        <v>0</v>
      </c>
    </row>
    <row r="790" spans="1:27" hidden="1" outlineLevel="2" x14ac:dyDescent="0.2">
      <c r="A790" t="str">
        <f ca="1">Language!A$873</f>
        <v xml:space="preserve">    дисконтированные оттоки</v>
      </c>
      <c r="C790" s="5" t="str">
        <f ca="1">CUR_Report</f>
        <v>тыс. EUR</v>
      </c>
      <c r="F790" s="43">
        <f t="shared" ref="F790:T790" ca="1" si="395">F789/F755</f>
        <v>0</v>
      </c>
      <c r="G790" s="43">
        <f t="shared" ca="1" si="395"/>
        <v>0</v>
      </c>
      <c r="H790" s="43">
        <f t="shared" ca="1" si="395"/>
        <v>0</v>
      </c>
      <c r="I790" s="43">
        <f t="shared" ca="1" si="395"/>
        <v>0</v>
      </c>
      <c r="J790" s="43">
        <f t="shared" ca="1" si="395"/>
        <v>0</v>
      </c>
      <c r="K790" s="43">
        <f t="shared" ca="1" si="395"/>
        <v>0</v>
      </c>
      <c r="L790" s="43">
        <f t="shared" ca="1" si="395"/>
        <v>0</v>
      </c>
      <c r="M790" s="43">
        <f t="shared" ca="1" si="395"/>
        <v>0</v>
      </c>
      <c r="N790" s="43">
        <f t="shared" ca="1" si="395"/>
        <v>0</v>
      </c>
      <c r="O790" s="43">
        <f t="shared" ca="1" si="395"/>
        <v>0</v>
      </c>
      <c r="P790" s="43">
        <f t="shared" ca="1" si="395"/>
        <v>0</v>
      </c>
      <c r="Q790" s="43">
        <f t="shared" ca="1" si="395"/>
        <v>0</v>
      </c>
      <c r="R790" s="43">
        <f t="shared" ca="1" si="395"/>
        <v>0</v>
      </c>
      <c r="S790" s="43">
        <f t="shared" ca="1" si="395"/>
        <v>0</v>
      </c>
      <c r="T790" s="43">
        <f t="shared" ca="1" si="395"/>
        <v>0</v>
      </c>
      <c r="U790" s="43">
        <f t="shared" ref="U790" ca="1" si="396">U789/U755</f>
        <v>0</v>
      </c>
      <c r="V790" s="43">
        <f t="shared" ref="V790" ca="1" si="397">V789/V755</f>
        <v>0</v>
      </c>
      <c r="W790" s="43">
        <f t="shared" ref="W790" ca="1" si="398">W789/W755</f>
        <v>0</v>
      </c>
      <c r="X790" s="43">
        <f t="shared" ref="X790:Y790" ca="1" si="399">X789/X755</f>
        <v>0</v>
      </c>
      <c r="Y790" s="43">
        <f t="shared" ca="1" si="399"/>
        <v>0</v>
      </c>
      <c r="AA790" s="54">
        <f ca="1">SUM(F790:Y790)</f>
        <v>0</v>
      </c>
    </row>
    <row r="791" spans="1:27" outlineLevel="1" x14ac:dyDescent="0.2">
      <c r="F791" s="43"/>
      <c r="G791" s="43"/>
      <c r="H791" s="43"/>
      <c r="I791" s="43"/>
      <c r="J791" s="43"/>
      <c r="K791" s="43"/>
      <c r="L791" s="43"/>
      <c r="M791" s="43"/>
      <c r="N791" s="43"/>
      <c r="O791" s="43"/>
      <c r="P791" s="43"/>
      <c r="Q791" s="43"/>
      <c r="R791" s="43"/>
      <c r="S791" s="43"/>
      <c r="T791" s="43"/>
      <c r="U791" s="43"/>
      <c r="V791" s="43"/>
      <c r="W791" s="43"/>
      <c r="X791" s="43"/>
      <c r="Y791" s="43"/>
      <c r="AA791" s="11"/>
    </row>
    <row r="792" spans="1:27" outlineLevel="1" x14ac:dyDescent="0.2">
      <c r="A792" s="23" t="str">
        <f ca="1">Language!A$874</f>
        <v>Модифицированная IRR (MIRR)</v>
      </c>
      <c r="B792" s="311" t="str">
        <f ca="1">IF(ISERROR(E792),Language!A$834,E792)</f>
        <v>Нет</v>
      </c>
      <c r="C792" s="5"/>
      <c r="E792" s="152" t="e">
        <f ca="1">(POWER(1+MIRR(F770:Z770,POWER(1+B794,PRJ_Step/360)-1,POWER(1+B793,PRJ_Step/360)-1),360/PRJ_Step)-1)</f>
        <v>#DIV/0!</v>
      </c>
      <c r="F792" s="43"/>
      <c r="G792" s="43"/>
      <c r="H792" s="43"/>
      <c r="I792" s="43"/>
      <c r="J792" s="43"/>
      <c r="K792" s="43"/>
      <c r="L792" s="43"/>
      <c r="M792" s="43"/>
      <c r="N792" s="43"/>
      <c r="O792" s="43"/>
      <c r="P792" s="43"/>
      <c r="Q792" s="43"/>
      <c r="R792" s="43"/>
      <c r="S792" s="43"/>
      <c r="T792" s="43"/>
      <c r="U792" s="43"/>
      <c r="V792" s="43"/>
      <c r="W792" s="43"/>
      <c r="X792" s="43"/>
      <c r="Y792" s="43"/>
      <c r="AA792" s="11"/>
    </row>
    <row r="793" spans="1:27" outlineLevel="1" x14ac:dyDescent="0.2">
      <c r="A793" t="str">
        <f ca="1">Language!A$875</f>
        <v>Ставка реинвестирования доходов</v>
      </c>
      <c r="B793" s="272">
        <f>B753</f>
        <v>0.14000000000000001</v>
      </c>
      <c r="AA793" s="11"/>
    </row>
    <row r="794" spans="1:27" outlineLevel="1" x14ac:dyDescent="0.2">
      <c r="A794" t="str">
        <f ca="1">Language!A$876</f>
        <v>Ставка дисконтирования инвестиционных затрат</v>
      </c>
      <c r="B794" s="272">
        <f>B753</f>
        <v>0.14000000000000001</v>
      </c>
      <c r="AA794" s="11"/>
    </row>
    <row r="795" spans="1:27" outlineLevel="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4"/>
    </row>
    <row r="796" spans="1:27" outlineLevel="1" collapsed="1" x14ac:dyDescent="0.2">
      <c r="A796" s="22" t="str">
        <f ca="1">Language!A981</f>
        <v>График: Окупаемость проектов (для собственного капитала)</v>
      </c>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22"/>
    </row>
    <row r="797" spans="1:27" hidden="1" outlineLevel="2"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22"/>
    </row>
    <row r="798" spans="1:27" hidden="1" outlineLevel="2"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22"/>
    </row>
    <row r="799" spans="1:27" hidden="1" outlineLevel="2"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22"/>
    </row>
    <row r="800" spans="1:27" hidden="1" outlineLevel="2"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22"/>
    </row>
    <row r="801" spans="1:27" hidden="1" outlineLevel="2"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22"/>
    </row>
    <row r="802" spans="1:27" hidden="1" outlineLevel="2"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22"/>
    </row>
    <row r="803" spans="1:27" hidden="1" outlineLevel="2"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22"/>
    </row>
    <row r="804" spans="1:27" hidden="1" outlineLevel="2"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22"/>
    </row>
    <row r="805" spans="1:27" hidden="1" outlineLevel="2"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22"/>
    </row>
    <row r="806" spans="1:27" hidden="1" outlineLevel="2"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22"/>
    </row>
    <row r="807" spans="1:27" hidden="1" outlineLevel="2"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22"/>
    </row>
    <row r="808" spans="1:27" hidden="1" outlineLevel="2"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22"/>
    </row>
    <row r="809" spans="1:27" hidden="1" outlineLevel="2"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22"/>
    </row>
    <row r="810" spans="1:27" hidden="1" outlineLevel="2"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22"/>
    </row>
    <row r="811" spans="1:27" hidden="1" outlineLevel="2"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22"/>
    </row>
    <row r="812" spans="1:27" hidden="1" outlineLevel="2"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22"/>
    </row>
    <row r="813" spans="1:27" hidden="1" outlineLevel="2"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22"/>
    </row>
    <row r="814" spans="1:27" hidden="1" outlineLevel="2"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22"/>
    </row>
    <row r="815" spans="1:27" hidden="1" outlineLevel="2"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22"/>
    </row>
    <row r="816" spans="1:27" hidden="1" outlineLevel="2"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22"/>
    </row>
    <row r="817" spans="1:27" hidden="1" outlineLevel="2"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22"/>
    </row>
    <row r="818" spans="1:27" hidden="1" outlineLevel="2"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22"/>
    </row>
    <row r="819" spans="1:27" hidden="1" outlineLevel="2"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22"/>
    </row>
    <row r="820" spans="1:27" outlineLevel="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22"/>
    </row>
    <row r="821" spans="1:27" outlineLevel="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22"/>
    </row>
    <row r="822" spans="1:27" s="4" customFormat="1" ht="15.95" customHeight="1" thickBot="1" x14ac:dyDescent="0.25">
      <c r="A822" s="165" t="str">
        <f ca="1">Language!A880</f>
        <v xml:space="preserve">         ЭФФЕКТИВНОСТЬ ДЛЯ БАНКА</v>
      </c>
      <c r="B822" s="165"/>
      <c r="C822" s="165"/>
      <c r="D822" s="165"/>
      <c r="E822" s="165"/>
      <c r="F822" s="177" t="str">
        <f ca="1">IF(Проект!ShowRealDates,F36,F34)</f>
        <v>1 кв. 2016</v>
      </c>
      <c r="G822" s="177" t="str">
        <f ca="1">IF(Проект!ShowRealDates,G36,G34)</f>
        <v>2 кв. 2016</v>
      </c>
      <c r="H822" s="177" t="str">
        <f ca="1">IF(Проект!ShowRealDates,H36,H34)</f>
        <v>3 кв. 2016</v>
      </c>
      <c r="I822" s="177" t="str">
        <f ca="1">IF(Проект!ShowRealDates,I36,I34)</f>
        <v>4 кв. 2016</v>
      </c>
      <c r="J822" s="177" t="str">
        <f ca="1">IF(Проект!ShowRealDates,J36,J34)</f>
        <v>1 кв. 2017</v>
      </c>
      <c r="K822" s="177" t="str">
        <f ca="1">IF(Проект!ShowRealDates,K36,K34)</f>
        <v>2 кв. 2017</v>
      </c>
      <c r="L822" s="177" t="str">
        <f ca="1">IF(Проект!ShowRealDates,L36,L34)</f>
        <v>3 кв. 2017</v>
      </c>
      <c r="M822" s="177" t="str">
        <f ca="1">IF(Проект!ShowRealDates,M36,M34)</f>
        <v>4 кв. 2017</v>
      </c>
      <c r="N822" s="177" t="str">
        <f ca="1">IF(Проект!ShowRealDates,N36,N34)</f>
        <v>1 кв. 2018</v>
      </c>
      <c r="O822" s="177" t="str">
        <f ca="1">IF(Проект!ShowRealDates,O36,O34)</f>
        <v>2 кв. 2018</v>
      </c>
      <c r="P822" s="177" t="str">
        <f ca="1">IF(Проект!ShowRealDates,P36,P34)</f>
        <v>3 кв. 2018</v>
      </c>
      <c r="Q822" s="177" t="str">
        <f ca="1">IF(Проект!ShowRealDates,Q36,Q34)</f>
        <v>4 кв. 2018</v>
      </c>
      <c r="R822" s="177" t="str">
        <f ca="1">IF(Проект!ShowRealDates,R36,R34)</f>
        <v>1 кв. 2019</v>
      </c>
      <c r="S822" s="177" t="str">
        <f ca="1">IF(Проект!ShowRealDates,S36,S34)</f>
        <v>2 кв. 2019</v>
      </c>
      <c r="T822" s="177" t="str">
        <f ca="1">IF(Проект!ShowRealDates,T36,T34)</f>
        <v>3 кв. 2019</v>
      </c>
      <c r="U822" s="177" t="str">
        <f ca="1">IF(Проект!ShowRealDates,U36,U34)</f>
        <v>4 кв. 2019</v>
      </c>
      <c r="V822" s="177" t="str">
        <f ca="1">IF(Проект!ShowRealDates,V36,V34)</f>
        <v>1 кв. 2020</v>
      </c>
      <c r="W822" s="177" t="str">
        <f ca="1">IF(Проект!ShowRealDates,W36,W34)</f>
        <v>2 кв. 2020</v>
      </c>
      <c r="X822" s="177" t="str">
        <f ca="1">IF(Проект!ShowRealDates,X36,X34)</f>
        <v>3 кв. 2020</v>
      </c>
      <c r="Y822" s="177" t="str">
        <f ca="1">IF(Проект!ShowRealDates,Y36,Y34)</f>
        <v>4 кв. 2020</v>
      </c>
      <c r="Z822" s="165"/>
      <c r="AA822" s="166" t="str">
        <f ca="1">Language!A$372</f>
        <v>ИТОГО</v>
      </c>
    </row>
    <row r="823" spans="1:27" ht="12" outlineLevel="1" thickTop="1" x14ac:dyDescent="0.2">
      <c r="AA823" s="11"/>
    </row>
    <row r="824" spans="1:27" outlineLevel="1" collapsed="1" x14ac:dyDescent="0.2">
      <c r="A824" s="23" t="str">
        <f ca="1">Language!A104</f>
        <v>Предполагаемый темп годового роста цен</v>
      </c>
      <c r="C824" s="5" t="s">
        <v>2430</v>
      </c>
      <c r="D824" s="16" t="s">
        <v>2429</v>
      </c>
      <c r="F824" s="210">
        <f t="shared" ref="F824:T824" si="400">F672</f>
        <v>0</v>
      </c>
      <c r="G824" s="210">
        <f t="shared" si="400"/>
        <v>0</v>
      </c>
      <c r="H824" s="210">
        <f t="shared" si="400"/>
        <v>0</v>
      </c>
      <c r="I824" s="210">
        <f t="shared" si="400"/>
        <v>0</v>
      </c>
      <c r="J824" s="210">
        <f t="shared" si="400"/>
        <v>0</v>
      </c>
      <c r="K824" s="210">
        <f t="shared" si="400"/>
        <v>0</v>
      </c>
      <c r="L824" s="210">
        <f t="shared" si="400"/>
        <v>0</v>
      </c>
      <c r="M824" s="210">
        <f t="shared" si="400"/>
        <v>0</v>
      </c>
      <c r="N824" s="210">
        <f t="shared" si="400"/>
        <v>0</v>
      </c>
      <c r="O824" s="210">
        <f t="shared" si="400"/>
        <v>0</v>
      </c>
      <c r="P824" s="210">
        <f t="shared" si="400"/>
        <v>0</v>
      </c>
      <c r="Q824" s="210">
        <f t="shared" si="400"/>
        <v>0</v>
      </c>
      <c r="R824" s="210">
        <f t="shared" si="400"/>
        <v>0</v>
      </c>
      <c r="S824" s="210">
        <f t="shared" si="400"/>
        <v>0</v>
      </c>
      <c r="T824" s="210">
        <f t="shared" si="400"/>
        <v>0</v>
      </c>
      <c r="U824" s="210">
        <f t="shared" ref="U824" si="401">U672</f>
        <v>0</v>
      </c>
      <c r="V824" s="210">
        <f t="shared" ref="V824" si="402">V672</f>
        <v>0</v>
      </c>
      <c r="W824" s="210">
        <f t="shared" ref="W824" si="403">W672</f>
        <v>0</v>
      </c>
      <c r="X824" s="210">
        <f t="shared" ref="X824:Y824" si="404">X672</f>
        <v>0</v>
      </c>
      <c r="Y824" s="210">
        <f t="shared" si="404"/>
        <v>0</v>
      </c>
      <c r="AA824" s="11"/>
    </row>
    <row r="825" spans="1:27" hidden="1" outlineLevel="2" x14ac:dyDescent="0.2">
      <c r="A825" t="str">
        <f ca="1">Language!A106</f>
        <v>То же, в пересчете на период, равный шагу проекта</v>
      </c>
      <c r="C825" s="5" t="s">
        <v>2430</v>
      </c>
      <c r="D825" s="16" t="s">
        <v>2429</v>
      </c>
      <c r="F825" s="30">
        <f t="shared" ref="F825:T825" si="405">POWER(1+F824,PRJ_Step/360)-1</f>
        <v>0</v>
      </c>
      <c r="G825" s="30">
        <f t="shared" si="405"/>
        <v>0</v>
      </c>
      <c r="H825" s="30">
        <f t="shared" si="405"/>
        <v>0</v>
      </c>
      <c r="I825" s="30">
        <f t="shared" si="405"/>
        <v>0</v>
      </c>
      <c r="J825" s="30">
        <f t="shared" si="405"/>
        <v>0</v>
      </c>
      <c r="K825" s="30">
        <f t="shared" si="405"/>
        <v>0</v>
      </c>
      <c r="L825" s="30">
        <f t="shared" si="405"/>
        <v>0</v>
      </c>
      <c r="M825" s="30">
        <f t="shared" si="405"/>
        <v>0</v>
      </c>
      <c r="N825" s="30">
        <f t="shared" si="405"/>
        <v>0</v>
      </c>
      <c r="O825" s="30">
        <f t="shared" si="405"/>
        <v>0</v>
      </c>
      <c r="P825" s="30">
        <f t="shared" si="405"/>
        <v>0</v>
      </c>
      <c r="Q825" s="30">
        <f t="shared" si="405"/>
        <v>0</v>
      </c>
      <c r="R825" s="30">
        <f t="shared" si="405"/>
        <v>0</v>
      </c>
      <c r="S825" s="30">
        <f t="shared" si="405"/>
        <v>0</v>
      </c>
      <c r="T825" s="30">
        <f t="shared" si="405"/>
        <v>0</v>
      </c>
      <c r="U825" s="30">
        <f t="shared" ref="U825" si="406">POWER(1+U824,PRJ_Step/360)-1</f>
        <v>0</v>
      </c>
      <c r="V825" s="30">
        <f t="shared" ref="V825" si="407">POWER(1+V824,PRJ_Step/360)-1</f>
        <v>0</v>
      </c>
      <c r="W825" s="30">
        <f t="shared" ref="W825" si="408">POWER(1+W824,PRJ_Step/360)-1</f>
        <v>0</v>
      </c>
      <c r="X825" s="30">
        <f t="shared" ref="X825:Y825" si="409">POWER(1+X824,PRJ_Step/360)-1</f>
        <v>0</v>
      </c>
      <c r="Y825" s="30">
        <f t="shared" si="409"/>
        <v>0</v>
      </c>
      <c r="AA825" s="11"/>
    </row>
    <row r="826" spans="1:27" outlineLevel="1" x14ac:dyDescent="0.2">
      <c r="AA826" s="11"/>
    </row>
    <row r="827" spans="1:27" outlineLevel="1" collapsed="1" x14ac:dyDescent="0.2">
      <c r="A827" t="str">
        <f ca="1">Language!A$841</f>
        <v>Годовая ставка дисконтирования:</v>
      </c>
      <c r="B827" s="272">
        <f>B677</f>
        <v>0.14000000000000001</v>
      </c>
      <c r="C827" s="5" t="s">
        <v>2430</v>
      </c>
      <c r="D827" s="16" t="s">
        <v>2429</v>
      </c>
      <c r="F827" s="250">
        <f>B827</f>
        <v>0.14000000000000001</v>
      </c>
      <c r="G827" s="250">
        <f t="shared" ref="G827:Y827" si="410">F827</f>
        <v>0.14000000000000001</v>
      </c>
      <c r="H827" s="250">
        <f t="shared" si="410"/>
        <v>0.14000000000000001</v>
      </c>
      <c r="I827" s="250">
        <f t="shared" si="410"/>
        <v>0.14000000000000001</v>
      </c>
      <c r="J827" s="250">
        <f t="shared" si="410"/>
        <v>0.14000000000000001</v>
      </c>
      <c r="K827" s="250">
        <f t="shared" si="410"/>
        <v>0.14000000000000001</v>
      </c>
      <c r="L827" s="250">
        <f t="shared" si="410"/>
        <v>0.14000000000000001</v>
      </c>
      <c r="M827" s="250">
        <f t="shared" si="410"/>
        <v>0.14000000000000001</v>
      </c>
      <c r="N827" s="250">
        <f t="shared" si="410"/>
        <v>0.14000000000000001</v>
      </c>
      <c r="O827" s="250">
        <f t="shared" si="410"/>
        <v>0.14000000000000001</v>
      </c>
      <c r="P827" s="250">
        <f t="shared" si="410"/>
        <v>0.14000000000000001</v>
      </c>
      <c r="Q827" s="250">
        <f t="shared" si="410"/>
        <v>0.14000000000000001</v>
      </c>
      <c r="R827" s="250">
        <f t="shared" si="410"/>
        <v>0.14000000000000001</v>
      </c>
      <c r="S827" s="250">
        <f t="shared" si="410"/>
        <v>0.14000000000000001</v>
      </c>
      <c r="T827" s="250">
        <f t="shared" si="410"/>
        <v>0.14000000000000001</v>
      </c>
      <c r="U827" s="250">
        <f t="shared" si="410"/>
        <v>0.14000000000000001</v>
      </c>
      <c r="V827" s="250">
        <f t="shared" si="410"/>
        <v>0.14000000000000001</v>
      </c>
      <c r="W827" s="250">
        <f t="shared" si="410"/>
        <v>0.14000000000000001</v>
      </c>
      <c r="X827" s="250">
        <f t="shared" si="410"/>
        <v>0.14000000000000001</v>
      </c>
      <c r="Y827" s="250">
        <f t="shared" si="410"/>
        <v>0.14000000000000001</v>
      </c>
      <c r="AA827" s="11"/>
    </row>
    <row r="828" spans="1:27" hidden="1" outlineLevel="2" x14ac:dyDescent="0.2">
      <c r="A828" t="str">
        <f ca="1">Language!A$842</f>
        <v xml:space="preserve">    ставка дисконтирования на расчетный период</v>
      </c>
      <c r="D828" s="16" t="s">
        <v>2429</v>
      </c>
      <c r="F828" s="250">
        <f t="shared" ref="F828:T828" si="411">IF(CalcMethod=1,(POWER(1+F827,PRJ_Step/360)-1-F825)/(1+F825),POWER(1+F827,PRJ_Step/360)-1)</f>
        <v>3.3299484758959608E-2</v>
      </c>
      <c r="G828" s="250">
        <f t="shared" si="411"/>
        <v>3.3299484758959608E-2</v>
      </c>
      <c r="H828" s="250">
        <f t="shared" si="411"/>
        <v>3.3299484758959608E-2</v>
      </c>
      <c r="I828" s="250">
        <f t="shared" si="411"/>
        <v>3.3299484758959608E-2</v>
      </c>
      <c r="J828" s="250">
        <f t="shared" si="411"/>
        <v>3.3299484758959608E-2</v>
      </c>
      <c r="K828" s="250">
        <f t="shared" si="411"/>
        <v>3.3299484758959608E-2</v>
      </c>
      <c r="L828" s="250">
        <f t="shared" si="411"/>
        <v>3.3299484758959608E-2</v>
      </c>
      <c r="M828" s="250">
        <f t="shared" si="411"/>
        <v>3.3299484758959608E-2</v>
      </c>
      <c r="N828" s="250">
        <f t="shared" si="411"/>
        <v>3.3299484758959608E-2</v>
      </c>
      <c r="O828" s="250">
        <f t="shared" si="411"/>
        <v>3.3299484758959608E-2</v>
      </c>
      <c r="P828" s="250">
        <f t="shared" si="411"/>
        <v>3.3299484758959608E-2</v>
      </c>
      <c r="Q828" s="250">
        <f t="shared" si="411"/>
        <v>3.3299484758959608E-2</v>
      </c>
      <c r="R828" s="250">
        <f t="shared" si="411"/>
        <v>3.3299484758959608E-2</v>
      </c>
      <c r="S828" s="250">
        <f t="shared" si="411"/>
        <v>3.3299484758959608E-2</v>
      </c>
      <c r="T828" s="250">
        <f t="shared" si="411"/>
        <v>3.3299484758959608E-2</v>
      </c>
      <c r="U828" s="250">
        <f t="shared" ref="U828" si="412">IF(CalcMethod=1,(POWER(1+U827,PRJ_Step/360)-1-U825)/(1+U825),POWER(1+U827,PRJ_Step/360)-1)</f>
        <v>3.3299484758959608E-2</v>
      </c>
      <c r="V828" s="250">
        <f t="shared" ref="V828" si="413">IF(CalcMethod=1,(POWER(1+V827,PRJ_Step/360)-1-V825)/(1+V825),POWER(1+V827,PRJ_Step/360)-1)</f>
        <v>3.3299484758959608E-2</v>
      </c>
      <c r="W828" s="250">
        <f t="shared" ref="W828" si="414">IF(CalcMethod=1,(POWER(1+W827,PRJ_Step/360)-1-W825)/(1+W825),POWER(1+W827,PRJ_Step/360)-1)</f>
        <v>3.3299484758959608E-2</v>
      </c>
      <c r="X828" s="250">
        <f t="shared" ref="X828:Y828" si="415">IF(CalcMethod=1,(POWER(1+X827,PRJ_Step/360)-1-X825)/(1+X825),POWER(1+X827,PRJ_Step/360)-1)</f>
        <v>3.3299484758959608E-2</v>
      </c>
      <c r="Y828" s="250">
        <f t="shared" si="415"/>
        <v>3.3299484758959608E-2</v>
      </c>
      <c r="AA828" s="11"/>
    </row>
    <row r="829" spans="1:27" hidden="1" outlineLevel="2" x14ac:dyDescent="0.2">
      <c r="A829" t="str">
        <f ca="1">Language!A$843</f>
        <v xml:space="preserve">    коэффициент дисконта для потока на начало периода</v>
      </c>
      <c r="D829" s="16" t="s">
        <v>2429</v>
      </c>
      <c r="F829" s="251">
        <v>1</v>
      </c>
      <c r="G829" s="251">
        <f t="shared" ref="G829:Y829" si="416">F829*(1+F828)</f>
        <v>1.0332994847589596</v>
      </c>
      <c r="H829" s="251">
        <f t="shared" si="416"/>
        <v>1.0677078252031313</v>
      </c>
      <c r="I829" s="251">
        <f t="shared" si="416"/>
        <v>1.1032619456555048</v>
      </c>
      <c r="J829" s="251">
        <f t="shared" si="416"/>
        <v>1.1400000000000003</v>
      </c>
      <c r="K829" s="251">
        <f t="shared" si="416"/>
        <v>1.1779614126252143</v>
      </c>
      <c r="L829" s="251">
        <f t="shared" si="416"/>
        <v>1.2171869207315702</v>
      </c>
      <c r="M829" s="251">
        <f t="shared" si="416"/>
        <v>1.2577186180472761</v>
      </c>
      <c r="N829" s="251">
        <f t="shared" si="416"/>
        <v>1.2996000000000012</v>
      </c>
      <c r="O829" s="251">
        <f t="shared" si="416"/>
        <v>1.3428760103927451</v>
      </c>
      <c r="P829" s="251">
        <f t="shared" si="416"/>
        <v>1.3875930896339908</v>
      </c>
      <c r="Q829" s="251">
        <f t="shared" si="416"/>
        <v>1.4337992245738955</v>
      </c>
      <c r="R829" s="251">
        <f t="shared" si="416"/>
        <v>1.481544000000002</v>
      </c>
      <c r="S829" s="251">
        <f t="shared" si="416"/>
        <v>1.5308786518477302</v>
      </c>
      <c r="T829" s="251">
        <f t="shared" si="416"/>
        <v>1.5818561221827503</v>
      </c>
      <c r="U829" s="251">
        <f t="shared" si="416"/>
        <v>1.6345311160142417</v>
      </c>
      <c r="V829" s="251">
        <f t="shared" si="416"/>
        <v>1.6889601600000033</v>
      </c>
      <c r="W829" s="251">
        <f t="shared" si="416"/>
        <v>1.7452016631064133</v>
      </c>
      <c r="X829" s="251">
        <f t="shared" si="416"/>
        <v>1.8033159792883362</v>
      </c>
      <c r="Y829" s="251">
        <f t="shared" si="416"/>
        <v>1.8633654722562365</v>
      </c>
      <c r="AA829" s="11"/>
    </row>
    <row r="830" spans="1:27" outlineLevel="1" x14ac:dyDescent="0.2">
      <c r="AA830" s="11"/>
    </row>
    <row r="831" spans="1:27" outlineLevel="1" collapsed="1" x14ac:dyDescent="0.2">
      <c r="A831" s="23" t="str">
        <f ca="1">Language!A$845</f>
        <v>Учитываемые денежные потоки проекта:</v>
      </c>
      <c r="AA831" s="11"/>
    </row>
    <row r="832" spans="1:27" hidden="1" outlineLevel="2" x14ac:dyDescent="0.2">
      <c r="A832" t="str">
        <f ca="1">Language!A$846</f>
        <v>Денежные потоки от операционной деятельности</v>
      </c>
      <c r="B832" s="36" t="str">
        <f ca="1">Language!A$833</f>
        <v>Да</v>
      </c>
      <c r="C832" s="5" t="str">
        <f t="shared" ref="C832:C842" ca="1" si="417">CUR_Report</f>
        <v>тыс. EUR</v>
      </c>
      <c r="F832" s="43">
        <f t="shared" ref="F832:T832" ca="1" si="418">F289-(F118-F50)*F42</f>
        <v>0</v>
      </c>
      <c r="G832" s="43">
        <f t="shared" ca="1" si="418"/>
        <v>0</v>
      </c>
      <c r="H832" s="43">
        <f t="shared" ca="1" si="418"/>
        <v>0</v>
      </c>
      <c r="I832" s="43">
        <f t="shared" ca="1" si="418"/>
        <v>0</v>
      </c>
      <c r="J832" s="43">
        <f t="shared" ca="1" si="418"/>
        <v>0</v>
      </c>
      <c r="K832" s="43">
        <f t="shared" ca="1" si="418"/>
        <v>2728.6487015162002</v>
      </c>
      <c r="L832" s="43">
        <f t="shared" ca="1" si="418"/>
        <v>15.623261900942907</v>
      </c>
      <c r="M832" s="43">
        <f t="shared" ca="1" si="418"/>
        <v>662.99303790614749</v>
      </c>
      <c r="N832" s="43">
        <f t="shared" ca="1" si="418"/>
        <v>916.10593866502677</v>
      </c>
      <c r="O832" s="43">
        <f t="shared" ca="1" si="418"/>
        <v>1243.6178106695488</v>
      </c>
      <c r="P832" s="43">
        <f t="shared" ca="1" si="418"/>
        <v>1454.7746893858593</v>
      </c>
      <c r="Q832" s="43">
        <f t="shared" ca="1" si="418"/>
        <v>1454.7746893858593</v>
      </c>
      <c r="R832" s="43">
        <f t="shared" ca="1" si="418"/>
        <v>1454.7746893858593</v>
      </c>
      <c r="S832" s="43">
        <f t="shared" ca="1" si="418"/>
        <v>1454.7746893858593</v>
      </c>
      <c r="T832" s="43">
        <f t="shared" ca="1" si="418"/>
        <v>1454.7746893858593</v>
      </c>
      <c r="U832" s="43">
        <f t="shared" ref="U832" ca="1" si="419">U289-(U118-U50)*U42</f>
        <v>1454.7746893858593</v>
      </c>
      <c r="V832" s="43">
        <f t="shared" ref="V832" ca="1" si="420">V289-(V118-V50)*V42</f>
        <v>1454.7746893858593</v>
      </c>
      <c r="W832" s="43">
        <f t="shared" ref="W832" ca="1" si="421">W289-(W118-W50)*W42</f>
        <v>1454.7746893858593</v>
      </c>
      <c r="X832" s="43">
        <f t="shared" ref="X832:Y832" ca="1" si="422">X289-(X118-X50)*X42</f>
        <v>1454.7746893858593</v>
      </c>
      <c r="Y832" s="43">
        <f t="shared" ca="1" si="422"/>
        <v>1454.7746893858593</v>
      </c>
      <c r="Z832" s="43"/>
      <c r="AA832" s="54">
        <f ca="1">SUM(F832:Y832)</f>
        <v>20114.735644516466</v>
      </c>
    </row>
    <row r="833" spans="1:27" hidden="1" outlineLevel="2" x14ac:dyDescent="0.2">
      <c r="A833" t="str">
        <f ca="1">Language!A$847</f>
        <v xml:space="preserve">    за исключением процентов по кредитам</v>
      </c>
      <c r="B833" s="36" t="str">
        <f ca="1">Language!A$833</f>
        <v>Да</v>
      </c>
      <c r="C833" s="5" t="str">
        <f t="shared" ca="1" si="417"/>
        <v>тыс. EUR</v>
      </c>
      <c r="D833" s="5"/>
      <c r="F833" s="43">
        <f t="shared" ref="F833:T833" ca="1" si="423">-F282</f>
        <v>0</v>
      </c>
      <c r="G833" s="43">
        <f t="shared" ca="1" si="423"/>
        <v>0</v>
      </c>
      <c r="H833" s="43">
        <f t="shared" ca="1" si="423"/>
        <v>0</v>
      </c>
      <c r="I833" s="43">
        <f t="shared" ca="1" si="423"/>
        <v>0</v>
      </c>
      <c r="J833" s="43">
        <f t="shared" ca="1" si="423"/>
        <v>0</v>
      </c>
      <c r="K833" s="43">
        <f t="shared" ca="1" si="423"/>
        <v>0</v>
      </c>
      <c r="L833" s="43">
        <f t="shared" ca="1" si="423"/>
        <v>0</v>
      </c>
      <c r="M833" s="43">
        <f t="shared" ca="1" si="423"/>
        <v>0</v>
      </c>
      <c r="N833" s="43">
        <f t="shared" ca="1" si="423"/>
        <v>0</v>
      </c>
      <c r="O833" s="43">
        <f t="shared" ca="1" si="423"/>
        <v>0</v>
      </c>
      <c r="P833" s="43">
        <f t="shared" ca="1" si="423"/>
        <v>0</v>
      </c>
      <c r="Q833" s="43">
        <f t="shared" ca="1" si="423"/>
        <v>0</v>
      </c>
      <c r="R833" s="43">
        <f t="shared" ca="1" si="423"/>
        <v>0</v>
      </c>
      <c r="S833" s="43">
        <f t="shared" ca="1" si="423"/>
        <v>0</v>
      </c>
      <c r="T833" s="43">
        <f t="shared" ca="1" si="423"/>
        <v>0</v>
      </c>
      <c r="U833" s="43">
        <f t="shared" ref="U833" ca="1" si="424">-U282</f>
        <v>0</v>
      </c>
      <c r="V833" s="43">
        <f t="shared" ref="V833" ca="1" si="425">-V282</f>
        <v>0</v>
      </c>
      <c r="W833" s="43">
        <f t="shared" ref="W833" ca="1" si="426">-W282</f>
        <v>0</v>
      </c>
      <c r="X833" s="43">
        <f t="shared" ref="X833:Y833" ca="1" si="427">-X282</f>
        <v>0</v>
      </c>
      <c r="Y833" s="43">
        <f t="shared" ca="1" si="427"/>
        <v>0</v>
      </c>
      <c r="Z833" s="43"/>
      <c r="AA833" s="54">
        <f ca="1">SUM(F833:Y833)</f>
        <v>0</v>
      </c>
    </row>
    <row r="834" spans="1:27" hidden="1" outlineLevel="2" x14ac:dyDescent="0.2">
      <c r="A834" t="str">
        <f ca="1">Language!A$848</f>
        <v>Денежные потоки от инвестиционной деятельности</v>
      </c>
      <c r="B834" s="36" t="str">
        <f ca="1">Language!A$833</f>
        <v>Да</v>
      </c>
      <c r="C834" s="5" t="str">
        <f t="shared" ca="1" si="417"/>
        <v>тыс. EUR</v>
      </c>
      <c r="D834" s="5"/>
      <c r="F834" s="43">
        <f t="shared" ref="F834:T834" ca="1" si="428">F309</f>
        <v>0</v>
      </c>
      <c r="G834" s="43">
        <f t="shared" ca="1" si="428"/>
        <v>0</v>
      </c>
      <c r="H834" s="43">
        <f t="shared" ca="1" si="428"/>
        <v>-5695.3855543220343</v>
      </c>
      <c r="I834" s="43">
        <f t="shared" ca="1" si="428"/>
        <v>-1519.56</v>
      </c>
      <c r="J834" s="43">
        <f t="shared" ca="1" si="428"/>
        <v>-7024.8891971793519</v>
      </c>
      <c r="K834" s="43">
        <f t="shared" ca="1" si="428"/>
        <v>-2883.7623677660667</v>
      </c>
      <c r="L834" s="43">
        <f t="shared" ca="1" si="428"/>
        <v>-5.6843418860808015E-14</v>
      </c>
      <c r="M834" s="43">
        <f t="shared" ca="1" si="428"/>
        <v>0</v>
      </c>
      <c r="N834" s="43">
        <f t="shared" ca="1" si="428"/>
        <v>47.90430408785906</v>
      </c>
      <c r="O834" s="43">
        <f t="shared" ca="1" si="428"/>
        <v>41.655454582366474</v>
      </c>
      <c r="P834" s="43">
        <f t="shared" ca="1" si="428"/>
        <v>0</v>
      </c>
      <c r="Q834" s="43">
        <f t="shared" ca="1" si="428"/>
        <v>0</v>
      </c>
      <c r="R834" s="43">
        <f t="shared" ca="1" si="428"/>
        <v>0</v>
      </c>
      <c r="S834" s="43">
        <f t="shared" ca="1" si="428"/>
        <v>0</v>
      </c>
      <c r="T834" s="43">
        <f t="shared" ca="1" si="428"/>
        <v>0</v>
      </c>
      <c r="U834" s="43">
        <f t="shared" ref="U834" ca="1" si="429">U309</f>
        <v>0</v>
      </c>
      <c r="V834" s="43">
        <f t="shared" ref="V834" ca="1" si="430">V309</f>
        <v>0</v>
      </c>
      <c r="W834" s="43">
        <f t="shared" ref="W834" ca="1" si="431">W309</f>
        <v>0</v>
      </c>
      <c r="X834" s="43">
        <f t="shared" ref="X834:Y834" ca="1" si="432">X309</f>
        <v>0</v>
      </c>
      <c r="Y834" s="43">
        <f t="shared" ca="1" si="432"/>
        <v>0</v>
      </c>
      <c r="Z834" s="43"/>
      <c r="AA834" s="54">
        <f ca="1">SUM(F834:Y834)</f>
        <v>-17034.037360597224</v>
      </c>
    </row>
    <row r="835" spans="1:27" hidden="1" outlineLevel="2" x14ac:dyDescent="0.2">
      <c r="A835" t="str">
        <f ca="1">Language!A$849</f>
        <v>Поступления собственного капитала</v>
      </c>
      <c r="B835" s="36" t="str">
        <f ca="1">Language!A$833</f>
        <v>Да</v>
      </c>
      <c r="C835" s="5" t="str">
        <f t="shared" ca="1" si="417"/>
        <v>тыс. EUR</v>
      </c>
      <c r="D835" s="5"/>
      <c r="F835" s="53">
        <f t="shared" ref="F835:T835" ca="1" si="433">F312</f>
        <v>0</v>
      </c>
      <c r="G835" s="53">
        <f t="shared" ca="1" si="433"/>
        <v>0</v>
      </c>
      <c r="H835" s="53">
        <f t="shared" ca="1" si="433"/>
        <v>0</v>
      </c>
      <c r="I835" s="53">
        <f t="shared" ca="1" si="433"/>
        <v>0</v>
      </c>
      <c r="J835" s="53">
        <f t="shared" ca="1" si="433"/>
        <v>0</v>
      </c>
      <c r="K835" s="53">
        <f t="shared" ca="1" si="433"/>
        <v>0</v>
      </c>
      <c r="L835" s="53">
        <f t="shared" ca="1" si="433"/>
        <v>0</v>
      </c>
      <c r="M835" s="53">
        <f t="shared" ca="1" si="433"/>
        <v>0</v>
      </c>
      <c r="N835" s="53">
        <f t="shared" ca="1" si="433"/>
        <v>0</v>
      </c>
      <c r="O835" s="53">
        <f t="shared" ca="1" si="433"/>
        <v>0</v>
      </c>
      <c r="P835" s="53">
        <f t="shared" ca="1" si="433"/>
        <v>0</v>
      </c>
      <c r="Q835" s="53">
        <f t="shared" ca="1" si="433"/>
        <v>0</v>
      </c>
      <c r="R835" s="53">
        <f t="shared" ca="1" si="433"/>
        <v>0</v>
      </c>
      <c r="S835" s="53">
        <f t="shared" ca="1" si="433"/>
        <v>0</v>
      </c>
      <c r="T835" s="53">
        <f t="shared" ca="1" si="433"/>
        <v>0</v>
      </c>
      <c r="U835" s="53">
        <f t="shared" ref="U835" ca="1" si="434">U312</f>
        <v>0</v>
      </c>
      <c r="V835" s="53">
        <f t="shared" ref="V835" ca="1" si="435">V312</f>
        <v>0</v>
      </c>
      <c r="W835" s="53">
        <f t="shared" ref="W835" ca="1" si="436">W312</f>
        <v>0</v>
      </c>
      <c r="X835" s="53">
        <f t="shared" ref="X835:Y835" ca="1" si="437">X312</f>
        <v>0</v>
      </c>
      <c r="Y835" s="53">
        <f t="shared" ca="1" si="437"/>
        <v>0</v>
      </c>
      <c r="Z835" s="43"/>
      <c r="AA835" s="54">
        <f ca="1">SUM(F835:Y835)</f>
        <v>0</v>
      </c>
    </row>
    <row r="836" spans="1:27" hidden="1" outlineLevel="2" x14ac:dyDescent="0.2">
      <c r="A836" t="str">
        <f ca="1">Language!A$850</f>
        <v>Поступления целевого финансирования</v>
      </c>
      <c r="B836" s="36" t="str">
        <f ca="1">Language!A$833</f>
        <v>Да</v>
      </c>
      <c r="C836" s="5" t="str">
        <f t="shared" ca="1" si="417"/>
        <v>тыс. EUR</v>
      </c>
      <c r="D836" s="5"/>
      <c r="F836" s="43">
        <f t="shared" ref="F836:T836" ca="1" si="438">F314+F316</f>
        <v>0</v>
      </c>
      <c r="G836" s="43">
        <f t="shared" ca="1" si="438"/>
        <v>0</v>
      </c>
      <c r="H836" s="43">
        <f t="shared" ca="1" si="438"/>
        <v>5695.3855543220343</v>
      </c>
      <c r="I836" s="43">
        <f t="shared" ca="1" si="438"/>
        <v>1519.56</v>
      </c>
      <c r="J836" s="43">
        <f t="shared" ca="1" si="438"/>
        <v>7024.8891971793519</v>
      </c>
      <c r="K836" s="43">
        <f t="shared" ca="1" si="438"/>
        <v>2982.5256975335087</v>
      </c>
      <c r="L836" s="43">
        <f t="shared" ca="1" si="438"/>
        <v>0</v>
      </c>
      <c r="M836" s="43">
        <f t="shared" ca="1" si="438"/>
        <v>0</v>
      </c>
      <c r="N836" s="43">
        <f t="shared" ca="1" si="438"/>
        <v>0</v>
      </c>
      <c r="O836" s="43">
        <f t="shared" ca="1" si="438"/>
        <v>0</v>
      </c>
      <c r="P836" s="43">
        <f t="shared" ca="1" si="438"/>
        <v>0</v>
      </c>
      <c r="Q836" s="43">
        <f t="shared" ca="1" si="438"/>
        <v>0</v>
      </c>
      <c r="R836" s="43">
        <f t="shared" ca="1" si="438"/>
        <v>0</v>
      </c>
      <c r="S836" s="43">
        <f t="shared" ca="1" si="438"/>
        <v>0</v>
      </c>
      <c r="T836" s="43">
        <f t="shared" ca="1" si="438"/>
        <v>0</v>
      </c>
      <c r="U836" s="43">
        <f t="shared" ref="U836" ca="1" si="439">U314+U316</f>
        <v>0</v>
      </c>
      <c r="V836" s="43">
        <f t="shared" ref="V836" ca="1" si="440">V314+V316</f>
        <v>0</v>
      </c>
      <c r="W836" s="43">
        <f t="shared" ref="W836" ca="1" si="441">W314+W316</f>
        <v>0</v>
      </c>
      <c r="X836" s="43">
        <f t="shared" ref="X836:Y836" ca="1" si="442">X314+X316</f>
        <v>0</v>
      </c>
      <c r="Y836" s="43">
        <f t="shared" ca="1" si="442"/>
        <v>0</v>
      </c>
      <c r="Z836" s="43"/>
      <c r="AA836" s="54">
        <f ca="1">SUM(F836:Y836)</f>
        <v>17222.360449034895</v>
      </c>
    </row>
    <row r="837" spans="1:27" hidden="1" outlineLevel="2" x14ac:dyDescent="0.2">
      <c r="A837" t="str">
        <f ca="1">Language!A$851</f>
        <v>Поступления кредитов</v>
      </c>
      <c r="B837" s="36" t="str">
        <f ca="1">Language!A$834</f>
        <v>Нет</v>
      </c>
      <c r="C837" s="5" t="str">
        <f t="shared" ca="1" si="417"/>
        <v>тыс. EUR</v>
      </c>
      <c r="D837" s="5"/>
      <c r="F837" s="43"/>
      <c r="G837" s="43"/>
      <c r="H837" s="43"/>
      <c r="I837" s="43"/>
      <c r="J837" s="43"/>
      <c r="K837" s="43"/>
      <c r="L837" s="43"/>
      <c r="M837" s="43"/>
      <c r="N837" s="43"/>
      <c r="O837" s="43"/>
      <c r="P837" s="43"/>
      <c r="Q837" s="43"/>
      <c r="R837" s="43"/>
      <c r="S837" s="43"/>
      <c r="T837" s="43"/>
      <c r="U837" s="43"/>
      <c r="V837" s="43"/>
      <c r="W837" s="43"/>
      <c r="X837" s="43"/>
      <c r="Y837" s="43"/>
      <c r="Z837" s="43"/>
      <c r="AA837" s="54"/>
    </row>
    <row r="838" spans="1:27" hidden="1" outlineLevel="2" x14ac:dyDescent="0.2">
      <c r="A838" t="str">
        <f ca="1">Language!A$852</f>
        <v>Возврат кредитов</v>
      </c>
      <c r="B838" s="36" t="str">
        <f ca="1">Language!A$834</f>
        <v>Нет</v>
      </c>
      <c r="C838" s="5" t="str">
        <f t="shared" ca="1" si="417"/>
        <v>тыс. EUR</v>
      </c>
      <c r="D838" s="5"/>
      <c r="F838" s="43"/>
      <c r="G838" s="43"/>
      <c r="H838" s="43"/>
      <c r="I838" s="43"/>
      <c r="J838" s="43"/>
      <c r="K838" s="43"/>
      <c r="L838" s="43"/>
      <c r="M838" s="43"/>
      <c r="N838" s="43"/>
      <c r="O838" s="43"/>
      <c r="P838" s="43"/>
      <c r="Q838" s="43"/>
      <c r="R838" s="43"/>
      <c r="S838" s="43"/>
      <c r="T838" s="43"/>
      <c r="U838" s="43"/>
      <c r="V838" s="43"/>
      <c r="W838" s="43"/>
      <c r="X838" s="43"/>
      <c r="Y838" s="43"/>
      <c r="Z838" s="43"/>
      <c r="AA838" s="54"/>
    </row>
    <row r="839" spans="1:27" hidden="1" outlineLevel="2" x14ac:dyDescent="0.2">
      <c r="A839" t="str">
        <f ca="1">Language!A$853</f>
        <v>Лизинговые платежи</v>
      </c>
      <c r="B839" s="36" t="str">
        <f ca="1">Language!A$833</f>
        <v>Да</v>
      </c>
      <c r="C839" s="5" t="str">
        <f t="shared" ca="1" si="417"/>
        <v>тыс. EUR</v>
      </c>
      <c r="D839" s="5"/>
      <c r="F839" s="43">
        <f t="shared" ref="F839:T839" ca="1" si="443">F322</f>
        <v>0</v>
      </c>
      <c r="G839" s="43">
        <f t="shared" ca="1" si="443"/>
        <v>0</v>
      </c>
      <c r="H839" s="43">
        <f t="shared" ca="1" si="443"/>
        <v>0</v>
      </c>
      <c r="I839" s="43">
        <f t="shared" ca="1" si="443"/>
        <v>0</v>
      </c>
      <c r="J839" s="43">
        <f t="shared" ca="1" si="443"/>
        <v>0</v>
      </c>
      <c r="K839" s="43">
        <f t="shared" ca="1" si="443"/>
        <v>0</v>
      </c>
      <c r="L839" s="43">
        <f t="shared" ca="1" si="443"/>
        <v>0</v>
      </c>
      <c r="M839" s="43">
        <f t="shared" ca="1" si="443"/>
        <v>0</v>
      </c>
      <c r="N839" s="43">
        <f t="shared" ca="1" si="443"/>
        <v>0</v>
      </c>
      <c r="O839" s="43">
        <f t="shared" ca="1" si="443"/>
        <v>0</v>
      </c>
      <c r="P839" s="43">
        <f t="shared" ca="1" si="443"/>
        <v>0</v>
      </c>
      <c r="Q839" s="43">
        <f t="shared" ca="1" si="443"/>
        <v>0</v>
      </c>
      <c r="R839" s="43">
        <f t="shared" ca="1" si="443"/>
        <v>0</v>
      </c>
      <c r="S839" s="43">
        <f t="shared" ca="1" si="443"/>
        <v>0</v>
      </c>
      <c r="T839" s="43">
        <f t="shared" ca="1" si="443"/>
        <v>0</v>
      </c>
      <c r="U839" s="43">
        <f t="shared" ref="U839" ca="1" si="444">U322</f>
        <v>0</v>
      </c>
      <c r="V839" s="43">
        <f t="shared" ref="V839" ca="1" si="445">V322</f>
        <v>0</v>
      </c>
      <c r="W839" s="43">
        <f t="shared" ref="W839" ca="1" si="446">W322</f>
        <v>0</v>
      </c>
      <c r="X839" s="43">
        <f t="shared" ref="X839:Y839" ca="1" si="447">X322</f>
        <v>0</v>
      </c>
      <c r="Y839" s="43">
        <f t="shared" ca="1" si="447"/>
        <v>0</v>
      </c>
      <c r="Z839" s="43"/>
      <c r="AA839" s="54">
        <f ca="1">SUM(F839:Y839)</f>
        <v>0</v>
      </c>
    </row>
    <row r="840" spans="1:27" hidden="1" outlineLevel="2" x14ac:dyDescent="0.2">
      <c r="A840" t="str">
        <f ca="1">Language!A$854</f>
        <v>Выплата дивидендов</v>
      </c>
      <c r="B840" s="36" t="str">
        <f ca="1">Language!A$833</f>
        <v>Да</v>
      </c>
      <c r="C840" s="5" t="str">
        <f t="shared" ca="1" si="417"/>
        <v>тыс. EUR</v>
      </c>
      <c r="D840" s="5"/>
      <c r="F840" s="53">
        <f t="shared" ref="F840:T840" ca="1" si="448">F324</f>
        <v>0</v>
      </c>
      <c r="G840" s="53">
        <f t="shared" ca="1" si="448"/>
        <v>0</v>
      </c>
      <c r="H840" s="53">
        <f t="shared" ca="1" si="448"/>
        <v>0</v>
      </c>
      <c r="I840" s="53">
        <f t="shared" ca="1" si="448"/>
        <v>0</v>
      </c>
      <c r="J840" s="53">
        <f t="shared" ca="1" si="448"/>
        <v>0</v>
      </c>
      <c r="K840" s="53">
        <f t="shared" ca="1" si="448"/>
        <v>0</v>
      </c>
      <c r="L840" s="53">
        <f t="shared" ca="1" si="448"/>
        <v>0</v>
      </c>
      <c r="M840" s="53">
        <f t="shared" ca="1" si="448"/>
        <v>0</v>
      </c>
      <c r="N840" s="53">
        <f t="shared" ca="1" si="448"/>
        <v>0</v>
      </c>
      <c r="O840" s="53">
        <f t="shared" ca="1" si="448"/>
        <v>0</v>
      </c>
      <c r="P840" s="53">
        <f t="shared" ca="1" si="448"/>
        <v>0</v>
      </c>
      <c r="Q840" s="53">
        <f t="shared" ca="1" si="448"/>
        <v>0</v>
      </c>
      <c r="R840" s="53">
        <f t="shared" ca="1" si="448"/>
        <v>0</v>
      </c>
      <c r="S840" s="53">
        <f t="shared" ca="1" si="448"/>
        <v>0</v>
      </c>
      <c r="T840" s="53">
        <f t="shared" ca="1" si="448"/>
        <v>0</v>
      </c>
      <c r="U840" s="53">
        <f t="shared" ref="U840" ca="1" si="449">U324</f>
        <v>0</v>
      </c>
      <c r="V840" s="53">
        <f t="shared" ref="V840" ca="1" si="450">V324</f>
        <v>0</v>
      </c>
      <c r="W840" s="53">
        <f t="shared" ref="W840" ca="1" si="451">W324</f>
        <v>0</v>
      </c>
      <c r="X840" s="53">
        <f t="shared" ref="X840:Y840" ca="1" si="452">X324</f>
        <v>0</v>
      </c>
      <c r="Y840" s="53">
        <f t="shared" ca="1" si="452"/>
        <v>0</v>
      </c>
      <c r="Z840" s="43"/>
      <c r="AA840" s="54">
        <f ca="1">SUM(F840:Y840)</f>
        <v>0</v>
      </c>
    </row>
    <row r="841" spans="1:27" hidden="1" outlineLevel="2" x14ac:dyDescent="0.2">
      <c r="A841" t="str">
        <f ca="1">Language!A$855</f>
        <v>Ранее осуществленные инвестиции</v>
      </c>
      <c r="B841" s="36" t="str">
        <f ca="1">Language!A$834</f>
        <v>Нет</v>
      </c>
      <c r="C841" s="5" t="str">
        <f t="shared" ca="1" si="417"/>
        <v>тыс. EUR</v>
      </c>
      <c r="D841" s="5"/>
      <c r="F841" s="43"/>
      <c r="G841" s="43"/>
      <c r="H841" s="43"/>
      <c r="I841" s="43"/>
      <c r="J841" s="43"/>
      <c r="K841" s="43"/>
      <c r="L841" s="43"/>
      <c r="M841" s="43"/>
      <c r="N841" s="43"/>
      <c r="O841" s="43"/>
      <c r="P841" s="43"/>
      <c r="Q841" s="43"/>
      <c r="R841" s="43"/>
      <c r="S841" s="43"/>
      <c r="T841" s="43"/>
      <c r="U841" s="43"/>
      <c r="V841" s="43"/>
      <c r="W841" s="43"/>
      <c r="X841" s="43"/>
      <c r="Y841" s="43"/>
      <c r="Z841" s="43"/>
      <c r="AA841" s="54"/>
    </row>
    <row r="842" spans="1:27" hidden="1" outlineLevel="2" x14ac:dyDescent="0.2">
      <c r="A842" t="str">
        <f ca="1">Language!A$856</f>
        <v>Остаточная стоимость проекта</v>
      </c>
      <c r="B842" s="36" t="str">
        <f ca="1">Language!A$834</f>
        <v>Нет</v>
      </c>
      <c r="C842" s="5" t="str">
        <f t="shared" ca="1" si="417"/>
        <v>тыс. EUR</v>
      </c>
      <c r="D842" s="5"/>
      <c r="F842" s="43"/>
      <c r="G842" s="43"/>
      <c r="H842" s="43"/>
      <c r="I842" s="43"/>
      <c r="J842" s="43"/>
      <c r="K842" s="43"/>
      <c r="L842" s="43"/>
      <c r="M842" s="43"/>
      <c r="N842" s="43"/>
      <c r="O842" s="43"/>
      <c r="P842" s="43"/>
      <c r="Q842" s="43"/>
      <c r="R842" s="43"/>
      <c r="S842" s="43"/>
      <c r="T842" s="43"/>
      <c r="U842" s="43"/>
      <c r="V842" s="43"/>
      <c r="W842" s="43"/>
      <c r="X842" s="43"/>
      <c r="Y842" s="43"/>
      <c r="Z842" s="43"/>
      <c r="AA842" s="54"/>
    </row>
    <row r="843" spans="1:27" hidden="1" outlineLevel="2" x14ac:dyDescent="0.2">
      <c r="A843" s="63"/>
      <c r="B843" s="63"/>
      <c r="C843" s="67"/>
      <c r="D843" s="67"/>
      <c r="E843" s="63"/>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1"/>
    </row>
    <row r="844" spans="1:27" outlineLevel="1" x14ac:dyDescent="0.2">
      <c r="A844" s="24" t="str">
        <f ca="1">Language!A$857</f>
        <v>Чистый денежный поток</v>
      </c>
      <c r="B844" s="19"/>
      <c r="C844" s="5" t="str">
        <f ca="1">CUR_Report</f>
        <v>тыс. EUR</v>
      </c>
      <c r="D844" s="26"/>
      <c r="E844" s="19"/>
      <c r="F844" s="65">
        <f t="shared" ref="F844:T844" ca="1" si="453">F834+F841+F836+F835+F842+F832+F833+F839+F840</f>
        <v>0</v>
      </c>
      <c r="G844" s="65">
        <f t="shared" ca="1" si="453"/>
        <v>0</v>
      </c>
      <c r="H844" s="65">
        <f t="shared" ca="1" si="453"/>
        <v>0</v>
      </c>
      <c r="I844" s="65">
        <f t="shared" ca="1" si="453"/>
        <v>0</v>
      </c>
      <c r="J844" s="65">
        <f t="shared" ca="1" si="453"/>
        <v>0</v>
      </c>
      <c r="K844" s="65">
        <f t="shared" ca="1" si="453"/>
        <v>2827.4120312836421</v>
      </c>
      <c r="L844" s="65">
        <f t="shared" ca="1" si="453"/>
        <v>15.62326190094285</v>
      </c>
      <c r="M844" s="65">
        <f t="shared" ca="1" si="453"/>
        <v>662.99303790614749</v>
      </c>
      <c r="N844" s="65">
        <f t="shared" ca="1" si="453"/>
        <v>964.0102427528858</v>
      </c>
      <c r="O844" s="65">
        <f t="shared" ca="1" si="453"/>
        <v>1285.2732652519153</v>
      </c>
      <c r="P844" s="65">
        <f t="shared" ca="1" si="453"/>
        <v>1454.7746893858593</v>
      </c>
      <c r="Q844" s="65">
        <f t="shared" ca="1" si="453"/>
        <v>1454.7746893858593</v>
      </c>
      <c r="R844" s="65">
        <f t="shared" ca="1" si="453"/>
        <v>1454.7746893858593</v>
      </c>
      <c r="S844" s="65">
        <f t="shared" ca="1" si="453"/>
        <v>1454.7746893858593</v>
      </c>
      <c r="T844" s="65">
        <f t="shared" ca="1" si="453"/>
        <v>1454.7746893858593</v>
      </c>
      <c r="U844" s="65">
        <f t="shared" ref="U844" ca="1" si="454">U834+U841+U836+U835+U842+U832+U833+U839+U840</f>
        <v>1454.7746893858593</v>
      </c>
      <c r="V844" s="65">
        <f t="shared" ref="V844" ca="1" si="455">V834+V841+V836+V835+V842+V832+V833+V839+V840</f>
        <v>1454.7746893858593</v>
      </c>
      <c r="W844" s="65">
        <f t="shared" ref="W844" ca="1" si="456">W834+W841+W836+W835+W842+W832+W833+W839+W840</f>
        <v>1454.7746893858593</v>
      </c>
      <c r="X844" s="65">
        <f t="shared" ref="X844:Y844" ca="1" si="457">X834+X841+X836+X835+X842+X832+X833+X839+X840</f>
        <v>1454.7746893858593</v>
      </c>
      <c r="Y844" s="65">
        <f t="shared" ca="1" si="457"/>
        <v>1454.7746893858593</v>
      </c>
      <c r="Z844" s="65"/>
      <c r="AA844" s="54">
        <f ca="1">SUM(F844:Y844)</f>
        <v>20303.058732954134</v>
      </c>
    </row>
    <row r="845" spans="1:27" outlineLevel="1" x14ac:dyDescent="0.2">
      <c r="A845" t="str">
        <f ca="1">Language!A$858</f>
        <v>Дисконтированный чистый денежный поток</v>
      </c>
      <c r="C845" s="5" t="str">
        <f ca="1">CUR_Report</f>
        <v>тыс. EUR</v>
      </c>
      <c r="D845" s="5"/>
      <c r="F845" s="43">
        <f t="shared" ref="F845:T845" ca="1" si="458">F844/F829</f>
        <v>0</v>
      </c>
      <c r="G845" s="43">
        <f t="shared" ca="1" si="458"/>
        <v>0</v>
      </c>
      <c r="H845" s="43">
        <f t="shared" ca="1" si="458"/>
        <v>0</v>
      </c>
      <c r="I845" s="43">
        <f t="shared" ca="1" si="458"/>
        <v>0</v>
      </c>
      <c r="J845" s="43">
        <f t="shared" ca="1" si="458"/>
        <v>0</v>
      </c>
      <c r="K845" s="43">
        <f t="shared" ca="1" si="458"/>
        <v>2400.2586171158605</v>
      </c>
      <c r="L845" s="43">
        <f t="shared" ca="1" si="458"/>
        <v>12.835548620217464</v>
      </c>
      <c r="M845" s="43">
        <f t="shared" ca="1" si="458"/>
        <v>527.13940017482219</v>
      </c>
      <c r="N845" s="43">
        <f t="shared" ca="1" si="458"/>
        <v>741.77457891111487</v>
      </c>
      <c r="O845" s="43">
        <f t="shared" ca="1" si="458"/>
        <v>957.10494141303263</v>
      </c>
      <c r="P845" s="43">
        <f t="shared" ca="1" si="458"/>
        <v>1048.4159226892584</v>
      </c>
      <c r="Q845" s="43">
        <f t="shared" ca="1" si="458"/>
        <v>1014.6292901073352</v>
      </c>
      <c r="R845" s="43">
        <f t="shared" ca="1" si="458"/>
        <v>981.93147782708945</v>
      </c>
      <c r="S845" s="43">
        <f t="shared" ca="1" si="458"/>
        <v>950.28739712973629</v>
      </c>
      <c r="T845" s="43">
        <f t="shared" ca="1" si="458"/>
        <v>919.66309007829636</v>
      </c>
      <c r="U845" s="43">
        <f t="shared" ref="U845" ca="1" si="459">U844/U829</f>
        <v>890.0256930766094</v>
      </c>
      <c r="V845" s="43">
        <f t="shared" ref="V845" ca="1" si="460">V844/V829</f>
        <v>861.34340160270949</v>
      </c>
      <c r="W845" s="43">
        <f t="shared" ref="W845" ca="1" si="461">W844/W829</f>
        <v>833.58543607871559</v>
      </c>
      <c r="X845" s="43">
        <f t="shared" ref="X845:Y845" ca="1" si="462">X844/X829</f>
        <v>806.72200884061056</v>
      </c>
      <c r="Y845" s="43">
        <f t="shared" ca="1" si="462"/>
        <v>780.72429217246395</v>
      </c>
      <c r="Z845" s="43"/>
      <c r="AA845" s="54">
        <f ca="1">SUM(F845:Y845)</f>
        <v>13726.441095837874</v>
      </c>
    </row>
    <row r="846" spans="1:27" outlineLevel="1" x14ac:dyDescent="0.2">
      <c r="A846" t="str">
        <f ca="1">Language!A$859</f>
        <v>Дисконтированный поток нарастающим итогом</v>
      </c>
      <c r="C846" s="5" t="str">
        <f ca="1">CUR_Report</f>
        <v>тыс. EUR</v>
      </c>
      <c r="D846" s="5"/>
      <c r="F846" s="43">
        <f t="shared" ref="F846:Y846" ca="1" si="463">E846+F845</f>
        <v>0</v>
      </c>
      <c r="G846" s="43">
        <f t="shared" ca="1" si="463"/>
        <v>0</v>
      </c>
      <c r="H846" s="43">
        <f t="shared" ca="1" si="463"/>
        <v>0</v>
      </c>
      <c r="I846" s="43">
        <f t="shared" ca="1" si="463"/>
        <v>0</v>
      </c>
      <c r="J846" s="43">
        <f t="shared" ca="1" si="463"/>
        <v>0</v>
      </c>
      <c r="K846" s="43">
        <f t="shared" ca="1" si="463"/>
        <v>2400.2586171158605</v>
      </c>
      <c r="L846" s="43">
        <f t="shared" ca="1" si="463"/>
        <v>2413.0941657360781</v>
      </c>
      <c r="M846" s="43">
        <f t="shared" ca="1" si="463"/>
        <v>2940.2335659109003</v>
      </c>
      <c r="N846" s="43">
        <f t="shared" ca="1" si="463"/>
        <v>3682.0081448220153</v>
      </c>
      <c r="O846" s="43">
        <f t="shared" ca="1" si="463"/>
        <v>4639.1130862350483</v>
      </c>
      <c r="P846" s="43">
        <f t="shared" ca="1" si="463"/>
        <v>5687.5290089243063</v>
      </c>
      <c r="Q846" s="43">
        <f t="shared" ca="1" si="463"/>
        <v>6702.1582990316419</v>
      </c>
      <c r="R846" s="43">
        <f t="shared" ca="1" si="463"/>
        <v>7684.0897768587311</v>
      </c>
      <c r="S846" s="43">
        <f t="shared" ca="1" si="463"/>
        <v>8634.3771739884669</v>
      </c>
      <c r="T846" s="43">
        <f t="shared" ca="1" si="463"/>
        <v>9554.0402640667635</v>
      </c>
      <c r="U846" s="43">
        <f t="shared" ca="1" si="463"/>
        <v>10444.065957143373</v>
      </c>
      <c r="V846" s="43">
        <f t="shared" ca="1" si="463"/>
        <v>11305.409358746083</v>
      </c>
      <c r="W846" s="43">
        <f t="shared" ca="1" si="463"/>
        <v>12138.994794824799</v>
      </c>
      <c r="X846" s="43">
        <f t="shared" ca="1" si="463"/>
        <v>12945.716803665409</v>
      </c>
      <c r="Y846" s="43">
        <f t="shared" ca="1" si="463"/>
        <v>13726.441095837874</v>
      </c>
      <c r="Z846" s="43"/>
      <c r="AA846" s="54"/>
    </row>
    <row r="847" spans="1:27" outlineLevel="1" x14ac:dyDescent="0.2">
      <c r="F847" s="43"/>
      <c r="G847" s="43"/>
      <c r="H847" s="43"/>
      <c r="I847" s="43"/>
      <c r="J847" s="43"/>
      <c r="K847" s="43"/>
      <c r="L847" s="43"/>
      <c r="M847" s="43"/>
      <c r="N847" s="43"/>
      <c r="O847" s="43"/>
      <c r="P847" s="43"/>
      <c r="Q847" s="43"/>
      <c r="R847" s="43"/>
      <c r="S847" s="43"/>
      <c r="T847" s="43"/>
      <c r="U847" s="43"/>
      <c r="V847" s="43"/>
      <c r="W847" s="43"/>
      <c r="X847" s="43"/>
      <c r="Y847" s="43"/>
      <c r="Z847" s="43"/>
      <c r="AA847" s="54"/>
    </row>
    <row r="848" spans="1:27" outlineLevel="1" collapsed="1" x14ac:dyDescent="0.2">
      <c r="A848" s="23" t="str">
        <f ca="1">Language!A$860</f>
        <v>Простой срок окупаемости</v>
      </c>
      <c r="B848" s="163" t="str">
        <f ca="1">IF(ISERROR(E850),Language!A$834,IF(E850&gt;=PRJ_Len,Language!A$834,IF(OR(E850=0),E850*PRJ_Step/360,(E850-OFFSET(F849,0,E850-1)/(-OFFSET(F849,0,E850-1)+OFFSET(F849,0,E850)))*PRJ_Step/360)))</f>
        <v>Нет</v>
      </c>
      <c r="C848" s="17" t="str">
        <f ca="1">IF(B848=0,Language!A$33,IF(OR(B848&lt;1,AND(B848&gt;1,B848&lt;5)),Language!A$835,IF(B848=1,Language!A$37,Language!A$33)))</f>
        <v>лет</v>
      </c>
      <c r="AA848" s="11"/>
    </row>
    <row r="849" spans="1:27" hidden="1" outlineLevel="2" x14ac:dyDescent="0.2">
      <c r="A849" t="str">
        <f ca="1">Language!A$861</f>
        <v xml:space="preserve">    недисконтированный поток нарастающим итогом</v>
      </c>
      <c r="D849" s="16" t="s">
        <v>2594</v>
      </c>
      <c r="F849" s="53">
        <f t="shared" ref="F849:Y849" ca="1" si="464">E849+F844</f>
        <v>0</v>
      </c>
      <c r="G849" s="53">
        <f t="shared" ca="1" si="464"/>
        <v>0</v>
      </c>
      <c r="H849" s="53">
        <f t="shared" ca="1" si="464"/>
        <v>0</v>
      </c>
      <c r="I849" s="53">
        <f t="shared" ca="1" si="464"/>
        <v>0</v>
      </c>
      <c r="J849" s="53">
        <f t="shared" ca="1" si="464"/>
        <v>0</v>
      </c>
      <c r="K849" s="53">
        <f t="shared" ca="1" si="464"/>
        <v>2827.4120312836421</v>
      </c>
      <c r="L849" s="53">
        <f t="shared" ca="1" si="464"/>
        <v>2843.035293184585</v>
      </c>
      <c r="M849" s="53">
        <f t="shared" ca="1" si="464"/>
        <v>3506.0283310907325</v>
      </c>
      <c r="N849" s="53">
        <f t="shared" ca="1" si="464"/>
        <v>4470.038573843618</v>
      </c>
      <c r="O849" s="53">
        <f t="shared" ca="1" si="464"/>
        <v>5755.3118390955333</v>
      </c>
      <c r="P849" s="53">
        <f t="shared" ca="1" si="464"/>
        <v>7210.0865284813926</v>
      </c>
      <c r="Q849" s="53">
        <f t="shared" ca="1" si="464"/>
        <v>8664.861217867252</v>
      </c>
      <c r="R849" s="53">
        <f t="shared" ca="1" si="464"/>
        <v>10119.635907253112</v>
      </c>
      <c r="S849" s="53">
        <f t="shared" ca="1" si="464"/>
        <v>11574.410596638972</v>
      </c>
      <c r="T849" s="53">
        <f t="shared" ca="1" si="464"/>
        <v>13029.185286024833</v>
      </c>
      <c r="U849" s="53">
        <f t="shared" ca="1" si="464"/>
        <v>14483.959975410693</v>
      </c>
      <c r="V849" s="53">
        <f t="shared" ca="1" si="464"/>
        <v>15938.734664796553</v>
      </c>
      <c r="W849" s="53">
        <f t="shared" ca="1" si="464"/>
        <v>17393.509354182414</v>
      </c>
      <c r="X849" s="53">
        <f t="shared" ca="1" si="464"/>
        <v>18848.284043568274</v>
      </c>
      <c r="Y849" s="53">
        <f t="shared" ca="1" si="464"/>
        <v>20303.058732954134</v>
      </c>
      <c r="AA849" s="11"/>
    </row>
    <row r="850" spans="1:27" hidden="1" outlineLevel="2" x14ac:dyDescent="0.2">
      <c r="A850" t="str">
        <f ca="1">Language!A$862</f>
        <v xml:space="preserve">    знак остатка денежных средств</v>
      </c>
      <c r="D850" s="16" t="s">
        <v>2594</v>
      </c>
      <c r="E850" s="100" t="e">
        <f ca="1">PRJ_Len+1-(MATCH(-1,F851:Z851,0))</f>
        <v>#N/A</v>
      </c>
      <c r="F850" s="16">
        <f t="shared" ref="F850:T850" ca="1" si="465">SIGN(F849)</f>
        <v>0</v>
      </c>
      <c r="G850" s="16">
        <f t="shared" ca="1" si="465"/>
        <v>0</v>
      </c>
      <c r="H850" s="16">
        <f t="shared" ca="1" si="465"/>
        <v>0</v>
      </c>
      <c r="I850" s="16">
        <f t="shared" ca="1" si="465"/>
        <v>0</v>
      </c>
      <c r="J850" s="16">
        <f t="shared" ca="1" si="465"/>
        <v>0</v>
      </c>
      <c r="K850" s="16">
        <f t="shared" ca="1" si="465"/>
        <v>1</v>
      </c>
      <c r="L850" s="16">
        <f t="shared" ca="1" si="465"/>
        <v>1</v>
      </c>
      <c r="M850" s="16">
        <f t="shared" ca="1" si="465"/>
        <v>1</v>
      </c>
      <c r="N850" s="16">
        <f t="shared" ca="1" si="465"/>
        <v>1</v>
      </c>
      <c r="O850" s="16">
        <f t="shared" ca="1" si="465"/>
        <v>1</v>
      </c>
      <c r="P850" s="16">
        <f t="shared" ca="1" si="465"/>
        <v>1</v>
      </c>
      <c r="Q850" s="16">
        <f t="shared" ca="1" si="465"/>
        <v>1</v>
      </c>
      <c r="R850" s="16">
        <f t="shared" ca="1" si="465"/>
        <v>1</v>
      </c>
      <c r="S850" s="16">
        <f t="shared" ca="1" si="465"/>
        <v>1</v>
      </c>
      <c r="T850" s="16">
        <f t="shared" ca="1" si="465"/>
        <v>1</v>
      </c>
      <c r="U850" s="16">
        <f t="shared" ref="U850" ca="1" si="466">SIGN(U849)</f>
        <v>1</v>
      </c>
      <c r="V850" s="16">
        <f t="shared" ref="V850" ca="1" si="467">SIGN(V849)</f>
        <v>1</v>
      </c>
      <c r="W850" s="16">
        <f t="shared" ref="W850" ca="1" si="468">SIGN(W849)</f>
        <v>1</v>
      </c>
      <c r="X850" s="16">
        <f t="shared" ref="X850:Y850" ca="1" si="469">SIGN(X849)</f>
        <v>1</v>
      </c>
      <c r="Y850" s="16">
        <f t="shared" ca="1" si="469"/>
        <v>1</v>
      </c>
      <c r="AA850" s="11"/>
    </row>
    <row r="851" spans="1:27" hidden="1" outlineLevel="2" x14ac:dyDescent="0.2">
      <c r="A851" t="str">
        <f ca="1">Language!A$863</f>
        <v xml:space="preserve">    знак остатка денежных средств (с конца)</v>
      </c>
      <c r="D851" s="16" t="s">
        <v>2594</v>
      </c>
      <c r="F851" s="100">
        <f t="shared" ref="F851:T851" ca="1" si="470">OFFSET(F850,0,PRJ_Len-F$33-F$33+1)</f>
        <v>1</v>
      </c>
      <c r="G851" s="100">
        <f t="shared" ca="1" si="470"/>
        <v>1</v>
      </c>
      <c r="H851" s="100">
        <f t="shared" ca="1" si="470"/>
        <v>1</v>
      </c>
      <c r="I851" s="100">
        <f t="shared" ca="1" si="470"/>
        <v>1</v>
      </c>
      <c r="J851" s="100">
        <f t="shared" ca="1" si="470"/>
        <v>1</v>
      </c>
      <c r="K851" s="100">
        <f t="shared" ca="1" si="470"/>
        <v>1</v>
      </c>
      <c r="L851" s="100">
        <f t="shared" ca="1" si="470"/>
        <v>1</v>
      </c>
      <c r="M851" s="100">
        <f t="shared" ca="1" si="470"/>
        <v>1</v>
      </c>
      <c r="N851" s="100">
        <f t="shared" ca="1" si="470"/>
        <v>1</v>
      </c>
      <c r="O851" s="100">
        <f t="shared" ca="1" si="470"/>
        <v>1</v>
      </c>
      <c r="P851" s="100">
        <f t="shared" ca="1" si="470"/>
        <v>1</v>
      </c>
      <c r="Q851" s="100">
        <f t="shared" ca="1" si="470"/>
        <v>1</v>
      </c>
      <c r="R851" s="100">
        <f t="shared" ca="1" si="470"/>
        <v>1</v>
      </c>
      <c r="S851" s="100">
        <f t="shared" ca="1" si="470"/>
        <v>1</v>
      </c>
      <c r="T851" s="100">
        <f t="shared" ca="1" si="470"/>
        <v>1</v>
      </c>
      <c r="U851" s="100">
        <f t="shared" ref="U851" ca="1" si="471">OFFSET(U850,0,PRJ_Len-U$33-U$33+1)</f>
        <v>0</v>
      </c>
      <c r="V851" s="100">
        <f t="shared" ref="V851" ca="1" si="472">OFFSET(V850,0,PRJ_Len-V$33-V$33+1)</f>
        <v>0</v>
      </c>
      <c r="W851" s="100">
        <f t="shared" ref="W851" ca="1" si="473">OFFSET(W850,0,PRJ_Len-W$33-W$33+1)</f>
        <v>0</v>
      </c>
      <c r="X851" s="100">
        <f t="shared" ref="X851:Y851" ca="1" si="474">OFFSET(X850,0,PRJ_Len-X$33-X$33+1)</f>
        <v>0</v>
      </c>
      <c r="Y851" s="100">
        <f t="shared" ca="1" si="474"/>
        <v>0</v>
      </c>
      <c r="AA851" s="11"/>
    </row>
    <row r="852" spans="1:27" outlineLevel="1" x14ac:dyDescent="0.2">
      <c r="AA852" s="11"/>
    </row>
    <row r="853" spans="1:27" outlineLevel="1" x14ac:dyDescent="0.2">
      <c r="A853" s="35" t="str">
        <f ca="1">Language!A$864</f>
        <v>Чистая приведенная стоимость (NPV)</v>
      </c>
      <c r="B853" s="150">
        <f ca="1">AA845</f>
        <v>13726.441095837874</v>
      </c>
      <c r="C853" s="5" t="str">
        <f ca="1">CUR_Report</f>
        <v>тыс. EUR</v>
      </c>
      <c r="AA853" s="11"/>
    </row>
    <row r="854" spans="1:27" outlineLevel="1" collapsed="1" x14ac:dyDescent="0.2">
      <c r="A854" s="35" t="str">
        <f ca="1">Language!A$865</f>
        <v>Дисконтированный срок окупаемости (PBP)</v>
      </c>
      <c r="B854" s="149" t="str">
        <f ca="1">IF(ISERROR(E855),Language!A$834,IF(E855&gt;=PRJ_Len,Language!A$834,IF(OR(E855=0),E855*PRJ_Step/360,(E855-OFFSET(F846,0,E855-1)/(-OFFSET(F846,0,E855-1)+OFFSET(F846,0,E855)))*PRJ_Step/360)))</f>
        <v>Нет</v>
      </c>
      <c r="C854" s="17" t="str">
        <f ca="1">IF(B854=0,Language!A$33,IF(OR(B854&lt;1,AND(B854&gt;1,B854&lt;5)),Language!A$835,IF(B854=1,Language!A$37,Language!A$33)))</f>
        <v>лет</v>
      </c>
      <c r="AA854" s="11"/>
    </row>
    <row r="855" spans="1:27" hidden="1" outlineLevel="2" x14ac:dyDescent="0.2">
      <c r="A855" t="str">
        <f ca="1">Language!A$866</f>
        <v xml:space="preserve">    знак остатка дисконтированных денежных средств</v>
      </c>
      <c r="D855" s="16" t="s">
        <v>2594</v>
      </c>
      <c r="E855" s="100" t="e">
        <f ca="1">PRJ_Len+1-(MATCH(-1,F856:Z856,0))</f>
        <v>#N/A</v>
      </c>
      <c r="F855" s="16">
        <f t="shared" ref="F855:T855" ca="1" si="475">SIGN(F846)</f>
        <v>0</v>
      </c>
      <c r="G855" s="16">
        <f t="shared" ca="1" si="475"/>
        <v>0</v>
      </c>
      <c r="H855" s="16">
        <f t="shared" ca="1" si="475"/>
        <v>0</v>
      </c>
      <c r="I855" s="16">
        <f t="shared" ca="1" si="475"/>
        <v>0</v>
      </c>
      <c r="J855" s="16">
        <f t="shared" ca="1" si="475"/>
        <v>0</v>
      </c>
      <c r="K855" s="16">
        <f t="shared" ca="1" si="475"/>
        <v>1</v>
      </c>
      <c r="L855" s="16">
        <f t="shared" ca="1" si="475"/>
        <v>1</v>
      </c>
      <c r="M855" s="16">
        <f t="shared" ca="1" si="475"/>
        <v>1</v>
      </c>
      <c r="N855" s="16">
        <f t="shared" ca="1" si="475"/>
        <v>1</v>
      </c>
      <c r="O855" s="16">
        <f t="shared" ca="1" si="475"/>
        <v>1</v>
      </c>
      <c r="P855" s="16">
        <f t="shared" ca="1" si="475"/>
        <v>1</v>
      </c>
      <c r="Q855" s="16">
        <f t="shared" ca="1" si="475"/>
        <v>1</v>
      </c>
      <c r="R855" s="16">
        <f t="shared" ca="1" si="475"/>
        <v>1</v>
      </c>
      <c r="S855" s="16">
        <f t="shared" ca="1" si="475"/>
        <v>1</v>
      </c>
      <c r="T855" s="16">
        <f t="shared" ca="1" si="475"/>
        <v>1</v>
      </c>
      <c r="U855" s="16">
        <f t="shared" ref="U855" ca="1" si="476">SIGN(U846)</f>
        <v>1</v>
      </c>
      <c r="V855" s="16">
        <f t="shared" ref="V855" ca="1" si="477">SIGN(V846)</f>
        <v>1</v>
      </c>
      <c r="W855" s="16">
        <f t="shared" ref="W855" ca="1" si="478">SIGN(W846)</f>
        <v>1</v>
      </c>
      <c r="X855" s="16">
        <f t="shared" ref="X855:Y855" ca="1" si="479">SIGN(X846)</f>
        <v>1</v>
      </c>
      <c r="Y855" s="16">
        <f t="shared" ca="1" si="479"/>
        <v>1</v>
      </c>
      <c r="AA855" s="11"/>
    </row>
    <row r="856" spans="1:27" hidden="1" outlineLevel="2" x14ac:dyDescent="0.2">
      <c r="A856" t="str">
        <f ca="1">Language!A$867</f>
        <v xml:space="preserve">    знак остатка дисконтированных денежных средств (с конца)</v>
      </c>
      <c r="D856" s="16" t="s">
        <v>2594</v>
      </c>
      <c r="F856" s="100">
        <f t="shared" ref="F856:T856" ca="1" si="480">OFFSET(F855,0,PRJ_Len-F$33-F$33+1)</f>
        <v>1</v>
      </c>
      <c r="G856" s="100">
        <f t="shared" ca="1" si="480"/>
        <v>1</v>
      </c>
      <c r="H856" s="100">
        <f t="shared" ca="1" si="480"/>
        <v>1</v>
      </c>
      <c r="I856" s="100">
        <f t="shared" ca="1" si="480"/>
        <v>1</v>
      </c>
      <c r="J856" s="100">
        <f t="shared" ca="1" si="480"/>
        <v>1</v>
      </c>
      <c r="K856" s="100">
        <f t="shared" ca="1" si="480"/>
        <v>1</v>
      </c>
      <c r="L856" s="100">
        <f t="shared" ca="1" si="480"/>
        <v>1</v>
      </c>
      <c r="M856" s="100">
        <f t="shared" ca="1" si="480"/>
        <v>1</v>
      </c>
      <c r="N856" s="100">
        <f t="shared" ca="1" si="480"/>
        <v>1</v>
      </c>
      <c r="O856" s="100">
        <f t="shared" ca="1" si="480"/>
        <v>1</v>
      </c>
      <c r="P856" s="100">
        <f t="shared" ca="1" si="480"/>
        <v>1</v>
      </c>
      <c r="Q856" s="100">
        <f t="shared" ca="1" si="480"/>
        <v>1</v>
      </c>
      <c r="R856" s="100">
        <f t="shared" ca="1" si="480"/>
        <v>1</v>
      </c>
      <c r="S856" s="100">
        <f t="shared" ca="1" si="480"/>
        <v>1</v>
      </c>
      <c r="T856" s="100">
        <f t="shared" ca="1" si="480"/>
        <v>1</v>
      </c>
      <c r="U856" s="100">
        <f t="shared" ref="U856" ca="1" si="481">OFFSET(U855,0,PRJ_Len-U$33-U$33+1)</f>
        <v>0</v>
      </c>
      <c r="V856" s="100">
        <f t="shared" ref="V856" ca="1" si="482">OFFSET(V855,0,PRJ_Len-V$33-V$33+1)</f>
        <v>0</v>
      </c>
      <c r="W856" s="100">
        <f t="shared" ref="W856" ca="1" si="483">OFFSET(W855,0,PRJ_Len-W$33-W$33+1)</f>
        <v>0</v>
      </c>
      <c r="X856" s="100">
        <f t="shared" ref="X856:Y856" ca="1" si="484">OFFSET(X855,0,PRJ_Len-X$33-X$33+1)</f>
        <v>0</v>
      </c>
      <c r="Y856" s="100">
        <f t="shared" ca="1" si="484"/>
        <v>0</v>
      </c>
      <c r="AA856" s="11"/>
    </row>
    <row r="857" spans="1:27" outlineLevel="1" collapsed="1" x14ac:dyDescent="0.2">
      <c r="A857" s="129" t="str">
        <f ca="1">Language!A$868</f>
        <v>Внутренняя норма рентабельности (IRR)</v>
      </c>
      <c r="B857" s="151" t="str">
        <f ca="1">IF(ISERROR(E857),Language!A$834,IF(AND(E857&gt;0,E857&lt;100),E857,Language!A$834))</f>
        <v>Нет</v>
      </c>
      <c r="C857" s="215" t="str">
        <f ca="1">Language!A$837</f>
        <v>(номинальная - с учетом инфляции)</v>
      </c>
      <c r="E857" s="16" t="e">
        <f ca="1">(POWER(1+IRR(F858:Y858,0.2*PRJ_Step/360),360/PRJ_Step)-1)</f>
        <v>#NUM!</v>
      </c>
      <c r="AA857" s="11"/>
    </row>
    <row r="858" spans="1:27" s="48" customFormat="1" hidden="1" outlineLevel="2" x14ac:dyDescent="0.2">
      <c r="A858" s="24" t="str">
        <f ca="1">Language!A$857</f>
        <v>Чистый денежный поток</v>
      </c>
      <c r="B858" s="222"/>
      <c r="C858" s="215"/>
      <c r="E858" s="100"/>
      <c r="F858" s="65">
        <f t="shared" ref="F858:T858" ca="1" si="485">F844*F859</f>
        <v>0</v>
      </c>
      <c r="G858" s="65">
        <f t="shared" ca="1" si="485"/>
        <v>0</v>
      </c>
      <c r="H858" s="65">
        <f t="shared" ca="1" si="485"/>
        <v>0</v>
      </c>
      <c r="I858" s="65">
        <f t="shared" ca="1" si="485"/>
        <v>0</v>
      </c>
      <c r="J858" s="65">
        <f t="shared" ca="1" si="485"/>
        <v>0</v>
      </c>
      <c r="K858" s="65">
        <f t="shared" ca="1" si="485"/>
        <v>2827.4120312836421</v>
      </c>
      <c r="L858" s="65">
        <f t="shared" ca="1" si="485"/>
        <v>15.62326190094285</v>
      </c>
      <c r="M858" s="65">
        <f t="shared" ca="1" si="485"/>
        <v>662.99303790614749</v>
      </c>
      <c r="N858" s="65">
        <f t="shared" ca="1" si="485"/>
        <v>964.0102427528858</v>
      </c>
      <c r="O858" s="65">
        <f t="shared" ca="1" si="485"/>
        <v>1285.2732652519153</v>
      </c>
      <c r="P858" s="65">
        <f t="shared" ca="1" si="485"/>
        <v>1454.7746893858593</v>
      </c>
      <c r="Q858" s="65">
        <f t="shared" ca="1" si="485"/>
        <v>1454.7746893858593</v>
      </c>
      <c r="R858" s="65">
        <f t="shared" ca="1" si="485"/>
        <v>1454.7746893858593</v>
      </c>
      <c r="S858" s="65">
        <f t="shared" ca="1" si="485"/>
        <v>1454.7746893858593</v>
      </c>
      <c r="T858" s="65">
        <f t="shared" ca="1" si="485"/>
        <v>1454.7746893858593</v>
      </c>
      <c r="U858" s="65">
        <f t="shared" ref="U858" ca="1" si="486">U844*U859</f>
        <v>1454.7746893858593</v>
      </c>
      <c r="V858" s="65">
        <f t="shared" ref="V858" ca="1" si="487">V844*V859</f>
        <v>1454.7746893858593</v>
      </c>
      <c r="W858" s="65">
        <f t="shared" ref="W858" ca="1" si="488">W844*W859</f>
        <v>1454.7746893858593</v>
      </c>
      <c r="X858" s="65">
        <f t="shared" ref="X858:Y858" ca="1" si="489">X844*X859</f>
        <v>1454.7746893858593</v>
      </c>
      <c r="Y858" s="65">
        <f t="shared" ca="1" si="489"/>
        <v>1454.7746893858593</v>
      </c>
      <c r="AA858" s="41"/>
    </row>
    <row r="859" spans="1:27" s="48" customFormat="1" hidden="1" outlineLevel="2" x14ac:dyDescent="0.2">
      <c r="A859" s="24" t="str">
        <f ca="1">Language!$A$118 &amp; IF(CalcMethod=1,Language!A$109,Language!A$108)</f>
        <v>Множитель прироста цен  (включен)</v>
      </c>
      <c r="B859" s="222"/>
      <c r="C859" s="215"/>
      <c r="E859" s="100"/>
      <c r="F859" s="315">
        <v>1</v>
      </c>
      <c r="G859" s="315">
        <f t="shared" ref="G859:Y859" si="490">IF(CalcMethod=1,F859*(1+G825),1)</f>
        <v>1</v>
      </c>
      <c r="H859" s="315">
        <f t="shared" si="490"/>
        <v>1</v>
      </c>
      <c r="I859" s="315">
        <f t="shared" si="490"/>
        <v>1</v>
      </c>
      <c r="J859" s="315">
        <f t="shared" si="490"/>
        <v>1</v>
      </c>
      <c r="K859" s="315">
        <f t="shared" si="490"/>
        <v>1</v>
      </c>
      <c r="L859" s="315">
        <f t="shared" si="490"/>
        <v>1</v>
      </c>
      <c r="M859" s="315">
        <f t="shared" si="490"/>
        <v>1</v>
      </c>
      <c r="N859" s="315">
        <f t="shared" si="490"/>
        <v>1</v>
      </c>
      <c r="O859" s="315">
        <f t="shared" si="490"/>
        <v>1</v>
      </c>
      <c r="P859" s="315">
        <f t="shared" si="490"/>
        <v>1</v>
      </c>
      <c r="Q859" s="315">
        <f t="shared" si="490"/>
        <v>1</v>
      </c>
      <c r="R859" s="315">
        <f t="shared" si="490"/>
        <v>1</v>
      </c>
      <c r="S859" s="315">
        <f t="shared" si="490"/>
        <v>1</v>
      </c>
      <c r="T859" s="315">
        <f t="shared" si="490"/>
        <v>1</v>
      </c>
      <c r="U859" s="315">
        <f t="shared" si="490"/>
        <v>1</v>
      </c>
      <c r="V859" s="315">
        <f t="shared" si="490"/>
        <v>1</v>
      </c>
      <c r="W859" s="315">
        <f t="shared" si="490"/>
        <v>1</v>
      </c>
      <c r="X859" s="315">
        <f t="shared" si="490"/>
        <v>1</v>
      </c>
      <c r="Y859" s="315">
        <f t="shared" si="490"/>
        <v>1</v>
      </c>
      <c r="AA859" s="41"/>
    </row>
    <row r="860" spans="1:27" outlineLevel="1" collapsed="1" x14ac:dyDescent="0.2">
      <c r="A860" s="23" t="str">
        <f ca="1">Language!A$869</f>
        <v>Норма доходности дисконтированных затрат (PI)</v>
      </c>
      <c r="B860" s="310" t="str">
        <f ca="1">IF(AA864&lt;0,AA862/-AA864,Language!A$834)</f>
        <v>Нет</v>
      </c>
      <c r="C860" s="5" t="str">
        <f ca="1">Language!A$198</f>
        <v>разы</v>
      </c>
      <c r="AA860" s="11"/>
    </row>
    <row r="861" spans="1:27" hidden="1" outlineLevel="2" x14ac:dyDescent="0.2">
      <c r="A861" t="str">
        <f ca="1">Language!A$870</f>
        <v xml:space="preserve">    притоки</v>
      </c>
      <c r="C861" s="5" t="str">
        <f ca="1">CUR_Report</f>
        <v>тыс. EUR</v>
      </c>
      <c r="F861" s="43">
        <f t="shared" ref="F861:T861" ca="1" si="491">MAX(0,F844)</f>
        <v>0</v>
      </c>
      <c r="G861" s="43">
        <f t="shared" ca="1" si="491"/>
        <v>0</v>
      </c>
      <c r="H861" s="43">
        <f t="shared" ca="1" si="491"/>
        <v>0</v>
      </c>
      <c r="I861" s="43">
        <f t="shared" ca="1" si="491"/>
        <v>0</v>
      </c>
      <c r="J861" s="43">
        <f t="shared" ca="1" si="491"/>
        <v>0</v>
      </c>
      <c r="K861" s="43">
        <f t="shared" ca="1" si="491"/>
        <v>2827.4120312836421</v>
      </c>
      <c r="L861" s="43">
        <f t="shared" ca="1" si="491"/>
        <v>15.62326190094285</v>
      </c>
      <c r="M861" s="43">
        <f t="shared" ca="1" si="491"/>
        <v>662.99303790614749</v>
      </c>
      <c r="N861" s="43">
        <f t="shared" ca="1" si="491"/>
        <v>964.0102427528858</v>
      </c>
      <c r="O861" s="43">
        <f t="shared" ca="1" si="491"/>
        <v>1285.2732652519153</v>
      </c>
      <c r="P861" s="43">
        <f t="shared" ca="1" si="491"/>
        <v>1454.7746893858593</v>
      </c>
      <c r="Q861" s="43">
        <f t="shared" ca="1" si="491"/>
        <v>1454.7746893858593</v>
      </c>
      <c r="R861" s="43">
        <f t="shared" ca="1" si="491"/>
        <v>1454.7746893858593</v>
      </c>
      <c r="S861" s="43">
        <f t="shared" ca="1" si="491"/>
        <v>1454.7746893858593</v>
      </c>
      <c r="T861" s="43">
        <f t="shared" ca="1" si="491"/>
        <v>1454.7746893858593</v>
      </c>
      <c r="U861" s="43">
        <f t="shared" ref="U861" ca="1" si="492">MAX(0,U844)</f>
        <v>1454.7746893858593</v>
      </c>
      <c r="V861" s="43">
        <f t="shared" ref="V861" ca="1" si="493">MAX(0,V844)</f>
        <v>1454.7746893858593</v>
      </c>
      <c r="W861" s="43">
        <f t="shared" ref="W861" ca="1" si="494">MAX(0,W844)</f>
        <v>1454.7746893858593</v>
      </c>
      <c r="X861" s="43">
        <f t="shared" ref="X861:Y861" ca="1" si="495">MAX(0,X844)</f>
        <v>1454.7746893858593</v>
      </c>
      <c r="Y861" s="43">
        <f t="shared" ca="1" si="495"/>
        <v>1454.7746893858593</v>
      </c>
      <c r="AA861" s="54">
        <f ca="1">SUM(F861:Y861)</f>
        <v>20303.058732954134</v>
      </c>
    </row>
    <row r="862" spans="1:27" hidden="1" outlineLevel="2" x14ac:dyDescent="0.2">
      <c r="A862" t="str">
        <f ca="1">Language!A$871</f>
        <v xml:space="preserve">    дисконтированные притоки</v>
      </c>
      <c r="C862" s="5" t="str">
        <f ca="1">CUR_Report</f>
        <v>тыс. EUR</v>
      </c>
      <c r="F862" s="43">
        <f t="shared" ref="F862:T862" ca="1" si="496">F861/F829</f>
        <v>0</v>
      </c>
      <c r="G862" s="43">
        <f t="shared" ca="1" si="496"/>
        <v>0</v>
      </c>
      <c r="H862" s="43">
        <f t="shared" ca="1" si="496"/>
        <v>0</v>
      </c>
      <c r="I862" s="43">
        <f t="shared" ca="1" si="496"/>
        <v>0</v>
      </c>
      <c r="J862" s="43">
        <f t="shared" ca="1" si="496"/>
        <v>0</v>
      </c>
      <c r="K862" s="43">
        <f t="shared" ca="1" si="496"/>
        <v>2400.2586171158605</v>
      </c>
      <c r="L862" s="43">
        <f t="shared" ca="1" si="496"/>
        <v>12.835548620217464</v>
      </c>
      <c r="M862" s="43">
        <f t="shared" ca="1" si="496"/>
        <v>527.13940017482219</v>
      </c>
      <c r="N862" s="43">
        <f t="shared" ca="1" si="496"/>
        <v>741.77457891111487</v>
      </c>
      <c r="O862" s="43">
        <f t="shared" ca="1" si="496"/>
        <v>957.10494141303263</v>
      </c>
      <c r="P862" s="43">
        <f t="shared" ca="1" si="496"/>
        <v>1048.4159226892584</v>
      </c>
      <c r="Q862" s="43">
        <f t="shared" ca="1" si="496"/>
        <v>1014.6292901073352</v>
      </c>
      <c r="R862" s="43">
        <f t="shared" ca="1" si="496"/>
        <v>981.93147782708945</v>
      </c>
      <c r="S862" s="43">
        <f t="shared" ca="1" si="496"/>
        <v>950.28739712973629</v>
      </c>
      <c r="T862" s="43">
        <f t="shared" ca="1" si="496"/>
        <v>919.66309007829636</v>
      </c>
      <c r="U862" s="43">
        <f t="shared" ref="U862" ca="1" si="497">U861/U829</f>
        <v>890.0256930766094</v>
      </c>
      <c r="V862" s="43">
        <f t="shared" ref="V862" ca="1" si="498">V861/V829</f>
        <v>861.34340160270949</v>
      </c>
      <c r="W862" s="43">
        <f t="shared" ref="W862" ca="1" si="499">W861/W829</f>
        <v>833.58543607871559</v>
      </c>
      <c r="X862" s="43">
        <f t="shared" ref="X862:Y862" ca="1" si="500">X861/X829</f>
        <v>806.72200884061056</v>
      </c>
      <c r="Y862" s="43">
        <f t="shared" ca="1" si="500"/>
        <v>780.72429217246395</v>
      </c>
      <c r="AA862" s="54">
        <f ca="1">SUM(F862:Y862)</f>
        <v>13726.441095837874</v>
      </c>
    </row>
    <row r="863" spans="1:27" hidden="1" outlineLevel="2" x14ac:dyDescent="0.2">
      <c r="A863" t="str">
        <f ca="1">Language!A$872</f>
        <v xml:space="preserve">    оттоки</v>
      </c>
      <c r="C863" s="5" t="str">
        <f ca="1">CUR_Report</f>
        <v>тыс. EUR</v>
      </c>
      <c r="F863" s="43">
        <f t="shared" ref="F863:T863" ca="1" si="501">MIN(0,F844)</f>
        <v>0</v>
      </c>
      <c r="G863" s="43">
        <f t="shared" ca="1" si="501"/>
        <v>0</v>
      </c>
      <c r="H863" s="43">
        <f t="shared" ca="1" si="501"/>
        <v>0</v>
      </c>
      <c r="I863" s="43">
        <f t="shared" ca="1" si="501"/>
        <v>0</v>
      </c>
      <c r="J863" s="43">
        <f t="shared" ca="1" si="501"/>
        <v>0</v>
      </c>
      <c r="K863" s="43">
        <f t="shared" ca="1" si="501"/>
        <v>0</v>
      </c>
      <c r="L863" s="43">
        <f t="shared" ca="1" si="501"/>
        <v>0</v>
      </c>
      <c r="M863" s="43">
        <f t="shared" ca="1" si="501"/>
        <v>0</v>
      </c>
      <c r="N863" s="43">
        <f t="shared" ca="1" si="501"/>
        <v>0</v>
      </c>
      <c r="O863" s="43">
        <f t="shared" ca="1" si="501"/>
        <v>0</v>
      </c>
      <c r="P863" s="43">
        <f t="shared" ca="1" si="501"/>
        <v>0</v>
      </c>
      <c r="Q863" s="43">
        <f t="shared" ca="1" si="501"/>
        <v>0</v>
      </c>
      <c r="R863" s="43">
        <f t="shared" ca="1" si="501"/>
        <v>0</v>
      </c>
      <c r="S863" s="43">
        <f t="shared" ca="1" si="501"/>
        <v>0</v>
      </c>
      <c r="T863" s="43">
        <f t="shared" ca="1" si="501"/>
        <v>0</v>
      </c>
      <c r="U863" s="43">
        <f t="shared" ref="U863" ca="1" si="502">MIN(0,U844)</f>
        <v>0</v>
      </c>
      <c r="V863" s="43">
        <f t="shared" ref="V863" ca="1" si="503">MIN(0,V844)</f>
        <v>0</v>
      </c>
      <c r="W863" s="43">
        <f t="shared" ref="W863" ca="1" si="504">MIN(0,W844)</f>
        <v>0</v>
      </c>
      <c r="X863" s="43">
        <f t="shared" ref="X863:Y863" ca="1" si="505">MIN(0,X844)</f>
        <v>0</v>
      </c>
      <c r="Y863" s="43">
        <f t="shared" ca="1" si="505"/>
        <v>0</v>
      </c>
      <c r="AA863" s="54">
        <f ca="1">SUM(F863:Y863)</f>
        <v>0</v>
      </c>
    </row>
    <row r="864" spans="1:27" hidden="1" outlineLevel="2" x14ac:dyDescent="0.2">
      <c r="A864" t="str">
        <f ca="1">Language!A$873</f>
        <v xml:space="preserve">    дисконтированные оттоки</v>
      </c>
      <c r="C864" s="5" t="str">
        <f ca="1">CUR_Report</f>
        <v>тыс. EUR</v>
      </c>
      <c r="F864" s="43">
        <f t="shared" ref="F864:T864" ca="1" si="506">F863/F829</f>
        <v>0</v>
      </c>
      <c r="G864" s="43">
        <f t="shared" ca="1" si="506"/>
        <v>0</v>
      </c>
      <c r="H864" s="43">
        <f t="shared" ca="1" si="506"/>
        <v>0</v>
      </c>
      <c r="I864" s="43">
        <f t="shared" ca="1" si="506"/>
        <v>0</v>
      </c>
      <c r="J864" s="43">
        <f t="shared" ca="1" si="506"/>
        <v>0</v>
      </c>
      <c r="K864" s="43">
        <f t="shared" ca="1" si="506"/>
        <v>0</v>
      </c>
      <c r="L864" s="43">
        <f t="shared" ca="1" si="506"/>
        <v>0</v>
      </c>
      <c r="M864" s="43">
        <f t="shared" ca="1" si="506"/>
        <v>0</v>
      </c>
      <c r="N864" s="43">
        <f t="shared" ca="1" si="506"/>
        <v>0</v>
      </c>
      <c r="O864" s="43">
        <f t="shared" ca="1" si="506"/>
        <v>0</v>
      </c>
      <c r="P864" s="43">
        <f t="shared" ca="1" si="506"/>
        <v>0</v>
      </c>
      <c r="Q864" s="43">
        <f t="shared" ca="1" si="506"/>
        <v>0</v>
      </c>
      <c r="R864" s="43">
        <f t="shared" ca="1" si="506"/>
        <v>0</v>
      </c>
      <c r="S864" s="43">
        <f t="shared" ca="1" si="506"/>
        <v>0</v>
      </c>
      <c r="T864" s="43">
        <f t="shared" ca="1" si="506"/>
        <v>0</v>
      </c>
      <c r="U864" s="43">
        <f t="shared" ref="U864" ca="1" si="507">U863/U829</f>
        <v>0</v>
      </c>
      <c r="V864" s="43">
        <f t="shared" ref="V864" ca="1" si="508">V863/V829</f>
        <v>0</v>
      </c>
      <c r="W864" s="43">
        <f t="shared" ref="W864" ca="1" si="509">W863/W829</f>
        <v>0</v>
      </c>
      <c r="X864" s="43">
        <f t="shared" ref="X864:Y864" ca="1" si="510">X863/X829</f>
        <v>0</v>
      </c>
      <c r="Y864" s="43">
        <f t="shared" ca="1" si="510"/>
        <v>0</v>
      </c>
      <c r="AA864" s="54">
        <f ca="1">SUM(F864:Y864)</f>
        <v>0</v>
      </c>
    </row>
    <row r="865" spans="1:27" outlineLevel="1" x14ac:dyDescent="0.2">
      <c r="F865" s="43"/>
      <c r="G865" s="43"/>
      <c r="H865" s="43"/>
      <c r="I865" s="43"/>
      <c r="J865" s="43"/>
      <c r="K865" s="43"/>
      <c r="L865" s="43"/>
      <c r="M865" s="43"/>
      <c r="N865" s="43"/>
      <c r="O865" s="43"/>
      <c r="P865" s="43"/>
      <c r="Q865" s="43"/>
      <c r="R865" s="43"/>
      <c r="S865" s="43"/>
      <c r="T865" s="43"/>
      <c r="U865" s="43"/>
      <c r="V865" s="43"/>
      <c r="W865" s="43"/>
      <c r="X865" s="43"/>
      <c r="Y865" s="43"/>
      <c r="AA865" s="11"/>
    </row>
    <row r="866" spans="1:27" outlineLevel="1" x14ac:dyDescent="0.2">
      <c r="A866" s="23" t="str">
        <f ca="1">Language!A$874</f>
        <v>Модифицированная IRR (MIRR)</v>
      </c>
      <c r="B866" s="311" t="str">
        <f ca="1">IF(ISERROR(E866),Language!A$834,E866)</f>
        <v>Нет</v>
      </c>
      <c r="C866" s="5"/>
      <c r="E866" s="152" t="e">
        <f ca="1">(POWER(1+MIRR(F844:Z844,POWER(1+B868,PRJ_Step/360)-1,POWER(1+B867,PRJ_Step/360)-1),360/PRJ_Step)-1)</f>
        <v>#DIV/0!</v>
      </c>
      <c r="F866" s="43"/>
      <c r="G866" s="43"/>
      <c r="H866" s="43"/>
      <c r="I866" s="43"/>
      <c r="J866" s="43"/>
      <c r="K866" s="43"/>
      <c r="L866" s="43"/>
      <c r="M866" s="43"/>
      <c r="N866" s="43"/>
      <c r="O866" s="43"/>
      <c r="P866" s="43"/>
      <c r="Q866" s="43"/>
      <c r="R866" s="43"/>
      <c r="S866" s="43"/>
      <c r="T866" s="43"/>
      <c r="U866" s="43"/>
      <c r="V866" s="43"/>
      <c r="W866" s="43"/>
      <c r="X866" s="43"/>
      <c r="Y866" s="43"/>
      <c r="AA866" s="11"/>
    </row>
    <row r="867" spans="1:27" outlineLevel="1" x14ac:dyDescent="0.2">
      <c r="A867" t="str">
        <f ca="1">Language!A$875</f>
        <v>Ставка реинвестирования доходов</v>
      </c>
      <c r="B867" s="272">
        <f>B827</f>
        <v>0.14000000000000001</v>
      </c>
      <c r="AA867" s="11"/>
    </row>
    <row r="868" spans="1:27" outlineLevel="1" x14ac:dyDescent="0.2">
      <c r="A868" t="str">
        <f ca="1">Language!A$876</f>
        <v>Ставка дисконтирования инвестиционных затрат</v>
      </c>
      <c r="B868" s="272">
        <f>B827</f>
        <v>0.14000000000000001</v>
      </c>
      <c r="AA868" s="11"/>
    </row>
    <row r="869" spans="1:27" outlineLevel="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4"/>
    </row>
    <row r="870" spans="1:27" outlineLevel="1" collapsed="1" x14ac:dyDescent="0.2">
      <c r="A870" s="22" t="str">
        <f ca="1">Language!A982</f>
        <v>График: Окупаемость проектов (для банка)</v>
      </c>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22"/>
    </row>
    <row r="871" spans="1:27" hidden="1" outlineLevel="2"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22"/>
    </row>
    <row r="872" spans="1:27" hidden="1" outlineLevel="2"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22"/>
    </row>
    <row r="873" spans="1:27" hidden="1" outlineLevel="2"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22"/>
    </row>
    <row r="874" spans="1:27" hidden="1" outlineLevel="2"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22"/>
    </row>
    <row r="875" spans="1:27" hidden="1" outlineLevel="2"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22"/>
    </row>
    <row r="876" spans="1:27" hidden="1" outlineLevel="2"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22"/>
    </row>
    <row r="877" spans="1:27" hidden="1" outlineLevel="2"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22"/>
    </row>
    <row r="878" spans="1:27" hidden="1" outlineLevel="2"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22"/>
    </row>
    <row r="879" spans="1:27" hidden="1" outlineLevel="2"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22"/>
    </row>
    <row r="880" spans="1:27" hidden="1" outlineLevel="2"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22"/>
    </row>
    <row r="881" spans="1:27" hidden="1" outlineLevel="2"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22"/>
    </row>
    <row r="882" spans="1:27" hidden="1" outlineLevel="2"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22"/>
    </row>
    <row r="883" spans="1:27" hidden="1" outlineLevel="2"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22"/>
    </row>
    <row r="884" spans="1:27" hidden="1" outlineLevel="2"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22"/>
    </row>
    <row r="885" spans="1:27" hidden="1" outlineLevel="2"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22"/>
    </row>
    <row r="886" spans="1:27" hidden="1" outlineLevel="2"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22"/>
    </row>
    <row r="887" spans="1:27" hidden="1" outlineLevel="2"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22"/>
    </row>
    <row r="888" spans="1:27" hidden="1" outlineLevel="2"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22"/>
    </row>
    <row r="889" spans="1:27" hidden="1" outlineLevel="2"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22"/>
    </row>
    <row r="890" spans="1:27" hidden="1" outlineLevel="2"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22"/>
    </row>
    <row r="891" spans="1:27" hidden="1" outlineLevel="2"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22"/>
    </row>
    <row r="892" spans="1:27" hidden="1" outlineLevel="2"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22"/>
    </row>
    <row r="893" spans="1:27" hidden="1" outlineLevel="2"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22"/>
    </row>
    <row r="894" spans="1:27" outlineLevel="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22"/>
    </row>
    <row r="895" spans="1:27" outlineLevel="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22"/>
    </row>
    <row r="896" spans="1:27" s="4" customFormat="1" ht="15.95" customHeight="1" thickBot="1" x14ac:dyDescent="0.25">
      <c r="A896" s="165" t="str">
        <f ca="1">Language!A882</f>
        <v xml:space="preserve">         ОЦЕНКА БИЗНЕСА</v>
      </c>
      <c r="B896" s="165"/>
      <c r="C896" s="165"/>
      <c r="D896" s="165"/>
      <c r="E896" s="165"/>
      <c r="F896" s="177" t="str">
        <f ca="1">IF(Проект!ShowRealDates,F36,F34)</f>
        <v>1 кв. 2016</v>
      </c>
      <c r="G896" s="177" t="str">
        <f ca="1">IF(Проект!ShowRealDates,G36,G34)</f>
        <v>2 кв. 2016</v>
      </c>
      <c r="H896" s="177" t="str">
        <f ca="1">IF(Проект!ShowRealDates,H36,H34)</f>
        <v>3 кв. 2016</v>
      </c>
      <c r="I896" s="177" t="str">
        <f ca="1">IF(Проект!ShowRealDates,I36,I34)</f>
        <v>4 кв. 2016</v>
      </c>
      <c r="J896" s="177" t="str">
        <f ca="1">IF(Проект!ShowRealDates,J36,J34)</f>
        <v>1 кв. 2017</v>
      </c>
      <c r="K896" s="177" t="str">
        <f ca="1">IF(Проект!ShowRealDates,K36,K34)</f>
        <v>2 кв. 2017</v>
      </c>
      <c r="L896" s="177" t="str">
        <f ca="1">IF(Проект!ShowRealDates,L36,L34)</f>
        <v>3 кв. 2017</v>
      </c>
      <c r="M896" s="177" t="str">
        <f ca="1">IF(Проект!ShowRealDates,M36,M34)</f>
        <v>4 кв. 2017</v>
      </c>
      <c r="N896" s="177" t="str">
        <f ca="1">IF(Проект!ShowRealDates,N36,N34)</f>
        <v>1 кв. 2018</v>
      </c>
      <c r="O896" s="177" t="str">
        <f ca="1">IF(Проект!ShowRealDates,O36,O34)</f>
        <v>2 кв. 2018</v>
      </c>
      <c r="P896" s="177" t="str">
        <f ca="1">IF(Проект!ShowRealDates,P36,P34)</f>
        <v>3 кв. 2018</v>
      </c>
      <c r="Q896" s="177" t="str">
        <f ca="1">IF(Проект!ShowRealDates,Q36,Q34)</f>
        <v>4 кв. 2018</v>
      </c>
      <c r="R896" s="177" t="str">
        <f ca="1">IF(Проект!ShowRealDates,R36,R34)</f>
        <v>1 кв. 2019</v>
      </c>
      <c r="S896" s="177" t="str">
        <f ca="1">IF(Проект!ShowRealDates,S36,S34)</f>
        <v>2 кв. 2019</v>
      </c>
      <c r="T896" s="177" t="str">
        <f ca="1">IF(Проект!ShowRealDates,T36,T34)</f>
        <v>3 кв. 2019</v>
      </c>
      <c r="U896" s="177" t="str">
        <f ca="1">IF(Проект!ShowRealDates,U36,U34)</f>
        <v>4 кв. 2019</v>
      </c>
      <c r="V896" s="177" t="str">
        <f ca="1">IF(Проект!ShowRealDates,V36,V34)</f>
        <v>1 кв. 2020</v>
      </c>
      <c r="W896" s="177" t="str">
        <f ca="1">IF(Проект!ShowRealDates,W36,W34)</f>
        <v>2 кв. 2020</v>
      </c>
      <c r="X896" s="177" t="str">
        <f ca="1">IF(Проект!ShowRealDates,X36,X34)</f>
        <v>3 кв. 2020</v>
      </c>
      <c r="Y896" s="177" t="str">
        <f ca="1">IF(Проект!ShowRealDates,Y36,Y34)</f>
        <v>4 кв. 2020</v>
      </c>
      <c r="Z896" s="165"/>
      <c r="AA896" s="166" t="str">
        <f ca="1">Language!A$372</f>
        <v>ИТОГО</v>
      </c>
    </row>
    <row r="897" spans="1:27" ht="12" outlineLevel="1" thickTop="1" x14ac:dyDescent="0.2">
      <c r="AA897" s="11"/>
    </row>
    <row r="898" spans="1:27" outlineLevel="1" collapsed="1" x14ac:dyDescent="0.2">
      <c r="A898" s="23" t="str">
        <f ca="1">Language!A104</f>
        <v>Предполагаемый темп годового роста цен</v>
      </c>
      <c r="C898" s="5" t="s">
        <v>2430</v>
      </c>
      <c r="D898" s="16" t="s">
        <v>2429</v>
      </c>
      <c r="F898" s="210">
        <f t="shared" ref="F898:T898" si="511">F672</f>
        <v>0</v>
      </c>
      <c r="G898" s="210">
        <f t="shared" si="511"/>
        <v>0</v>
      </c>
      <c r="H898" s="210">
        <f t="shared" si="511"/>
        <v>0</v>
      </c>
      <c r="I898" s="210">
        <f t="shared" si="511"/>
        <v>0</v>
      </c>
      <c r="J898" s="210">
        <f t="shared" si="511"/>
        <v>0</v>
      </c>
      <c r="K898" s="210">
        <f t="shared" si="511"/>
        <v>0</v>
      </c>
      <c r="L898" s="210">
        <f t="shared" si="511"/>
        <v>0</v>
      </c>
      <c r="M898" s="210">
        <f t="shared" si="511"/>
        <v>0</v>
      </c>
      <c r="N898" s="210">
        <f t="shared" si="511"/>
        <v>0</v>
      </c>
      <c r="O898" s="210">
        <f t="shared" si="511"/>
        <v>0</v>
      </c>
      <c r="P898" s="210">
        <f t="shared" si="511"/>
        <v>0</v>
      </c>
      <c r="Q898" s="210">
        <f t="shared" si="511"/>
        <v>0</v>
      </c>
      <c r="R898" s="210">
        <f t="shared" si="511"/>
        <v>0</v>
      </c>
      <c r="S898" s="210">
        <f t="shared" si="511"/>
        <v>0</v>
      </c>
      <c r="T898" s="210">
        <f t="shared" si="511"/>
        <v>0</v>
      </c>
      <c r="U898" s="210">
        <f t="shared" ref="U898" si="512">U672</f>
        <v>0</v>
      </c>
      <c r="V898" s="210">
        <f t="shared" ref="V898" si="513">V672</f>
        <v>0</v>
      </c>
      <c r="W898" s="210">
        <f t="shared" ref="W898" si="514">W672</f>
        <v>0</v>
      </c>
      <c r="X898" s="210">
        <f t="shared" ref="X898:Y898" si="515">X672</f>
        <v>0</v>
      </c>
      <c r="Y898" s="210">
        <f t="shared" si="515"/>
        <v>0</v>
      </c>
      <c r="AA898" s="11"/>
    </row>
    <row r="899" spans="1:27" hidden="1" outlineLevel="2" x14ac:dyDescent="0.2">
      <c r="A899" t="str">
        <f ca="1">Language!A106</f>
        <v>То же, в пересчете на период, равный шагу проекта</v>
      </c>
      <c r="C899" s="5" t="s">
        <v>2430</v>
      </c>
      <c r="D899" s="16" t="s">
        <v>2429</v>
      </c>
      <c r="F899" s="30">
        <f t="shared" ref="F899:T899" si="516">POWER(1+F898,PRJ_Step/360)-1</f>
        <v>0</v>
      </c>
      <c r="G899" s="30">
        <f t="shared" si="516"/>
        <v>0</v>
      </c>
      <c r="H899" s="30">
        <f t="shared" si="516"/>
        <v>0</v>
      </c>
      <c r="I899" s="30">
        <f t="shared" si="516"/>
        <v>0</v>
      </c>
      <c r="J899" s="30">
        <f t="shared" si="516"/>
        <v>0</v>
      </c>
      <c r="K899" s="30">
        <f t="shared" si="516"/>
        <v>0</v>
      </c>
      <c r="L899" s="30">
        <f t="shared" si="516"/>
        <v>0</v>
      </c>
      <c r="M899" s="30">
        <f t="shared" si="516"/>
        <v>0</v>
      </c>
      <c r="N899" s="30">
        <f t="shared" si="516"/>
        <v>0</v>
      </c>
      <c r="O899" s="30">
        <f t="shared" si="516"/>
        <v>0</v>
      </c>
      <c r="P899" s="30">
        <f t="shared" si="516"/>
        <v>0</v>
      </c>
      <c r="Q899" s="30">
        <f t="shared" si="516"/>
        <v>0</v>
      </c>
      <c r="R899" s="30">
        <f t="shared" si="516"/>
        <v>0</v>
      </c>
      <c r="S899" s="30">
        <f t="shared" si="516"/>
        <v>0</v>
      </c>
      <c r="T899" s="30">
        <f t="shared" si="516"/>
        <v>0</v>
      </c>
      <c r="U899" s="30">
        <f t="shared" ref="U899" si="517">POWER(1+U898,PRJ_Step/360)-1</f>
        <v>0</v>
      </c>
      <c r="V899" s="30">
        <f t="shared" ref="V899" si="518">POWER(1+V898,PRJ_Step/360)-1</f>
        <v>0</v>
      </c>
      <c r="W899" s="30">
        <f t="shared" ref="W899" si="519">POWER(1+W898,PRJ_Step/360)-1</f>
        <v>0</v>
      </c>
      <c r="X899" s="30">
        <f t="shared" ref="X899:Y899" si="520">POWER(1+X898,PRJ_Step/360)-1</f>
        <v>0</v>
      </c>
      <c r="Y899" s="30">
        <f t="shared" si="520"/>
        <v>0</v>
      </c>
      <c r="AA899" s="11"/>
    </row>
    <row r="900" spans="1:27" outlineLevel="1" x14ac:dyDescent="0.2">
      <c r="AA900" s="11"/>
    </row>
    <row r="901" spans="1:27" outlineLevel="1" collapsed="1" x14ac:dyDescent="0.2">
      <c r="A901" t="str">
        <f ca="1">Language!A$841</f>
        <v>Годовая ставка дисконтирования:</v>
      </c>
      <c r="B901" s="272">
        <f>B677</f>
        <v>0.14000000000000001</v>
      </c>
      <c r="C901" s="5" t="s">
        <v>2430</v>
      </c>
      <c r="D901" s="16" t="s">
        <v>2429</v>
      </c>
      <c r="F901" s="250">
        <f>B901</f>
        <v>0.14000000000000001</v>
      </c>
      <c r="G901" s="250">
        <f t="shared" ref="G901:Y901" si="521">F901</f>
        <v>0.14000000000000001</v>
      </c>
      <c r="H901" s="250">
        <f t="shared" si="521"/>
        <v>0.14000000000000001</v>
      </c>
      <c r="I901" s="250">
        <f t="shared" si="521"/>
        <v>0.14000000000000001</v>
      </c>
      <c r="J901" s="250">
        <f t="shared" si="521"/>
        <v>0.14000000000000001</v>
      </c>
      <c r="K901" s="250">
        <f t="shared" si="521"/>
        <v>0.14000000000000001</v>
      </c>
      <c r="L901" s="250">
        <f t="shared" si="521"/>
        <v>0.14000000000000001</v>
      </c>
      <c r="M901" s="250">
        <f t="shared" si="521"/>
        <v>0.14000000000000001</v>
      </c>
      <c r="N901" s="250">
        <f t="shared" si="521"/>
        <v>0.14000000000000001</v>
      </c>
      <c r="O901" s="250">
        <f t="shared" si="521"/>
        <v>0.14000000000000001</v>
      </c>
      <c r="P901" s="250">
        <f t="shared" si="521"/>
        <v>0.14000000000000001</v>
      </c>
      <c r="Q901" s="250">
        <f t="shared" si="521"/>
        <v>0.14000000000000001</v>
      </c>
      <c r="R901" s="250">
        <f t="shared" si="521"/>
        <v>0.14000000000000001</v>
      </c>
      <c r="S901" s="250">
        <f t="shared" si="521"/>
        <v>0.14000000000000001</v>
      </c>
      <c r="T901" s="250">
        <f t="shared" si="521"/>
        <v>0.14000000000000001</v>
      </c>
      <c r="U901" s="250">
        <f t="shared" si="521"/>
        <v>0.14000000000000001</v>
      </c>
      <c r="V901" s="250">
        <f t="shared" si="521"/>
        <v>0.14000000000000001</v>
      </c>
      <c r="W901" s="250">
        <f t="shared" si="521"/>
        <v>0.14000000000000001</v>
      </c>
      <c r="X901" s="250">
        <f t="shared" si="521"/>
        <v>0.14000000000000001</v>
      </c>
      <c r="Y901" s="250">
        <f t="shared" si="521"/>
        <v>0.14000000000000001</v>
      </c>
      <c r="AA901" s="11"/>
    </row>
    <row r="902" spans="1:27" hidden="1" outlineLevel="2" x14ac:dyDescent="0.2">
      <c r="A902" t="str">
        <f ca="1">Language!A$842</f>
        <v xml:space="preserve">    ставка дисконтирования на расчетный период</v>
      </c>
      <c r="D902" s="16" t="s">
        <v>2429</v>
      </c>
      <c r="F902" s="250">
        <f t="shared" ref="F902:T902" si="522">IF(CalcMethod=1,(POWER(1+F901,PRJ_Step/360)-1-F899)/(1+F899),POWER(1+F901,PRJ_Step/360)-1)</f>
        <v>3.3299484758959608E-2</v>
      </c>
      <c r="G902" s="250">
        <f t="shared" si="522"/>
        <v>3.3299484758959608E-2</v>
      </c>
      <c r="H902" s="250">
        <f t="shared" si="522"/>
        <v>3.3299484758959608E-2</v>
      </c>
      <c r="I902" s="250">
        <f t="shared" si="522"/>
        <v>3.3299484758959608E-2</v>
      </c>
      <c r="J902" s="250">
        <f t="shared" si="522"/>
        <v>3.3299484758959608E-2</v>
      </c>
      <c r="K902" s="250">
        <f t="shared" si="522"/>
        <v>3.3299484758959608E-2</v>
      </c>
      <c r="L902" s="250">
        <f t="shared" si="522"/>
        <v>3.3299484758959608E-2</v>
      </c>
      <c r="M902" s="250">
        <f t="shared" si="522"/>
        <v>3.3299484758959608E-2</v>
      </c>
      <c r="N902" s="250">
        <f t="shared" si="522"/>
        <v>3.3299484758959608E-2</v>
      </c>
      <c r="O902" s="250">
        <f t="shared" si="522"/>
        <v>3.3299484758959608E-2</v>
      </c>
      <c r="P902" s="250">
        <f t="shared" si="522"/>
        <v>3.3299484758959608E-2</v>
      </c>
      <c r="Q902" s="250">
        <f t="shared" si="522"/>
        <v>3.3299484758959608E-2</v>
      </c>
      <c r="R902" s="250">
        <f t="shared" si="522"/>
        <v>3.3299484758959608E-2</v>
      </c>
      <c r="S902" s="250">
        <f t="shared" si="522"/>
        <v>3.3299484758959608E-2</v>
      </c>
      <c r="T902" s="250">
        <f t="shared" si="522"/>
        <v>3.3299484758959608E-2</v>
      </c>
      <c r="U902" s="250">
        <f t="shared" ref="U902" si="523">IF(CalcMethod=1,(POWER(1+U901,PRJ_Step/360)-1-U899)/(1+U899),POWER(1+U901,PRJ_Step/360)-1)</f>
        <v>3.3299484758959608E-2</v>
      </c>
      <c r="V902" s="250">
        <f t="shared" ref="V902" si="524">IF(CalcMethod=1,(POWER(1+V901,PRJ_Step/360)-1-V899)/(1+V899),POWER(1+V901,PRJ_Step/360)-1)</f>
        <v>3.3299484758959608E-2</v>
      </c>
      <c r="W902" s="250">
        <f t="shared" ref="W902" si="525">IF(CalcMethod=1,(POWER(1+W901,PRJ_Step/360)-1-W899)/(1+W899),POWER(1+W901,PRJ_Step/360)-1)</f>
        <v>3.3299484758959608E-2</v>
      </c>
      <c r="X902" s="250">
        <f t="shared" ref="X902:Y902" si="526">IF(CalcMethod=1,(POWER(1+X901,PRJ_Step/360)-1-X899)/(1+X899),POWER(1+X901,PRJ_Step/360)-1)</f>
        <v>3.3299484758959608E-2</v>
      </c>
      <c r="Y902" s="250">
        <f t="shared" si="526"/>
        <v>3.3299484758959608E-2</v>
      </c>
      <c r="AA902" s="11"/>
    </row>
    <row r="903" spans="1:27" hidden="1" outlineLevel="2" x14ac:dyDescent="0.2">
      <c r="A903" t="str">
        <f ca="1">Language!A$883</f>
        <v xml:space="preserve">    коэффициент дисконта на середину периода</v>
      </c>
      <c r="D903" s="16" t="s">
        <v>2429</v>
      </c>
      <c r="F903" s="251">
        <f>(1+F902)^0.5</f>
        <v>1.0165133962515986</v>
      </c>
      <c r="G903" s="251">
        <f t="shared" ref="G903:Y903" si="527">F903*(1+G902)</f>
        <v>1.0503627685973571</v>
      </c>
      <c r="H903" s="251">
        <f t="shared" si="527"/>
        <v>1.0853393076016433</v>
      </c>
      <c r="I903" s="251">
        <f t="shared" si="527"/>
        <v>1.1214805473334239</v>
      </c>
      <c r="J903" s="251">
        <f t="shared" si="527"/>
        <v>1.158825271726823</v>
      </c>
      <c r="K903" s="251">
        <f t="shared" si="527"/>
        <v>1.1974135562009875</v>
      </c>
      <c r="L903" s="251">
        <f t="shared" si="527"/>
        <v>1.2372868106658739</v>
      </c>
      <c r="M903" s="251">
        <f t="shared" si="527"/>
        <v>1.2784878239601039</v>
      </c>
      <c r="N903" s="251">
        <f t="shared" si="527"/>
        <v>1.3210608097685788</v>
      </c>
      <c r="O903" s="251">
        <f t="shared" si="527"/>
        <v>1.3650514540691263</v>
      </c>
      <c r="P903" s="251">
        <f t="shared" si="527"/>
        <v>1.4105069641590968</v>
      </c>
      <c r="Q903" s="251">
        <f t="shared" si="527"/>
        <v>1.4574761193145191</v>
      </c>
      <c r="R903" s="251">
        <f t="shared" si="527"/>
        <v>1.5060093231361806</v>
      </c>
      <c r="S903" s="251">
        <f t="shared" si="527"/>
        <v>1.5561586576388049</v>
      </c>
      <c r="T903" s="251">
        <f t="shared" si="527"/>
        <v>1.6079779391413713</v>
      </c>
      <c r="U903" s="251">
        <f t="shared" si="527"/>
        <v>1.6615227760185527</v>
      </c>
      <c r="V903" s="251">
        <f t="shared" si="527"/>
        <v>1.7168506283752467</v>
      </c>
      <c r="W903" s="251">
        <f t="shared" si="527"/>
        <v>1.7740208697082385</v>
      </c>
      <c r="X903" s="251">
        <f t="shared" si="527"/>
        <v>1.8330948506211642</v>
      </c>
      <c r="Y903" s="251">
        <f t="shared" si="527"/>
        <v>1.8941359646611509</v>
      </c>
      <c r="AA903" s="11"/>
    </row>
    <row r="904" spans="1:27" hidden="1" outlineLevel="2" x14ac:dyDescent="0.2">
      <c r="A904" t="str">
        <f ca="1">Language!A$844</f>
        <v xml:space="preserve">    коэффициент дисконта для потока на конец периода</v>
      </c>
      <c r="D904" s="16" t="s">
        <v>2429</v>
      </c>
      <c r="F904" s="251">
        <f>1+F902</f>
        <v>1.0332994847589596</v>
      </c>
      <c r="G904" s="251">
        <f t="shared" ref="G904:Y904" si="528">F904*(1+G902)</f>
        <v>1.0677078252031313</v>
      </c>
      <c r="H904" s="251">
        <f t="shared" si="528"/>
        <v>1.1032619456555048</v>
      </c>
      <c r="I904" s="251">
        <f t="shared" si="528"/>
        <v>1.1400000000000003</v>
      </c>
      <c r="J904" s="251">
        <f t="shared" si="528"/>
        <v>1.1779614126252143</v>
      </c>
      <c r="K904" s="251">
        <f t="shared" si="528"/>
        <v>1.2171869207315702</v>
      </c>
      <c r="L904" s="251">
        <f t="shared" si="528"/>
        <v>1.2577186180472761</v>
      </c>
      <c r="M904" s="251">
        <f t="shared" si="528"/>
        <v>1.2996000000000012</v>
      </c>
      <c r="N904" s="251">
        <f t="shared" si="528"/>
        <v>1.3428760103927451</v>
      </c>
      <c r="O904" s="251">
        <f t="shared" si="528"/>
        <v>1.3875930896339908</v>
      </c>
      <c r="P904" s="251">
        <f t="shared" si="528"/>
        <v>1.4337992245738955</v>
      </c>
      <c r="Q904" s="251">
        <f t="shared" si="528"/>
        <v>1.481544000000002</v>
      </c>
      <c r="R904" s="251">
        <f t="shared" si="528"/>
        <v>1.5308786518477302</v>
      </c>
      <c r="S904" s="251">
        <f t="shared" si="528"/>
        <v>1.5818561221827503</v>
      </c>
      <c r="T904" s="251">
        <f t="shared" si="528"/>
        <v>1.6345311160142417</v>
      </c>
      <c r="U904" s="251">
        <f t="shared" si="528"/>
        <v>1.6889601600000033</v>
      </c>
      <c r="V904" s="251">
        <f t="shared" si="528"/>
        <v>1.7452016631064133</v>
      </c>
      <c r="W904" s="251">
        <f t="shared" si="528"/>
        <v>1.8033159792883362</v>
      </c>
      <c r="X904" s="251">
        <f t="shared" si="528"/>
        <v>1.8633654722562365</v>
      </c>
      <c r="Y904" s="251">
        <f t="shared" si="528"/>
        <v>1.9254145824000046</v>
      </c>
      <c r="AA904" s="11"/>
    </row>
    <row r="905" spans="1:27" outlineLevel="1" collapsed="1" x14ac:dyDescent="0.2">
      <c r="A905" t="str">
        <f ca="1">Language!A$884</f>
        <v>Долгосрочные темпы роста в постпрогнозный период</v>
      </c>
      <c r="B905" s="272">
        <f ca="1">OFFSET(F898,0,PRJ_Len-1)</f>
        <v>0</v>
      </c>
      <c r="C905" s="5" t="s">
        <v>2430</v>
      </c>
      <c r="AA905" s="11"/>
    </row>
    <row r="906" spans="1:27" hidden="1" outlineLevel="2" x14ac:dyDescent="0.2">
      <c r="A906" t="str">
        <f ca="1">Language!A$885</f>
        <v xml:space="preserve">    в пересчете на период, равный шагу проекта</v>
      </c>
      <c r="B906" s="136">
        <f ca="1">MAX(0,IF(CalcMethod=1,(POWER(1+B905,PRJ_Step/360)-1-OFFSET(F899,0,PRJ_Len-1))/(1+OFFSET(F899,0,PRJ_Len-1)),POWER(1+B905,PRJ_Step/360)-1))</f>
        <v>0</v>
      </c>
      <c r="AA906" s="11"/>
    </row>
    <row r="907" spans="1:27" outlineLevel="1" x14ac:dyDescent="0.2">
      <c r="AA907" s="11"/>
    </row>
    <row r="908" spans="1:27" outlineLevel="1" x14ac:dyDescent="0.2">
      <c r="A908" s="35" t="str">
        <f ca="1">Language!A$886</f>
        <v>Денежный поток для собственного капитала</v>
      </c>
      <c r="C908" s="5" t="str">
        <f t="shared" ref="C908:C913" ca="1" si="529">CUR_Report</f>
        <v>тыс. EUR</v>
      </c>
      <c r="F908" s="58">
        <f t="shared" ref="F908:T908" ca="1" si="530">F909+F910-F911+F912+F913</f>
        <v>0</v>
      </c>
      <c r="G908" s="58">
        <f t="shared" ca="1" si="530"/>
        <v>0</v>
      </c>
      <c r="H908" s="58">
        <f t="shared" ca="1" si="530"/>
        <v>-5695.3855543220343</v>
      </c>
      <c r="I908" s="58">
        <f t="shared" ca="1" si="530"/>
        <v>-1519.56</v>
      </c>
      <c r="J908" s="58">
        <f t="shared" ca="1" si="530"/>
        <v>-7166.8382903043585</v>
      </c>
      <c r="K908" s="58">
        <f t="shared" ca="1" si="530"/>
        <v>-3441.2310468487785</v>
      </c>
      <c r="L908" s="58">
        <f t="shared" ca="1" si="530"/>
        <v>812.20951226756245</v>
      </c>
      <c r="M908" s="58">
        <f t="shared" ca="1" si="530"/>
        <v>825.22857569003531</v>
      </c>
      <c r="N908" s="58">
        <f t="shared" ca="1" si="530"/>
        <v>1269.3173883738916</v>
      </c>
      <c r="O908" s="58">
        <f t="shared" ca="1" si="530"/>
        <v>1496.4301439682256</v>
      </c>
      <c r="P908" s="58">
        <f t="shared" ca="1" si="530"/>
        <v>1454.7746893858591</v>
      </c>
      <c r="Q908" s="58">
        <f t="shared" ca="1" si="530"/>
        <v>1454.7746893858591</v>
      </c>
      <c r="R908" s="58">
        <f t="shared" ca="1" si="530"/>
        <v>1454.7746893858591</v>
      </c>
      <c r="S908" s="58">
        <f t="shared" ca="1" si="530"/>
        <v>1454.7746893858591</v>
      </c>
      <c r="T908" s="58">
        <f t="shared" ca="1" si="530"/>
        <v>1454.7746893858591</v>
      </c>
      <c r="U908" s="58">
        <f t="shared" ref="U908" ca="1" si="531">U909+U910-U911+U912+U913</f>
        <v>1454.7746893858591</v>
      </c>
      <c r="V908" s="58">
        <f t="shared" ref="V908" ca="1" si="532">V909+V910-V911+V912+V913</f>
        <v>1454.7746893858591</v>
      </c>
      <c r="W908" s="58">
        <f t="shared" ref="W908" ca="1" si="533">W909+W910-W911+W912+W913</f>
        <v>1454.7746893858591</v>
      </c>
      <c r="X908" s="58">
        <f t="shared" ref="X908:Y908" ca="1" si="534">X909+X910-X911+X912+X913</f>
        <v>1454.7746893858591</v>
      </c>
      <c r="Y908" s="58">
        <f t="shared" ca="1" si="534"/>
        <v>1454.7746893858591</v>
      </c>
      <c r="Z908" s="35"/>
      <c r="AA908" s="57">
        <f t="shared" ref="AA908:AA913" ca="1" si="535">SUM(F908:Y908)</f>
        <v>1127.9176226831353</v>
      </c>
    </row>
    <row r="909" spans="1:27" outlineLevel="1" x14ac:dyDescent="0.2">
      <c r="A909" t="str">
        <f ca="1">Language!A$887</f>
        <v>Чистая прибыль</v>
      </c>
      <c r="C909" s="5" t="str">
        <f t="shared" ca="1" si="529"/>
        <v>тыс. EUR</v>
      </c>
      <c r="F909" s="43">
        <f t="shared" ref="F909:T909" ca="1" si="536">F172-F158</f>
        <v>0</v>
      </c>
      <c r="G909" s="43">
        <f t="shared" ca="1" si="536"/>
        <v>0</v>
      </c>
      <c r="H909" s="43">
        <f t="shared" ca="1" si="536"/>
        <v>0</v>
      </c>
      <c r="I909" s="43">
        <f t="shared" ca="1" si="536"/>
        <v>0</v>
      </c>
      <c r="J909" s="43">
        <f t="shared" ca="1" si="536"/>
        <v>-309.35251270876392</v>
      </c>
      <c r="K909" s="43">
        <f t="shared" ca="1" si="536"/>
        <v>-542.72200914744883</v>
      </c>
      <c r="L909" s="43">
        <f t="shared" ca="1" si="536"/>
        <v>36.808723789765239</v>
      </c>
      <c r="M909" s="43">
        <f t="shared" ca="1" si="536"/>
        <v>515.87606298127139</v>
      </c>
      <c r="N909" s="43">
        <f t="shared" ca="1" si="536"/>
        <v>912.06057157726855</v>
      </c>
      <c r="O909" s="43">
        <f t="shared" ca="1" si="536"/>
        <v>1145.4221766770952</v>
      </c>
      <c r="P909" s="43">
        <f t="shared" ca="1" si="536"/>
        <v>1145.4221766770952</v>
      </c>
      <c r="Q909" s="43">
        <f t="shared" ca="1" si="536"/>
        <v>1145.4221766770952</v>
      </c>
      <c r="R909" s="43">
        <f t="shared" ca="1" si="536"/>
        <v>1145.4221766770952</v>
      </c>
      <c r="S909" s="43">
        <f t="shared" ca="1" si="536"/>
        <v>1145.4221766770952</v>
      </c>
      <c r="T909" s="43">
        <f t="shared" ca="1" si="536"/>
        <v>1145.4221766770952</v>
      </c>
      <c r="U909" s="43">
        <f t="shared" ref="U909" ca="1" si="537">U172-U158</f>
        <v>1145.4221766770952</v>
      </c>
      <c r="V909" s="43">
        <f t="shared" ref="V909" ca="1" si="538">V172-V158</f>
        <v>1145.4221766770952</v>
      </c>
      <c r="W909" s="43">
        <f t="shared" ref="W909" ca="1" si="539">W172-W158</f>
        <v>1145.4221766770952</v>
      </c>
      <c r="X909" s="43">
        <f t="shared" ref="X909:Y909" ca="1" si="540">X172-X158</f>
        <v>1145.4221766770952</v>
      </c>
      <c r="Y909" s="43">
        <f t="shared" ca="1" si="540"/>
        <v>1145.4221766770952</v>
      </c>
      <c r="AA909" s="54">
        <f t="shared" ca="1" si="535"/>
        <v>13212.314779940139</v>
      </c>
    </row>
    <row r="910" spans="1:27" outlineLevel="1" x14ac:dyDescent="0.2">
      <c r="A910" t="str">
        <f ca="1">Language!A$888</f>
        <v>Амортизация</v>
      </c>
      <c r="C910" s="5" t="str">
        <f t="shared" ca="1" si="529"/>
        <v>тыс. EUR</v>
      </c>
      <c r="F910" s="43">
        <f t="shared" ref="F910:T910" ca="1" si="541">F142</f>
        <v>0</v>
      </c>
      <c r="G910" s="43">
        <f t="shared" ca="1" si="541"/>
        <v>0</v>
      </c>
      <c r="H910" s="43">
        <f t="shared" ca="1" si="541"/>
        <v>0</v>
      </c>
      <c r="I910" s="43">
        <f t="shared" ca="1" si="541"/>
        <v>0</v>
      </c>
      <c r="J910" s="43">
        <f t="shared" ca="1" si="541"/>
        <v>309.35251270876392</v>
      </c>
      <c r="K910" s="43">
        <f t="shared" ca="1" si="541"/>
        <v>309.35251270876392</v>
      </c>
      <c r="L910" s="43">
        <f t="shared" ca="1" si="541"/>
        <v>309.35251270876392</v>
      </c>
      <c r="M910" s="43">
        <f t="shared" ca="1" si="541"/>
        <v>309.35251270876392</v>
      </c>
      <c r="N910" s="43">
        <f t="shared" ca="1" si="541"/>
        <v>309.35251270876392</v>
      </c>
      <c r="O910" s="43">
        <f t="shared" ca="1" si="541"/>
        <v>309.35251270876392</v>
      </c>
      <c r="P910" s="43">
        <f t="shared" ca="1" si="541"/>
        <v>309.35251270876392</v>
      </c>
      <c r="Q910" s="43">
        <f t="shared" ca="1" si="541"/>
        <v>309.35251270876392</v>
      </c>
      <c r="R910" s="43">
        <f t="shared" ca="1" si="541"/>
        <v>309.35251270876392</v>
      </c>
      <c r="S910" s="43">
        <f t="shared" ca="1" si="541"/>
        <v>309.35251270876392</v>
      </c>
      <c r="T910" s="43">
        <f t="shared" ca="1" si="541"/>
        <v>309.35251270876392</v>
      </c>
      <c r="U910" s="43">
        <f t="shared" ref="U910" ca="1" si="542">U142</f>
        <v>309.35251270876392</v>
      </c>
      <c r="V910" s="43">
        <f t="shared" ref="V910" ca="1" si="543">V142</f>
        <v>309.35251270876392</v>
      </c>
      <c r="W910" s="43">
        <f t="shared" ref="W910" ca="1" si="544">W142</f>
        <v>309.35251270876392</v>
      </c>
      <c r="X910" s="43">
        <f t="shared" ref="X910:Y910" ca="1" si="545">X142</f>
        <v>309.35251270876392</v>
      </c>
      <c r="Y910" s="43">
        <f t="shared" ca="1" si="545"/>
        <v>309.35251270876392</v>
      </c>
      <c r="AA910" s="54">
        <f t="shared" ca="1" si="535"/>
        <v>4949.6402033402246</v>
      </c>
    </row>
    <row r="911" spans="1:27" outlineLevel="1" x14ac:dyDescent="0.2">
      <c r="A911" t="str">
        <f ca="1">Language!A$889</f>
        <v>Изменение чистого оборотного капитала</v>
      </c>
      <c r="C911" s="5" t="str">
        <f t="shared" ca="1" si="529"/>
        <v>тыс. EUR</v>
      </c>
      <c r="F911" s="105">
        <f t="shared" ref="F911:T911" ca="1" si="546">-((OFFSET(F442,0,-1)+OFFSET(F444,0,-1)+OFFSET(F446,0,-1)+OFFSET(F448,0,-1)+OFFSET(F450,0,-1)+OFFSET(F456,0,-1))-(OFFSET(F483,0,-1)+OFFSET(F487,0,-1)+OFFSET(F489,0,-1)+OFFSET(F491,0,-1)+OFFSET(F495,0,-1)))+((F442+F444+F446+F448+F450+F456)-(F483+F487+F489+F491+F495))</f>
        <v>0</v>
      </c>
      <c r="G911" s="105">
        <f t="shared" ca="1" si="546"/>
        <v>0</v>
      </c>
      <c r="H911" s="105">
        <f t="shared" ca="1" si="546"/>
        <v>0</v>
      </c>
      <c r="I911" s="105">
        <f t="shared" ca="1" si="546"/>
        <v>0</v>
      </c>
      <c r="J911" s="105">
        <f t="shared" ca="1" si="546"/>
        <v>141.94909312500653</v>
      </c>
      <c r="K911" s="105">
        <f t="shared" ca="1" si="546"/>
        <v>225.33585287658491</v>
      </c>
      <c r="L911" s="105">
        <f t="shared" ca="1" si="546"/>
        <v>-466.0482757690333</v>
      </c>
      <c r="M911" s="105">
        <f t="shared" ca="1" si="546"/>
        <v>0</v>
      </c>
      <c r="N911" s="105">
        <f t="shared" ca="1" si="546"/>
        <v>-47.90430408785906</v>
      </c>
      <c r="O911" s="105">
        <f t="shared" ca="1" si="546"/>
        <v>-41.655454582366474</v>
      </c>
      <c r="P911" s="105">
        <f t="shared" ca="1" si="546"/>
        <v>0</v>
      </c>
      <c r="Q911" s="105">
        <f t="shared" ca="1" si="546"/>
        <v>0</v>
      </c>
      <c r="R911" s="105">
        <f t="shared" ca="1" si="546"/>
        <v>0</v>
      </c>
      <c r="S911" s="105">
        <f t="shared" ca="1" si="546"/>
        <v>0</v>
      </c>
      <c r="T911" s="105">
        <f t="shared" ca="1" si="546"/>
        <v>0</v>
      </c>
      <c r="U911" s="105">
        <f t="shared" ref="U911" ca="1" si="547">-((OFFSET(U442,0,-1)+OFFSET(U444,0,-1)+OFFSET(U446,0,-1)+OFFSET(U448,0,-1)+OFFSET(U450,0,-1)+OFFSET(U456,0,-1))-(OFFSET(U483,0,-1)+OFFSET(U487,0,-1)+OFFSET(U489,0,-1)+OFFSET(U491,0,-1)+OFFSET(U495,0,-1)))+((U442+U444+U446+U448+U450+U456)-(U483+U487+U489+U491+U495))</f>
        <v>0</v>
      </c>
      <c r="V911" s="105">
        <f t="shared" ref="V911" ca="1" si="548">-((OFFSET(V442,0,-1)+OFFSET(V444,0,-1)+OFFSET(V446,0,-1)+OFFSET(V448,0,-1)+OFFSET(V450,0,-1)+OFFSET(V456,0,-1))-(OFFSET(V483,0,-1)+OFFSET(V487,0,-1)+OFFSET(V489,0,-1)+OFFSET(V491,0,-1)+OFFSET(V495,0,-1)))+((V442+V444+V446+V448+V450+V456)-(V483+V487+V489+V491+V495))</f>
        <v>0</v>
      </c>
      <c r="W911" s="105">
        <f t="shared" ref="W911" ca="1" si="549">-((OFFSET(W442,0,-1)+OFFSET(W444,0,-1)+OFFSET(W446,0,-1)+OFFSET(W448,0,-1)+OFFSET(W450,0,-1)+OFFSET(W456,0,-1))-(OFFSET(W483,0,-1)+OFFSET(W487,0,-1)+OFFSET(W489,0,-1)+OFFSET(W491,0,-1)+OFFSET(W495,0,-1)))+((W442+W444+W446+W448+W450+W456)-(W483+W487+W489+W491+W495))</f>
        <v>0</v>
      </c>
      <c r="X911" s="105">
        <f t="shared" ref="X911:Y911" ca="1" si="550">-((OFFSET(X442,0,-1)+OFFSET(X444,0,-1)+OFFSET(X446,0,-1)+OFFSET(X448,0,-1)+OFFSET(X450,0,-1)+OFFSET(X456,0,-1))-(OFFSET(X483,0,-1)+OFFSET(X487,0,-1)+OFFSET(X489,0,-1)+OFFSET(X491,0,-1)+OFFSET(X495,0,-1)))+((X442+X444+X446+X448+X450+X456)-(X483+X487+X489+X491+X495))</f>
        <v>0</v>
      </c>
      <c r="Y911" s="105">
        <f t="shared" ca="1" si="550"/>
        <v>0</v>
      </c>
      <c r="AA911" s="54">
        <f t="shared" ca="1" si="535"/>
        <v>-188.32308843766739</v>
      </c>
    </row>
    <row r="912" spans="1:27" outlineLevel="1" x14ac:dyDescent="0.2">
      <c r="A912" t="str">
        <f ca="1">Language!A$890</f>
        <v>Инвестиции</v>
      </c>
      <c r="C912" s="5" t="str">
        <f t="shared" ca="1" si="529"/>
        <v>тыс. EUR</v>
      </c>
      <c r="F912" s="43">
        <f t="shared" ref="F912:T912" ca="1" si="551">F292+F294+F296+F298+F300+F302+F306</f>
        <v>0</v>
      </c>
      <c r="G912" s="43">
        <f t="shared" ca="1" si="551"/>
        <v>0</v>
      </c>
      <c r="H912" s="43">
        <f t="shared" ca="1" si="551"/>
        <v>-5695.3855543220343</v>
      </c>
      <c r="I912" s="43">
        <f t="shared" ca="1" si="551"/>
        <v>-1519.56</v>
      </c>
      <c r="J912" s="43">
        <f t="shared" ca="1" si="551"/>
        <v>-7024.8891971793519</v>
      </c>
      <c r="K912" s="43">
        <f t="shared" ca="1" si="551"/>
        <v>-2982.5256975335087</v>
      </c>
      <c r="L912" s="43">
        <f t="shared" ca="1" si="551"/>
        <v>0</v>
      </c>
      <c r="M912" s="43">
        <f t="shared" ca="1" si="551"/>
        <v>0</v>
      </c>
      <c r="N912" s="43">
        <f t="shared" ca="1" si="551"/>
        <v>0</v>
      </c>
      <c r="O912" s="43">
        <f t="shared" ca="1" si="551"/>
        <v>0</v>
      </c>
      <c r="P912" s="43">
        <f t="shared" ca="1" si="551"/>
        <v>0</v>
      </c>
      <c r="Q912" s="43">
        <f t="shared" ca="1" si="551"/>
        <v>0</v>
      </c>
      <c r="R912" s="43">
        <f t="shared" ca="1" si="551"/>
        <v>0</v>
      </c>
      <c r="S912" s="43">
        <f t="shared" ca="1" si="551"/>
        <v>0</v>
      </c>
      <c r="T912" s="43">
        <f t="shared" ca="1" si="551"/>
        <v>0</v>
      </c>
      <c r="U912" s="43">
        <f t="shared" ref="U912" ca="1" si="552">U292+U294+U296+U298+U300+U302+U306</f>
        <v>0</v>
      </c>
      <c r="V912" s="43">
        <f t="shared" ref="V912" ca="1" si="553">V292+V294+V296+V298+V300+V302+V306</f>
        <v>0</v>
      </c>
      <c r="W912" s="43">
        <f t="shared" ref="W912" ca="1" si="554">W292+W294+W296+W298+W300+W302+W306</f>
        <v>0</v>
      </c>
      <c r="X912" s="43">
        <f t="shared" ref="X912:Y912" ca="1" si="555">X292+X294+X296+X298+X300+X302+X306</f>
        <v>0</v>
      </c>
      <c r="Y912" s="43">
        <f t="shared" ca="1" si="555"/>
        <v>0</v>
      </c>
      <c r="AA912" s="54">
        <f t="shared" ca="1" si="535"/>
        <v>-17222.360449034895</v>
      </c>
    </row>
    <row r="913" spans="1:27" outlineLevel="1" x14ac:dyDescent="0.2">
      <c r="A913" t="str">
        <f ca="1">Language!A$891</f>
        <v>Изменение долгосрочной задолженности</v>
      </c>
      <c r="C913" s="5" t="str">
        <f t="shared" ca="1" si="529"/>
        <v>тыс. EUR</v>
      </c>
      <c r="F913" s="43">
        <f t="shared" ref="F913:T913" ca="1" si="556">F318+F320</f>
        <v>0</v>
      </c>
      <c r="G913" s="43">
        <f t="shared" ca="1" si="556"/>
        <v>0</v>
      </c>
      <c r="H913" s="43">
        <f t="shared" ca="1" si="556"/>
        <v>0</v>
      </c>
      <c r="I913" s="43">
        <f t="shared" ca="1" si="556"/>
        <v>0</v>
      </c>
      <c r="J913" s="43">
        <f t="shared" ca="1" si="556"/>
        <v>0</v>
      </c>
      <c r="K913" s="43">
        <f t="shared" ca="1" si="556"/>
        <v>0</v>
      </c>
      <c r="L913" s="43">
        <f t="shared" ca="1" si="556"/>
        <v>0</v>
      </c>
      <c r="M913" s="43">
        <f t="shared" ca="1" si="556"/>
        <v>0</v>
      </c>
      <c r="N913" s="43">
        <f t="shared" ca="1" si="556"/>
        <v>0</v>
      </c>
      <c r="O913" s="43">
        <f t="shared" ca="1" si="556"/>
        <v>0</v>
      </c>
      <c r="P913" s="43">
        <f t="shared" ca="1" si="556"/>
        <v>0</v>
      </c>
      <c r="Q913" s="43">
        <f t="shared" ca="1" si="556"/>
        <v>0</v>
      </c>
      <c r="R913" s="43">
        <f t="shared" ca="1" si="556"/>
        <v>0</v>
      </c>
      <c r="S913" s="43">
        <f t="shared" ca="1" si="556"/>
        <v>0</v>
      </c>
      <c r="T913" s="43">
        <f t="shared" ca="1" si="556"/>
        <v>0</v>
      </c>
      <c r="U913" s="43">
        <f t="shared" ref="U913" ca="1" si="557">U318+U320</f>
        <v>0</v>
      </c>
      <c r="V913" s="43">
        <f t="shared" ref="V913" ca="1" si="558">V318+V320</f>
        <v>0</v>
      </c>
      <c r="W913" s="43">
        <f t="shared" ref="W913" ca="1" si="559">W318+W320</f>
        <v>0</v>
      </c>
      <c r="X913" s="43">
        <f t="shared" ref="X913:Y913" ca="1" si="560">X318+X320</f>
        <v>0</v>
      </c>
      <c r="Y913" s="43">
        <f t="shared" ca="1" si="560"/>
        <v>0</v>
      </c>
      <c r="AA913" s="54">
        <f t="shared" ca="1" si="535"/>
        <v>0</v>
      </c>
    </row>
    <row r="914" spans="1:27" outlineLevel="1" x14ac:dyDescent="0.2">
      <c r="AA914" s="11"/>
    </row>
    <row r="915" spans="1:27" outlineLevel="1" x14ac:dyDescent="0.2">
      <c r="A915" t="str">
        <f ca="1">Language!A$892</f>
        <v>Дисконтированный денежный поток</v>
      </c>
      <c r="C915" s="5" t="str">
        <f ca="1">CUR_Report</f>
        <v>тыс. EUR</v>
      </c>
      <c r="F915" s="43">
        <f t="shared" ref="F915:T915" ca="1" si="561">F908/F903</f>
        <v>0</v>
      </c>
      <c r="G915" s="43">
        <f t="shared" ca="1" si="561"/>
        <v>0</v>
      </c>
      <c r="H915" s="43">
        <f t="shared" ca="1" si="561"/>
        <v>-5247.5622272518258</v>
      </c>
      <c r="I915" s="43">
        <f t="shared" ca="1" si="561"/>
        <v>-1354.9588564983144</v>
      </c>
      <c r="J915" s="43">
        <f t="shared" ca="1" si="561"/>
        <v>-6184.5719671134693</v>
      </c>
      <c r="K915" s="43">
        <f t="shared" ca="1" si="561"/>
        <v>-2873.8868280117945</v>
      </c>
      <c r="L915" s="43">
        <f t="shared" ca="1" si="561"/>
        <v>656.44400737647368</v>
      </c>
      <c r="M915" s="43">
        <f t="shared" ca="1" si="561"/>
        <v>645.4723777766593</v>
      </c>
      <c r="N915" s="43">
        <f t="shared" ca="1" si="561"/>
        <v>960.83191552419794</v>
      </c>
      <c r="O915" s="43">
        <f t="shared" ca="1" si="561"/>
        <v>1096.2444965041195</v>
      </c>
      <c r="P915" s="43">
        <f t="shared" ca="1" si="561"/>
        <v>1031.3842656233558</v>
      </c>
      <c r="Q915" s="43">
        <f t="shared" ca="1" si="561"/>
        <v>998.14650141236575</v>
      </c>
      <c r="R915" s="43">
        <f t="shared" ca="1" si="561"/>
        <v>965.97986947143977</v>
      </c>
      <c r="S915" s="43">
        <f t="shared" ca="1" si="561"/>
        <v>934.84985110272885</v>
      </c>
      <c r="T915" s="43">
        <f t="shared" ca="1" si="561"/>
        <v>904.72304002048702</v>
      </c>
      <c r="U915" s="43">
        <f t="shared" ref="U915" ca="1" si="562">U908/U903</f>
        <v>875.56710650207481</v>
      </c>
      <c r="V915" s="43">
        <f t="shared" ref="V915" ca="1" si="563">V908/V903</f>
        <v>847.35076269424496</v>
      </c>
      <c r="W915" s="43">
        <f t="shared" ref="W915" ca="1" si="564">W908/W903</f>
        <v>820.04372903748106</v>
      </c>
      <c r="X915" s="43">
        <f t="shared" ref="X915:Y915" ca="1" si="565">X908/X903</f>
        <v>793.61670177235669</v>
      </c>
      <c r="Y915" s="43">
        <f t="shared" ca="1" si="565"/>
        <v>768.0413214930478</v>
      </c>
      <c r="Z915" s="43"/>
      <c r="AA915" s="54">
        <f ca="1">SUM(F915:Y915)</f>
        <v>-3362.2839325643718</v>
      </c>
    </row>
    <row r="916" spans="1:27" outlineLevel="1" x14ac:dyDescent="0.2">
      <c r="AA916" s="11"/>
    </row>
    <row r="917" spans="1:27" outlineLevel="1" collapsed="1" x14ac:dyDescent="0.2">
      <c r="A917" s="35" t="str">
        <f ca="1">Language!A$893</f>
        <v>Продленная стоимость проекта</v>
      </c>
      <c r="B917" s="55">
        <f ca="1">OFFSET(F918,0,PRJ_Len-1)*(1+B906)/(OFFSET(F902,0,PRJ_Len-1)-B906)</f>
        <v>34397.594586471976</v>
      </c>
      <c r="C917" s="5" t="str">
        <f ca="1">CUR_Report</f>
        <v>тыс. EUR</v>
      </c>
      <c r="F917" s="35"/>
      <c r="G917" s="35"/>
      <c r="H917" s="35"/>
      <c r="I917" s="35"/>
      <c r="J917" s="35"/>
      <c r="K917" s="35"/>
      <c r="L917" s="35"/>
      <c r="M917" s="35"/>
      <c r="N917" s="35"/>
      <c r="O917" s="35"/>
      <c r="P917" s="35"/>
      <c r="Q917" s="35"/>
      <c r="R917" s="35"/>
      <c r="S917" s="35"/>
      <c r="T917" s="35"/>
      <c r="U917" s="35"/>
      <c r="V917" s="35"/>
      <c r="W917" s="35"/>
      <c r="X917" s="35"/>
      <c r="Y917" s="35"/>
      <c r="Z917" s="35"/>
      <c r="AA917" s="51"/>
    </row>
    <row r="918" spans="1:27" hidden="1" outlineLevel="2" x14ac:dyDescent="0.2">
      <c r="A918" s="23" t="str">
        <f ca="1">Language!A$894</f>
        <v>Посленалоговая операционная прибыль (NOPLAT)</v>
      </c>
      <c r="C918" s="5" t="str">
        <f ca="1">CUR_Report</f>
        <v>тыс. EUR</v>
      </c>
      <c r="F918" s="53">
        <f t="shared" ref="F918:T918" ca="1" si="566">F180</f>
        <v>0</v>
      </c>
      <c r="G918" s="53">
        <f t="shared" ca="1" si="566"/>
        <v>0</v>
      </c>
      <c r="H918" s="53">
        <f t="shared" ca="1" si="566"/>
        <v>0</v>
      </c>
      <c r="I918" s="53">
        <f t="shared" ca="1" si="566"/>
        <v>0</v>
      </c>
      <c r="J918" s="53">
        <f t="shared" ca="1" si="566"/>
        <v>-250.57553529409878</v>
      </c>
      <c r="K918" s="53">
        <f t="shared" ca="1" si="566"/>
        <v>-439.60482740943354</v>
      </c>
      <c r="L918" s="53">
        <f t="shared" ca="1" si="566"/>
        <v>29.815066269709831</v>
      </c>
      <c r="M918" s="53">
        <f t="shared" ca="1" si="566"/>
        <v>417.85961101482985</v>
      </c>
      <c r="N918" s="53">
        <f t="shared" ca="1" si="566"/>
        <v>855.17652191108505</v>
      </c>
      <c r="O918" s="53">
        <f t="shared" ca="1" si="566"/>
        <v>1145.4221766770952</v>
      </c>
      <c r="P918" s="53">
        <f t="shared" ca="1" si="566"/>
        <v>1145.4221766770952</v>
      </c>
      <c r="Q918" s="53">
        <f t="shared" ca="1" si="566"/>
        <v>1145.4221766770952</v>
      </c>
      <c r="R918" s="53">
        <f t="shared" ca="1" si="566"/>
        <v>1145.4221766770952</v>
      </c>
      <c r="S918" s="53">
        <f t="shared" ca="1" si="566"/>
        <v>1145.4221766770952</v>
      </c>
      <c r="T918" s="53">
        <f t="shared" ca="1" si="566"/>
        <v>1145.4221766770952</v>
      </c>
      <c r="U918" s="53">
        <f t="shared" ref="U918" ca="1" si="567">U180</f>
        <v>1145.4221766770952</v>
      </c>
      <c r="V918" s="53">
        <f t="shared" ref="V918" ca="1" si="568">V180</f>
        <v>1145.4221766770952</v>
      </c>
      <c r="W918" s="53">
        <f t="shared" ref="W918" ca="1" si="569">W180</f>
        <v>1145.4221766770952</v>
      </c>
      <c r="X918" s="53">
        <f t="shared" ref="X918:Y918" ca="1" si="570">X180</f>
        <v>1145.4221766770952</v>
      </c>
      <c r="Y918" s="53">
        <f t="shared" ca="1" si="570"/>
        <v>1145.4221766770952</v>
      </c>
      <c r="Z918" s="35"/>
      <c r="AA918" s="51"/>
    </row>
    <row r="919" spans="1:27" hidden="1" outlineLevel="2" x14ac:dyDescent="0.2">
      <c r="A919" s="23" t="str">
        <f ca="1">Language!A$895</f>
        <v>Дисконтированная продленная стоимость</v>
      </c>
      <c r="B919" s="143">
        <f ca="1">B917/OFFSET(F904,0,PRJ_Len-1)</f>
        <v>17865.032757566329</v>
      </c>
      <c r="C919" s="5" t="str">
        <f ca="1">CUR_Report</f>
        <v>тыс. EUR</v>
      </c>
      <c r="AA919" s="11"/>
    </row>
    <row r="920" spans="1:27" outlineLevel="1" x14ac:dyDescent="0.2">
      <c r="AA920" s="11"/>
    </row>
    <row r="921" spans="1:27" outlineLevel="1" x14ac:dyDescent="0.2">
      <c r="A921" s="35" t="str">
        <f ca="1">Language!A$896</f>
        <v>Итого стоимость бизнеса</v>
      </c>
      <c r="B921" s="150">
        <f ca="1">AA915+B919</f>
        <v>14502.748825001956</v>
      </c>
      <c r="C921" s="5" t="str">
        <f ca="1">CUR_Report</f>
        <v>тыс. EUR</v>
      </c>
      <c r="AA921" s="11"/>
    </row>
    <row r="922" spans="1:27" outlineLevel="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203"/>
    </row>
    <row r="923" spans="1:27" outlineLevel="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205"/>
    </row>
    <row r="924" spans="1:27" s="4" customFormat="1" ht="15.95" customHeight="1" thickBot="1" x14ac:dyDescent="0.25">
      <c r="A924" s="165" t="str">
        <f ca="1">Language!A$983</f>
        <v xml:space="preserve">         ОСНОВНЫЕ ПОКАЗАТЕЛИ ПРОЕКТОВ</v>
      </c>
      <c r="B924" s="165"/>
      <c r="C924" s="165"/>
      <c r="D924" s="165"/>
      <c r="E924" s="165"/>
      <c r="F924" s="177" t="str">
        <f ca="1">IF(Проект!ShowRealDates,F36,F34)</f>
        <v>1 кв. 2016</v>
      </c>
      <c r="G924" s="177" t="str">
        <f ca="1">IF(Проект!ShowRealDates,G36,G34)</f>
        <v>2 кв. 2016</v>
      </c>
      <c r="H924" s="177" t="str">
        <f ca="1">IF(Проект!ShowRealDates,H36,H34)</f>
        <v>3 кв. 2016</v>
      </c>
      <c r="I924" s="177" t="str">
        <f ca="1">IF(Проект!ShowRealDates,I36,I34)</f>
        <v>4 кв. 2016</v>
      </c>
      <c r="J924" s="177" t="str">
        <f ca="1">IF(Проект!ShowRealDates,J36,J34)</f>
        <v>1 кв. 2017</v>
      </c>
      <c r="K924" s="177" t="str">
        <f ca="1">IF(Проект!ShowRealDates,K36,K34)</f>
        <v>2 кв. 2017</v>
      </c>
      <c r="L924" s="177" t="str">
        <f ca="1">IF(Проект!ShowRealDates,L36,L34)</f>
        <v>3 кв. 2017</v>
      </c>
      <c r="M924" s="177" t="str">
        <f ca="1">IF(Проект!ShowRealDates,M36,M34)</f>
        <v>4 кв. 2017</v>
      </c>
      <c r="N924" s="177" t="str">
        <f ca="1">IF(Проект!ShowRealDates,N36,N34)</f>
        <v>1 кв. 2018</v>
      </c>
      <c r="O924" s="177" t="str">
        <f ca="1">IF(Проект!ShowRealDates,O36,O34)</f>
        <v>2 кв. 2018</v>
      </c>
      <c r="P924" s="177" t="str">
        <f ca="1">IF(Проект!ShowRealDates,P36,P34)</f>
        <v>3 кв. 2018</v>
      </c>
      <c r="Q924" s="177" t="str">
        <f ca="1">IF(Проект!ShowRealDates,Q36,Q34)</f>
        <v>4 кв. 2018</v>
      </c>
      <c r="R924" s="177" t="str">
        <f ca="1">IF(Проект!ShowRealDates,R36,R34)</f>
        <v>1 кв. 2019</v>
      </c>
      <c r="S924" s="177" t="str">
        <f ca="1">IF(Проект!ShowRealDates,S36,S34)</f>
        <v>2 кв. 2019</v>
      </c>
      <c r="T924" s="177" t="str">
        <f ca="1">IF(Проект!ShowRealDates,T36,T34)</f>
        <v>3 кв. 2019</v>
      </c>
      <c r="U924" s="177" t="str">
        <f ca="1">IF(Проект!ShowRealDates,U36,U34)</f>
        <v>4 кв. 2019</v>
      </c>
      <c r="V924" s="177" t="str">
        <f ca="1">IF(Проект!ShowRealDates,V36,V34)</f>
        <v>1 кв. 2020</v>
      </c>
      <c r="W924" s="177" t="str">
        <f ca="1">IF(Проект!ShowRealDates,W36,W34)</f>
        <v>2 кв. 2020</v>
      </c>
      <c r="X924" s="177" t="str">
        <f ca="1">IF(Проект!ShowRealDates,X36,X34)</f>
        <v>3 кв. 2020</v>
      </c>
      <c r="Y924" s="177" t="str">
        <f ca="1">IF(Проект!ShowRealDates,Y36,Y34)</f>
        <v>4 кв. 2020</v>
      </c>
      <c r="Z924" s="165"/>
      <c r="AA924" s="166" t="str">
        <f ca="1">Language!A$372</f>
        <v>ИТОГО</v>
      </c>
    </row>
    <row r="925" spans="1:27" ht="12" outlineLevel="1" thickTop="1" x14ac:dyDescent="0.2">
      <c r="AA925" s="11"/>
    </row>
    <row r="926" spans="1:27" outlineLevel="1" x14ac:dyDescent="0.2">
      <c r="A926" t="str">
        <f ca="1">Language!A$932</f>
        <v>Выручка от реализации (без НДС)</v>
      </c>
      <c r="C926" s="5" t="str">
        <f t="shared" ref="C926:C945" ca="1" si="571">CUR_Report</f>
        <v>тыс. EUR</v>
      </c>
      <c r="F926" s="43">
        <f t="shared" ref="F926:T926" ca="1" si="572">F127</f>
        <v>0</v>
      </c>
      <c r="G926" s="43">
        <f t="shared" ca="1" si="572"/>
        <v>0</v>
      </c>
      <c r="H926" s="43">
        <f t="shared" ca="1" si="572"/>
        <v>0</v>
      </c>
      <c r="I926" s="43">
        <f t="shared" ca="1" si="572"/>
        <v>0</v>
      </c>
      <c r="J926" s="43">
        <f t="shared" ca="1" si="572"/>
        <v>0</v>
      </c>
      <c r="K926" s="43">
        <f t="shared" ca="1" si="572"/>
        <v>714.56092469127964</v>
      </c>
      <c r="L926" s="43">
        <f t="shared" ca="1" si="572"/>
        <v>2731.2132863136535</v>
      </c>
      <c r="M926" s="43">
        <f t="shared" ca="1" si="572"/>
        <v>4381.7008046824012</v>
      </c>
      <c r="N926" s="43">
        <f t="shared" ca="1" si="572"/>
        <v>6249.0205978072227</v>
      </c>
      <c r="O926" s="43">
        <f t="shared" ca="1" si="572"/>
        <v>7525.4219523772372</v>
      </c>
      <c r="P926" s="43">
        <f t="shared" ca="1" si="572"/>
        <v>7525.4219523772372</v>
      </c>
      <c r="Q926" s="43">
        <f t="shared" ca="1" si="572"/>
        <v>7525.4219523772372</v>
      </c>
      <c r="R926" s="43">
        <f t="shared" ca="1" si="572"/>
        <v>7525.4219523772372</v>
      </c>
      <c r="S926" s="43">
        <f t="shared" ca="1" si="572"/>
        <v>7525.4219523772372</v>
      </c>
      <c r="T926" s="43">
        <f t="shared" ca="1" si="572"/>
        <v>7525.4219523772372</v>
      </c>
      <c r="U926" s="43">
        <f t="shared" ref="U926" ca="1" si="573">U127</f>
        <v>7525.4219523772372</v>
      </c>
      <c r="V926" s="43">
        <f t="shared" ref="V926" ca="1" si="574">V127</f>
        <v>7525.4219523772372</v>
      </c>
      <c r="W926" s="43">
        <f t="shared" ref="W926" ca="1" si="575">W127</f>
        <v>7525.4219523772372</v>
      </c>
      <c r="X926" s="43">
        <f t="shared" ref="X926:Y926" ca="1" si="576">X127</f>
        <v>7525.4219523772372</v>
      </c>
      <c r="Y926" s="43">
        <f t="shared" ca="1" si="576"/>
        <v>7525.4219523772372</v>
      </c>
      <c r="AA926" s="54">
        <f t="shared" ref="AA926:AA932" ca="1" si="577">SUM(F926:Y926)</f>
        <v>96856.137089644137</v>
      </c>
    </row>
    <row r="927" spans="1:27" outlineLevel="1" x14ac:dyDescent="0.2">
      <c r="A927" t="str">
        <f ca="1">Language!A$933</f>
        <v>Затраты на производство (без НДС)</v>
      </c>
      <c r="C927" s="5" t="str">
        <f t="shared" ca="1" si="571"/>
        <v>тыс. EUR</v>
      </c>
      <c r="F927" s="43">
        <f t="shared" ref="F927:T927" ca="1" si="578">F129+F146+F148+F150+F152</f>
        <v>0</v>
      </c>
      <c r="G927" s="43">
        <f t="shared" ca="1" si="578"/>
        <v>0</v>
      </c>
      <c r="H927" s="43">
        <f t="shared" ca="1" si="578"/>
        <v>0</v>
      </c>
      <c r="I927" s="43">
        <f t="shared" ca="1" si="578"/>
        <v>0</v>
      </c>
      <c r="J927" s="43">
        <f t="shared" ca="1" si="578"/>
        <v>309.35251270876392</v>
      </c>
      <c r="K927" s="43">
        <f t="shared" ca="1" si="578"/>
        <v>1257.2829338387285</v>
      </c>
      <c r="L927" s="43">
        <f t="shared" ca="1" si="578"/>
        <v>2694.4045625238878</v>
      </c>
      <c r="M927" s="43">
        <f t="shared" ca="1" si="578"/>
        <v>3865.8247417011294</v>
      </c>
      <c r="N927" s="43">
        <f t="shared" ca="1" si="578"/>
        <v>5193.2471139663758</v>
      </c>
      <c r="O927" s="43">
        <f t="shared" ca="1" si="578"/>
        <v>6111.3204996894656</v>
      </c>
      <c r="P927" s="43">
        <f t="shared" ca="1" si="578"/>
        <v>6111.3204996894656</v>
      </c>
      <c r="Q927" s="43">
        <f t="shared" ca="1" si="578"/>
        <v>6111.3204996894656</v>
      </c>
      <c r="R927" s="43">
        <f t="shared" ca="1" si="578"/>
        <v>6111.3204996894656</v>
      </c>
      <c r="S927" s="43">
        <f t="shared" ca="1" si="578"/>
        <v>6111.3204996894656</v>
      </c>
      <c r="T927" s="43">
        <f t="shared" ca="1" si="578"/>
        <v>6111.3204996894656</v>
      </c>
      <c r="U927" s="43">
        <f t="shared" ref="U927" ca="1" si="579">U129+U146+U148+U150+U152</f>
        <v>6111.3204996894656</v>
      </c>
      <c r="V927" s="43">
        <f t="shared" ref="V927" ca="1" si="580">V129+V146+V148+V150+V152</f>
        <v>6111.3204996894656</v>
      </c>
      <c r="W927" s="43">
        <f t="shared" ref="W927" ca="1" si="581">W129+W146+W148+W150+W152</f>
        <v>6111.3204996894656</v>
      </c>
      <c r="X927" s="43">
        <f t="shared" ref="X927:Y927" ca="1" si="582">X129+X146+X148+X150+X152</f>
        <v>6111.3204996894656</v>
      </c>
      <c r="Y927" s="43">
        <f t="shared" ca="1" si="582"/>
        <v>6111.3204996894656</v>
      </c>
      <c r="AA927" s="54">
        <f t="shared" ca="1" si="577"/>
        <v>80544.637361322995</v>
      </c>
    </row>
    <row r="928" spans="1:27" outlineLevel="1" x14ac:dyDescent="0.2">
      <c r="A928" t="str">
        <f ca="1">Language!A$728</f>
        <v>Прибыль до налога, процентов и амортизации (EBITDA)</v>
      </c>
      <c r="C928" s="5" t="str">
        <f t="shared" ca="1" si="571"/>
        <v>тыс. EUR</v>
      </c>
      <c r="F928" s="43">
        <f t="shared" ref="F928:T928" ca="1" si="583">F176</f>
        <v>0</v>
      </c>
      <c r="G928" s="43">
        <f t="shared" ca="1" si="583"/>
        <v>0</v>
      </c>
      <c r="H928" s="43">
        <f t="shared" ca="1" si="583"/>
        <v>0</v>
      </c>
      <c r="I928" s="43">
        <f t="shared" ca="1" si="583"/>
        <v>0</v>
      </c>
      <c r="J928" s="43">
        <f t="shared" ca="1" si="583"/>
        <v>0</v>
      </c>
      <c r="K928" s="43">
        <f t="shared" ca="1" si="583"/>
        <v>-233.36949643868491</v>
      </c>
      <c r="L928" s="43">
        <f t="shared" ca="1" si="583"/>
        <v>346.16123649852915</v>
      </c>
      <c r="M928" s="43">
        <f t="shared" ca="1" si="583"/>
        <v>825.22857569003531</v>
      </c>
      <c r="N928" s="43">
        <f t="shared" ca="1" si="583"/>
        <v>1365.1259965496097</v>
      </c>
      <c r="O928" s="43">
        <f t="shared" ca="1" si="583"/>
        <v>1723.4539653965358</v>
      </c>
      <c r="P928" s="43">
        <f t="shared" ca="1" si="583"/>
        <v>1723.4539653965358</v>
      </c>
      <c r="Q928" s="43">
        <f t="shared" ca="1" si="583"/>
        <v>1723.4539653965358</v>
      </c>
      <c r="R928" s="43">
        <f t="shared" ca="1" si="583"/>
        <v>1723.4539653965358</v>
      </c>
      <c r="S928" s="43">
        <f t="shared" ca="1" si="583"/>
        <v>1723.4539653965358</v>
      </c>
      <c r="T928" s="43">
        <f t="shared" ca="1" si="583"/>
        <v>1723.4539653965358</v>
      </c>
      <c r="U928" s="43">
        <f t="shared" ref="U928" ca="1" si="584">U176</f>
        <v>1723.4539653965358</v>
      </c>
      <c r="V928" s="43">
        <f t="shared" ref="V928" ca="1" si="585">V176</f>
        <v>1723.4539653965358</v>
      </c>
      <c r="W928" s="43">
        <f t="shared" ref="W928" ca="1" si="586">W176</f>
        <v>1723.4539653965358</v>
      </c>
      <c r="X928" s="43">
        <f t="shared" ref="X928:Y928" ca="1" si="587">X176</f>
        <v>1723.4539653965358</v>
      </c>
      <c r="Y928" s="43">
        <f t="shared" ca="1" si="587"/>
        <v>1723.4539653965358</v>
      </c>
      <c r="AA928" s="54">
        <f t="shared" ca="1" si="577"/>
        <v>21261.13993166139</v>
      </c>
    </row>
    <row r="929" spans="1:27" outlineLevel="1" x14ac:dyDescent="0.2">
      <c r="A929" t="str">
        <f ca="1">Language!A$730</f>
        <v>Прибыль до процентов и налога (EBIT)</v>
      </c>
      <c r="C929" s="5" t="str">
        <f t="shared" ca="1" si="571"/>
        <v>тыс. EUR</v>
      </c>
      <c r="F929" s="43">
        <f t="shared" ref="F929:T929" ca="1" si="588">F178</f>
        <v>0</v>
      </c>
      <c r="G929" s="43">
        <f t="shared" ca="1" si="588"/>
        <v>0</v>
      </c>
      <c r="H929" s="43">
        <f t="shared" ca="1" si="588"/>
        <v>0</v>
      </c>
      <c r="I929" s="43">
        <f t="shared" ca="1" si="588"/>
        <v>0</v>
      </c>
      <c r="J929" s="43">
        <f t="shared" ca="1" si="588"/>
        <v>-309.35251270876392</v>
      </c>
      <c r="K929" s="43">
        <f t="shared" ca="1" si="588"/>
        <v>-542.72200914744883</v>
      </c>
      <c r="L929" s="43">
        <f t="shared" ca="1" si="588"/>
        <v>36.808723789765224</v>
      </c>
      <c r="M929" s="43">
        <f t="shared" ca="1" si="588"/>
        <v>515.87606298127139</v>
      </c>
      <c r="N929" s="43">
        <f t="shared" ca="1" si="588"/>
        <v>1055.7734838408458</v>
      </c>
      <c r="O929" s="43">
        <f t="shared" ca="1" si="588"/>
        <v>1414.1014526877718</v>
      </c>
      <c r="P929" s="43">
        <f t="shared" ca="1" si="588"/>
        <v>1414.1014526877718</v>
      </c>
      <c r="Q929" s="43">
        <f t="shared" ca="1" si="588"/>
        <v>1414.1014526877718</v>
      </c>
      <c r="R929" s="43">
        <f t="shared" ca="1" si="588"/>
        <v>1414.1014526877718</v>
      </c>
      <c r="S929" s="43">
        <f t="shared" ca="1" si="588"/>
        <v>1414.1014526877718</v>
      </c>
      <c r="T929" s="43">
        <f t="shared" ca="1" si="588"/>
        <v>1414.1014526877718</v>
      </c>
      <c r="U929" s="43">
        <f t="shared" ref="U929" ca="1" si="589">U178</f>
        <v>1414.1014526877718</v>
      </c>
      <c r="V929" s="43">
        <f t="shared" ref="V929" ca="1" si="590">V178</f>
        <v>1414.1014526877718</v>
      </c>
      <c r="W929" s="43">
        <f t="shared" ref="W929" ca="1" si="591">W178</f>
        <v>1414.1014526877718</v>
      </c>
      <c r="X929" s="43">
        <f t="shared" ref="X929:Y929" ca="1" si="592">X178</f>
        <v>1414.1014526877718</v>
      </c>
      <c r="Y929" s="43">
        <f t="shared" ca="1" si="592"/>
        <v>1414.1014526877718</v>
      </c>
      <c r="AA929" s="54">
        <f t="shared" ca="1" si="577"/>
        <v>16311.499728321158</v>
      </c>
    </row>
    <row r="930" spans="1:27" outlineLevel="1" x14ac:dyDescent="0.2">
      <c r="A930" t="str">
        <f ca="1">Language!A$732</f>
        <v>Прибыль до налогообложения</v>
      </c>
      <c r="C930" s="5" t="str">
        <f t="shared" ca="1" si="571"/>
        <v>тыс. EUR</v>
      </c>
      <c r="F930" s="43">
        <f t="shared" ref="F930:T930" ca="1" si="593">F168</f>
        <v>0</v>
      </c>
      <c r="G930" s="43">
        <f t="shared" ca="1" si="593"/>
        <v>0</v>
      </c>
      <c r="H930" s="43">
        <f t="shared" ca="1" si="593"/>
        <v>0</v>
      </c>
      <c r="I930" s="43">
        <f t="shared" ca="1" si="593"/>
        <v>0</v>
      </c>
      <c r="J930" s="43">
        <f t="shared" ca="1" si="593"/>
        <v>-309.35251270876392</v>
      </c>
      <c r="K930" s="43">
        <f t="shared" ca="1" si="593"/>
        <v>-542.72200914744883</v>
      </c>
      <c r="L930" s="43">
        <f t="shared" ca="1" si="593"/>
        <v>36.808723789765239</v>
      </c>
      <c r="M930" s="43">
        <f t="shared" ca="1" si="593"/>
        <v>515.87606298127139</v>
      </c>
      <c r="N930" s="43">
        <f t="shared" ca="1" si="593"/>
        <v>1055.7734838408458</v>
      </c>
      <c r="O930" s="43">
        <f t="shared" ca="1" si="593"/>
        <v>1414.1014526877718</v>
      </c>
      <c r="P930" s="43">
        <f t="shared" ca="1" si="593"/>
        <v>1414.1014526877718</v>
      </c>
      <c r="Q930" s="43">
        <f t="shared" ca="1" si="593"/>
        <v>1414.1014526877718</v>
      </c>
      <c r="R930" s="43">
        <f t="shared" ca="1" si="593"/>
        <v>1414.1014526877718</v>
      </c>
      <c r="S930" s="43">
        <f t="shared" ca="1" si="593"/>
        <v>1414.1014526877718</v>
      </c>
      <c r="T930" s="43">
        <f t="shared" ca="1" si="593"/>
        <v>1414.1014526877718</v>
      </c>
      <c r="U930" s="43">
        <f t="shared" ref="U930" ca="1" si="594">U168</f>
        <v>1414.1014526877718</v>
      </c>
      <c r="V930" s="43">
        <f t="shared" ref="V930" ca="1" si="595">V168</f>
        <v>1414.1014526877718</v>
      </c>
      <c r="W930" s="43">
        <f t="shared" ref="W930" ca="1" si="596">W168</f>
        <v>1414.1014526877718</v>
      </c>
      <c r="X930" s="43">
        <f t="shared" ref="X930:Y930" ca="1" si="597">X168</f>
        <v>1414.1014526877718</v>
      </c>
      <c r="Y930" s="43">
        <f t="shared" ca="1" si="597"/>
        <v>1414.1014526877718</v>
      </c>
      <c r="AA930" s="54">
        <f t="shared" ca="1" si="577"/>
        <v>16311.499728321158</v>
      </c>
    </row>
    <row r="931" spans="1:27" outlineLevel="1" x14ac:dyDescent="0.2">
      <c r="A931" t="str">
        <f ca="1">Language!A$734</f>
        <v>Чистая прибыль (убыток)</v>
      </c>
      <c r="C931" s="5" t="str">
        <f t="shared" ca="1" si="571"/>
        <v>тыс. EUR</v>
      </c>
      <c r="F931" s="43">
        <f t="shared" ref="F931:T931" ca="1" si="598">F172</f>
        <v>0</v>
      </c>
      <c r="G931" s="43">
        <f t="shared" ca="1" si="598"/>
        <v>0</v>
      </c>
      <c r="H931" s="43">
        <f t="shared" ca="1" si="598"/>
        <v>0</v>
      </c>
      <c r="I931" s="43">
        <f t="shared" ca="1" si="598"/>
        <v>0</v>
      </c>
      <c r="J931" s="43">
        <f t="shared" ca="1" si="598"/>
        <v>-309.35251270876392</v>
      </c>
      <c r="K931" s="43">
        <f t="shared" ca="1" si="598"/>
        <v>-542.72200914744883</v>
      </c>
      <c r="L931" s="43">
        <f t="shared" ca="1" si="598"/>
        <v>36.808723789765239</v>
      </c>
      <c r="M931" s="43">
        <f t="shared" ca="1" si="598"/>
        <v>515.87606298127139</v>
      </c>
      <c r="N931" s="43">
        <f t="shared" ca="1" si="598"/>
        <v>912.06057157726855</v>
      </c>
      <c r="O931" s="43">
        <f t="shared" ca="1" si="598"/>
        <v>1145.4221766770952</v>
      </c>
      <c r="P931" s="43">
        <f t="shared" ca="1" si="598"/>
        <v>1145.4221766770952</v>
      </c>
      <c r="Q931" s="43">
        <f t="shared" ca="1" si="598"/>
        <v>1145.4221766770952</v>
      </c>
      <c r="R931" s="43">
        <f t="shared" ca="1" si="598"/>
        <v>1145.4221766770952</v>
      </c>
      <c r="S931" s="43">
        <f t="shared" ca="1" si="598"/>
        <v>1145.4221766770952</v>
      </c>
      <c r="T931" s="43">
        <f t="shared" ca="1" si="598"/>
        <v>1145.4221766770952</v>
      </c>
      <c r="U931" s="43">
        <f t="shared" ref="U931" ca="1" si="599">U172</f>
        <v>1145.4221766770952</v>
      </c>
      <c r="V931" s="43">
        <f t="shared" ref="V931" ca="1" si="600">V172</f>
        <v>1145.4221766770952</v>
      </c>
      <c r="W931" s="43">
        <f t="shared" ref="W931" ca="1" si="601">W172</f>
        <v>1145.4221766770952</v>
      </c>
      <c r="X931" s="43">
        <f t="shared" ref="X931:Y931" ca="1" si="602">X172</f>
        <v>1145.4221766770952</v>
      </c>
      <c r="Y931" s="43">
        <f t="shared" ca="1" si="602"/>
        <v>1145.4221766770952</v>
      </c>
      <c r="AA931" s="54">
        <f t="shared" ca="1" si="577"/>
        <v>13212.314779940139</v>
      </c>
    </row>
    <row r="932" spans="1:27" outlineLevel="1" x14ac:dyDescent="0.2">
      <c r="A932" t="str">
        <f ca="1">Language!A$743</f>
        <v>Нераспределенная прибыль (за период)</v>
      </c>
      <c r="C932" s="5" t="str">
        <f t="shared" ca="1" si="571"/>
        <v>тыс. EUR</v>
      </c>
      <c r="F932" s="43">
        <f t="shared" ref="F932:T932" ca="1" si="603">F185</f>
        <v>0</v>
      </c>
      <c r="G932" s="43">
        <f t="shared" ca="1" si="603"/>
        <v>0</v>
      </c>
      <c r="H932" s="43">
        <f t="shared" ca="1" si="603"/>
        <v>0</v>
      </c>
      <c r="I932" s="43">
        <f t="shared" ca="1" si="603"/>
        <v>0</v>
      </c>
      <c r="J932" s="43">
        <f t="shared" ca="1" si="603"/>
        <v>-309.35251270876392</v>
      </c>
      <c r="K932" s="43">
        <f t="shared" ca="1" si="603"/>
        <v>-542.72200914744883</v>
      </c>
      <c r="L932" s="43">
        <f t="shared" ca="1" si="603"/>
        <v>36.808723789765239</v>
      </c>
      <c r="M932" s="43">
        <f t="shared" ca="1" si="603"/>
        <v>515.87606298127139</v>
      </c>
      <c r="N932" s="43">
        <f t="shared" ca="1" si="603"/>
        <v>912.06057157726855</v>
      </c>
      <c r="O932" s="43">
        <f t="shared" ca="1" si="603"/>
        <v>1145.4221766770952</v>
      </c>
      <c r="P932" s="43">
        <f t="shared" ca="1" si="603"/>
        <v>1145.4221766770952</v>
      </c>
      <c r="Q932" s="43">
        <f t="shared" ca="1" si="603"/>
        <v>1145.4221766770952</v>
      </c>
      <c r="R932" s="43">
        <f t="shared" ca="1" si="603"/>
        <v>1145.4221766770952</v>
      </c>
      <c r="S932" s="43">
        <f t="shared" ca="1" si="603"/>
        <v>1145.4221766770952</v>
      </c>
      <c r="T932" s="43">
        <f t="shared" ca="1" si="603"/>
        <v>1145.4221766770952</v>
      </c>
      <c r="U932" s="43">
        <f t="shared" ref="U932" ca="1" si="604">U185</f>
        <v>1145.4221766770952</v>
      </c>
      <c r="V932" s="43">
        <f t="shared" ref="V932" ca="1" si="605">V185</f>
        <v>1145.4221766770952</v>
      </c>
      <c r="W932" s="43">
        <f t="shared" ref="W932" ca="1" si="606">W185</f>
        <v>1145.4221766770952</v>
      </c>
      <c r="X932" s="43">
        <f t="shared" ref="X932:Y932" ca="1" si="607">X185</f>
        <v>1145.4221766770952</v>
      </c>
      <c r="Y932" s="43">
        <f t="shared" ca="1" si="607"/>
        <v>1145.4221766770952</v>
      </c>
      <c r="AA932" s="54">
        <f t="shared" ca="1" si="577"/>
        <v>13212.314779940139</v>
      </c>
    </row>
    <row r="933" spans="1:27" outlineLevel="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4"/>
    </row>
    <row r="934" spans="1:27" outlineLevel="1" x14ac:dyDescent="0.2">
      <c r="A934" s="19" t="str">
        <f ca="1">Language!A$934</f>
        <v>Инвестции во внеоборотные активы</v>
      </c>
      <c r="B934" s="19"/>
      <c r="C934" s="26" t="str">
        <f t="shared" ca="1" si="571"/>
        <v>тыс. EUR</v>
      </c>
      <c r="D934" s="19"/>
      <c r="E934" s="19"/>
      <c r="F934" s="65">
        <f t="shared" ref="F934:T934" ca="1" si="608">F292+F294+F296+F298+F300+F302</f>
        <v>0</v>
      </c>
      <c r="G934" s="65">
        <f t="shared" ca="1" si="608"/>
        <v>0</v>
      </c>
      <c r="H934" s="65">
        <f t="shared" ca="1" si="608"/>
        <v>-5695.3855543220343</v>
      </c>
      <c r="I934" s="65">
        <f t="shared" ca="1" si="608"/>
        <v>-1519.56</v>
      </c>
      <c r="J934" s="65">
        <f t="shared" ca="1" si="608"/>
        <v>-7024.8891971793519</v>
      </c>
      <c r="K934" s="65">
        <f t="shared" ca="1" si="608"/>
        <v>-2982.5256975335087</v>
      </c>
      <c r="L934" s="65">
        <f t="shared" ca="1" si="608"/>
        <v>0</v>
      </c>
      <c r="M934" s="65">
        <f t="shared" ca="1" si="608"/>
        <v>0</v>
      </c>
      <c r="N934" s="65">
        <f t="shared" ca="1" si="608"/>
        <v>0</v>
      </c>
      <c r="O934" s="65">
        <f t="shared" ca="1" si="608"/>
        <v>0</v>
      </c>
      <c r="P934" s="65">
        <f t="shared" ca="1" si="608"/>
        <v>0</v>
      </c>
      <c r="Q934" s="65">
        <f t="shared" ca="1" si="608"/>
        <v>0</v>
      </c>
      <c r="R934" s="65">
        <f t="shared" ca="1" si="608"/>
        <v>0</v>
      </c>
      <c r="S934" s="65">
        <f t="shared" ca="1" si="608"/>
        <v>0</v>
      </c>
      <c r="T934" s="65">
        <f t="shared" ca="1" si="608"/>
        <v>0</v>
      </c>
      <c r="U934" s="65">
        <f t="shared" ref="U934" ca="1" si="609">U292+U294+U296+U298+U300+U302</f>
        <v>0</v>
      </c>
      <c r="V934" s="65">
        <f t="shared" ref="V934" ca="1" si="610">V292+V294+V296+V298+V300+V302</f>
        <v>0</v>
      </c>
      <c r="W934" s="65">
        <f t="shared" ref="W934" ca="1" si="611">W292+W294+W296+W298+W300+W302</f>
        <v>0</v>
      </c>
      <c r="X934" s="65">
        <f t="shared" ref="X934:Y934" ca="1" si="612">X292+X294+X296+X298+X300+X302</f>
        <v>0</v>
      </c>
      <c r="Y934" s="65">
        <f t="shared" ca="1" si="612"/>
        <v>0</v>
      </c>
      <c r="Z934" s="19"/>
      <c r="AA934" s="66">
        <f ca="1">SUM(F934:Y934)</f>
        <v>-17222.360449034895</v>
      </c>
    </row>
    <row r="935" spans="1:27" outlineLevel="1" x14ac:dyDescent="0.2">
      <c r="A935" s="19" t="str">
        <f ca="1">Language!A$935</f>
        <v>Инвестиции в оборотный капитал</v>
      </c>
      <c r="B935" s="19"/>
      <c r="C935" s="26" t="str">
        <f t="shared" ca="1" si="571"/>
        <v>тыс. EUR</v>
      </c>
      <c r="D935" s="19"/>
      <c r="E935" s="19"/>
      <c r="F935" s="65">
        <f t="shared" ref="F935:T935" ca="1" si="613">F304</f>
        <v>0</v>
      </c>
      <c r="G935" s="65">
        <f t="shared" ca="1" si="613"/>
        <v>0</v>
      </c>
      <c r="H935" s="65">
        <f t="shared" ca="1" si="613"/>
        <v>0</v>
      </c>
      <c r="I935" s="65">
        <f t="shared" ca="1" si="613"/>
        <v>0</v>
      </c>
      <c r="J935" s="65">
        <f t="shared" ca="1" si="613"/>
        <v>0</v>
      </c>
      <c r="K935" s="65">
        <f t="shared" ca="1" si="613"/>
        <v>98.76332976744186</v>
      </c>
      <c r="L935" s="65">
        <f t="shared" ca="1" si="613"/>
        <v>-5.6843418860808015E-14</v>
      </c>
      <c r="M935" s="65">
        <f t="shared" ca="1" si="613"/>
        <v>0</v>
      </c>
      <c r="N935" s="65">
        <f t="shared" ca="1" si="613"/>
        <v>47.90430408785906</v>
      </c>
      <c r="O935" s="65">
        <f t="shared" ca="1" si="613"/>
        <v>41.655454582366474</v>
      </c>
      <c r="P935" s="65">
        <f t="shared" ca="1" si="613"/>
        <v>0</v>
      </c>
      <c r="Q935" s="65">
        <f t="shared" ca="1" si="613"/>
        <v>0</v>
      </c>
      <c r="R935" s="65">
        <f t="shared" ca="1" si="613"/>
        <v>0</v>
      </c>
      <c r="S935" s="65">
        <f t="shared" ca="1" si="613"/>
        <v>0</v>
      </c>
      <c r="T935" s="65">
        <f t="shared" ca="1" si="613"/>
        <v>0</v>
      </c>
      <c r="U935" s="65">
        <f t="shared" ref="U935" ca="1" si="614">U304</f>
        <v>0</v>
      </c>
      <c r="V935" s="65">
        <f t="shared" ref="V935" ca="1" si="615">V304</f>
        <v>0</v>
      </c>
      <c r="W935" s="65">
        <f t="shared" ref="W935" ca="1" si="616">W304</f>
        <v>0</v>
      </c>
      <c r="X935" s="65">
        <f t="shared" ref="X935:Y935" ca="1" si="617">X304</f>
        <v>0</v>
      </c>
      <c r="Y935" s="65">
        <f t="shared" ca="1" si="617"/>
        <v>0</v>
      </c>
      <c r="Z935" s="19"/>
      <c r="AA935" s="66">
        <f ca="1">SUM(F935:Y935)</f>
        <v>188.32308843766734</v>
      </c>
    </row>
    <row r="936" spans="1:27" outlineLevel="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4"/>
    </row>
    <row r="937" spans="1:27" outlineLevel="1" x14ac:dyDescent="0.2">
      <c r="A937" s="19" t="str">
        <f ca="1">Language!A$936</f>
        <v>Собственные средства и целевое финансирование</v>
      </c>
      <c r="B937" s="19"/>
      <c r="C937" s="26" t="str">
        <f t="shared" ca="1" si="571"/>
        <v>тыс. EUR</v>
      </c>
      <c r="D937" s="19"/>
      <c r="E937" s="19"/>
      <c r="F937" s="65">
        <f t="shared" ref="F937:T937" ca="1" si="618">F312+F314+F316</f>
        <v>0</v>
      </c>
      <c r="G937" s="65">
        <f t="shared" ca="1" si="618"/>
        <v>0</v>
      </c>
      <c r="H937" s="65">
        <f t="shared" ca="1" si="618"/>
        <v>5695.3855543220343</v>
      </c>
      <c r="I937" s="65">
        <f t="shared" ca="1" si="618"/>
        <v>1519.56</v>
      </c>
      <c r="J937" s="65">
        <f t="shared" ca="1" si="618"/>
        <v>7024.8891971793519</v>
      </c>
      <c r="K937" s="65">
        <f t="shared" ca="1" si="618"/>
        <v>2982.5256975335087</v>
      </c>
      <c r="L937" s="65">
        <f t="shared" ca="1" si="618"/>
        <v>0</v>
      </c>
      <c r="M937" s="65">
        <f t="shared" ca="1" si="618"/>
        <v>0</v>
      </c>
      <c r="N937" s="65">
        <f t="shared" ca="1" si="618"/>
        <v>0</v>
      </c>
      <c r="O937" s="65">
        <f t="shared" ca="1" si="618"/>
        <v>0</v>
      </c>
      <c r="P937" s="65">
        <f t="shared" ca="1" si="618"/>
        <v>0</v>
      </c>
      <c r="Q937" s="65">
        <f t="shared" ca="1" si="618"/>
        <v>0</v>
      </c>
      <c r="R937" s="65">
        <f t="shared" ca="1" si="618"/>
        <v>0</v>
      </c>
      <c r="S937" s="65">
        <f t="shared" ca="1" si="618"/>
        <v>0</v>
      </c>
      <c r="T937" s="65">
        <f t="shared" ca="1" si="618"/>
        <v>0</v>
      </c>
      <c r="U937" s="65">
        <f t="shared" ref="U937" ca="1" si="619">U312+U314+U316</f>
        <v>0</v>
      </c>
      <c r="V937" s="65">
        <f t="shared" ref="V937" ca="1" si="620">V312+V314+V316</f>
        <v>0</v>
      </c>
      <c r="W937" s="65">
        <f t="shared" ref="W937" ca="1" si="621">W312+W314+W316</f>
        <v>0</v>
      </c>
      <c r="X937" s="65">
        <f t="shared" ref="X937:Y937" ca="1" si="622">X312+X314+X316</f>
        <v>0</v>
      </c>
      <c r="Y937" s="65">
        <f t="shared" ca="1" si="622"/>
        <v>0</v>
      </c>
      <c r="Z937" s="19"/>
      <c r="AA937" s="66">
        <f ca="1">SUM(F937:Y937)</f>
        <v>17222.360449034895</v>
      </c>
    </row>
    <row r="938" spans="1:27" outlineLevel="1" x14ac:dyDescent="0.2">
      <c r="AA938" s="11"/>
    </row>
    <row r="939" spans="1:27" outlineLevel="1" x14ac:dyDescent="0.2">
      <c r="A939" t="str">
        <f ca="1">Language!A$937</f>
        <v>Привлечение кредитов</v>
      </c>
      <c r="C939" s="5" t="str">
        <f t="shared" ca="1" si="571"/>
        <v>тыс. EUR</v>
      </c>
      <c r="F939" s="43">
        <f t="shared" ref="F939:T939" ca="1" si="623">F318</f>
        <v>0</v>
      </c>
      <c r="G939" s="43">
        <f t="shared" ca="1" si="623"/>
        <v>0</v>
      </c>
      <c r="H939" s="43">
        <f t="shared" ca="1" si="623"/>
        <v>0</v>
      </c>
      <c r="I939" s="43">
        <f t="shared" ca="1" si="623"/>
        <v>0</v>
      </c>
      <c r="J939" s="43">
        <f t="shared" ca="1" si="623"/>
        <v>0</v>
      </c>
      <c r="K939" s="43">
        <f t="shared" ca="1" si="623"/>
        <v>0</v>
      </c>
      <c r="L939" s="43">
        <f t="shared" ca="1" si="623"/>
        <v>0</v>
      </c>
      <c r="M939" s="43">
        <f t="shared" ca="1" si="623"/>
        <v>0</v>
      </c>
      <c r="N939" s="43">
        <f t="shared" ca="1" si="623"/>
        <v>0</v>
      </c>
      <c r="O939" s="43">
        <f t="shared" ca="1" si="623"/>
        <v>0</v>
      </c>
      <c r="P939" s="43">
        <f t="shared" ca="1" si="623"/>
        <v>0</v>
      </c>
      <c r="Q939" s="43">
        <f t="shared" ca="1" si="623"/>
        <v>0</v>
      </c>
      <c r="R939" s="43">
        <f t="shared" ca="1" si="623"/>
        <v>0</v>
      </c>
      <c r="S939" s="43">
        <f t="shared" ca="1" si="623"/>
        <v>0</v>
      </c>
      <c r="T939" s="43">
        <f t="shared" ca="1" si="623"/>
        <v>0</v>
      </c>
      <c r="U939" s="43">
        <f t="shared" ref="U939" ca="1" si="624">U318</f>
        <v>0</v>
      </c>
      <c r="V939" s="43">
        <f t="shared" ref="V939" ca="1" si="625">V318</f>
        <v>0</v>
      </c>
      <c r="W939" s="43">
        <f t="shared" ref="W939" ca="1" si="626">W318</f>
        <v>0</v>
      </c>
      <c r="X939" s="43">
        <f t="shared" ref="X939:Y939" ca="1" si="627">X318</f>
        <v>0</v>
      </c>
      <c r="Y939" s="43">
        <f t="shared" ca="1" si="627"/>
        <v>0</v>
      </c>
      <c r="AA939" s="54">
        <f ca="1">SUM(F939:Y939)</f>
        <v>0</v>
      </c>
    </row>
    <row r="940" spans="1:27" outlineLevel="1" x14ac:dyDescent="0.2">
      <c r="A940" t="str">
        <f ca="1">Language!A$938</f>
        <v>Погашение кредитов</v>
      </c>
      <c r="C940" s="5" t="str">
        <f t="shared" ca="1" si="571"/>
        <v>тыс. EUR</v>
      </c>
      <c r="F940" s="43">
        <f t="shared" ref="F940:T940" ca="1" si="628">F320</f>
        <v>0</v>
      </c>
      <c r="G940" s="43">
        <f t="shared" ca="1" si="628"/>
        <v>0</v>
      </c>
      <c r="H940" s="43">
        <f t="shared" ca="1" si="628"/>
        <v>0</v>
      </c>
      <c r="I940" s="43">
        <f t="shared" ca="1" si="628"/>
        <v>0</v>
      </c>
      <c r="J940" s="43">
        <f t="shared" ca="1" si="628"/>
        <v>0</v>
      </c>
      <c r="K940" s="43">
        <f t="shared" ca="1" si="628"/>
        <v>0</v>
      </c>
      <c r="L940" s="43">
        <f t="shared" ca="1" si="628"/>
        <v>0</v>
      </c>
      <c r="M940" s="43">
        <f t="shared" ca="1" si="628"/>
        <v>0</v>
      </c>
      <c r="N940" s="43">
        <f t="shared" ca="1" si="628"/>
        <v>0</v>
      </c>
      <c r="O940" s="43">
        <f t="shared" ca="1" si="628"/>
        <v>0</v>
      </c>
      <c r="P940" s="43">
        <f t="shared" ca="1" si="628"/>
        <v>0</v>
      </c>
      <c r="Q940" s="43">
        <f t="shared" ca="1" si="628"/>
        <v>0</v>
      </c>
      <c r="R940" s="43">
        <f t="shared" ca="1" si="628"/>
        <v>0</v>
      </c>
      <c r="S940" s="43">
        <f t="shared" ca="1" si="628"/>
        <v>0</v>
      </c>
      <c r="T940" s="43">
        <f t="shared" ca="1" si="628"/>
        <v>0</v>
      </c>
      <c r="U940" s="43">
        <f t="shared" ref="U940" ca="1" si="629">U320</f>
        <v>0</v>
      </c>
      <c r="V940" s="43">
        <f t="shared" ref="V940" ca="1" si="630">V320</f>
        <v>0</v>
      </c>
      <c r="W940" s="43">
        <f t="shared" ref="W940" ca="1" si="631">W320</f>
        <v>0</v>
      </c>
      <c r="X940" s="43">
        <f t="shared" ref="X940:Y940" ca="1" si="632">X320</f>
        <v>0</v>
      </c>
      <c r="Y940" s="43">
        <f t="shared" ca="1" si="632"/>
        <v>0</v>
      </c>
      <c r="AA940" s="54">
        <f ca="1">SUM(F940:Y940)</f>
        <v>0</v>
      </c>
    </row>
    <row r="941" spans="1:27" outlineLevel="1" x14ac:dyDescent="0.2">
      <c r="A941" t="str">
        <f ca="1">Language!A$939</f>
        <v>Выплата процентов по кредитам</v>
      </c>
      <c r="C941" s="5" t="str">
        <f t="shared" ca="1" si="571"/>
        <v>тыс. EUR</v>
      </c>
      <c r="F941" s="43">
        <f t="shared" ref="F941:T941" ca="1" si="633">F282</f>
        <v>0</v>
      </c>
      <c r="G941" s="43">
        <f t="shared" ca="1" si="633"/>
        <v>0</v>
      </c>
      <c r="H941" s="43">
        <f t="shared" ca="1" si="633"/>
        <v>0</v>
      </c>
      <c r="I941" s="43">
        <f t="shared" ca="1" si="633"/>
        <v>0</v>
      </c>
      <c r="J941" s="43">
        <f t="shared" ca="1" si="633"/>
        <v>0</v>
      </c>
      <c r="K941" s="43">
        <f t="shared" ca="1" si="633"/>
        <v>0</v>
      </c>
      <c r="L941" s="43">
        <f t="shared" ca="1" si="633"/>
        <v>0</v>
      </c>
      <c r="M941" s="43">
        <f t="shared" ca="1" si="633"/>
        <v>0</v>
      </c>
      <c r="N941" s="43">
        <f t="shared" ca="1" si="633"/>
        <v>0</v>
      </c>
      <c r="O941" s="43">
        <f t="shared" ca="1" si="633"/>
        <v>0</v>
      </c>
      <c r="P941" s="43">
        <f t="shared" ca="1" si="633"/>
        <v>0</v>
      </c>
      <c r="Q941" s="43">
        <f t="shared" ca="1" si="633"/>
        <v>0</v>
      </c>
      <c r="R941" s="43">
        <f t="shared" ca="1" si="633"/>
        <v>0</v>
      </c>
      <c r="S941" s="43">
        <f t="shared" ca="1" si="633"/>
        <v>0</v>
      </c>
      <c r="T941" s="43">
        <f t="shared" ca="1" si="633"/>
        <v>0</v>
      </c>
      <c r="U941" s="43">
        <f t="shared" ref="U941" ca="1" si="634">U282</f>
        <v>0</v>
      </c>
      <c r="V941" s="43">
        <f t="shared" ref="V941" ca="1" si="635">V282</f>
        <v>0</v>
      </c>
      <c r="W941" s="43">
        <f t="shared" ref="W941" ca="1" si="636">W282</f>
        <v>0</v>
      </c>
      <c r="X941" s="43">
        <f t="shared" ref="X941:Y941" ca="1" si="637">X282</f>
        <v>0</v>
      </c>
      <c r="Y941" s="43">
        <f t="shared" ca="1" si="637"/>
        <v>0</v>
      </c>
      <c r="AA941" s="54">
        <f ca="1">SUM(F941:Y941)</f>
        <v>0</v>
      </c>
    </row>
    <row r="942" spans="1:27" outlineLevel="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4"/>
    </row>
    <row r="943" spans="1:27" outlineLevel="1" x14ac:dyDescent="0.2">
      <c r="A943" s="23" t="str">
        <f ca="1">Language!A$765</f>
        <v>Суммарный денежный поток за период</v>
      </c>
      <c r="B943" s="19"/>
      <c r="C943" s="5" t="str">
        <f t="shared" ca="1" si="571"/>
        <v>тыс. EUR</v>
      </c>
      <c r="D943" s="19"/>
      <c r="E943" s="19"/>
      <c r="F943" s="65">
        <f t="shared" ref="F943:T943" ca="1" si="638">F330</f>
        <v>0</v>
      </c>
      <c r="G943" s="65">
        <f t="shared" ca="1" si="638"/>
        <v>0</v>
      </c>
      <c r="H943" s="65">
        <f t="shared" ca="1" si="638"/>
        <v>0</v>
      </c>
      <c r="I943" s="65">
        <f t="shared" ca="1" si="638"/>
        <v>0</v>
      </c>
      <c r="J943" s="65">
        <f t="shared" ca="1" si="638"/>
        <v>0</v>
      </c>
      <c r="K943" s="65">
        <f t="shared" ca="1" si="638"/>
        <v>2827.4120312836421</v>
      </c>
      <c r="L943" s="65">
        <f t="shared" ca="1" si="638"/>
        <v>15.62326190094285</v>
      </c>
      <c r="M943" s="65">
        <f t="shared" ca="1" si="638"/>
        <v>662.99303790614749</v>
      </c>
      <c r="N943" s="65">
        <f t="shared" ca="1" si="638"/>
        <v>964.0102427528858</v>
      </c>
      <c r="O943" s="65">
        <f t="shared" ca="1" si="638"/>
        <v>1285.2732652519153</v>
      </c>
      <c r="P943" s="65">
        <f t="shared" ca="1" si="638"/>
        <v>1454.7746893858593</v>
      </c>
      <c r="Q943" s="65">
        <f t="shared" ca="1" si="638"/>
        <v>1454.7746893858593</v>
      </c>
      <c r="R943" s="65">
        <f t="shared" ca="1" si="638"/>
        <v>1454.7746893858593</v>
      </c>
      <c r="S943" s="65">
        <f t="shared" ca="1" si="638"/>
        <v>1454.7746893858593</v>
      </c>
      <c r="T943" s="65">
        <f t="shared" ca="1" si="638"/>
        <v>1454.7746893858593</v>
      </c>
      <c r="U943" s="65">
        <f t="shared" ref="U943" ca="1" si="639">U330</f>
        <v>1454.7746893858593</v>
      </c>
      <c r="V943" s="65">
        <f t="shared" ref="V943" ca="1" si="640">V330</f>
        <v>1454.7746893858593</v>
      </c>
      <c r="W943" s="65">
        <f t="shared" ref="W943" ca="1" si="641">W330</f>
        <v>1454.7746893858593</v>
      </c>
      <c r="X943" s="65">
        <f t="shared" ref="X943:Y943" ca="1" si="642">X330</f>
        <v>1454.7746893858593</v>
      </c>
      <c r="Y943" s="65">
        <f t="shared" ca="1" si="642"/>
        <v>1454.7746893858593</v>
      </c>
      <c r="Z943" s="19"/>
      <c r="AA943" s="66">
        <f ca="1">SUM(F943:Y943)</f>
        <v>20303.058732954134</v>
      </c>
    </row>
    <row r="944" spans="1:27" outlineLevel="1" x14ac:dyDescent="0.2">
      <c r="A944" s="23" t="str">
        <f ca="1">Language!A$766</f>
        <v>Денежные средства на начало периода</v>
      </c>
      <c r="B944" s="19"/>
      <c r="C944" s="5" t="str">
        <f t="shared" ca="1" si="571"/>
        <v>тыс. EUR</v>
      </c>
      <c r="D944" s="19"/>
      <c r="E944" s="19"/>
      <c r="F944" s="65">
        <f t="shared" ref="F944:T944" ca="1" si="643">F332</f>
        <v>0</v>
      </c>
      <c r="G944" s="65">
        <f t="shared" ca="1" si="643"/>
        <v>0</v>
      </c>
      <c r="H944" s="65">
        <f t="shared" ca="1" si="643"/>
        <v>0</v>
      </c>
      <c r="I944" s="65">
        <f t="shared" ca="1" si="643"/>
        <v>0</v>
      </c>
      <c r="J944" s="65">
        <f t="shared" ca="1" si="643"/>
        <v>0</v>
      </c>
      <c r="K944" s="65">
        <f t="shared" ca="1" si="643"/>
        <v>0</v>
      </c>
      <c r="L944" s="65">
        <f t="shared" ca="1" si="643"/>
        <v>2827.4120312836421</v>
      </c>
      <c r="M944" s="65">
        <f t="shared" ca="1" si="643"/>
        <v>2843.035293184585</v>
      </c>
      <c r="N944" s="65">
        <f t="shared" ca="1" si="643"/>
        <v>3506.0283310907325</v>
      </c>
      <c r="O944" s="65">
        <f t="shared" ca="1" si="643"/>
        <v>4470.038573843618</v>
      </c>
      <c r="P944" s="65">
        <f t="shared" ca="1" si="643"/>
        <v>5755.3118390955333</v>
      </c>
      <c r="Q944" s="65">
        <f t="shared" ca="1" si="643"/>
        <v>7210.0865284813926</v>
      </c>
      <c r="R944" s="65">
        <f t="shared" ca="1" si="643"/>
        <v>8664.861217867252</v>
      </c>
      <c r="S944" s="65">
        <f t="shared" ca="1" si="643"/>
        <v>10119.63590725311</v>
      </c>
      <c r="T944" s="65">
        <f t="shared" ca="1" si="643"/>
        <v>11574.410596638969</v>
      </c>
      <c r="U944" s="65">
        <f t="shared" ref="U944" ca="1" si="644">U332</f>
        <v>13029.185286024827</v>
      </c>
      <c r="V944" s="65">
        <f t="shared" ref="V944" ca="1" si="645">V332</f>
        <v>14483.959975410686</v>
      </c>
      <c r="W944" s="65">
        <f t="shared" ref="W944" ca="1" si="646">W332</f>
        <v>15938.734664796546</v>
      </c>
      <c r="X944" s="65">
        <f t="shared" ref="X944:Y944" ca="1" si="647">X332</f>
        <v>17393.509354182403</v>
      </c>
      <c r="Y944" s="65">
        <f t="shared" ca="1" si="647"/>
        <v>24667.382801111704</v>
      </c>
      <c r="Z944" s="19"/>
      <c r="AA944" s="22"/>
    </row>
    <row r="945" spans="1:27" outlineLevel="1" x14ac:dyDescent="0.2">
      <c r="A945" s="23" t="str">
        <f ca="1">Language!A$767</f>
        <v>Денежные средства на конец периода</v>
      </c>
      <c r="B945" s="19"/>
      <c r="C945" s="5" t="str">
        <f t="shared" ca="1" si="571"/>
        <v>тыс. EUR</v>
      </c>
      <c r="D945" s="19"/>
      <c r="E945" s="19"/>
      <c r="F945" s="65">
        <f t="shared" ref="F945:T945" ca="1" si="648">F334</f>
        <v>0</v>
      </c>
      <c r="G945" s="65">
        <f t="shared" ca="1" si="648"/>
        <v>0</v>
      </c>
      <c r="H945" s="65">
        <f t="shared" ca="1" si="648"/>
        <v>0</v>
      </c>
      <c r="I945" s="65">
        <f t="shared" ca="1" si="648"/>
        <v>0</v>
      </c>
      <c r="J945" s="65">
        <f t="shared" ca="1" si="648"/>
        <v>0</v>
      </c>
      <c r="K945" s="65">
        <f t="shared" ca="1" si="648"/>
        <v>2827.4120312836421</v>
      </c>
      <c r="L945" s="65">
        <f t="shared" ca="1" si="648"/>
        <v>2843.035293184585</v>
      </c>
      <c r="M945" s="65">
        <f t="shared" ca="1" si="648"/>
        <v>3506.0283310907325</v>
      </c>
      <c r="N945" s="65">
        <f t="shared" ca="1" si="648"/>
        <v>4470.038573843618</v>
      </c>
      <c r="O945" s="65">
        <f t="shared" ca="1" si="648"/>
        <v>5755.3118390955333</v>
      </c>
      <c r="P945" s="65">
        <f t="shared" ca="1" si="648"/>
        <v>7210.0865284813926</v>
      </c>
      <c r="Q945" s="65">
        <f t="shared" ca="1" si="648"/>
        <v>8664.861217867252</v>
      </c>
      <c r="R945" s="65">
        <f t="shared" ca="1" si="648"/>
        <v>10119.63590725311</v>
      </c>
      <c r="S945" s="65">
        <f t="shared" ca="1" si="648"/>
        <v>11574.410596638969</v>
      </c>
      <c r="T945" s="65">
        <f t="shared" ca="1" si="648"/>
        <v>13029.185286024827</v>
      </c>
      <c r="U945" s="65">
        <f t="shared" ref="U945" ca="1" si="649">U334</f>
        <v>14483.959975410686</v>
      </c>
      <c r="V945" s="65">
        <f t="shared" ref="V945" ca="1" si="650">V334</f>
        <v>15938.734664796546</v>
      </c>
      <c r="W945" s="65">
        <f t="shared" ref="W945" ca="1" si="651">W334</f>
        <v>17393.509354182403</v>
      </c>
      <c r="X945" s="65">
        <f t="shared" ref="X945:Y945" ca="1" si="652">X334</f>
        <v>18848.284043568263</v>
      </c>
      <c r="Y945" s="65">
        <f t="shared" ca="1" si="652"/>
        <v>27196.87459454027</v>
      </c>
      <c r="Z945" s="19"/>
      <c r="AA945" s="22"/>
    </row>
    <row r="946" spans="1:27" outlineLevel="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4"/>
    </row>
    <row r="947" spans="1:27" outlineLevel="1" x14ac:dyDescent="0.2">
      <c r="A947" s="62" t="str">
        <f ca="1">Language!A$940</f>
        <v>Эффективность полных инвестиционных затрат</v>
      </c>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22"/>
    </row>
    <row r="948" spans="1:27" outlineLevel="1" x14ac:dyDescent="0.2">
      <c r="A948" s="24" t="str">
        <f ca="1">Language!A$864</f>
        <v>Чистая приведенная стоимость (NPV)</v>
      </c>
      <c r="B948" s="137">
        <f ca="1">B703</f>
        <v>-1679.2319098761034</v>
      </c>
      <c r="C948" s="5" t="str">
        <f ca="1">CUR_Report</f>
        <v>тыс. EUR</v>
      </c>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22"/>
    </row>
    <row r="949" spans="1:27" outlineLevel="1" x14ac:dyDescent="0.2">
      <c r="A949" s="24" t="str">
        <f ca="1">Language!A$865</f>
        <v>Дисконтированный срок окупаемости (PBP)</v>
      </c>
      <c r="B949" s="156" t="str">
        <f ca="1">B704</f>
        <v>Нет</v>
      </c>
      <c r="C949" s="156" t="str">
        <f ca="1">C704</f>
        <v>лет</v>
      </c>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22"/>
    </row>
    <row r="950" spans="1:27" outlineLevel="1" x14ac:dyDescent="0.2">
      <c r="A950" s="23" t="str">
        <f ca="1">Language!A$868</f>
        <v>Внутренняя норма рентабельности (IRR)</v>
      </c>
      <c r="B950" s="155">
        <f ca="1">B707</f>
        <v>7.885133518602272E-2</v>
      </c>
      <c r="C950" s="211" t="str">
        <f ca="1">C707</f>
        <v>(номинальная - с учетом инфляции)</v>
      </c>
      <c r="AA950" s="11"/>
    </row>
    <row r="951" spans="1:27" outlineLevel="1" x14ac:dyDescent="0.2">
      <c r="A951" s="23" t="str">
        <f ca="1">Language!A$869</f>
        <v>Норма доходности дисконтированных затрат (PI)</v>
      </c>
      <c r="B951" s="153">
        <f ca="1">B710</f>
        <v>0.87088209112750048</v>
      </c>
      <c r="C951" s="153" t="str">
        <f ca="1">C710</f>
        <v>разы</v>
      </c>
      <c r="AA951" s="11"/>
    </row>
    <row r="952" spans="1:27" outlineLevel="1" x14ac:dyDescent="0.2">
      <c r="AA952" s="11"/>
    </row>
    <row r="953" spans="1:27" outlineLevel="1" x14ac:dyDescent="0.2">
      <c r="A953" s="35" t="str">
        <f ca="1">Language!A$941</f>
        <v>Эффективность для собственного капитала</v>
      </c>
      <c r="AA953" s="11"/>
    </row>
    <row r="954" spans="1:27" outlineLevel="1" x14ac:dyDescent="0.2">
      <c r="A954" s="24" t="str">
        <f ca="1">Language!A$864</f>
        <v>Чистая приведенная стоимость (NPV)</v>
      </c>
      <c r="B954" s="130">
        <f ca="1">B779</f>
        <v>13726.441095837874</v>
      </c>
      <c r="C954" s="5" t="str">
        <f ca="1">CUR_Report</f>
        <v>тыс. EUR</v>
      </c>
      <c r="AA954" s="11"/>
    </row>
    <row r="955" spans="1:27" outlineLevel="1" x14ac:dyDescent="0.2">
      <c r="A955" s="24" t="str">
        <f ca="1">Language!A$865</f>
        <v>Дисконтированный срок окупаемости (PBP)</v>
      </c>
      <c r="B955" s="135" t="str">
        <f ca="1">B780</f>
        <v>Нет</v>
      </c>
      <c r="C955" s="135" t="str">
        <f ca="1">C780</f>
        <v>лет</v>
      </c>
      <c r="AA955" s="11"/>
    </row>
    <row r="956" spans="1:27" outlineLevel="1" x14ac:dyDescent="0.2">
      <c r="A956" s="23" t="str">
        <f ca="1">Language!A$868</f>
        <v>Внутренняя норма рентабельности (IRR)</v>
      </c>
      <c r="B956" s="155" t="str">
        <f ca="1">B783</f>
        <v>Нет</v>
      </c>
      <c r="C956" s="211" t="str">
        <f ca="1">C783</f>
        <v>(номинальная - с учетом инфляции)</v>
      </c>
      <c r="AA956" s="11"/>
    </row>
    <row r="957" spans="1:27" outlineLevel="1" x14ac:dyDescent="0.2">
      <c r="A957" s="23" t="str">
        <f ca="1">Language!A$869</f>
        <v>Норма доходности дисконтированных затрат (PI)</v>
      </c>
      <c r="B957" s="153" t="str">
        <f ca="1">B786</f>
        <v>Нет</v>
      </c>
      <c r="C957" s="153" t="str">
        <f ca="1">C786</f>
        <v>разы</v>
      </c>
      <c r="AA957" s="11"/>
    </row>
    <row r="958" spans="1:27" outlineLevel="1" x14ac:dyDescent="0.2">
      <c r="AA958" s="11"/>
    </row>
    <row r="959" spans="1:27" outlineLevel="1" x14ac:dyDescent="0.2">
      <c r="A959" s="35" t="str">
        <f ca="1">Language!A$942</f>
        <v>Эффективность для банка</v>
      </c>
      <c r="AA959" s="11"/>
    </row>
    <row r="960" spans="1:27" outlineLevel="1" x14ac:dyDescent="0.2">
      <c r="A960" s="24" t="str">
        <f ca="1">Language!A$865</f>
        <v>Дисконтированный срок окупаемости (PBP)</v>
      </c>
      <c r="B960" s="135" t="str">
        <f ca="1">B854</f>
        <v>Нет</v>
      </c>
      <c r="C960" s="135" t="str">
        <f ca="1">C854</f>
        <v>лет</v>
      </c>
      <c r="AA960" s="11"/>
    </row>
    <row r="961" spans="1:27" outlineLevel="1" x14ac:dyDescent="0.2">
      <c r="A961" s="23" t="str">
        <f ca="1">Language!A$868</f>
        <v>Внутренняя норма рентабельности (IRR)</v>
      </c>
      <c r="B961" s="155" t="str">
        <f ca="1">B857</f>
        <v>Нет</v>
      </c>
      <c r="C961" s="211" t="str">
        <f ca="1">C857</f>
        <v>(номинальная - с учетом инфляции)</v>
      </c>
      <c r="AA961" s="11"/>
    </row>
    <row r="962" spans="1:27" outlineLevel="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4"/>
    </row>
    <row r="963" spans="1:27" outlineLevel="1" x14ac:dyDescent="0.2">
      <c r="AA963" s="11"/>
    </row>
  </sheetData>
  <mergeCells count="2">
    <mergeCell ref="B11:C11"/>
    <mergeCell ref="B16:C16"/>
  </mergeCells>
  <phoneticPr fontId="13" type="noConversion"/>
  <conditionalFormatting sqref="F514:T514">
    <cfRule type="cellIs" dxfId="7" priority="11" stopIfTrue="1" operator="notEqual">
      <formula>0</formula>
    </cfRule>
  </conditionalFormatting>
  <conditionalFormatting sqref="B42">
    <cfRule type="expression" dxfId="6" priority="10" stopIfTrue="1">
      <formula>$B$41=2</formula>
    </cfRule>
  </conditionalFormatting>
  <conditionalFormatting sqref="A14:C14">
    <cfRule type="expression" dxfId="5" priority="9" stopIfTrue="1">
      <formula>$D$14=0</formula>
    </cfRule>
  </conditionalFormatting>
  <conditionalFormatting sqref="U514">
    <cfRule type="cellIs" dxfId="4" priority="8" stopIfTrue="1" operator="notEqual">
      <formula>0</formula>
    </cfRule>
  </conditionalFormatting>
  <conditionalFormatting sqref="V514">
    <cfRule type="cellIs" dxfId="3" priority="6" stopIfTrue="1" operator="notEqual">
      <formula>0</formula>
    </cfRule>
  </conditionalFormatting>
  <conditionalFormatting sqref="W514">
    <cfRule type="cellIs" dxfId="2" priority="4" stopIfTrue="1" operator="notEqual">
      <formula>0</formula>
    </cfRule>
  </conditionalFormatting>
  <conditionalFormatting sqref="X514">
    <cfRule type="cellIs" dxfId="1" priority="2" stopIfTrue="1" operator="notEqual">
      <formula>0</formula>
    </cfRule>
  </conditionalFormatting>
  <conditionalFormatting sqref="Y514">
    <cfRule type="cellIs" dxfId="0" priority="1" stopIfTrue="1" operator="notEqual">
      <formula>0</formula>
    </cfRule>
  </conditionalFormatting>
  <dataValidations count="4">
    <dataValidation type="list" allowBlank="1" showInputMessage="1" showErrorMessage="1" errorTitle="Внимание!" error="Значение ячейки может содержать:_x000a_1 - Да, учитывать_x000a_2 - Нет, не учитывать" prompt="1 - Да, учитывать_x000a_2 - Нет, не учитывать" sqref="B751:B752 B675:B676" xr:uid="{00000000-0002-0000-0100-000000000000}">
      <formula1>"1,2"</formula1>
    </dataValidation>
    <dataValidation type="list" allowBlank="1" showInputMessage="1" showErrorMessage="1" error="Внимание! Ячейка может содержать значения:_x000a_1 - Да, учитывать проект_x000a_0 - Нет, не учитывать проект_x000a_-1 - Вычитать проект" prompt="1 - Да, учитывать_x000a_0 - Нет, не учитывать_x000a_-1 - Вычитать" sqref="B12" xr:uid="{00000000-0002-0000-0100-000001000000}">
      <formula1>"0,1,-1"</formula1>
    </dataValidation>
    <dataValidation type="list" allowBlank="1" showInputMessage="1" showErrorMessage="1" error="Внимание! Ячейка может содержать значения:_x000a_1 - Да, пересчитать налог_x000a_2 - Нет, не пересчитывать налог" prompt="1 - Да, пересчитать_x000a_2 - Нет, не пересчитывать" sqref="B41" xr:uid="{00000000-0002-0000-0100-000002000000}">
      <formula1>"1,2"</formula1>
    </dataValidation>
    <dataValidation type="list" allowBlank="1" showInputMessage="1" showErrorMessage="1" error="Внимание! Ячейка может содержать значения:_x000a_1 - Да, не обнулять данные_x000a_0 - Нет, обнулить" prompt="1 - Да_x000a_0 - Нет" sqref="B14" xr:uid="{00000000-0002-0000-0100-000003000000}">
      <formula1>"0,1"</formula1>
    </dataValidation>
  </dataValidations>
  <pageMargins left="0.7" right="0.7" top="0.75" bottom="0.75" header="0.3" footer="0.3"/>
  <pageSetup paperSize="9" orientation="portrait" horizontalDpi="200" verticalDpi="200"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PORT_BTN_3">
              <controlPr defaultSize="0" print="0" autoFill="0" autoPict="0" macro="[0]!UpdateExtProjects">
                <anchor moveWithCells="1" sizeWithCells="1">
                  <from>
                    <xdr:col>0</xdr:col>
                    <xdr:colOff>19050</xdr:colOff>
                    <xdr:row>16</xdr:row>
                    <xdr:rowOff>0</xdr:rowOff>
                  </from>
                  <to>
                    <xdr:col>1</xdr:col>
                    <xdr:colOff>0</xdr:colOff>
                    <xdr:row>17</xdr:row>
                    <xdr:rowOff>0</xdr:rowOff>
                  </to>
                </anchor>
              </controlPr>
            </control>
          </mc:Choice>
        </mc:AlternateContent>
        <mc:AlternateContent xmlns:mc="http://schemas.openxmlformats.org/markup-compatibility/2006">
          <mc:Choice Requires="x14">
            <control shapeId="4098" r:id="rId5" name="PORT_BTN_1">
              <controlPr defaultSize="0" print="0" autoFill="0" autoPict="0" macro="[0]!Run_AddProject">
                <anchor moveWithCells="1" sizeWithCells="1">
                  <from>
                    <xdr:col>0</xdr:col>
                    <xdr:colOff>9525</xdr:colOff>
                    <xdr:row>8</xdr:row>
                    <xdr:rowOff>0</xdr:rowOff>
                  </from>
                  <to>
                    <xdr:col>0</xdr:col>
                    <xdr:colOff>1409700</xdr:colOff>
                    <xdr:row>9</xdr:row>
                    <xdr:rowOff>0</xdr:rowOff>
                  </to>
                </anchor>
              </controlPr>
            </control>
          </mc:Choice>
        </mc:AlternateContent>
        <mc:AlternateContent xmlns:mc="http://schemas.openxmlformats.org/markup-compatibility/2006">
          <mc:Choice Requires="x14">
            <control shapeId="4099" r:id="rId6" name="PORT_BTN_2">
              <controlPr defaultSize="0" print="0" autoFill="0" autoPict="0" macro="[0]!Run_DelProject">
                <anchor moveWithCells="1" sizeWithCells="1">
                  <from>
                    <xdr:col>0</xdr:col>
                    <xdr:colOff>1543050</xdr:colOff>
                    <xdr:row>8</xdr:row>
                    <xdr:rowOff>0</xdr:rowOff>
                  </from>
                  <to>
                    <xdr:col>0</xdr:col>
                    <xdr:colOff>2895600</xdr:colOff>
                    <xdr:row>9</xdr:row>
                    <xdr:rowOff>0</xdr:rowOff>
                  </to>
                </anchor>
              </controlPr>
            </control>
          </mc:Choice>
        </mc:AlternateContent>
        <mc:AlternateContent xmlns:mc="http://schemas.openxmlformats.org/markup-compatibility/2006">
          <mc:Choice Requires="x14">
            <control shapeId="4100" r:id="rId7" name="Button 4">
              <controlPr defaultSize="0" print="0" autoFill="0" autoPict="0" macro="[0]!Run_Navigator">
                <anchor moveWithCells="1" sizeWithCells="1">
                  <from>
                    <xdr:col>0</xdr:col>
                    <xdr:colOff>19050</xdr:colOff>
                    <xdr:row>3</xdr:row>
                    <xdr:rowOff>9525</xdr:rowOff>
                  </from>
                  <to>
                    <xdr:col>0</xdr:col>
                    <xdr:colOff>219075</xdr:colOff>
                    <xdr:row>3</xdr:row>
                    <xdr:rowOff>190500</xdr:rowOff>
                  </to>
                </anchor>
              </controlPr>
            </control>
          </mc:Choice>
        </mc:AlternateContent>
        <mc:AlternateContent xmlns:mc="http://schemas.openxmlformats.org/markup-compatibility/2006">
          <mc:Choice Requires="x14">
            <control shapeId="4104" r:id="rId8" name="Button 8">
              <controlPr defaultSize="0" print="0" autoFill="0" autoPict="0" macro="[0]!Run_Navigator">
                <anchor moveWithCells="1" sizeWithCells="1">
                  <from>
                    <xdr:col>0</xdr:col>
                    <xdr:colOff>19050</xdr:colOff>
                    <xdr:row>38</xdr:row>
                    <xdr:rowOff>9525</xdr:rowOff>
                  </from>
                  <to>
                    <xdr:col>0</xdr:col>
                    <xdr:colOff>219075</xdr:colOff>
                    <xdr:row>38</xdr:row>
                    <xdr:rowOff>190500</xdr:rowOff>
                  </to>
                </anchor>
              </controlPr>
            </control>
          </mc:Choice>
        </mc:AlternateContent>
        <mc:AlternateContent xmlns:mc="http://schemas.openxmlformats.org/markup-compatibility/2006">
          <mc:Choice Requires="x14">
            <control shapeId="4105" r:id="rId9" name="Button 9">
              <controlPr defaultSize="0" print="0" autoFill="0" autoPict="0" macro="[0]!Run_Navigator">
                <anchor moveWithCells="1" sizeWithCells="1">
                  <from>
                    <xdr:col>0</xdr:col>
                    <xdr:colOff>19050</xdr:colOff>
                    <xdr:row>124</xdr:row>
                    <xdr:rowOff>9525</xdr:rowOff>
                  </from>
                  <to>
                    <xdr:col>0</xdr:col>
                    <xdr:colOff>219075</xdr:colOff>
                    <xdr:row>124</xdr:row>
                    <xdr:rowOff>190500</xdr:rowOff>
                  </to>
                </anchor>
              </controlPr>
            </control>
          </mc:Choice>
        </mc:AlternateContent>
        <mc:AlternateContent xmlns:mc="http://schemas.openxmlformats.org/markup-compatibility/2006">
          <mc:Choice Requires="x14">
            <control shapeId="4106" r:id="rId10" name="Button 10">
              <controlPr defaultSize="0" print="0" autoFill="0" autoPict="0" macro="[0]!Run_Navigator">
                <anchor moveWithCells="1" sizeWithCells="1">
                  <from>
                    <xdr:col>0</xdr:col>
                    <xdr:colOff>19050</xdr:colOff>
                    <xdr:row>267</xdr:row>
                    <xdr:rowOff>9525</xdr:rowOff>
                  </from>
                  <to>
                    <xdr:col>0</xdr:col>
                    <xdr:colOff>219075</xdr:colOff>
                    <xdr:row>267</xdr:row>
                    <xdr:rowOff>190500</xdr:rowOff>
                  </to>
                </anchor>
              </controlPr>
            </control>
          </mc:Choice>
        </mc:AlternateContent>
        <mc:AlternateContent xmlns:mc="http://schemas.openxmlformats.org/markup-compatibility/2006">
          <mc:Choice Requires="x14">
            <control shapeId="4118" r:id="rId11" name="Button 22">
              <controlPr defaultSize="0" print="0" autoFill="0" autoPict="0" macro="[0]!Run_Navigator">
                <anchor moveWithCells="1" sizeWithCells="1">
                  <from>
                    <xdr:col>0</xdr:col>
                    <xdr:colOff>19050</xdr:colOff>
                    <xdr:row>65</xdr:row>
                    <xdr:rowOff>9525</xdr:rowOff>
                  </from>
                  <to>
                    <xdr:col>0</xdr:col>
                    <xdr:colOff>219075</xdr:colOff>
                    <xdr:row>65</xdr:row>
                    <xdr:rowOff>190500</xdr:rowOff>
                  </to>
                </anchor>
              </controlPr>
            </control>
          </mc:Choice>
        </mc:AlternateContent>
        <mc:AlternateContent xmlns:mc="http://schemas.openxmlformats.org/markup-compatibility/2006">
          <mc:Choice Requires="x14">
            <control shapeId="4122" r:id="rId12" name="Button 26">
              <controlPr defaultSize="0" print="0" autoFill="0" autoPict="0" macro="[0]!Run_Navigator">
                <anchor moveWithCells="1" sizeWithCells="1">
                  <from>
                    <xdr:col>0</xdr:col>
                    <xdr:colOff>19050</xdr:colOff>
                    <xdr:row>437</xdr:row>
                    <xdr:rowOff>9525</xdr:rowOff>
                  </from>
                  <to>
                    <xdr:col>0</xdr:col>
                    <xdr:colOff>219075</xdr:colOff>
                    <xdr:row>437</xdr:row>
                    <xdr:rowOff>190500</xdr:rowOff>
                  </to>
                </anchor>
              </controlPr>
            </control>
          </mc:Choice>
        </mc:AlternateContent>
        <mc:AlternateContent xmlns:mc="http://schemas.openxmlformats.org/markup-compatibility/2006">
          <mc:Choice Requires="x14">
            <control shapeId="4125" r:id="rId13" name="Button 29">
              <controlPr defaultSize="0" print="0" autoFill="0" autoPict="0" macro="[0]!Run_Navigator">
                <anchor moveWithCells="1" sizeWithCells="1">
                  <from>
                    <xdr:col>0</xdr:col>
                    <xdr:colOff>19050</xdr:colOff>
                    <xdr:row>566</xdr:row>
                    <xdr:rowOff>9525</xdr:rowOff>
                  </from>
                  <to>
                    <xdr:col>0</xdr:col>
                    <xdr:colOff>219075</xdr:colOff>
                    <xdr:row>566</xdr:row>
                    <xdr:rowOff>190500</xdr:rowOff>
                  </to>
                </anchor>
              </controlPr>
            </control>
          </mc:Choice>
        </mc:AlternateContent>
        <mc:AlternateContent xmlns:mc="http://schemas.openxmlformats.org/markup-compatibility/2006">
          <mc:Choice Requires="x14">
            <control shapeId="4127" r:id="rId14" name="Button 31">
              <controlPr defaultSize="0" print="0" autoFill="0" autoPict="0" macro="[0]!Run_Navigator">
                <anchor moveWithCells="1" sizeWithCells="1">
                  <from>
                    <xdr:col>0</xdr:col>
                    <xdr:colOff>19050</xdr:colOff>
                    <xdr:row>669</xdr:row>
                    <xdr:rowOff>0</xdr:rowOff>
                  </from>
                  <to>
                    <xdr:col>0</xdr:col>
                    <xdr:colOff>219075</xdr:colOff>
                    <xdr:row>669</xdr:row>
                    <xdr:rowOff>180975</xdr:rowOff>
                  </to>
                </anchor>
              </controlPr>
            </control>
          </mc:Choice>
        </mc:AlternateContent>
        <mc:AlternateContent xmlns:mc="http://schemas.openxmlformats.org/markup-compatibility/2006">
          <mc:Choice Requires="x14">
            <control shapeId="4133" r:id="rId15" name="Button 37">
              <controlPr defaultSize="0" print="0" autoFill="0" autoPict="0" macro="[0]!Run_Navigator">
                <anchor moveWithCells="1" sizeWithCells="1">
                  <from>
                    <xdr:col>0</xdr:col>
                    <xdr:colOff>19050</xdr:colOff>
                    <xdr:row>745</xdr:row>
                    <xdr:rowOff>0</xdr:rowOff>
                  </from>
                  <to>
                    <xdr:col>0</xdr:col>
                    <xdr:colOff>219075</xdr:colOff>
                    <xdr:row>745</xdr:row>
                    <xdr:rowOff>180975</xdr:rowOff>
                  </to>
                </anchor>
              </controlPr>
            </control>
          </mc:Choice>
        </mc:AlternateContent>
        <mc:AlternateContent xmlns:mc="http://schemas.openxmlformats.org/markup-compatibility/2006">
          <mc:Choice Requires="x14">
            <control shapeId="4134" r:id="rId16" name="Button 38">
              <controlPr defaultSize="0" print="0" autoFill="0" autoPict="0" macro="[0]!Run_Navigator">
                <anchor moveWithCells="1" sizeWithCells="1">
                  <from>
                    <xdr:col>0</xdr:col>
                    <xdr:colOff>19050</xdr:colOff>
                    <xdr:row>821</xdr:row>
                    <xdr:rowOff>9525</xdr:rowOff>
                  </from>
                  <to>
                    <xdr:col>0</xdr:col>
                    <xdr:colOff>219075</xdr:colOff>
                    <xdr:row>821</xdr:row>
                    <xdr:rowOff>190500</xdr:rowOff>
                  </to>
                </anchor>
              </controlPr>
            </control>
          </mc:Choice>
        </mc:AlternateContent>
        <mc:AlternateContent xmlns:mc="http://schemas.openxmlformats.org/markup-compatibility/2006">
          <mc:Choice Requires="x14">
            <control shapeId="4135" r:id="rId17" name="Button 39">
              <controlPr defaultSize="0" print="0" autoFill="0" autoPict="0" macro="[0]!Run_Navigator">
                <anchor moveWithCells="1" sizeWithCells="1">
                  <from>
                    <xdr:col>0</xdr:col>
                    <xdr:colOff>19050</xdr:colOff>
                    <xdr:row>895</xdr:row>
                    <xdr:rowOff>0</xdr:rowOff>
                  </from>
                  <to>
                    <xdr:col>0</xdr:col>
                    <xdr:colOff>219075</xdr:colOff>
                    <xdr:row>895</xdr:row>
                    <xdr:rowOff>180975</xdr:rowOff>
                  </to>
                </anchor>
              </controlPr>
            </control>
          </mc:Choice>
        </mc:AlternateContent>
        <mc:AlternateContent xmlns:mc="http://schemas.openxmlformats.org/markup-compatibility/2006">
          <mc:Choice Requires="x14">
            <control shapeId="4138" r:id="rId18" name="Button 42">
              <controlPr defaultSize="0" print="0" autoFill="0" autoPict="0" macro="[0]!Run_Navigator">
                <anchor moveWithCells="1" sizeWithCells="1">
                  <from>
                    <xdr:col>0</xdr:col>
                    <xdr:colOff>19050</xdr:colOff>
                    <xdr:row>923</xdr:row>
                    <xdr:rowOff>9525</xdr:rowOff>
                  </from>
                  <to>
                    <xdr:col>0</xdr:col>
                    <xdr:colOff>219075</xdr:colOff>
                    <xdr:row>923</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4">
    <pageSetUpPr fitToPage="1"/>
  </sheetPr>
  <dimension ref="A1:AE669"/>
  <sheetViews>
    <sheetView view="pageBreakPreview" topLeftCell="A664" zoomScale="90" zoomScaleNormal="100" zoomScaleSheetLayoutView="90" workbookViewId="0">
      <selection activeCell="F644" sqref="F644"/>
    </sheetView>
  </sheetViews>
  <sheetFormatPr defaultRowHeight="13.5" x14ac:dyDescent="0.3"/>
  <cols>
    <col min="1" max="1" width="51.83203125" style="426" customWidth="1"/>
    <col min="2" max="2" width="13.6640625" style="426" customWidth="1"/>
    <col min="3" max="3" width="12.1640625" style="426" customWidth="1"/>
    <col min="4" max="5" width="0" style="426" hidden="1" customWidth="1"/>
    <col min="6" max="29" width="11.83203125" style="426" customWidth="1"/>
    <col min="30" max="30" width="1" style="426" hidden="1" customWidth="1"/>
    <col min="31" max="31" width="12.83203125" style="426" customWidth="1"/>
  </cols>
  <sheetData>
    <row r="1" spans="1:31" ht="15.95" customHeight="1" thickBot="1" x14ac:dyDescent="0.25">
      <c r="A1" s="528" t="str">
        <f ca="1">Проект!$A$102</f>
        <v xml:space="preserve">         НАЛОГИ И ПЛАТЕЖИ В ФОНДЫ</v>
      </c>
      <c r="B1" s="528"/>
      <c r="C1" s="528"/>
      <c r="D1" s="528"/>
      <c r="E1" s="528"/>
      <c r="F1" s="529" t="str">
        <f ca="1">Проект!$F$102</f>
        <v>1 кв. 2016</v>
      </c>
      <c r="G1" s="529" t="str">
        <f ca="1">Проект!$G$102</f>
        <v>2 кв. 2016</v>
      </c>
      <c r="H1" s="529" t="str">
        <f ca="1">Проект!$H$102</f>
        <v>3 кв. 2016</v>
      </c>
      <c r="I1" s="529" t="str">
        <f ca="1">Проект!$I$102</f>
        <v>4 кв. 2016</v>
      </c>
      <c r="J1" s="529" t="str">
        <f ca="1">Проект!$J$102</f>
        <v>1 кв. 2017</v>
      </c>
      <c r="K1" s="529" t="str">
        <f ca="1">Проект!$K$102</f>
        <v>2 кв. 2017</v>
      </c>
      <c r="L1" s="529" t="str">
        <f ca="1">Проект!$L$102</f>
        <v>3 кв. 2017</v>
      </c>
      <c r="M1" s="529" t="str">
        <f ca="1">Проект!$M$102</f>
        <v>4 кв. 2017</v>
      </c>
      <c r="N1" s="529" t="str">
        <f ca="1">Проект!$N$102</f>
        <v>1 кв. 2018</v>
      </c>
      <c r="O1" s="529" t="str">
        <f ca="1">Проект!$O$102</f>
        <v>2 кв. 2018</v>
      </c>
      <c r="P1" s="529" t="str">
        <f ca="1">Проект!$P$102</f>
        <v>3 кв. 2018</v>
      </c>
      <c r="Q1" s="529" t="str">
        <f ca="1">Проект!$Q$102</f>
        <v>4 кв. 2018</v>
      </c>
      <c r="R1" s="529" t="str">
        <f ca="1">Проект!$R$102</f>
        <v>1 кв. 2019</v>
      </c>
      <c r="S1" s="529" t="str">
        <f ca="1">Проект!$S$102</f>
        <v>2 кв. 2019</v>
      </c>
      <c r="T1" s="529" t="str">
        <f ca="1">Проект!$T$102</f>
        <v>3 кв. 2019</v>
      </c>
      <c r="U1" s="529" t="str">
        <f ca="1">Проект!$U$102</f>
        <v>4 кв. 2019</v>
      </c>
      <c r="V1" s="529" t="str">
        <f ca="1">Проект!$V$102</f>
        <v>1 кв. 2020</v>
      </c>
      <c r="W1" s="529" t="str">
        <f ca="1">Проект!$W$102</f>
        <v>2 кв. 2020</v>
      </c>
      <c r="X1" s="529" t="str">
        <f ca="1">Проект!$X$102</f>
        <v>3 кв. 2020</v>
      </c>
      <c r="Y1" s="529" t="str">
        <f ca="1">Проект!$Y$102</f>
        <v>4 кв. 2020</v>
      </c>
      <c r="Z1" s="529" t="str">
        <f ca="1">Проект!$Z$102</f>
        <v>1 кв. 2021</v>
      </c>
      <c r="AA1" s="529" t="str">
        <f ca="1">Проект!$AA$102</f>
        <v>2 кв. 2021</v>
      </c>
      <c r="AB1" s="529" t="str">
        <f ca="1">Проект!$AB$102</f>
        <v>3 кв. 2021</v>
      </c>
      <c r="AC1" s="529" t="str">
        <f ca="1">Проект!$AC$102</f>
        <v>4 кв. 2021</v>
      </c>
      <c r="AD1" s="528"/>
      <c r="AE1" s="530" t="str">
        <f ca="1">Проект!$AE$102</f>
        <v>ИТОГО</v>
      </c>
    </row>
    <row r="2" spans="1:31" ht="12" hidden="1" customHeight="1" thickTop="1" x14ac:dyDescent="0.3">
      <c r="A2" s="531"/>
      <c r="B2" s="531"/>
      <c r="C2" s="532"/>
      <c r="D2" s="533"/>
      <c r="E2" s="531"/>
      <c r="F2" s="534"/>
      <c r="G2" s="534"/>
      <c r="H2" s="534"/>
      <c r="I2" s="534"/>
      <c r="J2" s="534"/>
      <c r="K2" s="534"/>
      <c r="L2" s="534"/>
      <c r="M2" s="534"/>
      <c r="N2" s="534"/>
      <c r="O2" s="534"/>
      <c r="P2" s="534"/>
      <c r="Q2" s="534"/>
      <c r="R2" s="534"/>
      <c r="S2" s="534"/>
      <c r="T2" s="534"/>
      <c r="U2" s="534"/>
      <c r="V2" s="534"/>
      <c r="W2" s="534"/>
      <c r="X2" s="534"/>
      <c r="Y2" s="534"/>
      <c r="Z2" s="534"/>
      <c r="AA2" s="534"/>
      <c r="AB2" s="534"/>
      <c r="AC2" s="534"/>
      <c r="AD2" s="531"/>
      <c r="AE2" s="535"/>
    </row>
    <row r="3" spans="1:31" ht="11.25" hidden="1" customHeight="1" x14ac:dyDescent="0.3">
      <c r="A3" s="536" t="str">
        <f ca="1">Проект!$A$104</f>
        <v>Система налогообложения</v>
      </c>
      <c r="B3" s="537">
        <f>Проект!$B$104</f>
        <v>1</v>
      </c>
      <c r="C3" s="538" t="str">
        <f ca="1">Проект!$C$104</f>
        <v>Налог на прибыль (общий налоговый режим)</v>
      </c>
      <c r="D3" s="533"/>
      <c r="E3" s="531"/>
      <c r="F3" s="534"/>
      <c r="G3" s="534"/>
      <c r="H3" s="534"/>
      <c r="I3" s="534"/>
      <c r="J3" s="534"/>
      <c r="K3" s="534"/>
      <c r="L3" s="534"/>
      <c r="M3" s="534"/>
      <c r="N3" s="534"/>
      <c r="O3" s="534"/>
      <c r="P3" s="534"/>
      <c r="Q3" s="534"/>
      <c r="R3" s="534"/>
      <c r="S3" s="534"/>
      <c r="T3" s="534"/>
      <c r="U3" s="534"/>
      <c r="V3" s="534"/>
      <c r="W3" s="534"/>
      <c r="X3" s="534"/>
      <c r="Y3" s="534"/>
      <c r="Z3" s="534"/>
      <c r="AA3" s="534"/>
      <c r="AB3" s="534"/>
      <c r="AC3" s="534"/>
      <c r="AD3" s="531"/>
      <c r="AE3" s="535"/>
    </row>
    <row r="4" spans="1:31" ht="11.25" hidden="1" customHeight="1" x14ac:dyDescent="0.3">
      <c r="A4" s="536"/>
      <c r="B4" s="539"/>
      <c r="C4" s="538"/>
      <c r="D4" s="533"/>
      <c r="E4" s="531"/>
      <c r="F4" s="534"/>
      <c r="G4" s="534"/>
      <c r="H4" s="534"/>
      <c r="I4" s="534"/>
      <c r="J4" s="534"/>
      <c r="K4" s="534"/>
      <c r="L4" s="534"/>
      <c r="M4" s="534"/>
      <c r="N4" s="534"/>
      <c r="O4" s="534"/>
      <c r="P4" s="534"/>
      <c r="Q4" s="534"/>
      <c r="R4" s="534"/>
      <c r="S4" s="534"/>
      <c r="T4" s="534"/>
      <c r="U4" s="534"/>
      <c r="V4" s="534"/>
      <c r="W4" s="534"/>
      <c r="X4" s="534"/>
      <c r="Y4" s="534"/>
      <c r="Z4" s="534"/>
      <c r="AA4" s="534"/>
      <c r="AB4" s="534"/>
      <c r="AC4" s="534"/>
      <c r="AD4" s="531"/>
      <c r="AE4" s="535"/>
    </row>
    <row r="5" spans="1:31" ht="11.25" hidden="1" customHeight="1" x14ac:dyDescent="0.3">
      <c r="A5" s="531"/>
      <c r="B5" s="540" t="str">
        <f ca="1">Проект!$B$106</f>
        <v>Период уплаты</v>
      </c>
      <c r="C5" s="532"/>
      <c r="D5" s="533"/>
      <c r="E5" s="531"/>
      <c r="F5" s="534"/>
      <c r="G5" s="534"/>
      <c r="H5" s="534"/>
      <c r="I5" s="534"/>
      <c r="J5" s="534"/>
      <c r="K5" s="534"/>
      <c r="L5" s="534"/>
      <c r="M5" s="534"/>
      <c r="N5" s="534"/>
      <c r="O5" s="534"/>
      <c r="P5" s="534"/>
      <c r="Q5" s="534"/>
      <c r="R5" s="534"/>
      <c r="S5" s="534"/>
      <c r="T5" s="534"/>
      <c r="U5" s="534"/>
      <c r="V5" s="534"/>
      <c r="W5" s="534"/>
      <c r="X5" s="534"/>
      <c r="Y5" s="534"/>
      <c r="Z5" s="534"/>
      <c r="AA5" s="534"/>
      <c r="AB5" s="534"/>
      <c r="AC5" s="534"/>
      <c r="AD5" s="531"/>
      <c r="AE5" s="535"/>
    </row>
    <row r="6" spans="1:31" ht="11.25" hidden="1" customHeight="1" x14ac:dyDescent="0.3">
      <c r="A6" s="531" t="str">
        <f ca="1">Проект!$A$107</f>
        <v>Акцизы и экспортные пошлины</v>
      </c>
      <c r="B6" s="541"/>
      <c r="C6" s="532" t="str">
        <f ca="1">Проект!$C$107</f>
        <v>дней</v>
      </c>
      <c r="D6" s="533"/>
      <c r="E6" s="531"/>
      <c r="F6" s="542">
        <f>Проект!$F$107</f>
        <v>0</v>
      </c>
      <c r="G6" s="542">
        <f>Проект!$G$107</f>
        <v>0</v>
      </c>
      <c r="H6" s="542">
        <f>Проект!$H$107</f>
        <v>0</v>
      </c>
      <c r="I6" s="542">
        <f>Проект!$I$107</f>
        <v>0</v>
      </c>
      <c r="J6" s="542">
        <f>Проект!$J$107</f>
        <v>0</v>
      </c>
      <c r="K6" s="542">
        <f>Проект!$K$107</f>
        <v>0</v>
      </c>
      <c r="L6" s="542">
        <f>Проект!$L$107</f>
        <v>0</v>
      </c>
      <c r="M6" s="542">
        <f>Проект!$M$107</f>
        <v>0</v>
      </c>
      <c r="N6" s="542">
        <f>Проект!$N$107</f>
        <v>0</v>
      </c>
      <c r="O6" s="542">
        <f>Проект!$O$107</f>
        <v>0</v>
      </c>
      <c r="P6" s="542">
        <f>Проект!$P$107</f>
        <v>0</v>
      </c>
      <c r="Q6" s="542">
        <f>Проект!$Q$107</f>
        <v>0</v>
      </c>
      <c r="R6" s="542">
        <f>Проект!$R$107</f>
        <v>0</v>
      </c>
      <c r="S6" s="542">
        <f>Проект!$S$107</f>
        <v>0</v>
      </c>
      <c r="T6" s="542">
        <f>Проект!$T$107</f>
        <v>0</v>
      </c>
      <c r="U6" s="542">
        <f>Проект!$U$107</f>
        <v>0</v>
      </c>
      <c r="V6" s="542">
        <f>Проект!$V$107</f>
        <v>0</v>
      </c>
      <c r="W6" s="542">
        <f>Проект!$W$107</f>
        <v>0</v>
      </c>
      <c r="X6" s="542">
        <f>Проект!$X$107</f>
        <v>0</v>
      </c>
      <c r="Y6" s="542">
        <f>Проект!$Y$107</f>
        <v>0</v>
      </c>
      <c r="Z6" s="542">
        <f>Проект!$Z$107</f>
        <v>0</v>
      </c>
      <c r="AA6" s="542">
        <f>Проект!$AA$107</f>
        <v>0</v>
      </c>
      <c r="AB6" s="542">
        <f>Проект!$AB$107</f>
        <v>0</v>
      </c>
      <c r="AC6" s="542">
        <f>Проект!$AC$107</f>
        <v>0</v>
      </c>
      <c r="AD6" s="531"/>
      <c r="AE6" s="543">
        <f>Проект!$AE$107</f>
        <v>0</v>
      </c>
    </row>
    <row r="7" spans="1:31" ht="11.25" hidden="1" customHeight="1" x14ac:dyDescent="0.3">
      <c r="A7" s="531" t="str">
        <f ca="1">Проект!$A$108</f>
        <v>Импортные пошлины</v>
      </c>
      <c r="B7" s="541"/>
      <c r="C7" s="532" t="str">
        <f ca="1">Проект!$C$108</f>
        <v>дней</v>
      </c>
      <c r="D7" s="533"/>
      <c r="E7" s="531"/>
      <c r="F7" s="542">
        <f ca="1">Проект!$F$108</f>
        <v>0</v>
      </c>
      <c r="G7" s="542">
        <f ca="1">Проект!$G$108</f>
        <v>0</v>
      </c>
      <c r="H7" s="542">
        <f ca="1">Проект!$H$108</f>
        <v>0</v>
      </c>
      <c r="I7" s="542">
        <f ca="1">Проект!$I$108</f>
        <v>0</v>
      </c>
      <c r="J7" s="542">
        <f ca="1">Проект!$J$108</f>
        <v>0</v>
      </c>
      <c r="K7" s="542">
        <f ca="1">Проект!$K$108</f>
        <v>0</v>
      </c>
      <c r="L7" s="542">
        <f ca="1">Проект!$L$108</f>
        <v>0</v>
      </c>
      <c r="M7" s="542">
        <f ca="1">Проект!$M$108</f>
        <v>0</v>
      </c>
      <c r="N7" s="542">
        <f ca="1">Проект!$N$108</f>
        <v>0</v>
      </c>
      <c r="O7" s="542">
        <f ca="1">Проект!$O$108</f>
        <v>0</v>
      </c>
      <c r="P7" s="542">
        <f ca="1">Проект!$P$108</f>
        <v>0</v>
      </c>
      <c r="Q7" s="542">
        <f ca="1">Проект!$Q$108</f>
        <v>0</v>
      </c>
      <c r="R7" s="542">
        <f ca="1">Проект!$R$108</f>
        <v>0</v>
      </c>
      <c r="S7" s="542">
        <f ca="1">Проект!$S$108</f>
        <v>0</v>
      </c>
      <c r="T7" s="542">
        <f ca="1">Проект!$T$108</f>
        <v>0</v>
      </c>
      <c r="U7" s="542">
        <f ca="1">Проект!$U$108</f>
        <v>0</v>
      </c>
      <c r="V7" s="542">
        <f ca="1">Проект!$V$108</f>
        <v>0</v>
      </c>
      <c r="W7" s="542">
        <f ca="1">Проект!$W$108</f>
        <v>0</v>
      </c>
      <c r="X7" s="542">
        <f ca="1">Проект!$X$108</f>
        <v>0</v>
      </c>
      <c r="Y7" s="542">
        <f ca="1">Проект!$Y$108</f>
        <v>0</v>
      </c>
      <c r="Z7" s="542">
        <f ca="1">Проект!$Z$108</f>
        <v>0</v>
      </c>
      <c r="AA7" s="542">
        <f ca="1">Проект!$AA$108</f>
        <v>0</v>
      </c>
      <c r="AB7" s="542">
        <f ca="1">Проект!$AB$108</f>
        <v>0</v>
      </c>
      <c r="AC7" s="542">
        <f ca="1">Проект!$AC$108</f>
        <v>0</v>
      </c>
      <c r="AD7" s="531"/>
      <c r="AE7" s="543">
        <f ca="1">Проект!$AE$108</f>
        <v>0</v>
      </c>
    </row>
    <row r="8" spans="1:31" ht="11.25" hidden="1" customHeight="1" x14ac:dyDescent="0.3">
      <c r="A8" s="544"/>
      <c r="B8" s="544"/>
      <c r="C8" s="545"/>
      <c r="D8" s="546"/>
      <c r="E8" s="544"/>
      <c r="F8" s="547"/>
      <c r="G8" s="547"/>
      <c r="H8" s="547"/>
      <c r="I8" s="547"/>
      <c r="J8" s="547"/>
      <c r="K8" s="547"/>
      <c r="L8" s="547"/>
      <c r="M8" s="547"/>
      <c r="N8" s="547"/>
      <c r="O8" s="547"/>
      <c r="P8" s="547"/>
      <c r="Q8" s="547"/>
      <c r="R8" s="547"/>
      <c r="S8" s="547"/>
      <c r="T8" s="547"/>
      <c r="U8" s="547"/>
      <c r="V8" s="547"/>
      <c r="W8" s="547"/>
      <c r="X8" s="547"/>
      <c r="Y8" s="547"/>
      <c r="Z8" s="547"/>
      <c r="AA8" s="547"/>
      <c r="AB8" s="547"/>
      <c r="AC8" s="547"/>
      <c r="AD8" s="544"/>
      <c r="AE8" s="548"/>
    </row>
    <row r="9" spans="1:31" ht="11.25" hidden="1" customHeight="1" x14ac:dyDescent="0.3">
      <c r="A9" s="536" t="str">
        <f ca="1">Проект!$A$110</f>
        <v xml:space="preserve"> НАЛОГ НА ДОБАВЛЕННУЮ СТОИМОСТЬ</v>
      </c>
      <c r="B9" s="531"/>
      <c r="C9" s="532"/>
      <c r="D9" s="533"/>
      <c r="E9" s="531"/>
      <c r="F9" s="534"/>
      <c r="G9" s="534"/>
      <c r="H9" s="534"/>
      <c r="I9" s="534"/>
      <c r="J9" s="534"/>
      <c r="K9" s="534"/>
      <c r="L9" s="534"/>
      <c r="M9" s="534"/>
      <c r="N9" s="534"/>
      <c r="O9" s="534"/>
      <c r="P9" s="534"/>
      <c r="Q9" s="534"/>
      <c r="R9" s="534"/>
      <c r="S9" s="534"/>
      <c r="T9" s="534"/>
      <c r="U9" s="534"/>
      <c r="V9" s="534"/>
      <c r="W9" s="534"/>
      <c r="X9" s="534"/>
      <c r="Y9" s="534"/>
      <c r="Z9" s="534"/>
      <c r="AA9" s="534"/>
      <c r="AB9" s="534"/>
      <c r="AC9" s="534"/>
      <c r="AD9" s="531"/>
      <c r="AE9" s="535"/>
    </row>
    <row r="10" spans="1:31" ht="11.25" hidden="1" customHeight="1" x14ac:dyDescent="0.3">
      <c r="A10" s="531" t="str">
        <f ca="1">Проект!$A$111</f>
        <v xml:space="preserve">    ставка</v>
      </c>
      <c r="B10" s="549">
        <f>Проект!$B$111</f>
        <v>0.23</v>
      </c>
      <c r="C10" s="532" t="str">
        <f>Проект!$C$111</f>
        <v>%</v>
      </c>
      <c r="D10" s="533"/>
      <c r="E10" s="531"/>
      <c r="F10" s="534"/>
      <c r="G10" s="534"/>
      <c r="H10" s="534"/>
      <c r="I10" s="534"/>
      <c r="J10" s="534"/>
      <c r="K10" s="534"/>
      <c r="L10" s="534"/>
      <c r="M10" s="534"/>
      <c r="N10" s="534"/>
      <c r="O10" s="534"/>
      <c r="P10" s="534"/>
      <c r="Q10" s="534"/>
      <c r="R10" s="534"/>
      <c r="S10" s="534"/>
      <c r="T10" s="534"/>
      <c r="U10" s="534"/>
      <c r="V10" s="534"/>
      <c r="W10" s="534"/>
      <c r="X10" s="534"/>
      <c r="Y10" s="534"/>
      <c r="Z10" s="534"/>
      <c r="AA10" s="534"/>
      <c r="AB10" s="534"/>
      <c r="AC10" s="534"/>
      <c r="AD10" s="531"/>
      <c r="AE10" s="535"/>
    </row>
    <row r="11" spans="1:31" ht="11.25" hidden="1" customHeight="1" x14ac:dyDescent="0.3">
      <c r="A11" s="531" t="str">
        <f ca="1">Проект!$A$112</f>
        <v xml:space="preserve">    период уплаты</v>
      </c>
      <c r="B11" s="541">
        <f>Проект!$B$112</f>
        <v>90</v>
      </c>
      <c r="C11" s="532" t="str">
        <f ca="1">Проект!$C$112</f>
        <v>дней</v>
      </c>
      <c r="D11" s="533"/>
      <c r="E11" s="531"/>
      <c r="F11" s="534"/>
      <c r="G11" s="534"/>
      <c r="H11" s="534"/>
      <c r="I11" s="534"/>
      <c r="J11" s="534"/>
      <c r="K11" s="534"/>
      <c r="L11" s="534"/>
      <c r="M11" s="534"/>
      <c r="N11" s="534"/>
      <c r="O11" s="534"/>
      <c r="P11" s="534"/>
      <c r="Q11" s="534"/>
      <c r="R11" s="534"/>
      <c r="S11" s="534"/>
      <c r="T11" s="534"/>
      <c r="U11" s="534"/>
      <c r="V11" s="534"/>
      <c r="W11" s="534"/>
      <c r="X11" s="534"/>
      <c r="Y11" s="534"/>
      <c r="Z11" s="534"/>
      <c r="AA11" s="534"/>
      <c r="AB11" s="534"/>
      <c r="AC11" s="534"/>
      <c r="AD11" s="531"/>
      <c r="AE11" s="535"/>
    </row>
    <row r="12" spans="1:31" ht="11.25" hidden="1" customHeight="1" x14ac:dyDescent="0.3">
      <c r="A12" s="531" t="str">
        <f ca="1">Проект!$A$113</f>
        <v xml:space="preserve">    способ зачета переплаченного НДС</v>
      </c>
      <c r="B12" s="537">
        <f>Проект!$B$113</f>
        <v>2</v>
      </c>
      <c r="C12" s="540" t="str">
        <f ca="1">Проект!$C$113</f>
        <v>возвращается из бюджета</v>
      </c>
      <c r="D12" s="533"/>
      <c r="E12" s="531"/>
      <c r="F12" s="534"/>
      <c r="G12" s="534"/>
      <c r="H12" s="534"/>
      <c r="I12" s="534"/>
      <c r="J12" s="534"/>
      <c r="K12" s="534"/>
      <c r="L12" s="534"/>
      <c r="M12" s="534"/>
      <c r="N12" s="534"/>
      <c r="O12" s="534"/>
      <c r="P12" s="534"/>
      <c r="Q12" s="534"/>
      <c r="R12" s="534"/>
      <c r="S12" s="534"/>
      <c r="T12" s="534"/>
      <c r="U12" s="534"/>
      <c r="V12" s="534"/>
      <c r="W12" s="534"/>
      <c r="X12" s="534"/>
      <c r="Y12" s="534"/>
      <c r="Z12" s="534"/>
      <c r="AA12" s="534"/>
      <c r="AB12" s="534"/>
      <c r="AC12" s="534"/>
      <c r="AD12" s="531"/>
      <c r="AE12" s="535"/>
    </row>
    <row r="13" spans="1:31" ht="11.25" hidden="1" customHeight="1" x14ac:dyDescent="0.3">
      <c r="A13" s="531" t="str">
        <f ca="1">Проект!$A$114</f>
        <v xml:space="preserve">    прямое возмещение налога через</v>
      </c>
      <c r="B13" s="550">
        <f>Проект!$B$114</f>
        <v>1</v>
      </c>
      <c r="C13" s="532" t="str">
        <f ca="1">Проект!$C$114</f>
        <v>периодов</v>
      </c>
      <c r="D13" s="533"/>
      <c r="E13" s="531"/>
      <c r="F13" s="534"/>
      <c r="G13" s="534"/>
      <c r="H13" s="534"/>
      <c r="I13" s="534"/>
      <c r="J13" s="534"/>
      <c r="K13" s="534"/>
      <c r="L13" s="534"/>
      <c r="M13" s="534"/>
      <c r="N13" s="534"/>
      <c r="O13" s="534"/>
      <c r="P13" s="534"/>
      <c r="Q13" s="534"/>
      <c r="R13" s="534"/>
      <c r="S13" s="534"/>
      <c r="T13" s="534"/>
      <c r="U13" s="534"/>
      <c r="V13" s="534"/>
      <c r="W13" s="534"/>
      <c r="X13" s="534"/>
      <c r="Y13" s="534"/>
      <c r="Z13" s="534"/>
      <c r="AA13" s="534"/>
      <c r="AB13" s="534"/>
      <c r="AC13" s="534"/>
      <c r="AD13" s="531"/>
      <c r="AE13" s="535"/>
    </row>
    <row r="14" spans="1:31" ht="11.25" customHeight="1" thickTop="1" x14ac:dyDescent="0.3">
      <c r="A14" s="531" t="str">
        <f ca="1">Проект!$A$115</f>
        <v>НДС полученный</v>
      </c>
      <c r="B14" s="531"/>
      <c r="C14" s="532" t="str">
        <f ca="1">Проект!$C$115</f>
        <v>тыс. EUR</v>
      </c>
      <c r="D14" s="533"/>
      <c r="E14" s="531"/>
      <c r="F14" s="551">
        <f>Проект!$F$115</f>
        <v>0</v>
      </c>
      <c r="G14" s="551">
        <f>Проект!$G$115</f>
        <v>0</v>
      </c>
      <c r="H14" s="551">
        <f>Проект!$H$115</f>
        <v>0</v>
      </c>
      <c r="I14" s="551">
        <f>Проект!$I$115</f>
        <v>0</v>
      </c>
      <c r="J14" s="551">
        <f>Проект!$J$115</f>
        <v>0</v>
      </c>
      <c r="K14" s="551">
        <f>Проект!$K$115</f>
        <v>0</v>
      </c>
      <c r="L14" s="551">
        <f>Проект!$L$115</f>
        <v>0</v>
      </c>
      <c r="M14" s="551">
        <f>Проект!$M$115</f>
        <v>0</v>
      </c>
      <c r="N14" s="551">
        <f>Проект!$N$115</f>
        <v>0</v>
      </c>
      <c r="O14" s="551">
        <f>Проект!$O$115</f>
        <v>0</v>
      </c>
      <c r="P14" s="551">
        <f>Проект!$P$115</f>
        <v>0</v>
      </c>
      <c r="Q14" s="551">
        <f>Проект!$Q$115</f>
        <v>0</v>
      </c>
      <c r="R14" s="551">
        <f>Проект!$R$115</f>
        <v>0</v>
      </c>
      <c r="S14" s="551">
        <f>Проект!$S$115</f>
        <v>0</v>
      </c>
      <c r="T14" s="551">
        <f>Проект!$T$115</f>
        <v>0</v>
      </c>
      <c r="U14" s="551">
        <f>Проект!$U$115</f>
        <v>0</v>
      </c>
      <c r="V14" s="551">
        <f>Проект!$V$115</f>
        <v>0</v>
      </c>
      <c r="W14" s="551">
        <f>Проект!$W$115</f>
        <v>0</v>
      </c>
      <c r="X14" s="551">
        <f>Проект!$X$115</f>
        <v>0</v>
      </c>
      <c r="Y14" s="551">
        <f>Проект!$Y$115</f>
        <v>0</v>
      </c>
      <c r="Z14" s="551">
        <f>Проект!$Z$115</f>
        <v>0</v>
      </c>
      <c r="AA14" s="551">
        <f>Проект!$AA$115</f>
        <v>0</v>
      </c>
      <c r="AB14" s="551">
        <f>Проект!$AB$115</f>
        <v>0</v>
      </c>
      <c r="AC14" s="551">
        <f>Проект!$AC$115</f>
        <v>0</v>
      </c>
      <c r="AD14" s="531"/>
      <c r="AE14" s="543">
        <f>Проект!$AE$115</f>
        <v>0</v>
      </c>
    </row>
    <row r="15" spans="1:31" ht="11.25" customHeight="1" x14ac:dyDescent="0.3">
      <c r="A15" s="531" t="str">
        <f ca="1">Проект!$A$116</f>
        <v xml:space="preserve">    от продажи товаров (работ, услуг)</v>
      </c>
      <c r="B15" s="531"/>
      <c r="C15" s="532" t="str">
        <f ca="1">Проект!$C$116</f>
        <v>тыс. EUR</v>
      </c>
      <c r="D15" s="533"/>
      <c r="E15" s="531"/>
      <c r="F15" s="542">
        <f>Проект!$F$116</f>
        <v>0</v>
      </c>
      <c r="G15" s="542">
        <f>Проект!$G$116</f>
        <v>0</v>
      </c>
      <c r="H15" s="542">
        <f>Проект!$H$116</f>
        <v>0</v>
      </c>
      <c r="I15" s="542">
        <f>Проект!$I$116</f>
        <v>0</v>
      </c>
      <c r="J15" s="542">
        <f>Проект!$J$116</f>
        <v>0</v>
      </c>
      <c r="K15" s="542">
        <f>Проект!$K$116</f>
        <v>0</v>
      </c>
      <c r="L15" s="542">
        <f>Проект!$L$116</f>
        <v>0</v>
      </c>
      <c r="M15" s="542">
        <f>Проект!$M$116</f>
        <v>0</v>
      </c>
      <c r="N15" s="542">
        <f>Проект!$N$116</f>
        <v>0</v>
      </c>
      <c r="O15" s="542">
        <f>Проект!$O$116</f>
        <v>0</v>
      </c>
      <c r="P15" s="542">
        <f>Проект!$P$116</f>
        <v>0</v>
      </c>
      <c r="Q15" s="542">
        <f>Проект!$Q$116</f>
        <v>0</v>
      </c>
      <c r="R15" s="542">
        <f>Проект!$R$116</f>
        <v>0</v>
      </c>
      <c r="S15" s="542">
        <f>Проект!$S$116</f>
        <v>0</v>
      </c>
      <c r="T15" s="542">
        <f>Проект!$T$116</f>
        <v>0</v>
      </c>
      <c r="U15" s="542">
        <f>Проект!$U$116</f>
        <v>0</v>
      </c>
      <c r="V15" s="542">
        <f>Проект!$V$116</f>
        <v>0</v>
      </c>
      <c r="W15" s="542">
        <f>Проект!$W$116</f>
        <v>0</v>
      </c>
      <c r="X15" s="542">
        <f>Проект!$X$116</f>
        <v>0</v>
      </c>
      <c r="Y15" s="542">
        <f>Проект!$Y$116</f>
        <v>0</v>
      </c>
      <c r="Z15" s="542">
        <f>Проект!$Z$116</f>
        <v>0</v>
      </c>
      <c r="AA15" s="542">
        <f>Проект!$AA$116</f>
        <v>0</v>
      </c>
      <c r="AB15" s="542">
        <f>Проект!$AB$116</f>
        <v>0</v>
      </c>
      <c r="AC15" s="542">
        <f>Проект!$AC$116</f>
        <v>0</v>
      </c>
      <c r="AD15" s="531"/>
      <c r="AE15" s="543">
        <f>Проект!$AE$116</f>
        <v>0</v>
      </c>
    </row>
    <row r="16" spans="1:31" ht="11.25" customHeight="1" x14ac:dyDescent="0.3">
      <c r="A16" s="531" t="str">
        <f ca="1">Проект!$A$117</f>
        <v xml:space="preserve">    от продажи активов</v>
      </c>
      <c r="B16" s="531"/>
      <c r="C16" s="532" t="str">
        <f ca="1">Проект!$C$117</f>
        <v>тыс. EUR</v>
      </c>
      <c r="D16" s="533"/>
      <c r="E16" s="531"/>
      <c r="F16" s="551">
        <f>Проект!$F$117</f>
        <v>0</v>
      </c>
      <c r="G16" s="551">
        <f>Проект!$G$117</f>
        <v>0</v>
      </c>
      <c r="H16" s="551">
        <f>Проект!$H$117</f>
        <v>0</v>
      </c>
      <c r="I16" s="551">
        <f>Проект!$I$117</f>
        <v>0</v>
      </c>
      <c r="J16" s="551">
        <f>Проект!$J$117</f>
        <v>0</v>
      </c>
      <c r="K16" s="551">
        <f>Проект!$K$117</f>
        <v>0</v>
      </c>
      <c r="L16" s="551">
        <f>Проект!$L$117</f>
        <v>0</v>
      </c>
      <c r="M16" s="551">
        <f>Проект!$M$117</f>
        <v>0</v>
      </c>
      <c r="N16" s="551">
        <f>Проект!$N$117</f>
        <v>0</v>
      </c>
      <c r="O16" s="551">
        <f>Проект!$O$117</f>
        <v>0</v>
      </c>
      <c r="P16" s="551">
        <f>Проект!$P$117</f>
        <v>0</v>
      </c>
      <c r="Q16" s="551">
        <f>Проект!$Q$117</f>
        <v>0</v>
      </c>
      <c r="R16" s="551">
        <f>Проект!$R$117</f>
        <v>0</v>
      </c>
      <c r="S16" s="551">
        <f>Проект!$S$117</f>
        <v>0</v>
      </c>
      <c r="T16" s="551">
        <f>Проект!$T$117</f>
        <v>0</v>
      </c>
      <c r="U16" s="551">
        <f>Проект!$U$117</f>
        <v>0</v>
      </c>
      <c r="V16" s="551">
        <f>Проект!$V$117</f>
        <v>0</v>
      </c>
      <c r="W16" s="551">
        <f>Проект!$W$117</f>
        <v>0</v>
      </c>
      <c r="X16" s="551">
        <f>Проект!$X$117</f>
        <v>0</v>
      </c>
      <c r="Y16" s="551">
        <f>Проект!$Y$117</f>
        <v>0</v>
      </c>
      <c r="Z16" s="551">
        <f>Проект!$Z$117</f>
        <v>0</v>
      </c>
      <c r="AA16" s="551">
        <f>Проект!$AA$117</f>
        <v>0</v>
      </c>
      <c r="AB16" s="551">
        <f>Проект!$AB$117</f>
        <v>0</v>
      </c>
      <c r="AC16" s="551">
        <f>Проект!$AC$117</f>
        <v>0</v>
      </c>
      <c r="AD16" s="531"/>
      <c r="AE16" s="543">
        <f>Проект!$AE$117</f>
        <v>0</v>
      </c>
    </row>
    <row r="17" spans="1:31" ht="11.25" customHeight="1" x14ac:dyDescent="0.3">
      <c r="A17" s="531" t="str">
        <f ca="1">Проект!$A$118</f>
        <v xml:space="preserve">    от прочей деятельности</v>
      </c>
      <c r="B17" s="531"/>
      <c r="C17" s="532" t="str">
        <f ca="1">Проект!$C$118</f>
        <v>тыс. EUR</v>
      </c>
      <c r="D17" s="533"/>
      <c r="E17" s="531"/>
      <c r="F17" s="551">
        <f>Проект!$F$118</f>
        <v>0</v>
      </c>
      <c r="G17" s="551">
        <f>Проект!$G$118</f>
        <v>0</v>
      </c>
      <c r="H17" s="551">
        <f>Проект!$H$118</f>
        <v>0</v>
      </c>
      <c r="I17" s="551">
        <f>Проект!$I$118</f>
        <v>0</v>
      </c>
      <c r="J17" s="551">
        <f>Проект!$J$118</f>
        <v>0</v>
      </c>
      <c r="K17" s="551">
        <f>Проект!$K$118</f>
        <v>0</v>
      </c>
      <c r="L17" s="551">
        <f>Проект!$L$118</f>
        <v>0</v>
      </c>
      <c r="M17" s="551">
        <f>Проект!$M$118</f>
        <v>0</v>
      </c>
      <c r="N17" s="551">
        <f>Проект!$N$118</f>
        <v>0</v>
      </c>
      <c r="O17" s="551">
        <f>Проект!$O$118</f>
        <v>0</v>
      </c>
      <c r="P17" s="551">
        <f>Проект!$P$118</f>
        <v>0</v>
      </c>
      <c r="Q17" s="551">
        <f>Проект!$Q$118</f>
        <v>0</v>
      </c>
      <c r="R17" s="551">
        <f>Проект!$R$118</f>
        <v>0</v>
      </c>
      <c r="S17" s="551">
        <f>Проект!$S$118</f>
        <v>0</v>
      </c>
      <c r="T17" s="551">
        <f>Проект!$T$118</f>
        <v>0</v>
      </c>
      <c r="U17" s="551">
        <f>Проект!$U$118</f>
        <v>0</v>
      </c>
      <c r="V17" s="551">
        <f>Проект!$V$118</f>
        <v>0</v>
      </c>
      <c r="W17" s="551">
        <f>Проект!$W$118</f>
        <v>0</v>
      </c>
      <c r="X17" s="551">
        <f>Проект!$X$118</f>
        <v>0</v>
      </c>
      <c r="Y17" s="551">
        <f>Проект!$Y$118</f>
        <v>0</v>
      </c>
      <c r="Z17" s="551">
        <f>Проект!$Z$118</f>
        <v>0</v>
      </c>
      <c r="AA17" s="551">
        <f>Проект!$AA$118</f>
        <v>0</v>
      </c>
      <c r="AB17" s="551">
        <f>Проект!$AB$118</f>
        <v>0</v>
      </c>
      <c r="AC17" s="551">
        <f>Проект!$AC$118</f>
        <v>0</v>
      </c>
      <c r="AD17" s="531"/>
      <c r="AE17" s="543">
        <f>Проект!$AE$118</f>
        <v>0</v>
      </c>
    </row>
    <row r="18" spans="1:31" ht="11.25" customHeight="1" x14ac:dyDescent="0.3">
      <c r="A18" s="531" t="str">
        <f ca="1">Проект!$A$119</f>
        <v>НДС уплаченный</v>
      </c>
      <c r="B18" s="531"/>
      <c r="C18" s="532" t="str">
        <f ca="1">Проект!$C$119</f>
        <v>тыс. EUR</v>
      </c>
      <c r="D18" s="533"/>
      <c r="E18" s="531"/>
      <c r="F18" s="551">
        <f ca="1">Проект!$F$119</f>
        <v>0</v>
      </c>
      <c r="G18" s="551">
        <f ca="1">Проект!$G$119</f>
        <v>0</v>
      </c>
      <c r="H18" s="551">
        <f ca="1">Проект!$H$119</f>
        <v>1027.5924207268845</v>
      </c>
      <c r="I18" s="551">
        <f ca="1">Проект!$I$119</f>
        <v>284.14536585365857</v>
      </c>
      <c r="J18" s="551">
        <f ca="1">Проект!$J$119</f>
        <v>1313.5971669522364</v>
      </c>
      <c r="K18" s="551">
        <f ca="1">Проект!$K$119</f>
        <v>671.5417666757437</v>
      </c>
      <c r="L18" s="551">
        <f ca="1">Проект!$L$119</f>
        <v>444.37168401096687</v>
      </c>
      <c r="M18" s="551">
        <f ca="1">Проект!$M$119</f>
        <v>713.79832522173251</v>
      </c>
      <c r="N18" s="551">
        <f ca="1">Проект!$N$119</f>
        <v>1019.1054708427394</v>
      </c>
      <c r="O18" s="551">
        <f ca="1">Проект!$O$119</f>
        <v>1230.2623495590497</v>
      </c>
      <c r="P18" s="551">
        <f ca="1">Проект!$P$119</f>
        <v>1230.2623495590497</v>
      </c>
      <c r="Q18" s="551">
        <f ca="1">Проект!$Q$119</f>
        <v>1230.2623495590497</v>
      </c>
      <c r="R18" s="551">
        <f ca="1">Проект!$R$119</f>
        <v>1230.2623495590497</v>
      </c>
      <c r="S18" s="551">
        <f ca="1">Проект!$S$119</f>
        <v>1230.2623495590497</v>
      </c>
      <c r="T18" s="551">
        <f ca="1">Проект!$T$119</f>
        <v>1230.2623495590497</v>
      </c>
      <c r="U18" s="551">
        <f ca="1">Проект!$U$119</f>
        <v>1230.2623495590497</v>
      </c>
      <c r="V18" s="551">
        <f ca="1">Проект!$V$119</f>
        <v>1230.2623495590497</v>
      </c>
      <c r="W18" s="551">
        <f ca="1">Проект!$W$119</f>
        <v>1230.2623495590497</v>
      </c>
      <c r="X18" s="551">
        <f ca="1">Проект!$X$119</f>
        <v>1230.2623495590497</v>
      </c>
      <c r="Y18" s="551">
        <f ca="1">Проект!$Y$119</f>
        <v>1230.2623495590497</v>
      </c>
      <c r="Z18" s="551">
        <f ca="1">Проект!$Z$119</f>
        <v>1230.2623495590497</v>
      </c>
      <c r="AA18" s="551">
        <f ca="1">Проект!$AA$119</f>
        <v>1230.2623495590497</v>
      </c>
      <c r="AB18" s="551">
        <f ca="1">Проект!$AB$119</f>
        <v>1230.2623495590497</v>
      </c>
      <c r="AC18" s="551">
        <f ca="1">Проект!$AC$119</f>
        <v>1230.2623495590497</v>
      </c>
      <c r="AD18" s="531"/>
      <c r="AE18" s="543">
        <f ca="1">Проект!$AE$119</f>
        <v>23928.087443669698</v>
      </c>
    </row>
    <row r="19" spans="1:31" ht="11.25" customHeight="1" x14ac:dyDescent="0.3">
      <c r="A19" s="531" t="str">
        <f ca="1">Проект!$A$120</f>
        <v xml:space="preserve">    при оплате материалов и комплектующих</v>
      </c>
      <c r="B19" s="531"/>
      <c r="C19" s="532" t="str">
        <f ca="1">Проект!$C$120</f>
        <v>тыс. EUR</v>
      </c>
      <c r="D19" s="533"/>
      <c r="E19" s="531"/>
      <c r="F19" s="551">
        <f ca="1">Проект!$F$120</f>
        <v>0</v>
      </c>
      <c r="G19" s="551">
        <f ca="1">Проект!$G$120</f>
        <v>0</v>
      </c>
      <c r="H19" s="551">
        <f ca="1">Проект!$H$120</f>
        <v>0</v>
      </c>
      <c r="I19" s="551">
        <f ca="1">Проект!$I$120</f>
        <v>0</v>
      </c>
      <c r="J19" s="551">
        <f ca="1">Проект!$J$120</f>
        <v>0</v>
      </c>
      <c r="K19" s="551">
        <f ca="1">Проект!$K$120</f>
        <v>108.827638062505</v>
      </c>
      <c r="L19" s="551">
        <f ca="1">Проект!$L$120</f>
        <v>424.82952582310406</v>
      </c>
      <c r="M19" s="551">
        <f ca="1">Проект!$M$120</f>
        <v>682.40757669381696</v>
      </c>
      <c r="N19" s="551">
        <f ca="1">Проект!$N$120</f>
        <v>974.28821304277187</v>
      </c>
      <c r="O19" s="551">
        <f ca="1">Проект!$O$120</f>
        <v>1176.1590339952672</v>
      </c>
      <c r="P19" s="551">
        <f ca="1">Проект!$P$120</f>
        <v>1176.1590339952672</v>
      </c>
      <c r="Q19" s="551">
        <f ca="1">Проект!$Q$120</f>
        <v>1176.1590339952672</v>
      </c>
      <c r="R19" s="551">
        <f ca="1">Проект!$R$120</f>
        <v>1176.1590339952672</v>
      </c>
      <c r="S19" s="551">
        <f ca="1">Проект!$S$120</f>
        <v>1176.1590339952672</v>
      </c>
      <c r="T19" s="551">
        <f ca="1">Проект!$T$120</f>
        <v>1176.1590339952672</v>
      </c>
      <c r="U19" s="551">
        <f ca="1">Проект!$U$120</f>
        <v>1176.1590339952672</v>
      </c>
      <c r="V19" s="551">
        <f ca="1">Проект!$V$120</f>
        <v>1176.1590339952672</v>
      </c>
      <c r="W19" s="551">
        <f ca="1">Проект!$W$120</f>
        <v>1176.1590339952672</v>
      </c>
      <c r="X19" s="551">
        <f ca="1">Проект!$X$120</f>
        <v>1176.1590339952672</v>
      </c>
      <c r="Y19" s="551">
        <f ca="1">Проект!$Y$120</f>
        <v>1176.1590339952672</v>
      </c>
      <c r="Z19" s="551">
        <f ca="1">Проект!$Z$120</f>
        <v>1176.1590339952672</v>
      </c>
      <c r="AA19" s="551">
        <f ca="1">Проект!$AA$120</f>
        <v>1176.1590339952672</v>
      </c>
      <c r="AB19" s="551">
        <f ca="1">Проект!$AB$120</f>
        <v>1176.1590339952672</v>
      </c>
      <c r="AC19" s="551">
        <f ca="1">Проект!$AC$120</f>
        <v>1176.1590339952672</v>
      </c>
      <c r="AD19" s="531"/>
      <c r="AE19" s="543">
        <f ca="1">Проект!$AE$120</f>
        <v>19832.738463551206</v>
      </c>
    </row>
    <row r="20" spans="1:31" ht="11.25" customHeight="1" x14ac:dyDescent="0.3">
      <c r="A20" s="531" t="str">
        <f ca="1">Проект!$A$121</f>
        <v xml:space="preserve">    при оплате текущих затрат</v>
      </c>
      <c r="B20" s="531"/>
      <c r="C20" s="532" t="str">
        <f ca="1">Проект!$C$121</f>
        <v>тыс. EUR</v>
      </c>
      <c r="D20" s="533"/>
      <c r="E20" s="531"/>
      <c r="F20" s="551">
        <f ca="1">Проект!$F$121</f>
        <v>0</v>
      </c>
      <c r="G20" s="551">
        <f ca="1">Проект!$G$121</f>
        <v>0</v>
      </c>
      <c r="H20" s="551">
        <f ca="1">Проект!$H$121</f>
        <v>0</v>
      </c>
      <c r="I20" s="551">
        <f ca="1">Проект!$I$121</f>
        <v>0</v>
      </c>
      <c r="J20" s="551">
        <f ca="1">Проект!$J$121</f>
        <v>0</v>
      </c>
      <c r="K20" s="551">
        <f ca="1">Проект!$K$121</f>
        <v>5.0060713508752297</v>
      </c>
      <c r="L20" s="551">
        <f ca="1">Проект!$L$121</f>
        <v>19.542158187862789</v>
      </c>
      <c r="M20" s="551">
        <f ca="1">Проект!$M$121</f>
        <v>31.390748527915576</v>
      </c>
      <c r="N20" s="551">
        <f ca="1">Проект!$N$121</f>
        <v>44.817257799967514</v>
      </c>
      <c r="O20" s="551">
        <f ca="1">Проект!$O$121</f>
        <v>54.103315563782303</v>
      </c>
      <c r="P20" s="551">
        <f ca="1">Проект!$P$121</f>
        <v>54.103315563782303</v>
      </c>
      <c r="Q20" s="551">
        <f ca="1">Проект!$Q$121</f>
        <v>54.103315563782303</v>
      </c>
      <c r="R20" s="551">
        <f ca="1">Проект!$R$121</f>
        <v>54.103315563782303</v>
      </c>
      <c r="S20" s="551">
        <f ca="1">Проект!$S$121</f>
        <v>54.103315563782303</v>
      </c>
      <c r="T20" s="551">
        <f ca="1">Проект!$T$121</f>
        <v>54.103315563782303</v>
      </c>
      <c r="U20" s="551">
        <f ca="1">Проект!$U$121</f>
        <v>54.103315563782303</v>
      </c>
      <c r="V20" s="551">
        <f ca="1">Проект!$V$121</f>
        <v>54.103315563782303</v>
      </c>
      <c r="W20" s="551">
        <f ca="1">Проект!$W$121</f>
        <v>54.103315563782303</v>
      </c>
      <c r="X20" s="551">
        <f ca="1">Проект!$X$121</f>
        <v>54.103315563782303</v>
      </c>
      <c r="Y20" s="551">
        <f ca="1">Проект!$Y$121</f>
        <v>54.103315563782303</v>
      </c>
      <c r="Z20" s="551">
        <f ca="1">Проект!$Z$121</f>
        <v>54.103315563782303</v>
      </c>
      <c r="AA20" s="551">
        <f ca="1">Проект!$AA$121</f>
        <v>54.103315563782303</v>
      </c>
      <c r="AB20" s="551">
        <f ca="1">Проект!$AB$121</f>
        <v>54.103315563782303</v>
      </c>
      <c r="AC20" s="551">
        <f ca="1">Проект!$AC$121</f>
        <v>54.103315563782303</v>
      </c>
      <c r="AD20" s="531"/>
      <c r="AE20" s="543">
        <f ca="1">Проект!$AE$121</f>
        <v>912.30596932335573</v>
      </c>
    </row>
    <row r="21" spans="1:31" ht="11.25" customHeight="1" x14ac:dyDescent="0.3">
      <c r="A21" s="531" t="str">
        <f ca="1">Проект!$A$122</f>
        <v xml:space="preserve">    при оплате прочих расходов</v>
      </c>
      <c r="B21" s="531"/>
      <c r="C21" s="532" t="str">
        <f ca="1">Проект!$C$122</f>
        <v>тыс. EUR</v>
      </c>
      <c r="D21" s="533"/>
      <c r="E21" s="531"/>
      <c r="F21" s="551">
        <f>Проект!$F$122</f>
        <v>0</v>
      </c>
      <c r="G21" s="551">
        <f>Проект!$G$122</f>
        <v>0</v>
      </c>
      <c r="H21" s="551">
        <f>Проект!$H$122</f>
        <v>0</v>
      </c>
      <c r="I21" s="551">
        <f>Проект!$I$122</f>
        <v>0</v>
      </c>
      <c r="J21" s="551">
        <f>Проект!$J$122</f>
        <v>0</v>
      </c>
      <c r="K21" s="551">
        <f>Проект!$K$122</f>
        <v>0</v>
      </c>
      <c r="L21" s="551">
        <f>Проект!$L$122</f>
        <v>0</v>
      </c>
      <c r="M21" s="551">
        <f>Проект!$M$122</f>
        <v>0</v>
      </c>
      <c r="N21" s="551">
        <f>Проект!$N$122</f>
        <v>0</v>
      </c>
      <c r="O21" s="551">
        <f>Проект!$O$122</f>
        <v>0</v>
      </c>
      <c r="P21" s="551">
        <f>Проект!$P$122</f>
        <v>0</v>
      </c>
      <c r="Q21" s="551">
        <f>Проект!$Q$122</f>
        <v>0</v>
      </c>
      <c r="R21" s="551">
        <f>Проект!$R$122</f>
        <v>0</v>
      </c>
      <c r="S21" s="551">
        <f>Проект!$S$122</f>
        <v>0</v>
      </c>
      <c r="T21" s="551">
        <f>Проект!$T$122</f>
        <v>0</v>
      </c>
      <c r="U21" s="551">
        <f>Проект!$U$122</f>
        <v>0</v>
      </c>
      <c r="V21" s="551">
        <f>Проект!$V$122</f>
        <v>0</v>
      </c>
      <c r="W21" s="551">
        <f>Проект!$W$122</f>
        <v>0</v>
      </c>
      <c r="X21" s="551">
        <f>Проект!$X$122</f>
        <v>0</v>
      </c>
      <c r="Y21" s="551">
        <f>Проект!$Y$122</f>
        <v>0</v>
      </c>
      <c r="Z21" s="551">
        <f>Проект!$Z$122</f>
        <v>0</v>
      </c>
      <c r="AA21" s="551">
        <f>Проект!$AA$122</f>
        <v>0</v>
      </c>
      <c r="AB21" s="551">
        <f>Проект!$AB$122</f>
        <v>0</v>
      </c>
      <c r="AC21" s="551">
        <f>Проект!$AC$122</f>
        <v>0</v>
      </c>
      <c r="AD21" s="531"/>
      <c r="AE21" s="543"/>
    </row>
    <row r="22" spans="1:31" ht="11.25" customHeight="1" x14ac:dyDescent="0.3">
      <c r="A22" s="531" t="str">
        <f ca="1">Проект!$A$123</f>
        <v xml:space="preserve">    при оплате лизинга</v>
      </c>
      <c r="B22" s="531"/>
      <c r="C22" s="532" t="str">
        <f ca="1">Проект!$C$123</f>
        <v>тыс. EUR</v>
      </c>
      <c r="D22" s="533"/>
      <c r="E22" s="531"/>
      <c r="F22" s="551">
        <f ca="1">Проект!$F$123</f>
        <v>0</v>
      </c>
      <c r="G22" s="551">
        <f ca="1">Проект!$G$123</f>
        <v>0</v>
      </c>
      <c r="H22" s="551">
        <f ca="1">Проект!$H$123</f>
        <v>0</v>
      </c>
      <c r="I22" s="551">
        <f ca="1">Проект!$I$123</f>
        <v>0</v>
      </c>
      <c r="J22" s="551">
        <f ca="1">Проект!$J$123</f>
        <v>0</v>
      </c>
      <c r="K22" s="551">
        <f ca="1">Проект!$K$123</f>
        <v>0</v>
      </c>
      <c r="L22" s="551">
        <f ca="1">Проект!$L$123</f>
        <v>0</v>
      </c>
      <c r="M22" s="551">
        <f ca="1">Проект!$M$123</f>
        <v>0</v>
      </c>
      <c r="N22" s="551">
        <f ca="1">Проект!$N$123</f>
        <v>0</v>
      </c>
      <c r="O22" s="551">
        <f ca="1">Проект!$O$123</f>
        <v>0</v>
      </c>
      <c r="P22" s="551">
        <f ca="1">Проект!$P$123</f>
        <v>0</v>
      </c>
      <c r="Q22" s="551">
        <f ca="1">Проект!$Q$123</f>
        <v>0</v>
      </c>
      <c r="R22" s="551">
        <f ca="1">Проект!$R$123</f>
        <v>0</v>
      </c>
      <c r="S22" s="551">
        <f ca="1">Проект!$S$123</f>
        <v>0</v>
      </c>
      <c r="T22" s="551">
        <f ca="1">Проект!$T$123</f>
        <v>0</v>
      </c>
      <c r="U22" s="551">
        <f ca="1">Проект!$U$123</f>
        <v>0</v>
      </c>
      <c r="V22" s="551">
        <f ca="1">Проект!$V$123</f>
        <v>0</v>
      </c>
      <c r="W22" s="551">
        <f ca="1">Проект!$W$123</f>
        <v>0</v>
      </c>
      <c r="X22" s="551">
        <f ca="1">Проект!$X$123</f>
        <v>0</v>
      </c>
      <c r="Y22" s="551">
        <f ca="1">Проект!$Y$123</f>
        <v>0</v>
      </c>
      <c r="Z22" s="551">
        <f ca="1">Проект!$Z$123</f>
        <v>0</v>
      </c>
      <c r="AA22" s="551">
        <f ca="1">Проект!$AA$123</f>
        <v>0</v>
      </c>
      <c r="AB22" s="551">
        <f ca="1">Проект!$AB$123</f>
        <v>0</v>
      </c>
      <c r="AC22" s="551">
        <f ca="1">Проект!$AC$123</f>
        <v>0</v>
      </c>
      <c r="AD22" s="531"/>
      <c r="AE22" s="543">
        <f ca="1">Проект!$AE$123</f>
        <v>0</v>
      </c>
    </row>
    <row r="23" spans="1:31" ht="11.25" customHeight="1" x14ac:dyDescent="0.3">
      <c r="A23" s="531" t="str">
        <f ca="1">Проект!$A$124</f>
        <v xml:space="preserve">    при выкупе арендованных активов</v>
      </c>
      <c r="B23" s="531"/>
      <c r="C23" s="532" t="str">
        <f ca="1">Проект!$C$124</f>
        <v>тыс. EUR</v>
      </c>
      <c r="D23" s="533"/>
      <c r="E23" s="531"/>
      <c r="F23" s="551">
        <f>Проект!$F$124</f>
        <v>0</v>
      </c>
      <c r="G23" s="551">
        <f>Проект!$G$124</f>
        <v>0</v>
      </c>
      <c r="H23" s="551">
        <f>Проект!$H$124</f>
        <v>0</v>
      </c>
      <c r="I23" s="551">
        <f>Проект!$I$124</f>
        <v>0</v>
      </c>
      <c r="J23" s="551">
        <f>Проект!$J$124</f>
        <v>0</v>
      </c>
      <c r="K23" s="551">
        <f>Проект!$K$124</f>
        <v>0</v>
      </c>
      <c r="L23" s="551">
        <f>Проект!$L$124</f>
        <v>0</v>
      </c>
      <c r="M23" s="551">
        <f>Проект!$M$124</f>
        <v>0</v>
      </c>
      <c r="N23" s="551">
        <f>Проект!$N$124</f>
        <v>0</v>
      </c>
      <c r="O23" s="551">
        <f>Проект!$O$124</f>
        <v>0</v>
      </c>
      <c r="P23" s="551">
        <f>Проект!$P$124</f>
        <v>0</v>
      </c>
      <c r="Q23" s="551">
        <f>Проект!$Q$124</f>
        <v>0</v>
      </c>
      <c r="R23" s="551">
        <f>Проект!$R$124</f>
        <v>0</v>
      </c>
      <c r="S23" s="551">
        <f>Проект!$S$124</f>
        <v>0</v>
      </c>
      <c r="T23" s="551">
        <f>Проект!$T$124</f>
        <v>0</v>
      </c>
      <c r="U23" s="551">
        <f>Проект!$U$124</f>
        <v>0</v>
      </c>
      <c r="V23" s="551">
        <f>Проект!$V$124</f>
        <v>0</v>
      </c>
      <c r="W23" s="551">
        <f>Проект!$W$124</f>
        <v>0</v>
      </c>
      <c r="X23" s="551">
        <f>Проект!$X$124</f>
        <v>0</v>
      </c>
      <c r="Y23" s="551">
        <f>Проект!$Y$124</f>
        <v>0</v>
      </c>
      <c r="Z23" s="551">
        <f>Проект!$Z$124</f>
        <v>0</v>
      </c>
      <c r="AA23" s="551">
        <f>Проект!$AA$124</f>
        <v>0</v>
      </c>
      <c r="AB23" s="551">
        <f>Проект!$AB$124</f>
        <v>0</v>
      </c>
      <c r="AC23" s="551">
        <f>Проект!$AC$124</f>
        <v>0</v>
      </c>
      <c r="AD23" s="531"/>
      <c r="AE23" s="543"/>
    </row>
    <row r="24" spans="1:31" ht="11.25" customHeight="1" x14ac:dyDescent="0.3">
      <c r="A24" s="531" t="str">
        <f ca="1">Проект!$A$125</f>
        <v xml:space="preserve">    при оплате инвестиционных вложений</v>
      </c>
      <c r="B24" s="531"/>
      <c r="C24" s="532" t="str">
        <f ca="1">Проект!$C$125</f>
        <v>тыс. EUR</v>
      </c>
      <c r="D24" s="533"/>
      <c r="E24" s="531"/>
      <c r="F24" s="551">
        <f>Проект!$F$125</f>
        <v>0</v>
      </c>
      <c r="G24" s="551">
        <f>Проект!$G$125</f>
        <v>0</v>
      </c>
      <c r="H24" s="551">
        <f>Проект!$H$125</f>
        <v>1027.5924207268845</v>
      </c>
      <c r="I24" s="551">
        <f>Проект!$I$125</f>
        <v>284.14536585365857</v>
      </c>
      <c r="J24" s="551">
        <f ca="1">Проект!$J$125</f>
        <v>1313.5971669522364</v>
      </c>
      <c r="K24" s="551">
        <f>Проект!$K$125</f>
        <v>557.70805726236347</v>
      </c>
      <c r="L24" s="551">
        <f>Проект!$L$125</f>
        <v>0</v>
      </c>
      <c r="M24" s="551">
        <f>Проект!$M$125</f>
        <v>0</v>
      </c>
      <c r="N24" s="551">
        <f>Проект!$N$125</f>
        <v>0</v>
      </c>
      <c r="O24" s="551">
        <f>Проект!$O$125</f>
        <v>0</v>
      </c>
      <c r="P24" s="551">
        <f>Проект!$P$125</f>
        <v>0</v>
      </c>
      <c r="Q24" s="551">
        <f>Проект!$Q$125</f>
        <v>0</v>
      </c>
      <c r="R24" s="551">
        <f>Проект!$R$125</f>
        <v>0</v>
      </c>
      <c r="S24" s="551">
        <f>Проект!$S$125</f>
        <v>0</v>
      </c>
      <c r="T24" s="551">
        <f>Проект!$T$125</f>
        <v>0</v>
      </c>
      <c r="U24" s="551">
        <f>Проект!$U$125</f>
        <v>0</v>
      </c>
      <c r="V24" s="551">
        <f>Проект!$V$125</f>
        <v>0</v>
      </c>
      <c r="W24" s="551">
        <f>Проект!$W$125</f>
        <v>0</v>
      </c>
      <c r="X24" s="551">
        <f>Проект!$X$125</f>
        <v>0</v>
      </c>
      <c r="Y24" s="551">
        <f>Проект!$Y$125</f>
        <v>0</v>
      </c>
      <c r="Z24" s="551">
        <f>Проект!$Z$125</f>
        <v>0</v>
      </c>
      <c r="AA24" s="551">
        <f>Проект!$AA$125</f>
        <v>0</v>
      </c>
      <c r="AB24" s="551">
        <f>Проект!$AB$125</f>
        <v>0</v>
      </c>
      <c r="AC24" s="551">
        <f>Проект!$AC$125</f>
        <v>0</v>
      </c>
      <c r="AD24" s="531"/>
      <c r="AE24" s="543">
        <f ca="1">Проект!$AE$125</f>
        <v>3183.0430107951433</v>
      </c>
    </row>
    <row r="25" spans="1:31" ht="11.25" customHeight="1" x14ac:dyDescent="0.3">
      <c r="A25" s="536" t="str">
        <f ca="1">Проект!$A$126</f>
        <v>Платежи НДС в бюджет (или возврат из бюджета)</v>
      </c>
      <c r="B25" s="531"/>
      <c r="C25" s="532" t="str">
        <f ca="1">Проект!$C$126</f>
        <v>тыс. EUR</v>
      </c>
      <c r="D25" s="533"/>
      <c r="E25" s="531"/>
      <c r="F25" s="552">
        <f ca="1">Проект!$F$126</f>
        <v>0</v>
      </c>
      <c r="G25" s="552">
        <f ca="1">Проект!$G$126</f>
        <v>0</v>
      </c>
      <c r="H25" s="552">
        <f ca="1">Проект!$H$126</f>
        <v>0</v>
      </c>
      <c r="I25" s="552">
        <f ca="1">Проект!$I$126</f>
        <v>0</v>
      </c>
      <c r="J25" s="552">
        <f ca="1">Проект!$J$126</f>
        <v>0</v>
      </c>
      <c r="K25" s="552">
        <f ca="1">Проект!$K$126</f>
        <v>-3075.8519073682655</v>
      </c>
      <c r="L25" s="552">
        <f ca="1">Проект!$L$126</f>
        <v>-113.83370941338023</v>
      </c>
      <c r="M25" s="552">
        <f ca="1">Проект!$M$126</f>
        <v>-551.56278743784446</v>
      </c>
      <c r="N25" s="552">
        <f ca="1">Проект!$N$126</f>
        <v>-713.79832522173251</v>
      </c>
      <c r="O25" s="552">
        <f ca="1">Проект!$O$126</f>
        <v>-1019.1054708427394</v>
      </c>
      <c r="P25" s="552">
        <f ca="1">Проект!$P$126</f>
        <v>-1230.2623495590497</v>
      </c>
      <c r="Q25" s="552">
        <f ca="1">Проект!$Q$126</f>
        <v>-1230.2623495590497</v>
      </c>
      <c r="R25" s="552">
        <f ca="1">Проект!$R$126</f>
        <v>-1230.2623495590497</v>
      </c>
      <c r="S25" s="552">
        <f ca="1">Проект!$S$126</f>
        <v>-1230.2623495590497</v>
      </c>
      <c r="T25" s="552">
        <f ca="1">Проект!$T$126</f>
        <v>-1230.2623495590497</v>
      </c>
      <c r="U25" s="552">
        <f ca="1">Проект!$U$126</f>
        <v>-1230.2623495590497</v>
      </c>
      <c r="V25" s="552">
        <f ca="1">Проект!$V$126</f>
        <v>-1230.2623495590497</v>
      </c>
      <c r="W25" s="552">
        <f ca="1">Проект!$W$126</f>
        <v>-1230.2623495590497</v>
      </c>
      <c r="X25" s="552">
        <f ca="1">Проект!$X$126</f>
        <v>-1230.2623495590497</v>
      </c>
      <c r="Y25" s="552">
        <f ca="1">Проект!$Y$126</f>
        <v>-1230.2623495590497</v>
      </c>
      <c r="Z25" s="552">
        <f ca="1">Проект!$Z$126</f>
        <v>-1230.2623495590497</v>
      </c>
      <c r="AA25" s="552">
        <f ca="1">Проект!$AA$126</f>
        <v>-1230.2623495590497</v>
      </c>
      <c r="AB25" s="552">
        <f ca="1">Проект!$AB$126</f>
        <v>-1230.2623495590497</v>
      </c>
      <c r="AC25" s="552">
        <f ca="1">Проект!$AC$126</f>
        <v>-1230.2623495590497</v>
      </c>
      <c r="AD25" s="531"/>
      <c r="AE25" s="553">
        <f ca="1">Проект!$AE$126</f>
        <v>-22697.825094110649</v>
      </c>
    </row>
    <row r="26" spans="1:31" hidden="1" x14ac:dyDescent="0.3">
      <c r="A26" s="531" t="str">
        <f ca="1">Проект!$A$127</f>
        <v xml:space="preserve">    зачтенный НДС на инвестиционные вложения</v>
      </c>
      <c r="B26" s="531"/>
      <c r="C26" s="532" t="str">
        <f ca="1">Проект!$C$127</f>
        <v>тыс. EUR</v>
      </c>
      <c r="D26" s="533"/>
      <c r="E26" s="531"/>
      <c r="F26" s="551">
        <f ca="1">Проект!$F$127</f>
        <v>0</v>
      </c>
      <c r="G26" s="551">
        <f ca="1">Проект!$G$127</f>
        <v>0</v>
      </c>
      <c r="H26" s="551">
        <f ca="1">Проект!$H$127</f>
        <v>0</v>
      </c>
      <c r="I26" s="551">
        <f ca="1">Проект!$I$127</f>
        <v>0</v>
      </c>
      <c r="J26" s="551">
        <f ca="1">Проект!$J$127</f>
        <v>3075.8519073682655</v>
      </c>
      <c r="K26" s="551">
        <f ca="1">Проект!$K$127</f>
        <v>0</v>
      </c>
      <c r="L26" s="551">
        <f ca="1">Проект!$L$127</f>
        <v>107.19110342687765</v>
      </c>
      <c r="M26" s="551">
        <f ca="1">Проект!$M$127</f>
        <v>0</v>
      </c>
      <c r="N26" s="551">
        <f ca="1">Проект!$N$127</f>
        <v>0</v>
      </c>
      <c r="O26" s="551">
        <f ca="1">Проект!$O$127</f>
        <v>0</v>
      </c>
      <c r="P26" s="551">
        <f ca="1">Проект!$P$127</f>
        <v>0</v>
      </c>
      <c r="Q26" s="551">
        <f ca="1">Проект!$Q$127</f>
        <v>0</v>
      </c>
      <c r="R26" s="551">
        <f ca="1">Проект!$R$127</f>
        <v>0</v>
      </c>
      <c r="S26" s="551">
        <f ca="1">Проект!$S$127</f>
        <v>0</v>
      </c>
      <c r="T26" s="551">
        <f ca="1">Проект!$T$127</f>
        <v>0</v>
      </c>
      <c r="U26" s="551">
        <f ca="1">Проект!$U$127</f>
        <v>0</v>
      </c>
      <c r="V26" s="551">
        <f ca="1">Проект!$V$127</f>
        <v>0</v>
      </c>
      <c r="W26" s="551">
        <f ca="1">Проект!$W$127</f>
        <v>0</v>
      </c>
      <c r="X26" s="551">
        <f ca="1">Проект!$X$127</f>
        <v>0</v>
      </c>
      <c r="Y26" s="551">
        <f ca="1">Проект!$Y$127</f>
        <v>0</v>
      </c>
      <c r="Z26" s="551">
        <f ca="1">Проект!$Z$127</f>
        <v>0</v>
      </c>
      <c r="AA26" s="551">
        <f ca="1">Проект!$AA$127</f>
        <v>0</v>
      </c>
      <c r="AB26" s="551">
        <f ca="1">Проект!$AB$127</f>
        <v>0</v>
      </c>
      <c r="AC26" s="551">
        <f ca="1">Проект!$AC$127</f>
        <v>0</v>
      </c>
      <c r="AD26" s="531"/>
      <c r="AE26" s="543">
        <f ca="1">Проект!$AE$127</f>
        <v>3183.0430107951433</v>
      </c>
    </row>
    <row r="27" spans="1:31" hidden="1" x14ac:dyDescent="0.3">
      <c r="A27" s="531" t="str">
        <f ca="1">Проект!$A$128</f>
        <v xml:space="preserve">    выплаченный, но еще не зачтенный НДС</v>
      </c>
      <c r="B27" s="531"/>
      <c r="C27" s="532" t="str">
        <f ca="1">Проект!$C$128</f>
        <v>тыс. EUR</v>
      </c>
      <c r="D27" s="554" t="str">
        <f>Проект!$D$128</f>
        <v>int_end</v>
      </c>
      <c r="E27" s="531"/>
      <c r="F27" s="551">
        <f ca="1">Проект!$F$128</f>
        <v>0</v>
      </c>
      <c r="G27" s="551">
        <f ca="1">Проект!$G$128</f>
        <v>0</v>
      </c>
      <c r="H27" s="551">
        <f ca="1">Проект!$H$128</f>
        <v>1027.5924207268845</v>
      </c>
      <c r="I27" s="551">
        <f ca="1">Проект!$I$128</f>
        <v>1311.7377865805431</v>
      </c>
      <c r="J27" s="551">
        <f ca="1">Проект!$J$128</f>
        <v>-450.51695383548577</v>
      </c>
      <c r="K27" s="551">
        <f ca="1">Проект!$K$128</f>
        <v>107.19110342687782</v>
      </c>
      <c r="L27" s="551">
        <f ca="1">Проект!$L$128</f>
        <v>0</v>
      </c>
      <c r="M27" s="551">
        <f ca="1">Проект!$M$128</f>
        <v>0</v>
      </c>
      <c r="N27" s="551">
        <f ca="1">Проект!$N$128</f>
        <v>0</v>
      </c>
      <c r="O27" s="551">
        <f ca="1">Проект!$O$128</f>
        <v>0</v>
      </c>
      <c r="P27" s="551">
        <f ca="1">Проект!$P$128</f>
        <v>0</v>
      </c>
      <c r="Q27" s="551">
        <f ca="1">Проект!$Q$128</f>
        <v>0</v>
      </c>
      <c r="R27" s="551">
        <f ca="1">Проект!$R$128</f>
        <v>0</v>
      </c>
      <c r="S27" s="551">
        <f ca="1">Проект!$S$128</f>
        <v>0</v>
      </c>
      <c r="T27" s="551">
        <f ca="1">Проект!$T$128</f>
        <v>0</v>
      </c>
      <c r="U27" s="551">
        <f ca="1">Проект!$U$128</f>
        <v>0</v>
      </c>
      <c r="V27" s="551">
        <f ca="1">Проект!$V$128</f>
        <v>0</v>
      </c>
      <c r="W27" s="551">
        <f ca="1">Проект!$W$128</f>
        <v>0</v>
      </c>
      <c r="X27" s="551">
        <f ca="1">Проект!$X$128</f>
        <v>0</v>
      </c>
      <c r="Y27" s="551">
        <f ca="1">Проект!$Y$128</f>
        <v>0</v>
      </c>
      <c r="Z27" s="551">
        <f ca="1">Проект!$Z$128</f>
        <v>0</v>
      </c>
      <c r="AA27" s="551">
        <f ca="1">Проект!$AA$128</f>
        <v>0</v>
      </c>
      <c r="AB27" s="551">
        <f ca="1">Проект!$AB$128</f>
        <v>0</v>
      </c>
      <c r="AC27" s="551">
        <f ca="1">Проект!$AC$128</f>
        <v>0</v>
      </c>
      <c r="AD27" s="531"/>
      <c r="AE27" s="543"/>
    </row>
    <row r="28" spans="1:31" hidden="1" x14ac:dyDescent="0.3">
      <c r="A28" s="531" t="str">
        <f ca="1">Проект!$A$129</f>
        <v xml:space="preserve">    НДС к уплате в бюджет (или к возврату из бюджета)</v>
      </c>
      <c r="B28" s="531"/>
      <c r="C28" s="532" t="str">
        <f ca="1">Проект!$C$129</f>
        <v>тыс. EUR</v>
      </c>
      <c r="D28" s="533"/>
      <c r="E28" s="531"/>
      <c r="F28" s="551">
        <f ca="1">Проект!$F$129</f>
        <v>0</v>
      </c>
      <c r="G28" s="551">
        <f ca="1">Проект!$G$129</f>
        <v>0</v>
      </c>
      <c r="H28" s="551">
        <f ca="1">Проект!$H$129</f>
        <v>0</v>
      </c>
      <c r="I28" s="551">
        <f ca="1">Проект!$I$129</f>
        <v>0</v>
      </c>
      <c r="J28" s="551">
        <f ca="1">Проект!$J$129</f>
        <v>-3075.8519073682655</v>
      </c>
      <c r="K28" s="551">
        <f ca="1">Проект!$K$129</f>
        <v>-113.83370941338023</v>
      </c>
      <c r="L28" s="551">
        <f ca="1">Проект!$L$129</f>
        <v>-551.56278743784446</v>
      </c>
      <c r="M28" s="551">
        <f ca="1">Проект!$M$129</f>
        <v>-713.79832522173251</v>
      </c>
      <c r="N28" s="551">
        <f ca="1">Проект!$N$129</f>
        <v>-1019.1054708427394</v>
      </c>
      <c r="O28" s="551">
        <f ca="1">Проект!$O$129</f>
        <v>-1230.2623495590497</v>
      </c>
      <c r="P28" s="551">
        <f ca="1">Проект!$P$129</f>
        <v>-1230.2623495590497</v>
      </c>
      <c r="Q28" s="551">
        <f ca="1">Проект!$Q$129</f>
        <v>-1230.2623495590497</v>
      </c>
      <c r="R28" s="551">
        <f ca="1">Проект!$R$129</f>
        <v>-1230.2623495590497</v>
      </c>
      <c r="S28" s="551">
        <f ca="1">Проект!$S$129</f>
        <v>-1230.2623495590497</v>
      </c>
      <c r="T28" s="551">
        <f ca="1">Проект!$T$129</f>
        <v>-1230.2623495590497</v>
      </c>
      <c r="U28" s="551">
        <f ca="1">Проект!$U$129</f>
        <v>-1230.2623495590497</v>
      </c>
      <c r="V28" s="551">
        <f ca="1">Проект!$V$129</f>
        <v>-1230.2623495590497</v>
      </c>
      <c r="W28" s="551">
        <f ca="1">Проект!$W$129</f>
        <v>-1230.2623495590497</v>
      </c>
      <c r="X28" s="551">
        <f ca="1">Проект!$X$129</f>
        <v>-1230.2623495590497</v>
      </c>
      <c r="Y28" s="551">
        <f ca="1">Проект!$Y$129</f>
        <v>-1230.2623495590497</v>
      </c>
      <c r="Z28" s="551">
        <f ca="1">Проект!$Z$129</f>
        <v>-1230.2623495590497</v>
      </c>
      <c r="AA28" s="551">
        <f ca="1">Проект!$AA$129</f>
        <v>-1230.2623495590497</v>
      </c>
      <c r="AB28" s="551">
        <f ca="1">Проект!$AB$129</f>
        <v>-1230.2623495590497</v>
      </c>
      <c r="AC28" s="551">
        <f ca="1">Проект!$AC$129</f>
        <v>-1230.2623495590497</v>
      </c>
      <c r="AD28" s="531"/>
      <c r="AE28" s="543">
        <f ca="1">Проект!$AE$129</f>
        <v>-23928.087443669698</v>
      </c>
    </row>
    <row r="29" spans="1:31" hidden="1" x14ac:dyDescent="0.3">
      <c r="A29" s="531" t="str">
        <f ca="1">Проект!$A$130</f>
        <v xml:space="preserve">    прямое возмещение НДС из бюджета</v>
      </c>
      <c r="B29" s="531"/>
      <c r="C29" s="532" t="str">
        <f ca="1">Проект!$C$130</f>
        <v>тыс. EUR</v>
      </c>
      <c r="D29" s="533"/>
      <c r="E29" s="531"/>
      <c r="F29" s="551">
        <f ca="1">Проект!$F$130</f>
        <v>0</v>
      </c>
      <c r="G29" s="551">
        <f ca="1">Проект!$G$130</f>
        <v>0</v>
      </c>
      <c r="H29" s="551">
        <f ca="1">Проект!$H$130</f>
        <v>0</v>
      </c>
      <c r="I29" s="551">
        <f ca="1">Проект!$I$130</f>
        <v>0</v>
      </c>
      <c r="J29" s="551">
        <f ca="1">Проект!$J$130</f>
        <v>0</v>
      </c>
      <c r="K29" s="551">
        <f ca="1">Проект!$K$130</f>
        <v>-3075.8519073682655</v>
      </c>
      <c r="L29" s="551">
        <f ca="1">Проект!$L$130</f>
        <v>-113.83370941338023</v>
      </c>
      <c r="M29" s="551">
        <f ca="1">Проект!$M$130</f>
        <v>-551.56278743784446</v>
      </c>
      <c r="N29" s="551">
        <f ca="1">Проект!$N$130</f>
        <v>-713.79832522173251</v>
      </c>
      <c r="O29" s="551">
        <f ca="1">Проект!$O$130</f>
        <v>-1019.1054708427394</v>
      </c>
      <c r="P29" s="551">
        <f ca="1">Проект!$P$130</f>
        <v>-1230.2623495590497</v>
      </c>
      <c r="Q29" s="551">
        <f ca="1">Проект!$Q$130</f>
        <v>-1230.2623495590497</v>
      </c>
      <c r="R29" s="551">
        <f ca="1">Проект!$R$130</f>
        <v>-1230.2623495590497</v>
      </c>
      <c r="S29" s="551">
        <f ca="1">Проект!$S$130</f>
        <v>-1230.2623495590497</v>
      </c>
      <c r="T29" s="551">
        <f ca="1">Проект!$T$130</f>
        <v>-1230.2623495590497</v>
      </c>
      <c r="U29" s="551">
        <f ca="1">Проект!$U$130</f>
        <v>-1230.2623495590497</v>
      </c>
      <c r="V29" s="551">
        <f ca="1">Проект!$V$130</f>
        <v>-1230.2623495590497</v>
      </c>
      <c r="W29" s="551">
        <f ca="1">Проект!$W$130</f>
        <v>-1230.2623495590497</v>
      </c>
      <c r="X29" s="551">
        <f ca="1">Проект!$X$130</f>
        <v>-1230.2623495590497</v>
      </c>
      <c r="Y29" s="551">
        <f ca="1">Проект!$Y$130</f>
        <v>-1230.2623495590497</v>
      </c>
      <c r="Z29" s="551">
        <f ca="1">Проект!$Z$130</f>
        <v>-1230.2623495590497</v>
      </c>
      <c r="AA29" s="551">
        <f ca="1">Проект!$AA$130</f>
        <v>-1230.2623495590497</v>
      </c>
      <c r="AB29" s="551">
        <f ca="1">Проект!$AB$130</f>
        <v>-1230.2623495590497</v>
      </c>
      <c r="AC29" s="551">
        <f ca="1">Проект!$AC$130</f>
        <v>-1230.2623495590497</v>
      </c>
      <c r="AD29" s="531"/>
      <c r="AE29" s="543">
        <f ca="1">Проект!$AE$130</f>
        <v>-22697.825094110649</v>
      </c>
    </row>
    <row r="30" spans="1:31" hidden="1" x14ac:dyDescent="0.3">
      <c r="A30" s="531" t="str">
        <f ca="1">Проект!$A$131</f>
        <v xml:space="preserve">    отложенный возврат НДС из бюджета</v>
      </c>
      <c r="B30" s="531"/>
      <c r="C30" s="532" t="str">
        <f ca="1">Проект!$C$131</f>
        <v>тыс. EUR</v>
      </c>
      <c r="D30" s="554" t="str">
        <f>Проект!$D$131</f>
        <v>int_end</v>
      </c>
      <c r="E30" s="531"/>
      <c r="F30" s="551">
        <f ca="1">Проект!$F$131</f>
        <v>0</v>
      </c>
      <c r="G30" s="551">
        <f ca="1">Проект!$G$131</f>
        <v>0</v>
      </c>
      <c r="H30" s="551">
        <f ca="1">Проект!$H$131</f>
        <v>0</v>
      </c>
      <c r="I30" s="551">
        <f ca="1">Проект!$I$131</f>
        <v>0</v>
      </c>
      <c r="J30" s="551">
        <f ca="1">Проект!$J$131</f>
        <v>3075.8519073682655</v>
      </c>
      <c r="K30" s="551">
        <f ca="1">Проект!$K$131</f>
        <v>113.83370941338035</v>
      </c>
      <c r="L30" s="551">
        <f ca="1">Проект!$L$131</f>
        <v>551.56278743784458</v>
      </c>
      <c r="M30" s="551">
        <f ca="1">Проект!$M$131</f>
        <v>713.79832522173251</v>
      </c>
      <c r="N30" s="551">
        <f ca="1">Проект!$N$131</f>
        <v>1019.1054708427394</v>
      </c>
      <c r="O30" s="551">
        <f ca="1">Проект!$O$131</f>
        <v>1230.2623495590494</v>
      </c>
      <c r="P30" s="551">
        <f ca="1">Проект!$P$131</f>
        <v>1230.2623495590497</v>
      </c>
      <c r="Q30" s="551">
        <f ca="1">Проект!$Q$131</f>
        <v>1230.2623495590497</v>
      </c>
      <c r="R30" s="551">
        <f ca="1">Проект!$R$131</f>
        <v>1230.2623495590497</v>
      </c>
      <c r="S30" s="551">
        <f ca="1">Проект!$S$131</f>
        <v>1230.2623495590497</v>
      </c>
      <c r="T30" s="551">
        <f ca="1">Проект!$T$131</f>
        <v>1230.2623495590497</v>
      </c>
      <c r="U30" s="551">
        <f ca="1">Проект!$U$131</f>
        <v>1230.2623495590497</v>
      </c>
      <c r="V30" s="551">
        <f ca="1">Проект!$V$131</f>
        <v>1230.2623495590497</v>
      </c>
      <c r="W30" s="551">
        <f ca="1">Проект!$W$131</f>
        <v>1230.2623495590497</v>
      </c>
      <c r="X30" s="551">
        <f ca="1">Проект!$X$131</f>
        <v>1230.2623495590497</v>
      </c>
      <c r="Y30" s="551">
        <f ca="1">Проект!$Y$131</f>
        <v>1230.2623495590497</v>
      </c>
      <c r="Z30" s="551">
        <f ca="1">Проект!$Z$131</f>
        <v>1230.2623495590497</v>
      </c>
      <c r="AA30" s="551">
        <f ca="1">Проект!$AA$131</f>
        <v>1230.2623495590497</v>
      </c>
      <c r="AB30" s="551">
        <f ca="1">Проект!$AB$131</f>
        <v>1230.2623495590497</v>
      </c>
      <c r="AC30" s="551">
        <f ca="1">Проект!$AC$131</f>
        <v>1230.2623495590497</v>
      </c>
      <c r="AD30" s="531"/>
      <c r="AE30" s="543"/>
    </row>
    <row r="31" spans="1:31" ht="11.25" customHeight="1" x14ac:dyDescent="0.3">
      <c r="A31" s="531"/>
      <c r="B31" s="531"/>
      <c r="C31" s="532"/>
      <c r="D31" s="533"/>
      <c r="E31" s="531"/>
      <c r="F31" s="534"/>
      <c r="G31" s="534"/>
      <c r="H31" s="534"/>
      <c r="I31" s="534"/>
      <c r="J31" s="534"/>
      <c r="K31" s="534"/>
      <c r="L31" s="534"/>
      <c r="M31" s="534"/>
      <c r="N31" s="534"/>
      <c r="O31" s="534"/>
      <c r="P31" s="534"/>
      <c r="Q31" s="534"/>
      <c r="R31" s="534"/>
      <c r="S31" s="534"/>
      <c r="T31" s="534"/>
      <c r="U31" s="534"/>
      <c r="V31" s="534"/>
      <c r="W31" s="534"/>
      <c r="X31" s="534"/>
      <c r="Y31" s="534"/>
      <c r="Z31" s="534"/>
      <c r="AA31" s="534"/>
      <c r="AB31" s="534"/>
      <c r="AC31" s="534"/>
      <c r="AD31" s="531"/>
      <c r="AE31" s="535"/>
    </row>
    <row r="32" spans="1:31" ht="11.25" customHeight="1" x14ac:dyDescent="0.3">
      <c r="A32" s="544"/>
      <c r="B32" s="544"/>
      <c r="C32" s="545"/>
      <c r="D32" s="546"/>
      <c r="E32" s="544"/>
      <c r="F32" s="547"/>
      <c r="G32" s="547"/>
      <c r="H32" s="547"/>
      <c r="I32" s="547"/>
      <c r="J32" s="547"/>
      <c r="K32" s="547"/>
      <c r="L32" s="547"/>
      <c r="M32" s="547"/>
      <c r="N32" s="547"/>
      <c r="O32" s="547"/>
      <c r="P32" s="547"/>
      <c r="Q32" s="547"/>
      <c r="R32" s="547"/>
      <c r="S32" s="547"/>
      <c r="T32" s="547"/>
      <c r="U32" s="547"/>
      <c r="V32" s="547"/>
      <c r="W32" s="547"/>
      <c r="X32" s="547"/>
      <c r="Y32" s="547"/>
      <c r="Z32" s="547"/>
      <c r="AA32" s="547"/>
      <c r="AB32" s="547"/>
      <c r="AC32" s="547"/>
      <c r="AD32" s="544"/>
      <c r="AE32" s="548"/>
    </row>
    <row r="33" spans="1:31" ht="11.25" customHeight="1" x14ac:dyDescent="0.3">
      <c r="A33" s="536" t="str">
        <f ca="1">Проект!$A$134</f>
        <v>ПРОЧИЕ НАЛОГИ</v>
      </c>
      <c r="B33" s="531"/>
      <c r="C33" s="532"/>
      <c r="D33" s="533"/>
      <c r="E33" s="531"/>
      <c r="F33" s="534"/>
      <c r="G33" s="534"/>
      <c r="H33" s="534"/>
      <c r="I33" s="534"/>
      <c r="J33" s="534"/>
      <c r="K33" s="534"/>
      <c r="L33" s="534"/>
      <c r="M33" s="534"/>
      <c r="N33" s="534"/>
      <c r="O33" s="534"/>
      <c r="P33" s="534"/>
      <c r="Q33" s="534"/>
      <c r="R33" s="534"/>
      <c r="S33" s="534"/>
      <c r="T33" s="534"/>
      <c r="U33" s="534"/>
      <c r="V33" s="534"/>
      <c r="W33" s="534"/>
      <c r="X33" s="534"/>
      <c r="Y33" s="534"/>
      <c r="Z33" s="534"/>
      <c r="AA33" s="534"/>
      <c r="AB33" s="534"/>
      <c r="AC33" s="534"/>
      <c r="AD33" s="531"/>
      <c r="AE33" s="535"/>
    </row>
    <row r="34" spans="1:31" ht="11.25" customHeight="1" x14ac:dyDescent="0.3">
      <c r="A34" s="531"/>
      <c r="B34" s="531"/>
      <c r="C34" s="532"/>
      <c r="D34" s="533"/>
      <c r="E34" s="531"/>
      <c r="F34" s="534"/>
      <c r="G34" s="534"/>
      <c r="H34" s="534"/>
      <c r="I34" s="534"/>
      <c r="J34" s="534"/>
      <c r="K34" s="534"/>
      <c r="L34" s="534"/>
      <c r="M34" s="534"/>
      <c r="N34" s="534"/>
      <c r="O34" s="534"/>
      <c r="P34" s="534"/>
      <c r="Q34" s="534"/>
      <c r="R34" s="534"/>
      <c r="S34" s="534"/>
      <c r="T34" s="534"/>
      <c r="U34" s="534"/>
      <c r="V34" s="534"/>
      <c r="W34" s="534"/>
      <c r="X34" s="534"/>
      <c r="Y34" s="534"/>
      <c r="Z34" s="534"/>
      <c r="AA34" s="534"/>
      <c r="AB34" s="534"/>
      <c r="AC34" s="534"/>
      <c r="AD34" s="531"/>
      <c r="AE34" s="535"/>
    </row>
    <row r="35" spans="1:31" ht="11.25" customHeight="1" x14ac:dyDescent="0.3">
      <c r="A35" s="555" t="str">
        <f ca="1">Проект!$A$136</f>
        <v>Начисления на заработную плату</v>
      </c>
      <c r="B35" s="549">
        <f>Проект!$B$136</f>
        <v>0.20119999999999999</v>
      </c>
      <c r="C35" s="532" t="str">
        <f ca="1">Проект!$C$136</f>
        <v>тыс. EUR</v>
      </c>
      <c r="D35" s="533"/>
      <c r="E35" s="531"/>
      <c r="F35" s="556">
        <f>Проект!$F$136</f>
        <v>0</v>
      </c>
      <c r="G35" s="556">
        <f>Проект!$G$136</f>
        <v>0</v>
      </c>
      <c r="H35" s="556">
        <f>Проект!$H$136</f>
        <v>0</v>
      </c>
      <c r="I35" s="556">
        <f>Проект!$I$136</f>
        <v>0</v>
      </c>
      <c r="J35" s="556">
        <f>Проект!$J$136</f>
        <v>0</v>
      </c>
      <c r="K35" s="556">
        <f>Проект!$K$136</f>
        <v>73.66937999999999</v>
      </c>
      <c r="L35" s="556">
        <f>Проект!$L$136</f>
        <v>73.66937999999999</v>
      </c>
      <c r="M35" s="556">
        <f>Проект!$M$136</f>
        <v>73.66937999999999</v>
      </c>
      <c r="N35" s="556">
        <f>Проект!$N$136</f>
        <v>73.66937999999999</v>
      </c>
      <c r="O35" s="556">
        <f>Проект!$O$136</f>
        <v>73.66937999999999</v>
      </c>
      <c r="P35" s="556">
        <f>Проект!$P$136</f>
        <v>73.66937999999999</v>
      </c>
      <c r="Q35" s="556">
        <f>Проект!$Q$136</f>
        <v>73.66937999999999</v>
      </c>
      <c r="R35" s="556">
        <f>Проект!$R$136</f>
        <v>73.66937999999999</v>
      </c>
      <c r="S35" s="556">
        <f>Проект!$S$136</f>
        <v>73.66937999999999</v>
      </c>
      <c r="T35" s="556">
        <f>Проект!$T$136</f>
        <v>73.66937999999999</v>
      </c>
      <c r="U35" s="556">
        <f>Проект!$U$136</f>
        <v>73.66937999999999</v>
      </c>
      <c r="V35" s="556">
        <f>Проект!$V$136</f>
        <v>73.66937999999999</v>
      </c>
      <c r="W35" s="556">
        <f>Проект!$W$136</f>
        <v>73.66937999999999</v>
      </c>
      <c r="X35" s="556">
        <f>Проект!$X$136</f>
        <v>73.66937999999999</v>
      </c>
      <c r="Y35" s="556">
        <f>Проект!$Y$136</f>
        <v>73.66937999999999</v>
      </c>
      <c r="Z35" s="556">
        <f>Проект!$Z$136</f>
        <v>73.66937999999999</v>
      </c>
      <c r="AA35" s="556">
        <f>Проект!$AA$136</f>
        <v>73.66937999999999</v>
      </c>
      <c r="AB35" s="556">
        <f>Проект!$AB$136</f>
        <v>73.66937999999999</v>
      </c>
      <c r="AC35" s="556">
        <f>Проект!$AC$136</f>
        <v>73.66937999999999</v>
      </c>
      <c r="AD35" s="531"/>
      <c r="AE35" s="553">
        <f>Проект!$AE$136</f>
        <v>1399.7182200000004</v>
      </c>
    </row>
    <row r="36" spans="1:31" hidden="1" x14ac:dyDescent="0.3">
      <c r="A36" s="531" t="str">
        <f ca="1">Проект!$A$137</f>
        <v xml:space="preserve">    Страховые взносы в социальные фонды</v>
      </c>
      <c r="B36" s="531"/>
      <c r="C36" s="532"/>
      <c r="D36" s="533"/>
      <c r="E36" s="531"/>
      <c r="F36" s="534"/>
      <c r="G36" s="534"/>
      <c r="H36" s="534"/>
      <c r="I36" s="534"/>
      <c r="J36" s="534"/>
      <c r="K36" s="534"/>
      <c r="L36" s="534"/>
      <c r="M36" s="534"/>
      <c r="N36" s="534"/>
      <c r="O36" s="534"/>
      <c r="P36" s="534"/>
      <c r="Q36" s="534"/>
      <c r="R36" s="534"/>
      <c r="S36" s="534"/>
      <c r="T36" s="534"/>
      <c r="U36" s="534"/>
      <c r="V36" s="534"/>
      <c r="W36" s="534"/>
      <c r="X36" s="534"/>
      <c r="Y36" s="534"/>
      <c r="Z36" s="534"/>
      <c r="AA36" s="534"/>
      <c r="AB36" s="534"/>
      <c r="AC36" s="534"/>
      <c r="AD36" s="531"/>
      <c r="AE36" s="535"/>
    </row>
    <row r="37" spans="1:31" hidden="1" x14ac:dyDescent="0.3">
      <c r="A37" s="531" t="str">
        <f ca="1">Проект!$A$138</f>
        <v xml:space="preserve">        ставка</v>
      </c>
      <c r="B37" s="557">
        <f>Проект!$B$138</f>
        <v>0.20119999999999999</v>
      </c>
      <c r="C37" s="532" t="str">
        <f>Проект!$C$138</f>
        <v>%</v>
      </c>
      <c r="D37" s="554" t="str">
        <f>Проект!$D$138</f>
        <v>int_avg</v>
      </c>
      <c r="E37" s="531"/>
      <c r="F37" s="534">
        <f>Проект!$F$138</f>
        <v>0.20119999999999999</v>
      </c>
      <c r="G37" s="534">
        <f>Проект!$G$138</f>
        <v>0.20119999999999999</v>
      </c>
      <c r="H37" s="534">
        <f>Проект!$H$138</f>
        <v>0.20119999999999999</v>
      </c>
      <c r="I37" s="534">
        <f>Проект!$I$138</f>
        <v>0.20119999999999999</v>
      </c>
      <c r="J37" s="534">
        <f>Проект!$J$138</f>
        <v>0.20119999999999999</v>
      </c>
      <c r="K37" s="534">
        <f>Проект!$K$138</f>
        <v>0.20119999999999999</v>
      </c>
      <c r="L37" s="534">
        <f>Проект!$L$138</f>
        <v>0.20119999999999999</v>
      </c>
      <c r="M37" s="534">
        <f>Проект!$M$138</f>
        <v>0.20119999999999999</v>
      </c>
      <c r="N37" s="534">
        <f>Проект!$N$138</f>
        <v>0.20119999999999999</v>
      </c>
      <c r="O37" s="534">
        <f>Проект!$O$138</f>
        <v>0.20119999999999999</v>
      </c>
      <c r="P37" s="534">
        <f>Проект!$P$138</f>
        <v>0.20119999999999999</v>
      </c>
      <c r="Q37" s="534">
        <f>Проект!$Q$138</f>
        <v>0.20119999999999999</v>
      </c>
      <c r="R37" s="534">
        <f>Проект!$R$138</f>
        <v>0.20119999999999999</v>
      </c>
      <c r="S37" s="534">
        <f>Проект!$S$138</f>
        <v>0.20119999999999999</v>
      </c>
      <c r="T37" s="534">
        <f>Проект!$T$138</f>
        <v>0.20119999999999999</v>
      </c>
      <c r="U37" s="534">
        <f>Проект!$U$138</f>
        <v>0.20119999999999999</v>
      </c>
      <c r="V37" s="534">
        <f>Проект!$V$138</f>
        <v>0.20119999999999999</v>
      </c>
      <c r="W37" s="534">
        <f>Проект!$W$138</f>
        <v>0.20119999999999999</v>
      </c>
      <c r="X37" s="534">
        <f>Проект!$X$138</f>
        <v>0.20119999999999999</v>
      </c>
      <c r="Y37" s="534">
        <f>Проект!$Y$138</f>
        <v>0.20119999999999999</v>
      </c>
      <c r="Z37" s="534">
        <f>Проект!$Z$138</f>
        <v>0.20119999999999999</v>
      </c>
      <c r="AA37" s="534">
        <f>Проект!$AA$138</f>
        <v>0.20119999999999999</v>
      </c>
      <c r="AB37" s="534">
        <f>Проект!$AB$138</f>
        <v>0.20119999999999999</v>
      </c>
      <c r="AC37" s="534">
        <f>Проект!$AC$138</f>
        <v>0.20119999999999999</v>
      </c>
      <c r="AD37" s="531"/>
      <c r="AE37" s="535"/>
    </row>
    <row r="38" spans="1:31" hidden="1" x14ac:dyDescent="0.3">
      <c r="A38" s="531" t="str">
        <f ca="1">Проект!$A$139</f>
        <v xml:space="preserve">        период уплаты</v>
      </c>
      <c r="B38" s="541">
        <f>Проект!$B$139</f>
        <v>30</v>
      </c>
      <c r="C38" s="532" t="str">
        <f ca="1">Проект!$C$139</f>
        <v>дней</v>
      </c>
      <c r="D38" s="554"/>
      <c r="E38" s="531"/>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31"/>
      <c r="AE38" s="535"/>
    </row>
    <row r="39" spans="1:31" hidden="1" x14ac:dyDescent="0.3">
      <c r="A39" s="531" t="str">
        <f ca="1">Проект!$A$140</f>
        <v xml:space="preserve">    Страхование</v>
      </c>
      <c r="B39" s="531"/>
      <c r="C39" s="532"/>
      <c r="D39" s="554"/>
      <c r="E39" s="531"/>
      <c r="F39" s="534"/>
      <c r="G39" s="534"/>
      <c r="H39" s="534"/>
      <c r="I39" s="534"/>
      <c r="J39" s="534"/>
      <c r="K39" s="534"/>
      <c r="L39" s="534"/>
      <c r="M39" s="534"/>
      <c r="N39" s="534"/>
      <c r="O39" s="534"/>
      <c r="P39" s="534"/>
      <c r="Q39" s="534"/>
      <c r="R39" s="534"/>
      <c r="S39" s="534"/>
      <c r="T39" s="534"/>
      <c r="U39" s="534"/>
      <c r="V39" s="534"/>
      <c r="W39" s="534"/>
      <c r="X39" s="534"/>
      <c r="Y39" s="534"/>
      <c r="Z39" s="534"/>
      <c r="AA39" s="534"/>
      <c r="AB39" s="534"/>
      <c r="AC39" s="534"/>
      <c r="AD39" s="531"/>
      <c r="AE39" s="535"/>
    </row>
    <row r="40" spans="1:31" hidden="1" x14ac:dyDescent="0.3">
      <c r="A40" s="531" t="str">
        <f ca="1">Проект!$A$141</f>
        <v xml:space="preserve">        ставка</v>
      </c>
      <c r="B40" s="549">
        <f>Проект!$B$141</f>
        <v>0</v>
      </c>
      <c r="C40" s="532" t="str">
        <f>Проект!$C$141</f>
        <v>%</v>
      </c>
      <c r="D40" s="554" t="str">
        <f>Проект!$D$141</f>
        <v>int_avg</v>
      </c>
      <c r="E40" s="531"/>
      <c r="F40" s="534">
        <f>Проект!$F$141</f>
        <v>0</v>
      </c>
      <c r="G40" s="534">
        <f>Проект!$G$141</f>
        <v>0</v>
      </c>
      <c r="H40" s="534">
        <f>Проект!$H$141</f>
        <v>0</v>
      </c>
      <c r="I40" s="534">
        <f>Проект!$I$141</f>
        <v>0</v>
      </c>
      <c r="J40" s="534">
        <f>Проект!$J$141</f>
        <v>0</v>
      </c>
      <c r="K40" s="534">
        <f>Проект!$K$141</f>
        <v>0</v>
      </c>
      <c r="L40" s="534">
        <f>Проект!$L$141</f>
        <v>0</v>
      </c>
      <c r="M40" s="534">
        <f>Проект!$M$141</f>
        <v>0</v>
      </c>
      <c r="N40" s="534">
        <f>Проект!$N$141</f>
        <v>0</v>
      </c>
      <c r="O40" s="534">
        <f>Проект!$O$141</f>
        <v>0</v>
      </c>
      <c r="P40" s="534">
        <f>Проект!$P$141</f>
        <v>0</v>
      </c>
      <c r="Q40" s="534">
        <f>Проект!$Q$141</f>
        <v>0</v>
      </c>
      <c r="R40" s="534">
        <f>Проект!$R$141</f>
        <v>0</v>
      </c>
      <c r="S40" s="534">
        <f>Проект!$S$141</f>
        <v>0</v>
      </c>
      <c r="T40" s="534">
        <f>Проект!$T$141</f>
        <v>0</v>
      </c>
      <c r="U40" s="534">
        <f>Проект!$U$141</f>
        <v>0</v>
      </c>
      <c r="V40" s="534">
        <f>Проект!$V$141</f>
        <v>0</v>
      </c>
      <c r="W40" s="534">
        <f>Проект!$W$141</f>
        <v>0</v>
      </c>
      <c r="X40" s="534">
        <f>Проект!$X$141</f>
        <v>0</v>
      </c>
      <c r="Y40" s="534">
        <f>Проект!$Y$141</f>
        <v>0</v>
      </c>
      <c r="Z40" s="534">
        <f>Проект!$Z$141</f>
        <v>0</v>
      </c>
      <c r="AA40" s="534">
        <f>Проект!$AA$141</f>
        <v>0</v>
      </c>
      <c r="AB40" s="534">
        <f>Проект!$AB$141</f>
        <v>0</v>
      </c>
      <c r="AC40" s="534">
        <f>Проект!$AC$141</f>
        <v>0</v>
      </c>
      <c r="AD40" s="531"/>
      <c r="AE40" s="535"/>
    </row>
    <row r="41" spans="1:31" hidden="1" x14ac:dyDescent="0.3">
      <c r="A41" s="531" t="str">
        <f ca="1">Проект!$A$142</f>
        <v xml:space="preserve">        период уплаты</v>
      </c>
      <c r="B41" s="541">
        <f>Проект!$B$142</f>
        <v>30</v>
      </c>
      <c r="C41" s="532" t="str">
        <f ca="1">Проект!$C$142</f>
        <v>дней</v>
      </c>
      <c r="D41" s="554"/>
      <c r="E41" s="531"/>
      <c r="F41" s="558"/>
      <c r="G41" s="558"/>
      <c r="H41" s="558"/>
      <c r="I41" s="558"/>
      <c r="J41" s="558"/>
      <c r="K41" s="558"/>
      <c r="L41" s="558"/>
      <c r="M41" s="558"/>
      <c r="N41" s="558"/>
      <c r="O41" s="558"/>
      <c r="P41" s="558"/>
      <c r="Q41" s="558"/>
      <c r="R41" s="558"/>
      <c r="S41" s="558"/>
      <c r="T41" s="558"/>
      <c r="U41" s="558"/>
      <c r="V41" s="558"/>
      <c r="W41" s="558"/>
      <c r="X41" s="558"/>
      <c r="Y41" s="558"/>
      <c r="Z41" s="558"/>
      <c r="AA41" s="558"/>
      <c r="AB41" s="558"/>
      <c r="AC41" s="558"/>
      <c r="AD41" s="531"/>
      <c r="AE41" s="535"/>
    </row>
    <row r="42" spans="1:31" ht="11.25" customHeight="1" x14ac:dyDescent="0.3">
      <c r="A42" s="555" t="str">
        <f ca="1">Проект!$A$143</f>
        <v>Земельный налог</v>
      </c>
      <c r="B42" s="531"/>
      <c r="C42" s="532" t="str">
        <f ca="1">Проект!$C$143</f>
        <v>тыс. EUR</v>
      </c>
      <c r="D42" s="559"/>
      <c r="E42" s="531"/>
      <c r="F42" s="556">
        <f>Проект!$F$143</f>
        <v>0</v>
      </c>
      <c r="G42" s="556">
        <f>Проект!$G$143</f>
        <v>0</v>
      </c>
      <c r="H42" s="556">
        <f>Проект!$H$143</f>
        <v>0</v>
      </c>
      <c r="I42" s="556">
        <f>Проект!$I$143</f>
        <v>0</v>
      </c>
      <c r="J42" s="556">
        <f>Проект!$J$143</f>
        <v>0</v>
      </c>
      <c r="K42" s="556">
        <f>Проект!$K$143</f>
        <v>1.0348837209302326</v>
      </c>
      <c r="L42" s="556">
        <f>Проект!$L$143</f>
        <v>1.0348837209302326</v>
      </c>
      <c r="M42" s="556">
        <f>Проект!$M$143</f>
        <v>1.0348837209302326</v>
      </c>
      <c r="N42" s="556">
        <f>Проект!$N$143</f>
        <v>1.0348837209302326</v>
      </c>
      <c r="O42" s="556">
        <f>Проект!$O$143</f>
        <v>1.0348837209302326</v>
      </c>
      <c r="P42" s="556">
        <f>Проект!$P$143</f>
        <v>1.0348837209302326</v>
      </c>
      <c r="Q42" s="556">
        <f>Проект!$Q$143</f>
        <v>1.0348837209302326</v>
      </c>
      <c r="R42" s="556">
        <f>Проект!$R$143</f>
        <v>1.0348837209302326</v>
      </c>
      <c r="S42" s="556">
        <f>Проект!$S$143</f>
        <v>1.0348837209302326</v>
      </c>
      <c r="T42" s="556">
        <f>Проект!$T$143</f>
        <v>1.0348837209302326</v>
      </c>
      <c r="U42" s="556">
        <f>Проект!$U$143</f>
        <v>1.0348837209302326</v>
      </c>
      <c r="V42" s="556">
        <f>Проект!$V$143</f>
        <v>1.0348837209302326</v>
      </c>
      <c r="W42" s="556">
        <f>Проект!$W$143</f>
        <v>1.0348837209302326</v>
      </c>
      <c r="X42" s="556">
        <f>Проект!$X$143</f>
        <v>1.0348837209302326</v>
      </c>
      <c r="Y42" s="556">
        <f>Проект!$Y$143</f>
        <v>1.0348837209302326</v>
      </c>
      <c r="Z42" s="556">
        <f>Проект!$Z$143</f>
        <v>1.0348837209302326</v>
      </c>
      <c r="AA42" s="556">
        <f>Проект!$AA$143</f>
        <v>1.0348837209302326</v>
      </c>
      <c r="AB42" s="556">
        <f>Проект!$AB$143</f>
        <v>1.0348837209302326</v>
      </c>
      <c r="AC42" s="556">
        <f>Проект!$AC$143</f>
        <v>1.0348837209302326</v>
      </c>
      <c r="AD42" s="531"/>
      <c r="AE42" s="553">
        <f>Проект!$AE$143</f>
        <v>19.66279069767441</v>
      </c>
    </row>
    <row r="43" spans="1:31" hidden="1" x14ac:dyDescent="0.3">
      <c r="A43" s="531" t="str">
        <f ca="1">Проект!$A$144</f>
        <v xml:space="preserve">    ставка (на тыс. кв. м )</v>
      </c>
      <c r="B43" s="560">
        <f>Проект!$B$144</f>
        <v>5.1744186046511632E-2</v>
      </c>
      <c r="C43" s="532" t="str">
        <f ca="1">Проект!$C$144</f>
        <v>тыс. EUR</v>
      </c>
      <c r="D43" s="554" t="str">
        <f>Проект!$D$144</f>
        <v>int_avg</v>
      </c>
      <c r="E43" s="531"/>
      <c r="F43" s="542">
        <f>Проект!$F$144</f>
        <v>5.1744186046511632E-2</v>
      </c>
      <c r="G43" s="542">
        <f>Проект!$G$144</f>
        <v>5.1744186046511632E-2</v>
      </c>
      <c r="H43" s="542">
        <f>Проект!$H$144</f>
        <v>5.1744186046511632E-2</v>
      </c>
      <c r="I43" s="542">
        <f>Проект!$I$144</f>
        <v>5.1744186046511632E-2</v>
      </c>
      <c r="J43" s="542">
        <f>Проект!$J$144</f>
        <v>5.1744186046511632E-2</v>
      </c>
      <c r="K43" s="542">
        <f>Проект!$K$144</f>
        <v>5.1744186046511632E-2</v>
      </c>
      <c r="L43" s="542">
        <f>Проект!$L$144</f>
        <v>5.1744186046511632E-2</v>
      </c>
      <c r="M43" s="542">
        <f>Проект!$M$144</f>
        <v>5.1744186046511632E-2</v>
      </c>
      <c r="N43" s="542">
        <f>Проект!$N$144</f>
        <v>5.1744186046511632E-2</v>
      </c>
      <c r="O43" s="542">
        <f>Проект!$O$144</f>
        <v>5.1744186046511632E-2</v>
      </c>
      <c r="P43" s="542">
        <f>Проект!$P$144</f>
        <v>5.1744186046511632E-2</v>
      </c>
      <c r="Q43" s="542">
        <f>Проект!$Q$144</f>
        <v>5.1744186046511632E-2</v>
      </c>
      <c r="R43" s="542">
        <f>Проект!$R$144</f>
        <v>5.1744186046511632E-2</v>
      </c>
      <c r="S43" s="542">
        <f>Проект!$S$144</f>
        <v>5.1744186046511632E-2</v>
      </c>
      <c r="T43" s="542">
        <f>Проект!$T$144</f>
        <v>5.1744186046511632E-2</v>
      </c>
      <c r="U43" s="542">
        <f>Проект!$U$144</f>
        <v>5.1744186046511632E-2</v>
      </c>
      <c r="V43" s="542">
        <f>Проект!$V$144</f>
        <v>5.1744186046511632E-2</v>
      </c>
      <c r="W43" s="542">
        <f>Проект!$W$144</f>
        <v>5.1744186046511632E-2</v>
      </c>
      <c r="X43" s="542">
        <f>Проект!$X$144</f>
        <v>5.1744186046511632E-2</v>
      </c>
      <c r="Y43" s="542">
        <f>Проект!$Y$144</f>
        <v>5.1744186046511632E-2</v>
      </c>
      <c r="Z43" s="542">
        <f>Проект!$Z$144</f>
        <v>5.1744186046511632E-2</v>
      </c>
      <c r="AA43" s="542">
        <f>Проект!$AA$144</f>
        <v>5.1744186046511632E-2</v>
      </c>
      <c r="AB43" s="542">
        <f>Проект!$AB$144</f>
        <v>5.1744186046511632E-2</v>
      </c>
      <c r="AC43" s="542">
        <f>Проект!$AC$144</f>
        <v>5.1744186046511632E-2</v>
      </c>
      <c r="AD43" s="531"/>
      <c r="AE43" s="553"/>
    </row>
    <row r="44" spans="1:31" hidden="1" x14ac:dyDescent="0.3">
      <c r="A44" s="531" t="str">
        <f ca="1">Проект!$A$145</f>
        <v xml:space="preserve">    площадь к налогообложению</v>
      </c>
      <c r="B44" s="560">
        <f>Проект!$B$145</f>
        <v>20</v>
      </c>
      <c r="C44" s="532" t="str">
        <f ca="1">Проект!$C$145</f>
        <v>тыс. кв. м</v>
      </c>
      <c r="D44" s="554" t="str">
        <f>Проект!$D$145</f>
        <v>int_avg</v>
      </c>
      <c r="E44" s="531"/>
      <c r="F44" s="542">
        <f>Проект!$F$145</f>
        <v>20</v>
      </c>
      <c r="G44" s="542">
        <f>Проект!$G$145</f>
        <v>20</v>
      </c>
      <c r="H44" s="542">
        <f>Проект!$H$145</f>
        <v>20</v>
      </c>
      <c r="I44" s="542">
        <f>Проект!$I$145</f>
        <v>20</v>
      </c>
      <c r="J44" s="542">
        <f>Проект!$J$145</f>
        <v>20</v>
      </c>
      <c r="K44" s="542">
        <f>Проект!$K$145</f>
        <v>20</v>
      </c>
      <c r="L44" s="542">
        <f>Проект!$L$145</f>
        <v>20</v>
      </c>
      <c r="M44" s="542">
        <f>Проект!$M$145</f>
        <v>20</v>
      </c>
      <c r="N44" s="542">
        <f>Проект!$N$145</f>
        <v>20</v>
      </c>
      <c r="O44" s="542">
        <f>Проект!$O$145</f>
        <v>20</v>
      </c>
      <c r="P44" s="542">
        <f>Проект!$P$145</f>
        <v>20</v>
      </c>
      <c r="Q44" s="542">
        <f>Проект!$Q$145</f>
        <v>20</v>
      </c>
      <c r="R44" s="542">
        <f>Проект!$R$145</f>
        <v>20</v>
      </c>
      <c r="S44" s="542">
        <f>Проект!$S$145</f>
        <v>20</v>
      </c>
      <c r="T44" s="542">
        <f>Проект!$T$145</f>
        <v>20</v>
      </c>
      <c r="U44" s="542">
        <f>Проект!$U$145</f>
        <v>20</v>
      </c>
      <c r="V44" s="542">
        <f>Проект!$V$145</f>
        <v>20</v>
      </c>
      <c r="W44" s="542">
        <f>Проект!$W$145</f>
        <v>20</v>
      </c>
      <c r="X44" s="542">
        <f>Проект!$X$145</f>
        <v>20</v>
      </c>
      <c r="Y44" s="542">
        <f>Проект!$Y$145</f>
        <v>20</v>
      </c>
      <c r="Z44" s="542">
        <f>Проект!$Z$145</f>
        <v>20</v>
      </c>
      <c r="AA44" s="542">
        <f>Проект!$AA$145</f>
        <v>20</v>
      </c>
      <c r="AB44" s="542">
        <f>Проект!$AB$145</f>
        <v>20</v>
      </c>
      <c r="AC44" s="542">
        <f>Проект!$AC$145</f>
        <v>20</v>
      </c>
      <c r="AD44" s="531"/>
      <c r="AE44" s="535"/>
    </row>
    <row r="45" spans="1:31" hidden="1" x14ac:dyDescent="0.3">
      <c r="A45" s="531" t="str">
        <f ca="1">Проект!$A$146</f>
        <v xml:space="preserve">    период уплаты</v>
      </c>
      <c r="B45" s="541">
        <f>Проект!$B$146</f>
        <v>90</v>
      </c>
      <c r="C45" s="532" t="str">
        <f ca="1">Проект!$C$146</f>
        <v>дней</v>
      </c>
      <c r="D45" s="554"/>
      <c r="E45" s="531"/>
      <c r="F45" s="542"/>
      <c r="G45" s="542"/>
      <c r="H45" s="542"/>
      <c r="I45" s="542"/>
      <c r="J45" s="542"/>
      <c r="K45" s="542"/>
      <c r="L45" s="542"/>
      <c r="M45" s="542"/>
      <c r="N45" s="542"/>
      <c r="O45" s="542"/>
      <c r="P45" s="542"/>
      <c r="Q45" s="542"/>
      <c r="R45" s="542"/>
      <c r="S45" s="542"/>
      <c r="T45" s="542"/>
      <c r="U45" s="542"/>
      <c r="V45" s="542"/>
      <c r="W45" s="542"/>
      <c r="X45" s="542"/>
      <c r="Y45" s="542"/>
      <c r="Z45" s="542"/>
      <c r="AA45" s="542"/>
      <c r="AB45" s="542"/>
      <c r="AC45" s="542"/>
      <c r="AD45" s="531"/>
      <c r="AE45" s="535"/>
    </row>
    <row r="46" spans="1:31" ht="11.25" customHeight="1" x14ac:dyDescent="0.3">
      <c r="A46" s="555" t="str">
        <f ca="1">Проект!$A$147</f>
        <v>Другие налоги, относимые на текущие затраты</v>
      </c>
      <c r="B46" s="531"/>
      <c r="C46" s="532" t="str">
        <f ca="1">Проект!$C$147</f>
        <v>тыс. EUR</v>
      </c>
      <c r="D46" s="559"/>
      <c r="E46" s="531"/>
      <c r="F46" s="552">
        <f>Проект!$F$147</f>
        <v>0</v>
      </c>
      <c r="G46" s="552">
        <f>Проект!$G$147</f>
        <v>0</v>
      </c>
      <c r="H46" s="552">
        <f>Проект!$H$147</f>
        <v>0</v>
      </c>
      <c r="I46" s="552">
        <f>Проект!$I$147</f>
        <v>0</v>
      </c>
      <c r="J46" s="552">
        <f>Проект!$J$147</f>
        <v>0</v>
      </c>
      <c r="K46" s="552">
        <f>Проект!$K$147</f>
        <v>0</v>
      </c>
      <c r="L46" s="552">
        <f>Проект!$L$147</f>
        <v>0</v>
      </c>
      <c r="M46" s="552">
        <f>Проект!$M$147</f>
        <v>0</v>
      </c>
      <c r="N46" s="552">
        <f>Проект!$N$147</f>
        <v>0</v>
      </c>
      <c r="O46" s="552">
        <f>Проект!$O$147</f>
        <v>0</v>
      </c>
      <c r="P46" s="552">
        <f>Проект!$P$147</f>
        <v>0</v>
      </c>
      <c r="Q46" s="552">
        <f>Проект!$Q$147</f>
        <v>0</v>
      </c>
      <c r="R46" s="552">
        <f>Проект!$R$147</f>
        <v>0</v>
      </c>
      <c r="S46" s="552">
        <f>Проект!$S$147</f>
        <v>0</v>
      </c>
      <c r="T46" s="552">
        <f>Проект!$T$147</f>
        <v>0</v>
      </c>
      <c r="U46" s="552">
        <f>Проект!$U$147</f>
        <v>0</v>
      </c>
      <c r="V46" s="552">
        <f>Проект!$V$147</f>
        <v>0</v>
      </c>
      <c r="W46" s="552">
        <f>Проект!$W$147</f>
        <v>0</v>
      </c>
      <c r="X46" s="552">
        <f>Проект!$X$147</f>
        <v>0</v>
      </c>
      <c r="Y46" s="552">
        <f>Проект!$Y$147</f>
        <v>0</v>
      </c>
      <c r="Z46" s="552">
        <f>Проект!$Z$147</f>
        <v>0</v>
      </c>
      <c r="AA46" s="552">
        <f>Проект!$AA$147</f>
        <v>0</v>
      </c>
      <c r="AB46" s="552">
        <f>Проект!$AB$147</f>
        <v>0</v>
      </c>
      <c r="AC46" s="552">
        <f>Проект!$AC$147</f>
        <v>0</v>
      </c>
      <c r="AD46" s="531"/>
      <c r="AE46" s="553">
        <f>Проект!$AE$147</f>
        <v>0</v>
      </c>
    </row>
    <row r="47" spans="1:31" hidden="1" x14ac:dyDescent="0.3">
      <c r="A47" s="531" t="str">
        <f ca="1">Проект!$A$148</f>
        <v>Другие налоги с продаж</v>
      </c>
      <c r="B47" s="531"/>
      <c r="C47" s="532"/>
      <c r="D47" s="554"/>
      <c r="E47" s="531"/>
      <c r="F47" s="542">
        <f>Проект!$F$148</f>
        <v>0</v>
      </c>
      <c r="G47" s="542">
        <f>Проект!$G$148</f>
        <v>0</v>
      </c>
      <c r="H47" s="542">
        <f>Проект!$H$148</f>
        <v>0</v>
      </c>
      <c r="I47" s="542">
        <f>Проект!$I$148</f>
        <v>0</v>
      </c>
      <c r="J47" s="542">
        <f>Проект!$J$148</f>
        <v>0</v>
      </c>
      <c r="K47" s="542">
        <f>Проект!$K$148</f>
        <v>0</v>
      </c>
      <c r="L47" s="542">
        <f>Проект!$L$148</f>
        <v>0</v>
      </c>
      <c r="M47" s="542">
        <f>Проект!$M$148</f>
        <v>0</v>
      </c>
      <c r="N47" s="542">
        <f>Проект!$N$148</f>
        <v>0</v>
      </c>
      <c r="O47" s="542">
        <f>Проект!$O$148</f>
        <v>0</v>
      </c>
      <c r="P47" s="542">
        <f>Проект!$P$148</f>
        <v>0</v>
      </c>
      <c r="Q47" s="542">
        <f>Проект!$Q$148</f>
        <v>0</v>
      </c>
      <c r="R47" s="542">
        <f>Проект!$R$148</f>
        <v>0</v>
      </c>
      <c r="S47" s="542">
        <f>Проект!$S$148</f>
        <v>0</v>
      </c>
      <c r="T47" s="542">
        <f>Проект!$T$148</f>
        <v>0</v>
      </c>
      <c r="U47" s="542">
        <f>Проект!$U$148</f>
        <v>0</v>
      </c>
      <c r="V47" s="542">
        <f>Проект!$V$148</f>
        <v>0</v>
      </c>
      <c r="W47" s="542">
        <f>Проект!$W$148</f>
        <v>0</v>
      </c>
      <c r="X47" s="542">
        <f>Проект!$X$148</f>
        <v>0</v>
      </c>
      <c r="Y47" s="542">
        <f>Проект!$Y$148</f>
        <v>0</v>
      </c>
      <c r="Z47" s="542">
        <f>Проект!$Z$148</f>
        <v>0</v>
      </c>
      <c r="AA47" s="542">
        <f>Проект!$AA$148</f>
        <v>0</v>
      </c>
      <c r="AB47" s="542">
        <f>Проект!$AB$148</f>
        <v>0</v>
      </c>
      <c r="AC47" s="542">
        <f>Проект!$AC$148</f>
        <v>0</v>
      </c>
      <c r="AD47" s="531"/>
      <c r="AE47" s="543">
        <f>Проект!$AE$148</f>
        <v>0</v>
      </c>
    </row>
    <row r="48" spans="1:31" hidden="1" x14ac:dyDescent="0.3">
      <c r="A48" s="531" t="str">
        <f ca="1">Проект!$A$149</f>
        <v xml:space="preserve">    ставка</v>
      </c>
      <c r="B48" s="549">
        <f>Проект!$B$149</f>
        <v>0</v>
      </c>
      <c r="C48" s="532" t="str">
        <f>Проект!$C$149</f>
        <v>%</v>
      </c>
      <c r="D48" s="554" t="str">
        <f>Проект!$D$149</f>
        <v>int_avg</v>
      </c>
      <c r="E48" s="531"/>
      <c r="F48" s="534">
        <f>Проект!$F$149</f>
        <v>0</v>
      </c>
      <c r="G48" s="534">
        <f>Проект!$G$149</f>
        <v>0</v>
      </c>
      <c r="H48" s="534">
        <f>Проект!$H$149</f>
        <v>0</v>
      </c>
      <c r="I48" s="534">
        <f>Проект!$I$149</f>
        <v>0</v>
      </c>
      <c r="J48" s="534">
        <f>Проект!$J$149</f>
        <v>0</v>
      </c>
      <c r="K48" s="534">
        <f>Проект!$K$149</f>
        <v>0</v>
      </c>
      <c r="L48" s="534">
        <f>Проект!$L$149</f>
        <v>0</v>
      </c>
      <c r="M48" s="534">
        <f>Проект!$M$149</f>
        <v>0</v>
      </c>
      <c r="N48" s="534">
        <f>Проект!$N$149</f>
        <v>0</v>
      </c>
      <c r="O48" s="534">
        <f>Проект!$O$149</f>
        <v>0</v>
      </c>
      <c r="P48" s="534">
        <f>Проект!$P$149</f>
        <v>0</v>
      </c>
      <c r="Q48" s="534">
        <f>Проект!$Q$149</f>
        <v>0</v>
      </c>
      <c r="R48" s="534">
        <f>Проект!$R$149</f>
        <v>0</v>
      </c>
      <c r="S48" s="534">
        <f>Проект!$S$149</f>
        <v>0</v>
      </c>
      <c r="T48" s="534">
        <f>Проект!$T$149</f>
        <v>0</v>
      </c>
      <c r="U48" s="534">
        <f>Проект!$U$149</f>
        <v>0</v>
      </c>
      <c r="V48" s="534">
        <f>Проект!$V$149</f>
        <v>0</v>
      </c>
      <c r="W48" s="534">
        <f>Проект!$W$149</f>
        <v>0</v>
      </c>
      <c r="X48" s="534">
        <f>Проект!$X$149</f>
        <v>0</v>
      </c>
      <c r="Y48" s="534">
        <f>Проект!$Y$149</f>
        <v>0</v>
      </c>
      <c r="Z48" s="534">
        <f>Проект!$Z$149</f>
        <v>0</v>
      </c>
      <c r="AA48" s="534">
        <f>Проект!$AA$149</f>
        <v>0</v>
      </c>
      <c r="AB48" s="534">
        <f>Проект!$AB$149</f>
        <v>0</v>
      </c>
      <c r="AC48" s="534">
        <f>Проект!$AC$149</f>
        <v>0</v>
      </c>
      <c r="AD48" s="531"/>
      <c r="AE48" s="535"/>
    </row>
    <row r="49" spans="1:31" hidden="1" x14ac:dyDescent="0.3">
      <c r="A49" s="531" t="str">
        <f ca="1">Проект!$A$150</f>
        <v xml:space="preserve">    период уплаты</v>
      </c>
      <c r="B49" s="541">
        <f>Проект!$B$150</f>
        <v>90</v>
      </c>
      <c r="C49" s="532" t="str">
        <f ca="1">Проект!$C$150</f>
        <v>дней</v>
      </c>
      <c r="D49" s="554">
        <f>Проект!$D$150</f>
        <v>1</v>
      </c>
      <c r="E49" s="531">
        <f>Проект!$E$150</f>
        <v>5</v>
      </c>
      <c r="F49" s="558"/>
      <c r="G49" s="558"/>
      <c r="H49" s="558"/>
      <c r="I49" s="558"/>
      <c r="J49" s="558"/>
      <c r="K49" s="558"/>
      <c r="L49" s="558"/>
      <c r="M49" s="558"/>
      <c r="N49" s="558"/>
      <c r="O49" s="558"/>
      <c r="P49" s="558"/>
      <c r="Q49" s="558"/>
      <c r="R49" s="558"/>
      <c r="S49" s="558"/>
      <c r="T49" s="558"/>
      <c r="U49" s="558"/>
      <c r="V49" s="558"/>
      <c r="W49" s="558"/>
      <c r="X49" s="558"/>
      <c r="Y49" s="558"/>
      <c r="Z49" s="558"/>
      <c r="AA49" s="558"/>
      <c r="AB49" s="558"/>
      <c r="AC49" s="558"/>
      <c r="AD49" s="531"/>
      <c r="AE49" s="535"/>
    </row>
    <row r="50" spans="1:31" hidden="1" x14ac:dyDescent="0.3">
      <c r="A50" s="561" t="str">
        <f ca="1">Проект!$A$151</f>
        <v>Наименование налога</v>
      </c>
      <c r="B50" s="562"/>
      <c r="C50" s="532" t="str">
        <f ca="1">Проект!$C$151</f>
        <v>тыс. EUR</v>
      </c>
      <c r="D50" s="554" t="str">
        <f>Проект!$D$151</f>
        <v>1_01</v>
      </c>
      <c r="E50" s="531"/>
      <c r="F50" s="542">
        <f>Проект!$F$151</f>
        <v>0</v>
      </c>
      <c r="G50" s="542">
        <f>Проект!$G$151</f>
        <v>0</v>
      </c>
      <c r="H50" s="542">
        <f>Проект!$H$151</f>
        <v>0</v>
      </c>
      <c r="I50" s="542">
        <f>Проект!$I$151</f>
        <v>0</v>
      </c>
      <c r="J50" s="542">
        <f>Проект!$J$151</f>
        <v>0</v>
      </c>
      <c r="K50" s="542">
        <f>Проект!$K$151</f>
        <v>0</v>
      </c>
      <c r="L50" s="542">
        <f>Проект!$L$151</f>
        <v>0</v>
      </c>
      <c r="M50" s="542">
        <f>Проект!$M$151</f>
        <v>0</v>
      </c>
      <c r="N50" s="542">
        <f>Проект!$N$151</f>
        <v>0</v>
      </c>
      <c r="O50" s="542">
        <f>Проект!$O$151</f>
        <v>0</v>
      </c>
      <c r="P50" s="542">
        <f>Проект!$P$151</f>
        <v>0</v>
      </c>
      <c r="Q50" s="542">
        <f>Проект!$Q$151</f>
        <v>0</v>
      </c>
      <c r="R50" s="542">
        <f>Проект!$R$151</f>
        <v>0</v>
      </c>
      <c r="S50" s="542">
        <f>Проект!$S$151</f>
        <v>0</v>
      </c>
      <c r="T50" s="542">
        <f>Проект!$T$151</f>
        <v>0</v>
      </c>
      <c r="U50" s="542">
        <f>Проект!$U$151</f>
        <v>0</v>
      </c>
      <c r="V50" s="542">
        <f>Проект!$V$151</f>
        <v>0</v>
      </c>
      <c r="W50" s="542">
        <f>Проект!$W$151</f>
        <v>0</v>
      </c>
      <c r="X50" s="542">
        <f>Проект!$X$151</f>
        <v>0</v>
      </c>
      <c r="Y50" s="542">
        <f>Проект!$Y$151</f>
        <v>0</v>
      </c>
      <c r="Z50" s="542">
        <f>Проект!$Z$151</f>
        <v>0</v>
      </c>
      <c r="AA50" s="542">
        <f>Проект!$AA$151</f>
        <v>0</v>
      </c>
      <c r="AB50" s="542">
        <f>Проект!$AB$151</f>
        <v>0</v>
      </c>
      <c r="AC50" s="542">
        <f>Проект!$AC$151</f>
        <v>0</v>
      </c>
      <c r="AD50" s="531"/>
      <c r="AE50" s="543">
        <f>Проект!$AE$151</f>
        <v>0</v>
      </c>
    </row>
    <row r="51" spans="1:31" hidden="1" x14ac:dyDescent="0.3">
      <c r="A51" s="531" t="str">
        <f ca="1">Проект!$A$152</f>
        <v xml:space="preserve">    налогооблагаемая база</v>
      </c>
      <c r="B51" s="531"/>
      <c r="C51" s="532" t="str">
        <f ca="1">Проект!$C$152</f>
        <v>тыс. EUR</v>
      </c>
      <c r="D51" s="563"/>
      <c r="E51" s="531"/>
      <c r="F51" s="564">
        <f>Проект!$F$152</f>
        <v>0</v>
      </c>
      <c r="G51" s="564">
        <f>Проект!$G$152</f>
        <v>0</v>
      </c>
      <c r="H51" s="564">
        <f>Проект!$H$152</f>
        <v>0</v>
      </c>
      <c r="I51" s="564">
        <f>Проект!$I$152</f>
        <v>0</v>
      </c>
      <c r="J51" s="564">
        <f>Проект!$J$152</f>
        <v>0</v>
      </c>
      <c r="K51" s="564">
        <f>Проект!$K$152</f>
        <v>0</v>
      </c>
      <c r="L51" s="564">
        <f>Проект!$L$152</f>
        <v>0</v>
      </c>
      <c r="M51" s="564">
        <f>Проект!$M$152</f>
        <v>0</v>
      </c>
      <c r="N51" s="564">
        <f>Проект!$N$152</f>
        <v>0</v>
      </c>
      <c r="O51" s="564">
        <f>Проект!$O$152</f>
        <v>0</v>
      </c>
      <c r="P51" s="564">
        <f>Проект!$P$152</f>
        <v>0</v>
      </c>
      <c r="Q51" s="564">
        <f>Проект!$Q$152</f>
        <v>0</v>
      </c>
      <c r="R51" s="564">
        <f>Проект!$R$152</f>
        <v>0</v>
      </c>
      <c r="S51" s="564">
        <f>Проект!$S$152</f>
        <v>0</v>
      </c>
      <c r="T51" s="564">
        <f>Проект!$T$152</f>
        <v>0</v>
      </c>
      <c r="U51" s="564">
        <f>Проект!$U$152</f>
        <v>0</v>
      </c>
      <c r="V51" s="564">
        <f>Проект!$V$152</f>
        <v>0</v>
      </c>
      <c r="W51" s="564">
        <f>Проект!$W$152</f>
        <v>0</v>
      </c>
      <c r="X51" s="564">
        <f>Проект!$X$152</f>
        <v>0</v>
      </c>
      <c r="Y51" s="564">
        <f>Проект!$Y$152</f>
        <v>0</v>
      </c>
      <c r="Z51" s="564">
        <f>Проект!$Z$152</f>
        <v>0</v>
      </c>
      <c r="AA51" s="564">
        <f>Проект!$AA$152</f>
        <v>0</v>
      </c>
      <c r="AB51" s="564">
        <f>Проект!$AB$152</f>
        <v>0</v>
      </c>
      <c r="AC51" s="564">
        <f>Проект!$AC$152</f>
        <v>0</v>
      </c>
      <c r="AD51" s="531"/>
      <c r="AE51" s="535"/>
    </row>
    <row r="52" spans="1:31" hidden="1" x14ac:dyDescent="0.3">
      <c r="A52" s="531" t="str">
        <f ca="1">Проект!$A$153</f>
        <v xml:space="preserve">    ставка</v>
      </c>
      <c r="B52" s="549">
        <f>Проект!$B$153</f>
        <v>0</v>
      </c>
      <c r="C52" s="532" t="str">
        <f>Проект!$C$153</f>
        <v>%</v>
      </c>
      <c r="D52" s="554" t="str">
        <f>Проект!$D$153</f>
        <v>int_avg</v>
      </c>
      <c r="E52" s="531"/>
      <c r="F52" s="534">
        <f>Проект!$F$153</f>
        <v>0</v>
      </c>
      <c r="G52" s="534">
        <f>Проект!$G$153</f>
        <v>0</v>
      </c>
      <c r="H52" s="534">
        <f>Проект!$H$153</f>
        <v>0</v>
      </c>
      <c r="I52" s="534">
        <f>Проект!$I$153</f>
        <v>0</v>
      </c>
      <c r="J52" s="534">
        <f>Проект!$J$153</f>
        <v>0</v>
      </c>
      <c r="K52" s="534">
        <f>Проект!$K$153</f>
        <v>0</v>
      </c>
      <c r="L52" s="534">
        <f>Проект!$L$153</f>
        <v>0</v>
      </c>
      <c r="M52" s="534">
        <f>Проект!$M$153</f>
        <v>0</v>
      </c>
      <c r="N52" s="534">
        <f>Проект!$N$153</f>
        <v>0</v>
      </c>
      <c r="O52" s="534">
        <f>Проект!$O$153</f>
        <v>0</v>
      </c>
      <c r="P52" s="534">
        <f>Проект!$P$153</f>
        <v>0</v>
      </c>
      <c r="Q52" s="534">
        <f>Проект!$Q$153</f>
        <v>0</v>
      </c>
      <c r="R52" s="534">
        <f>Проект!$R$153</f>
        <v>0</v>
      </c>
      <c r="S52" s="534">
        <f>Проект!$S$153</f>
        <v>0</v>
      </c>
      <c r="T52" s="534">
        <f>Проект!$T$153</f>
        <v>0</v>
      </c>
      <c r="U52" s="534">
        <f>Проект!$U$153</f>
        <v>0</v>
      </c>
      <c r="V52" s="534">
        <f>Проект!$V$153</f>
        <v>0</v>
      </c>
      <c r="W52" s="534">
        <f>Проект!$W$153</f>
        <v>0</v>
      </c>
      <c r="X52" s="534">
        <f>Проект!$X$153</f>
        <v>0</v>
      </c>
      <c r="Y52" s="534">
        <f>Проект!$Y$153</f>
        <v>0</v>
      </c>
      <c r="Z52" s="534">
        <f>Проект!$Z$153</f>
        <v>0</v>
      </c>
      <c r="AA52" s="534">
        <f>Проект!$AA$153</f>
        <v>0</v>
      </c>
      <c r="AB52" s="534">
        <f>Проект!$AB$153</f>
        <v>0</v>
      </c>
      <c r="AC52" s="534">
        <f>Проект!$AC$153</f>
        <v>0</v>
      </c>
      <c r="AD52" s="531"/>
      <c r="AE52" s="535"/>
    </row>
    <row r="53" spans="1:31" hidden="1" x14ac:dyDescent="0.3">
      <c r="A53" s="531" t="str">
        <f ca="1">Проект!$A$154</f>
        <v xml:space="preserve">    период уплаты</v>
      </c>
      <c r="B53" s="541">
        <f>Проект!$B$154</f>
        <v>90</v>
      </c>
      <c r="C53" s="532" t="str">
        <f ca="1">Проект!$C$154</f>
        <v>дней</v>
      </c>
      <c r="D53" s="554"/>
      <c r="E53" s="531"/>
      <c r="F53" s="558"/>
      <c r="G53" s="558"/>
      <c r="H53" s="558"/>
      <c r="I53" s="558"/>
      <c r="J53" s="558"/>
      <c r="K53" s="558"/>
      <c r="L53" s="558"/>
      <c r="M53" s="558"/>
      <c r="N53" s="558"/>
      <c r="O53" s="558"/>
      <c r="P53" s="558"/>
      <c r="Q53" s="558"/>
      <c r="R53" s="558"/>
      <c r="S53" s="558"/>
      <c r="T53" s="558"/>
      <c r="U53" s="558"/>
      <c r="V53" s="558"/>
      <c r="W53" s="558"/>
      <c r="X53" s="558"/>
      <c r="Y53" s="558"/>
      <c r="Z53" s="558"/>
      <c r="AA53" s="558"/>
      <c r="AB53" s="558"/>
      <c r="AC53" s="558"/>
      <c r="AD53" s="531"/>
      <c r="AE53" s="535"/>
    </row>
    <row r="54" spans="1:31" hidden="1" x14ac:dyDescent="0.3">
      <c r="A54" s="531" t="str">
        <f ca="1">Проект!$A$155</f>
        <v xml:space="preserve">   задолженность перед бюджетом</v>
      </c>
      <c r="B54" s="562"/>
      <c r="C54" s="532" t="str">
        <f ca="1">Проект!$C$155</f>
        <v>тыс. EUR</v>
      </c>
      <c r="D54" s="554" t="str">
        <f>Проект!$D$155</f>
        <v>1_02;int_end</v>
      </c>
      <c r="E54" s="531"/>
      <c r="F54" s="558">
        <f>Проект!$F$155</f>
        <v>0</v>
      </c>
      <c r="G54" s="558">
        <f>Проект!$G$155</f>
        <v>0</v>
      </c>
      <c r="H54" s="558">
        <f>Проект!$H$155</f>
        <v>0</v>
      </c>
      <c r="I54" s="558">
        <f>Проект!$I$155</f>
        <v>0</v>
      </c>
      <c r="J54" s="558">
        <f>Проект!$J$155</f>
        <v>0</v>
      </c>
      <c r="K54" s="558">
        <f>Проект!$K$155</f>
        <v>0</v>
      </c>
      <c r="L54" s="558">
        <f>Проект!$L$155</f>
        <v>0</v>
      </c>
      <c r="M54" s="558">
        <f>Проект!$M$155</f>
        <v>0</v>
      </c>
      <c r="N54" s="558">
        <f>Проект!$N$155</f>
        <v>0</v>
      </c>
      <c r="O54" s="558">
        <f>Проект!$O$155</f>
        <v>0</v>
      </c>
      <c r="P54" s="558">
        <f>Проект!$P$155</f>
        <v>0</v>
      </c>
      <c r="Q54" s="558">
        <f>Проект!$Q$155</f>
        <v>0</v>
      </c>
      <c r="R54" s="558">
        <f>Проект!$R$155</f>
        <v>0</v>
      </c>
      <c r="S54" s="558">
        <f>Проект!$S$155</f>
        <v>0</v>
      </c>
      <c r="T54" s="558">
        <f>Проект!$T$155</f>
        <v>0</v>
      </c>
      <c r="U54" s="558">
        <f>Проект!$U$155</f>
        <v>0</v>
      </c>
      <c r="V54" s="558">
        <f>Проект!$V$155</f>
        <v>0</v>
      </c>
      <c r="W54" s="558">
        <f>Проект!$W$155</f>
        <v>0</v>
      </c>
      <c r="X54" s="558">
        <f>Проект!$X$155</f>
        <v>0</v>
      </c>
      <c r="Y54" s="558">
        <f>Проект!$Y$155</f>
        <v>0</v>
      </c>
      <c r="Z54" s="558">
        <f>Проект!$Z$155</f>
        <v>0</v>
      </c>
      <c r="AA54" s="558">
        <f>Проект!$AA$155</f>
        <v>0</v>
      </c>
      <c r="AB54" s="558">
        <f>Проект!$AB$155</f>
        <v>0</v>
      </c>
      <c r="AC54" s="558">
        <f>Проект!$AC$155</f>
        <v>0</v>
      </c>
      <c r="AD54" s="531"/>
      <c r="AE54" s="535"/>
    </row>
    <row r="55" spans="1:31" ht="11.25" customHeight="1" x14ac:dyDescent="0.3">
      <c r="A55" s="531"/>
      <c r="B55" s="531"/>
      <c r="C55" s="532"/>
      <c r="D55" s="533"/>
      <c r="E55" s="531"/>
      <c r="F55" s="534"/>
      <c r="G55" s="534"/>
      <c r="H55" s="534"/>
      <c r="I55" s="534"/>
      <c r="J55" s="534"/>
      <c r="K55" s="534"/>
      <c r="L55" s="534"/>
      <c r="M55" s="534"/>
      <c r="N55" s="534"/>
      <c r="O55" s="534"/>
      <c r="P55" s="534"/>
      <c r="Q55" s="534"/>
      <c r="R55" s="534"/>
      <c r="S55" s="534"/>
      <c r="T55" s="534"/>
      <c r="U55" s="534"/>
      <c r="V55" s="534"/>
      <c r="W55" s="534"/>
      <c r="X55" s="534"/>
      <c r="Y55" s="534"/>
      <c r="Z55" s="534"/>
      <c r="AA55" s="534"/>
      <c r="AB55" s="534"/>
      <c r="AC55" s="534"/>
      <c r="AD55" s="531"/>
      <c r="AE55" s="535"/>
    </row>
    <row r="56" spans="1:31" ht="11.25" customHeight="1" x14ac:dyDescent="0.3">
      <c r="A56" s="555" t="str">
        <f ca="1">Проект!$A$157</f>
        <v>Налог на имущество</v>
      </c>
      <c r="B56" s="549">
        <f>Проект!$B$157</f>
        <v>0</v>
      </c>
      <c r="C56" s="532" t="str">
        <f ca="1">Проект!$C$157</f>
        <v>тыс. EUR</v>
      </c>
      <c r="D56" s="533"/>
      <c r="E56" s="531"/>
      <c r="F56" s="552">
        <f>Проект!$F$157</f>
        <v>0</v>
      </c>
      <c r="G56" s="552">
        <f>Проект!$G$157</f>
        <v>0</v>
      </c>
      <c r="H56" s="552">
        <f>Проект!$H$157</f>
        <v>0</v>
      </c>
      <c r="I56" s="552">
        <f>Проект!$I$157</f>
        <v>0</v>
      </c>
      <c r="J56" s="552">
        <f>Проект!$J$157</f>
        <v>0</v>
      </c>
      <c r="K56" s="552">
        <f>Проект!$K$157</f>
        <v>12.146986046511628</v>
      </c>
      <c r="L56" s="552">
        <f>Проект!$L$157</f>
        <v>12.146986046511628</v>
      </c>
      <c r="M56" s="552">
        <f>Проект!$M$157</f>
        <v>12.146986046511628</v>
      </c>
      <c r="N56" s="552">
        <f>Проект!$N$157</f>
        <v>12.146986046511628</v>
      </c>
      <c r="O56" s="552">
        <f>Проект!$O$157</f>
        <v>12.146986046511628</v>
      </c>
      <c r="P56" s="552">
        <f>Проект!$P$157</f>
        <v>12.146986046511628</v>
      </c>
      <c r="Q56" s="552">
        <f>Проект!$Q$157</f>
        <v>12.146986046511628</v>
      </c>
      <c r="R56" s="552">
        <f>Проект!$R$157</f>
        <v>12.146986046511628</v>
      </c>
      <c r="S56" s="552">
        <f>Проект!$S$157</f>
        <v>12.146986046511628</v>
      </c>
      <c r="T56" s="552">
        <f>Проект!$T$157</f>
        <v>12.146986046511628</v>
      </c>
      <c r="U56" s="552">
        <f>Проект!$U$157</f>
        <v>12.146986046511628</v>
      </c>
      <c r="V56" s="552">
        <f>Проект!$V$157</f>
        <v>12.146986046511628</v>
      </c>
      <c r="W56" s="552">
        <f>Проект!$W$157</f>
        <v>12.146986046511628</v>
      </c>
      <c r="X56" s="552">
        <f>Проект!$X$157</f>
        <v>12.146986046511628</v>
      </c>
      <c r="Y56" s="552">
        <f>Проект!$Y$157</f>
        <v>12.146986046511628</v>
      </c>
      <c r="Z56" s="552">
        <f>Проект!$Z$157</f>
        <v>12.146986046511628</v>
      </c>
      <c r="AA56" s="552">
        <f>Проект!$AA$157</f>
        <v>12.146986046511628</v>
      </c>
      <c r="AB56" s="552">
        <f>Проект!$AB$157</f>
        <v>12.146986046511628</v>
      </c>
      <c r="AC56" s="552">
        <f>Проект!$AC$157</f>
        <v>12.146986046511628</v>
      </c>
      <c r="AD56" s="531"/>
      <c r="AE56" s="553">
        <f>Проект!$AE$157</f>
        <v>230.79273488372104</v>
      </c>
    </row>
    <row r="57" spans="1:31" hidden="1" x14ac:dyDescent="0.3">
      <c r="A57" s="531" t="str">
        <f ca="1">Проект!$A$158</f>
        <v xml:space="preserve">    средняя стоимость имущества за период</v>
      </c>
      <c r="B57" s="531"/>
      <c r="C57" s="532" t="str">
        <f ca="1">Проект!$C$158</f>
        <v>тыс. EUR</v>
      </c>
      <c r="D57" s="554" t="str">
        <f>Проект!$D$158</f>
        <v>int_avg</v>
      </c>
      <c r="E57" s="531"/>
      <c r="F57" s="551">
        <f ca="1">Проект!$F$158</f>
        <v>0</v>
      </c>
      <c r="G57" s="551">
        <f ca="1">Проект!$G$158</f>
        <v>0</v>
      </c>
      <c r="H57" s="551">
        <f ca="1">Проект!$H$158</f>
        <v>0</v>
      </c>
      <c r="I57" s="551">
        <f ca="1">Проект!$I$158</f>
        <v>0</v>
      </c>
      <c r="J57" s="551">
        <f ca="1">Проект!$J$158</f>
        <v>6491.3079183769114</v>
      </c>
      <c r="K57" s="551">
        <f ca="1">Проект!$K$158</f>
        <v>12827.939580399441</v>
      </c>
      <c r="L57" s="551">
        <f ca="1">Проект!$L$158</f>
        <v>12518.587067690678</v>
      </c>
      <c r="M57" s="551">
        <f ca="1">Проект!$M$158</f>
        <v>12209.234554981915</v>
      </c>
      <c r="N57" s="551">
        <f ca="1">Проект!$N$158</f>
        <v>11899.882042273151</v>
      </c>
      <c r="O57" s="551">
        <f ca="1">Проект!$O$158</f>
        <v>11590.529529564386</v>
      </c>
      <c r="P57" s="551">
        <f ca="1">Проект!$P$158</f>
        <v>11281.177016855621</v>
      </c>
      <c r="Q57" s="551">
        <f ca="1">Проект!$Q$158</f>
        <v>10971.824504146858</v>
      </c>
      <c r="R57" s="551">
        <f ca="1">Проект!$R$158</f>
        <v>10662.471991438095</v>
      </c>
      <c r="S57" s="551">
        <f ca="1">Проект!$S$158</f>
        <v>10353.119478729332</v>
      </c>
      <c r="T57" s="551">
        <f ca="1">Проект!$T$158</f>
        <v>10043.766966020568</v>
      </c>
      <c r="U57" s="551">
        <f ca="1">Проект!$U$158</f>
        <v>9734.4144533118033</v>
      </c>
      <c r="V57" s="551">
        <f ca="1">Проект!$V$158</f>
        <v>9425.0619406030401</v>
      </c>
      <c r="W57" s="551">
        <f ca="1">Проект!$W$158</f>
        <v>9115.709427894275</v>
      </c>
      <c r="X57" s="551">
        <f ca="1">Проект!$X$158</f>
        <v>8806.3569151855118</v>
      </c>
      <c r="Y57" s="551">
        <f ca="1">Проект!$Y$158</f>
        <v>8497.0044024767485</v>
      </c>
      <c r="Z57" s="551">
        <f ca="1">Проект!$Z$158</f>
        <v>8187.6518897679853</v>
      </c>
      <c r="AA57" s="551">
        <f ca="1">Проект!$AA$158</f>
        <v>7878.2993770592202</v>
      </c>
      <c r="AB57" s="551">
        <f ca="1">Проект!$AB$158</f>
        <v>7568.9468643504561</v>
      </c>
      <c r="AC57" s="551">
        <f ca="1">Проект!$AC$158</f>
        <v>7259.5943516416919</v>
      </c>
      <c r="AD57" s="531"/>
      <c r="AE57" s="535"/>
    </row>
    <row r="58" spans="1:31" hidden="1" x14ac:dyDescent="0.3">
      <c r="A58" s="531" t="str">
        <f ca="1">Проект!$A$159</f>
        <v xml:space="preserve">    стоимость имущества, освобождаемого от налога</v>
      </c>
      <c r="B58" s="531"/>
      <c r="C58" s="532" t="str">
        <f ca="1">Проект!$C$159</f>
        <v>тыс. EUR</v>
      </c>
      <c r="D58" s="554" t="str">
        <f>Проект!$D$159</f>
        <v>int_avg</v>
      </c>
      <c r="E58" s="531"/>
      <c r="F58" s="564">
        <f>Проект!$F$159</f>
        <v>0</v>
      </c>
      <c r="G58" s="564">
        <f>Проект!$G$159</f>
        <v>0</v>
      </c>
      <c r="H58" s="564">
        <f>Проект!$H$159</f>
        <v>0</v>
      </c>
      <c r="I58" s="564">
        <f>Проект!$I$159</f>
        <v>0</v>
      </c>
      <c r="J58" s="564">
        <f>Проект!$J$159</f>
        <v>0</v>
      </c>
      <c r="K58" s="564">
        <f>Проект!$K$159</f>
        <v>0</v>
      </c>
      <c r="L58" s="564">
        <f>Проект!$L$159</f>
        <v>0</v>
      </c>
      <c r="M58" s="564">
        <f>Проект!$M$159</f>
        <v>0</v>
      </c>
      <c r="N58" s="564">
        <f>Проект!$N$159</f>
        <v>0</v>
      </c>
      <c r="O58" s="564">
        <f>Проект!$O$159</f>
        <v>0</v>
      </c>
      <c r="P58" s="564">
        <f>Проект!$P$159</f>
        <v>0</v>
      </c>
      <c r="Q58" s="564">
        <f>Проект!$Q$159</f>
        <v>0</v>
      </c>
      <c r="R58" s="564">
        <f>Проект!$R$159</f>
        <v>0</v>
      </c>
      <c r="S58" s="564">
        <f>Проект!$S$159</f>
        <v>0</v>
      </c>
      <c r="T58" s="564">
        <f>Проект!$T$159</f>
        <v>0</v>
      </c>
      <c r="U58" s="564">
        <f>Проект!$U$159</f>
        <v>0</v>
      </c>
      <c r="V58" s="564">
        <f>Проект!$V$159</f>
        <v>0</v>
      </c>
      <c r="W58" s="564">
        <f>Проект!$W$159</f>
        <v>0</v>
      </c>
      <c r="X58" s="564">
        <f>Проект!$X$159</f>
        <v>0</v>
      </c>
      <c r="Y58" s="564">
        <f>Проект!$Y$159</f>
        <v>0</v>
      </c>
      <c r="Z58" s="564">
        <f>Проект!$Z$159</f>
        <v>0</v>
      </c>
      <c r="AA58" s="564">
        <f>Проект!$AA$159</f>
        <v>0</v>
      </c>
      <c r="AB58" s="564">
        <f>Проект!$AB$159</f>
        <v>0</v>
      </c>
      <c r="AC58" s="564">
        <f>Проект!$AC$159</f>
        <v>0</v>
      </c>
      <c r="AD58" s="531"/>
      <c r="AE58" s="535"/>
    </row>
    <row r="59" spans="1:31" hidden="1" x14ac:dyDescent="0.3">
      <c r="A59" s="531" t="str">
        <f ca="1">Проект!$A$160</f>
        <v xml:space="preserve">    ставка</v>
      </c>
      <c r="B59" s="563"/>
      <c r="C59" s="532" t="str">
        <f>Проект!$C$160</f>
        <v>%</v>
      </c>
      <c r="D59" s="554" t="str">
        <f>Проект!$D$160</f>
        <v>int_avg</v>
      </c>
      <c r="E59" s="531"/>
      <c r="F59" s="565">
        <f>Проект!$F$160</f>
        <v>0</v>
      </c>
      <c r="G59" s="565">
        <f>Проект!$G$160</f>
        <v>0</v>
      </c>
      <c r="H59" s="565">
        <f>Проект!$H$160</f>
        <v>0</v>
      </c>
      <c r="I59" s="565">
        <f>Проект!$I$160</f>
        <v>0</v>
      </c>
      <c r="J59" s="565">
        <f>Проект!$J$160</f>
        <v>0</v>
      </c>
      <c r="K59" s="565">
        <f>Проект!$K$160</f>
        <v>0</v>
      </c>
      <c r="L59" s="565">
        <f>Проект!$L$160</f>
        <v>0</v>
      </c>
      <c r="M59" s="565">
        <f>Проект!$M$160</f>
        <v>0</v>
      </c>
      <c r="N59" s="565">
        <f>Проект!$N$160</f>
        <v>0</v>
      </c>
      <c r="O59" s="565">
        <f>Проект!$O$160</f>
        <v>0</v>
      </c>
      <c r="P59" s="565">
        <f>Проект!$P$160</f>
        <v>0</v>
      </c>
      <c r="Q59" s="565">
        <f>Проект!$Q$160</f>
        <v>0</v>
      </c>
      <c r="R59" s="565">
        <f>Проект!$R$160</f>
        <v>0</v>
      </c>
      <c r="S59" s="565">
        <f>Проект!$S$160</f>
        <v>0</v>
      </c>
      <c r="T59" s="565">
        <f>Проект!$T$160</f>
        <v>0</v>
      </c>
      <c r="U59" s="565">
        <f>Проект!$U$160</f>
        <v>0</v>
      </c>
      <c r="V59" s="565">
        <f>Проект!$V$160</f>
        <v>0</v>
      </c>
      <c r="W59" s="565">
        <f>Проект!$W$160</f>
        <v>0</v>
      </c>
      <c r="X59" s="565">
        <f>Проект!$X$160</f>
        <v>0</v>
      </c>
      <c r="Y59" s="565">
        <f>Проект!$Y$160</f>
        <v>0</v>
      </c>
      <c r="Z59" s="565">
        <f>Проект!$Z$160</f>
        <v>0</v>
      </c>
      <c r="AA59" s="565">
        <f>Проект!$AA$160</f>
        <v>0</v>
      </c>
      <c r="AB59" s="565">
        <f>Проект!$AB$160</f>
        <v>0</v>
      </c>
      <c r="AC59" s="565">
        <f>Проект!$AC$160</f>
        <v>0</v>
      </c>
      <c r="AD59" s="531"/>
      <c r="AE59" s="535"/>
    </row>
    <row r="60" spans="1:31" hidden="1" x14ac:dyDescent="0.3">
      <c r="A60" s="531" t="str">
        <f ca="1">Проект!$A$161</f>
        <v xml:space="preserve">    период уплаты</v>
      </c>
      <c r="B60" s="541">
        <f>Проект!$B$161</f>
        <v>90</v>
      </c>
      <c r="C60" s="532" t="str">
        <f ca="1">Проект!$C$161</f>
        <v>дней</v>
      </c>
      <c r="D60" s="554"/>
      <c r="E60" s="531"/>
      <c r="F60" s="558"/>
      <c r="G60" s="558"/>
      <c r="H60" s="558"/>
      <c r="I60" s="558"/>
      <c r="J60" s="558"/>
      <c r="K60" s="558"/>
      <c r="L60" s="558"/>
      <c r="M60" s="558"/>
      <c r="N60" s="558"/>
      <c r="O60" s="558"/>
      <c r="P60" s="558"/>
      <c r="Q60" s="558"/>
      <c r="R60" s="558"/>
      <c r="S60" s="558"/>
      <c r="T60" s="558"/>
      <c r="U60" s="558"/>
      <c r="V60" s="558"/>
      <c r="W60" s="558"/>
      <c r="X60" s="558"/>
      <c r="Y60" s="558"/>
      <c r="Z60" s="558"/>
      <c r="AA60" s="558"/>
      <c r="AB60" s="558"/>
      <c r="AC60" s="558"/>
      <c r="AD60" s="531"/>
      <c r="AE60" s="535"/>
    </row>
    <row r="61" spans="1:31" ht="11.25" customHeight="1" x14ac:dyDescent="0.3">
      <c r="A61" s="555" t="str">
        <f ca="1">Проект!$A$162</f>
        <v>Другие налоги, относимые на финансовые результаты</v>
      </c>
      <c r="B61" s="531"/>
      <c r="C61" s="532" t="str">
        <f ca="1">Проект!$C$162</f>
        <v>тыс. EUR</v>
      </c>
      <c r="D61" s="533">
        <f>Проект!$D$162</f>
        <v>1</v>
      </c>
      <c r="E61" s="531">
        <f>Проект!$E$162</f>
        <v>5</v>
      </c>
      <c r="F61" s="552">
        <f>Проект!$F$162</f>
        <v>0</v>
      </c>
      <c r="G61" s="552">
        <f>Проект!$G$162</f>
        <v>0</v>
      </c>
      <c r="H61" s="552">
        <f>Проект!$H$162</f>
        <v>0</v>
      </c>
      <c r="I61" s="552">
        <f>Проект!$I$162</f>
        <v>0</v>
      </c>
      <c r="J61" s="552">
        <f>Проект!$J$162</f>
        <v>0</v>
      </c>
      <c r="K61" s="552">
        <f>Проект!$K$162</f>
        <v>0</v>
      </c>
      <c r="L61" s="552">
        <f>Проект!$L$162</f>
        <v>0</v>
      </c>
      <c r="M61" s="552">
        <f>Проект!$M$162</f>
        <v>0</v>
      </c>
      <c r="N61" s="552">
        <f>Проект!$N$162</f>
        <v>0</v>
      </c>
      <c r="O61" s="552">
        <f>Проект!$O$162</f>
        <v>0</v>
      </c>
      <c r="P61" s="552">
        <f>Проект!$P$162</f>
        <v>0</v>
      </c>
      <c r="Q61" s="552">
        <f>Проект!$Q$162</f>
        <v>0</v>
      </c>
      <c r="R61" s="552">
        <f>Проект!$R$162</f>
        <v>0</v>
      </c>
      <c r="S61" s="552">
        <f>Проект!$S$162</f>
        <v>0</v>
      </c>
      <c r="T61" s="552">
        <f>Проект!$T$162</f>
        <v>0</v>
      </c>
      <c r="U61" s="552">
        <f>Проект!$U$162</f>
        <v>0</v>
      </c>
      <c r="V61" s="552">
        <f>Проект!$V$162</f>
        <v>0</v>
      </c>
      <c r="W61" s="552">
        <f>Проект!$W$162</f>
        <v>0</v>
      </c>
      <c r="X61" s="552">
        <f>Проект!$X$162</f>
        <v>0</v>
      </c>
      <c r="Y61" s="552">
        <f>Проект!$Y$162</f>
        <v>0</v>
      </c>
      <c r="Z61" s="552">
        <f>Проект!$Z$162</f>
        <v>0</v>
      </c>
      <c r="AA61" s="552">
        <f>Проект!$AA$162</f>
        <v>0</v>
      </c>
      <c r="AB61" s="552">
        <f>Проект!$AB$162</f>
        <v>0</v>
      </c>
      <c r="AC61" s="552">
        <f>Проект!$AC$162</f>
        <v>0</v>
      </c>
      <c r="AD61" s="531"/>
      <c r="AE61" s="553">
        <f>Проект!$AE$162</f>
        <v>0</v>
      </c>
    </row>
    <row r="62" spans="1:31" hidden="1" x14ac:dyDescent="0.3">
      <c r="A62" s="561" t="str">
        <f ca="1">Проект!$A$163</f>
        <v>Наименование налога</v>
      </c>
      <c r="B62" s="531"/>
      <c r="C62" s="532" t="str">
        <f ca="1">Проект!$C$163</f>
        <v>тыс. EUR</v>
      </c>
      <c r="D62" s="533" t="str">
        <f>Проект!$D$163</f>
        <v>1_01</v>
      </c>
      <c r="E62" s="531"/>
      <c r="F62" s="542">
        <f>Проект!$F$163</f>
        <v>0</v>
      </c>
      <c r="G62" s="542">
        <f>Проект!$G$163</f>
        <v>0</v>
      </c>
      <c r="H62" s="542">
        <f>Проект!$H$163</f>
        <v>0</v>
      </c>
      <c r="I62" s="542">
        <f>Проект!$I$163</f>
        <v>0</v>
      </c>
      <c r="J62" s="542">
        <f>Проект!$J$163</f>
        <v>0</v>
      </c>
      <c r="K62" s="542">
        <f>Проект!$K$163</f>
        <v>0</v>
      </c>
      <c r="L62" s="542">
        <f>Проект!$L$163</f>
        <v>0</v>
      </c>
      <c r="M62" s="542">
        <f>Проект!$M$163</f>
        <v>0</v>
      </c>
      <c r="N62" s="542">
        <f>Проект!$N$163</f>
        <v>0</v>
      </c>
      <c r="O62" s="542">
        <f>Проект!$O$163</f>
        <v>0</v>
      </c>
      <c r="P62" s="542">
        <f>Проект!$P$163</f>
        <v>0</v>
      </c>
      <c r="Q62" s="542">
        <f>Проект!$Q$163</f>
        <v>0</v>
      </c>
      <c r="R62" s="542">
        <f>Проект!$R$163</f>
        <v>0</v>
      </c>
      <c r="S62" s="542">
        <f>Проект!$S$163</f>
        <v>0</v>
      </c>
      <c r="T62" s="542">
        <f>Проект!$T$163</f>
        <v>0</v>
      </c>
      <c r="U62" s="542">
        <f>Проект!$U$163</f>
        <v>0</v>
      </c>
      <c r="V62" s="542">
        <f>Проект!$V$163</f>
        <v>0</v>
      </c>
      <c r="W62" s="542">
        <f>Проект!$W$163</f>
        <v>0</v>
      </c>
      <c r="X62" s="542">
        <f>Проект!$X$163</f>
        <v>0</v>
      </c>
      <c r="Y62" s="542">
        <f>Проект!$Y$163</f>
        <v>0</v>
      </c>
      <c r="Z62" s="542">
        <f>Проект!$Z$163</f>
        <v>0</v>
      </c>
      <c r="AA62" s="542">
        <f>Проект!$AA$163</f>
        <v>0</v>
      </c>
      <c r="AB62" s="542">
        <f>Проект!$AB$163</f>
        <v>0</v>
      </c>
      <c r="AC62" s="542">
        <f>Проект!$AC$163</f>
        <v>0</v>
      </c>
      <c r="AD62" s="531"/>
      <c r="AE62" s="543">
        <f>Проект!$AE$163</f>
        <v>0</v>
      </c>
    </row>
    <row r="63" spans="1:31" hidden="1" x14ac:dyDescent="0.3">
      <c r="A63" s="531" t="str">
        <f ca="1">Проект!$A$164</f>
        <v xml:space="preserve">    налогооблагаемая база</v>
      </c>
      <c r="B63" s="531"/>
      <c r="C63" s="532" t="str">
        <f ca="1">Проект!$C$164</f>
        <v>тыс. EUR</v>
      </c>
      <c r="D63" s="533"/>
      <c r="E63" s="531"/>
      <c r="F63" s="564">
        <f>Проект!$F$164</f>
        <v>0</v>
      </c>
      <c r="G63" s="564">
        <f>Проект!$G$164</f>
        <v>0</v>
      </c>
      <c r="H63" s="564">
        <f>Проект!$H$164</f>
        <v>0</v>
      </c>
      <c r="I63" s="564">
        <f>Проект!$I$164</f>
        <v>0</v>
      </c>
      <c r="J63" s="564">
        <f>Проект!$J$164</f>
        <v>0</v>
      </c>
      <c r="K63" s="564">
        <f>Проект!$K$164</f>
        <v>0</v>
      </c>
      <c r="L63" s="564">
        <f>Проект!$L$164</f>
        <v>0</v>
      </c>
      <c r="M63" s="564">
        <f>Проект!$M$164</f>
        <v>0</v>
      </c>
      <c r="N63" s="564">
        <f>Проект!$N$164</f>
        <v>0</v>
      </c>
      <c r="O63" s="564">
        <f>Проект!$O$164</f>
        <v>0</v>
      </c>
      <c r="P63" s="564">
        <f>Проект!$P$164</f>
        <v>0</v>
      </c>
      <c r="Q63" s="564">
        <f>Проект!$Q$164</f>
        <v>0</v>
      </c>
      <c r="R63" s="564">
        <f>Проект!$R$164</f>
        <v>0</v>
      </c>
      <c r="S63" s="564">
        <f>Проект!$S$164</f>
        <v>0</v>
      </c>
      <c r="T63" s="564">
        <f>Проект!$T$164</f>
        <v>0</v>
      </c>
      <c r="U63" s="564">
        <f>Проект!$U$164</f>
        <v>0</v>
      </c>
      <c r="V63" s="564">
        <f>Проект!$V$164</f>
        <v>0</v>
      </c>
      <c r="W63" s="564">
        <f>Проект!$W$164</f>
        <v>0</v>
      </c>
      <c r="X63" s="564">
        <f>Проект!$X$164</f>
        <v>0</v>
      </c>
      <c r="Y63" s="564">
        <f>Проект!$Y$164</f>
        <v>0</v>
      </c>
      <c r="Z63" s="564">
        <f>Проект!$Z$164</f>
        <v>0</v>
      </c>
      <c r="AA63" s="564">
        <f>Проект!$AA$164</f>
        <v>0</v>
      </c>
      <c r="AB63" s="564">
        <f>Проект!$AB$164</f>
        <v>0</v>
      </c>
      <c r="AC63" s="564">
        <f>Проект!$AC$164</f>
        <v>0</v>
      </c>
      <c r="AD63" s="531"/>
      <c r="AE63" s="535"/>
    </row>
    <row r="64" spans="1:31" hidden="1" x14ac:dyDescent="0.3">
      <c r="A64" s="531" t="str">
        <f ca="1">Проект!$A$165</f>
        <v xml:space="preserve">    ставка</v>
      </c>
      <c r="B64" s="549">
        <f>Проект!$B$165</f>
        <v>0</v>
      </c>
      <c r="C64" s="532" t="str">
        <f>Проект!$C$165</f>
        <v>%</v>
      </c>
      <c r="D64" s="554" t="str">
        <f>Проект!$D$165</f>
        <v>int_avg</v>
      </c>
      <c r="E64" s="531"/>
      <c r="F64" s="565">
        <f>Проект!$F$165</f>
        <v>0</v>
      </c>
      <c r="G64" s="565">
        <f>Проект!$G$165</f>
        <v>0</v>
      </c>
      <c r="H64" s="565">
        <f>Проект!$H$165</f>
        <v>0</v>
      </c>
      <c r="I64" s="565">
        <f>Проект!$I$165</f>
        <v>0</v>
      </c>
      <c r="J64" s="565">
        <f>Проект!$J$165</f>
        <v>0</v>
      </c>
      <c r="K64" s="565">
        <f>Проект!$K$165</f>
        <v>0</v>
      </c>
      <c r="L64" s="565">
        <f>Проект!$L$165</f>
        <v>0</v>
      </c>
      <c r="M64" s="565">
        <f>Проект!$M$165</f>
        <v>0</v>
      </c>
      <c r="N64" s="565">
        <f>Проект!$N$165</f>
        <v>0</v>
      </c>
      <c r="O64" s="565">
        <f>Проект!$O$165</f>
        <v>0</v>
      </c>
      <c r="P64" s="565">
        <f>Проект!$P$165</f>
        <v>0</v>
      </c>
      <c r="Q64" s="565">
        <f>Проект!$Q$165</f>
        <v>0</v>
      </c>
      <c r="R64" s="565">
        <f>Проект!$R$165</f>
        <v>0</v>
      </c>
      <c r="S64" s="565">
        <f>Проект!$S$165</f>
        <v>0</v>
      </c>
      <c r="T64" s="565">
        <f>Проект!$T$165</f>
        <v>0</v>
      </c>
      <c r="U64" s="565">
        <f>Проект!$U$165</f>
        <v>0</v>
      </c>
      <c r="V64" s="565">
        <f>Проект!$V$165</f>
        <v>0</v>
      </c>
      <c r="W64" s="565">
        <f>Проект!$W$165</f>
        <v>0</v>
      </c>
      <c r="X64" s="565">
        <f>Проект!$X$165</f>
        <v>0</v>
      </c>
      <c r="Y64" s="565">
        <f>Проект!$Y$165</f>
        <v>0</v>
      </c>
      <c r="Z64" s="565">
        <f>Проект!$Z$165</f>
        <v>0</v>
      </c>
      <c r="AA64" s="565">
        <f>Проект!$AA$165</f>
        <v>0</v>
      </c>
      <c r="AB64" s="565">
        <f>Проект!$AB$165</f>
        <v>0</v>
      </c>
      <c r="AC64" s="565">
        <f>Проект!$AC$165</f>
        <v>0</v>
      </c>
      <c r="AD64" s="531"/>
      <c r="AE64" s="535"/>
    </row>
    <row r="65" spans="1:31" hidden="1" x14ac:dyDescent="0.3">
      <c r="A65" s="531" t="str">
        <f ca="1">Проект!$A$166</f>
        <v xml:space="preserve">    период уплаты</v>
      </c>
      <c r="B65" s="541">
        <f>Проект!$B$166</f>
        <v>90</v>
      </c>
      <c r="C65" s="532" t="str">
        <f ca="1">Проект!$C$166</f>
        <v>дней</v>
      </c>
      <c r="D65" s="554" t="str">
        <f>Проект!$D$166</f>
        <v>int_avg</v>
      </c>
      <c r="E65" s="531"/>
      <c r="F65" s="558"/>
      <c r="G65" s="558"/>
      <c r="H65" s="558"/>
      <c r="I65" s="558"/>
      <c r="J65" s="558"/>
      <c r="K65" s="558"/>
      <c r="L65" s="558"/>
      <c r="M65" s="558"/>
      <c r="N65" s="558"/>
      <c r="O65" s="558"/>
      <c r="P65" s="558"/>
      <c r="Q65" s="558"/>
      <c r="R65" s="558"/>
      <c r="S65" s="558"/>
      <c r="T65" s="558"/>
      <c r="U65" s="558"/>
      <c r="V65" s="558"/>
      <c r="W65" s="558"/>
      <c r="X65" s="558"/>
      <c r="Y65" s="558"/>
      <c r="Z65" s="558"/>
      <c r="AA65" s="558"/>
      <c r="AB65" s="558"/>
      <c r="AC65" s="558"/>
      <c r="AD65" s="531"/>
      <c r="AE65" s="535"/>
    </row>
    <row r="66" spans="1:31" hidden="1" x14ac:dyDescent="0.3">
      <c r="A66" s="531" t="str">
        <f ca="1">Проект!$A$167</f>
        <v xml:space="preserve">   задолженность перед бюджетом</v>
      </c>
      <c r="B66" s="562"/>
      <c r="C66" s="532" t="str">
        <f ca="1">Проект!$C$167</f>
        <v>тыс. EUR</v>
      </c>
      <c r="D66" s="554" t="str">
        <f>Проект!$D$167</f>
        <v>1_02;int_end</v>
      </c>
      <c r="E66" s="531"/>
      <c r="F66" s="558">
        <f>Проект!$F$167</f>
        <v>0</v>
      </c>
      <c r="G66" s="558">
        <f>Проект!$G$167</f>
        <v>0</v>
      </c>
      <c r="H66" s="558">
        <f>Проект!$H$167</f>
        <v>0</v>
      </c>
      <c r="I66" s="558">
        <f>Проект!$I$167</f>
        <v>0</v>
      </c>
      <c r="J66" s="558">
        <f>Проект!$J$167</f>
        <v>0</v>
      </c>
      <c r="K66" s="558">
        <f>Проект!$K$167</f>
        <v>0</v>
      </c>
      <c r="L66" s="558">
        <f>Проект!$L$167</f>
        <v>0</v>
      </c>
      <c r="M66" s="558">
        <f>Проект!$M$167</f>
        <v>0</v>
      </c>
      <c r="N66" s="558">
        <f>Проект!$N$167</f>
        <v>0</v>
      </c>
      <c r="O66" s="558">
        <f>Проект!$O$167</f>
        <v>0</v>
      </c>
      <c r="P66" s="558">
        <f>Проект!$P$167</f>
        <v>0</v>
      </c>
      <c r="Q66" s="558">
        <f>Проект!$Q$167</f>
        <v>0</v>
      </c>
      <c r="R66" s="558">
        <f>Проект!$R$167</f>
        <v>0</v>
      </c>
      <c r="S66" s="558">
        <f>Проект!$S$167</f>
        <v>0</v>
      </c>
      <c r="T66" s="558">
        <f>Проект!$T$167</f>
        <v>0</v>
      </c>
      <c r="U66" s="558">
        <f>Проект!$U$167</f>
        <v>0</v>
      </c>
      <c r="V66" s="558">
        <f>Проект!$V$167</f>
        <v>0</v>
      </c>
      <c r="W66" s="558">
        <f>Проект!$W$167</f>
        <v>0</v>
      </c>
      <c r="X66" s="558">
        <f>Проект!$X$167</f>
        <v>0</v>
      </c>
      <c r="Y66" s="558">
        <f>Проект!$Y$167</f>
        <v>0</v>
      </c>
      <c r="Z66" s="558">
        <f>Проект!$Z$167</f>
        <v>0</v>
      </c>
      <c r="AA66" s="558">
        <f>Проект!$AA$167</f>
        <v>0</v>
      </c>
      <c r="AB66" s="558">
        <f>Проект!$AB$167</f>
        <v>0</v>
      </c>
      <c r="AC66" s="558">
        <f>Проект!$AC$167</f>
        <v>0</v>
      </c>
      <c r="AD66" s="531"/>
      <c r="AE66" s="535"/>
    </row>
    <row r="67" spans="1:31" ht="11.25" customHeight="1" x14ac:dyDescent="0.3">
      <c r="A67" s="531"/>
      <c r="B67" s="531"/>
      <c r="C67" s="532"/>
      <c r="D67" s="533"/>
      <c r="E67" s="531"/>
      <c r="F67" s="534"/>
      <c r="G67" s="534"/>
      <c r="H67" s="534"/>
      <c r="I67" s="534"/>
      <c r="J67" s="534"/>
      <c r="K67" s="534"/>
      <c r="L67" s="534"/>
      <c r="M67" s="534"/>
      <c r="N67" s="534"/>
      <c r="O67" s="534"/>
      <c r="P67" s="534"/>
      <c r="Q67" s="534"/>
      <c r="R67" s="534"/>
      <c r="S67" s="534"/>
      <c r="T67" s="534"/>
      <c r="U67" s="534"/>
      <c r="V67" s="534"/>
      <c r="W67" s="534"/>
      <c r="X67" s="534"/>
      <c r="Y67" s="534"/>
      <c r="Z67" s="534"/>
      <c r="AA67" s="534"/>
      <c r="AB67" s="534"/>
      <c r="AC67" s="534"/>
      <c r="AD67" s="531"/>
      <c r="AE67" s="535"/>
    </row>
    <row r="68" spans="1:31" ht="11.25" customHeight="1" x14ac:dyDescent="0.3">
      <c r="A68" s="544"/>
      <c r="B68" s="544"/>
      <c r="C68" s="545"/>
      <c r="D68" s="546"/>
      <c r="E68" s="544"/>
      <c r="F68" s="547"/>
      <c r="G68" s="547"/>
      <c r="H68" s="547"/>
      <c r="I68" s="547"/>
      <c r="J68" s="547"/>
      <c r="K68" s="547"/>
      <c r="L68" s="547"/>
      <c r="M68" s="547"/>
      <c r="N68" s="547"/>
      <c r="O68" s="547"/>
      <c r="P68" s="547"/>
      <c r="Q68" s="547"/>
      <c r="R68" s="547"/>
      <c r="S68" s="547"/>
      <c r="T68" s="547"/>
      <c r="U68" s="547"/>
      <c r="V68" s="547"/>
      <c r="W68" s="547"/>
      <c r="X68" s="547"/>
      <c r="Y68" s="547"/>
      <c r="Z68" s="547"/>
      <c r="AA68" s="547"/>
      <c r="AB68" s="547"/>
      <c r="AC68" s="547"/>
      <c r="AD68" s="544"/>
      <c r="AE68" s="548"/>
    </row>
    <row r="69" spans="1:31" ht="11.25" customHeight="1" x14ac:dyDescent="0.3">
      <c r="A69" s="536" t="str">
        <f ca="1">Проект!$A$170</f>
        <v>НАЛОГ НА ПРИБЫЛЬ</v>
      </c>
      <c r="B69" s="531"/>
      <c r="C69" s="532"/>
      <c r="D69" s="533"/>
      <c r="E69" s="531"/>
      <c r="F69" s="534"/>
      <c r="G69" s="534"/>
      <c r="H69" s="534"/>
      <c r="I69" s="534"/>
      <c r="J69" s="534"/>
      <c r="K69" s="534"/>
      <c r="L69" s="534"/>
      <c r="M69" s="534"/>
      <c r="N69" s="534"/>
      <c r="O69" s="534"/>
      <c r="P69" s="534"/>
      <c r="Q69" s="534"/>
      <c r="R69" s="534"/>
      <c r="S69" s="534"/>
      <c r="T69" s="534"/>
      <c r="U69" s="534"/>
      <c r="V69" s="534"/>
      <c r="W69" s="534"/>
      <c r="X69" s="534"/>
      <c r="Y69" s="534"/>
      <c r="Z69" s="534"/>
      <c r="AA69" s="534"/>
      <c r="AB69" s="534"/>
      <c r="AC69" s="534"/>
      <c r="AD69" s="531"/>
      <c r="AE69" s="535"/>
    </row>
    <row r="70" spans="1:31" ht="11.25" customHeight="1" x14ac:dyDescent="0.3">
      <c r="A70" s="531" t="str">
        <f ca="1">Проект!$A$171</f>
        <v xml:space="preserve">    ставка</v>
      </c>
      <c r="B70" s="549">
        <f>Проект!$B$171</f>
        <v>0.19</v>
      </c>
      <c r="C70" s="532" t="str">
        <f>Проект!$C$171</f>
        <v>%</v>
      </c>
      <c r="D70" s="554" t="str">
        <f>Проект!$D$171</f>
        <v>int_avg</v>
      </c>
      <c r="E70" s="531"/>
      <c r="F70" s="534">
        <f>Проект!$F$171</f>
        <v>0.19</v>
      </c>
      <c r="G70" s="534">
        <f>Проект!$G$171</f>
        <v>0.19</v>
      </c>
      <c r="H70" s="534">
        <f>Проект!$H$171</f>
        <v>0.19</v>
      </c>
      <c r="I70" s="534">
        <f>Проект!$I$171</f>
        <v>0.19</v>
      </c>
      <c r="J70" s="534">
        <f>Проект!$J$171</f>
        <v>0.19</v>
      </c>
      <c r="K70" s="534">
        <f>Проект!$K$171</f>
        <v>0.19</v>
      </c>
      <c r="L70" s="534">
        <f>Проект!$L$171</f>
        <v>0.19</v>
      </c>
      <c r="M70" s="534">
        <f>Проект!$M$171</f>
        <v>0.19</v>
      </c>
      <c r="N70" s="534">
        <f>Проект!$N$171</f>
        <v>0.19</v>
      </c>
      <c r="O70" s="534">
        <f>Проект!$O$171</f>
        <v>0.19</v>
      </c>
      <c r="P70" s="534">
        <f>Проект!$P$171</f>
        <v>0.19</v>
      </c>
      <c r="Q70" s="534">
        <f>Проект!$Q$171</f>
        <v>0.19</v>
      </c>
      <c r="R70" s="534">
        <f>Проект!$R$171</f>
        <v>0.19</v>
      </c>
      <c r="S70" s="534">
        <f>Проект!$S$171</f>
        <v>0.19</v>
      </c>
      <c r="T70" s="534">
        <f>Проект!$T$171</f>
        <v>0.19</v>
      </c>
      <c r="U70" s="534">
        <f>Проект!$U$171</f>
        <v>0.19</v>
      </c>
      <c r="V70" s="534">
        <f>Проект!$V$171</f>
        <v>0.19</v>
      </c>
      <c r="W70" s="534">
        <f>Проект!$W$171</f>
        <v>0.19</v>
      </c>
      <c r="X70" s="534">
        <f>Проект!$X$171</f>
        <v>0.19</v>
      </c>
      <c r="Y70" s="534">
        <f>Проект!$Y$171</f>
        <v>0.19</v>
      </c>
      <c r="Z70" s="534">
        <f>Проект!$Z$171</f>
        <v>0.19</v>
      </c>
      <c r="AA70" s="534">
        <f>Проект!$AA$171</f>
        <v>0.19</v>
      </c>
      <c r="AB70" s="534">
        <f>Проект!$AB$171</f>
        <v>0.19</v>
      </c>
      <c r="AC70" s="534">
        <f>Проект!$AC$171</f>
        <v>0.19</v>
      </c>
      <c r="AD70" s="531"/>
      <c r="AE70" s="535"/>
    </row>
    <row r="71" spans="1:31" ht="11.25" customHeight="1" x14ac:dyDescent="0.3">
      <c r="A71" s="531" t="str">
        <f ca="1">Проект!$A$172</f>
        <v xml:space="preserve">    период уплаты</v>
      </c>
      <c r="B71" s="541">
        <f>Проект!$B$172</f>
        <v>30</v>
      </c>
      <c r="C71" s="532" t="str">
        <f ca="1">Проект!$C$172</f>
        <v>дней</v>
      </c>
      <c r="D71" s="554"/>
      <c r="E71" s="531"/>
      <c r="F71" s="534"/>
      <c r="G71" s="534"/>
      <c r="H71" s="534"/>
      <c r="I71" s="534"/>
      <c r="J71" s="534"/>
      <c r="K71" s="534"/>
      <c r="L71" s="534"/>
      <c r="M71" s="534"/>
      <c r="N71" s="534"/>
      <c r="O71" s="534"/>
      <c r="P71" s="534"/>
      <c r="Q71" s="534"/>
      <c r="R71" s="534"/>
      <c r="S71" s="534"/>
      <c r="T71" s="534"/>
      <c r="U71" s="534"/>
      <c r="V71" s="534"/>
      <c r="W71" s="534"/>
      <c r="X71" s="534"/>
      <c r="Y71" s="534"/>
      <c r="Z71" s="534"/>
      <c r="AA71" s="534"/>
      <c r="AB71" s="534"/>
      <c r="AC71" s="534"/>
      <c r="AD71" s="531"/>
      <c r="AE71" s="535"/>
    </row>
    <row r="72" spans="1:31" ht="11.25" customHeight="1" x14ac:dyDescent="0.3">
      <c r="A72" s="536" t="str">
        <f ca="1">Проект!$A$173</f>
        <v>Начисленный налог на прибыль</v>
      </c>
      <c r="B72" s="531"/>
      <c r="C72" s="532" t="str">
        <f ca="1">Проект!$C$173</f>
        <v>тыс. EUR</v>
      </c>
      <c r="D72" s="533"/>
      <c r="E72" s="531"/>
      <c r="F72" s="552">
        <f ca="1">Проект!$F$173</f>
        <v>0</v>
      </c>
      <c r="G72" s="552">
        <f ca="1">Проект!$G$173</f>
        <v>0</v>
      </c>
      <c r="H72" s="552">
        <f ca="1">Проект!$H$173</f>
        <v>0</v>
      </c>
      <c r="I72" s="552">
        <f ca="1">Проект!$I$173</f>
        <v>0</v>
      </c>
      <c r="J72" s="552">
        <f ca="1">Проект!$J$173</f>
        <v>0</v>
      </c>
      <c r="K72" s="552">
        <f ca="1">Проект!$K$173</f>
        <v>0</v>
      </c>
      <c r="L72" s="552">
        <f ca="1">Проект!$L$173</f>
        <v>0</v>
      </c>
      <c r="M72" s="552">
        <f ca="1">Проект!$M$173</f>
        <v>0</v>
      </c>
      <c r="N72" s="552">
        <f ca="1">Проект!$N$173</f>
        <v>143.71291226357724</v>
      </c>
      <c r="O72" s="552">
        <f ca="1">Проект!$O$173</f>
        <v>268.67927601067663</v>
      </c>
      <c r="P72" s="552">
        <f ca="1">Проект!$P$173</f>
        <v>268.67927601067663</v>
      </c>
      <c r="Q72" s="552">
        <f ca="1">Проект!$Q$173</f>
        <v>268.67927601067663</v>
      </c>
      <c r="R72" s="552">
        <f ca="1">Проект!$R$173</f>
        <v>268.67927601067663</v>
      </c>
      <c r="S72" s="552">
        <f ca="1">Проект!$S$173</f>
        <v>268.67927601067663</v>
      </c>
      <c r="T72" s="552">
        <f ca="1">Проект!$T$173</f>
        <v>268.67927601067663</v>
      </c>
      <c r="U72" s="552">
        <f ca="1">Проект!$U$173</f>
        <v>268.67927601067663</v>
      </c>
      <c r="V72" s="552">
        <f ca="1">Проект!$V$173</f>
        <v>268.67927601067663</v>
      </c>
      <c r="W72" s="552">
        <f ca="1">Проект!$W$173</f>
        <v>268.67927601067663</v>
      </c>
      <c r="X72" s="552">
        <f ca="1">Проект!$X$173</f>
        <v>268.67927601067663</v>
      </c>
      <c r="Y72" s="552">
        <f ca="1">Проект!$Y$173</f>
        <v>268.67927601067663</v>
      </c>
      <c r="Z72" s="552">
        <f ca="1">Проект!$Z$173</f>
        <v>268.67927601067663</v>
      </c>
      <c r="AA72" s="552">
        <f ca="1">Проект!$AA$173</f>
        <v>268.67927601067663</v>
      </c>
      <c r="AB72" s="552">
        <f ca="1">Проект!$AB$173</f>
        <v>268.67927601067663</v>
      </c>
      <c r="AC72" s="552">
        <f ca="1">Проект!$AC$173</f>
        <v>268.67927601067663</v>
      </c>
      <c r="AD72" s="531"/>
      <c r="AE72" s="553">
        <f ca="1">Проект!$AE$173</f>
        <v>4173.9020524237249</v>
      </c>
    </row>
    <row r="73" spans="1:31" ht="11.25" customHeight="1" x14ac:dyDescent="0.3">
      <c r="A73" s="555" t="str">
        <f ca="1">Проект!$A$174</f>
        <v xml:space="preserve">         то же, в итоговой валюте</v>
      </c>
      <c r="B73" s="531"/>
      <c r="C73" s="539" t="str">
        <f ca="1">Проект!$C$174</f>
        <v>тыс. EUR</v>
      </c>
      <c r="D73" s="533"/>
      <c r="E73" s="531"/>
      <c r="F73" s="551">
        <f ca="1">Проект!$F$174</f>
        <v>0</v>
      </c>
      <c r="G73" s="551">
        <f ca="1">Проект!$G$174</f>
        <v>0</v>
      </c>
      <c r="H73" s="551">
        <f ca="1">Проект!$H$174</f>
        <v>0</v>
      </c>
      <c r="I73" s="551">
        <f ca="1">Проект!$I$174</f>
        <v>0</v>
      </c>
      <c r="J73" s="551">
        <f ca="1">Проект!$J$174</f>
        <v>0</v>
      </c>
      <c r="K73" s="551">
        <f ca="1">Проект!$K$174</f>
        <v>0</v>
      </c>
      <c r="L73" s="551">
        <f ca="1">Проект!$L$174</f>
        <v>0</v>
      </c>
      <c r="M73" s="551">
        <f ca="1">Проект!$M$174</f>
        <v>0</v>
      </c>
      <c r="N73" s="551">
        <f ca="1">Проект!$N$174</f>
        <v>143.71291226357724</v>
      </c>
      <c r="O73" s="551">
        <f ca="1">Проект!$O$174</f>
        <v>268.67927601067663</v>
      </c>
      <c r="P73" s="551">
        <f ca="1">Проект!$P$174</f>
        <v>268.67927601067663</v>
      </c>
      <c r="Q73" s="551">
        <f ca="1">Проект!$Q$174</f>
        <v>268.67927601067663</v>
      </c>
      <c r="R73" s="551">
        <f ca="1">Проект!$R$174</f>
        <v>268.67927601067663</v>
      </c>
      <c r="S73" s="551">
        <f ca="1">Проект!$S$174</f>
        <v>268.67927601067663</v>
      </c>
      <c r="T73" s="551">
        <f ca="1">Проект!$T$174</f>
        <v>268.67927601067663</v>
      </c>
      <c r="U73" s="551">
        <f ca="1">Проект!$U$174</f>
        <v>268.67927601067663</v>
      </c>
      <c r="V73" s="551">
        <f ca="1">Проект!$V$174</f>
        <v>268.67927601067663</v>
      </c>
      <c r="W73" s="551">
        <f ca="1">Проект!$W$174</f>
        <v>268.67927601067663</v>
      </c>
      <c r="X73" s="551">
        <f ca="1">Проект!$X$174</f>
        <v>268.67927601067663</v>
      </c>
      <c r="Y73" s="551">
        <f ca="1">Проект!$Y$174</f>
        <v>268.67927601067663</v>
      </c>
      <c r="Z73" s="551">
        <f ca="1">Проект!$Z$174</f>
        <v>268.67927601067663</v>
      </c>
      <c r="AA73" s="551">
        <f ca="1">Проект!$AA$174</f>
        <v>268.67927601067663</v>
      </c>
      <c r="AB73" s="551">
        <f ca="1">Проект!$AB$174</f>
        <v>268.67927601067663</v>
      </c>
      <c r="AC73" s="551">
        <f ca="1">Проект!$AC$174</f>
        <v>268.67927601067663</v>
      </c>
      <c r="AD73" s="531"/>
      <c r="AE73" s="543">
        <f ca="1">Проект!$AE$174</f>
        <v>4173.9020524237249</v>
      </c>
    </row>
    <row r="74" spans="1:31" hidden="1" x14ac:dyDescent="0.3">
      <c r="A74" s="555" t="str">
        <f ca="1">Проект!$A$175</f>
        <v xml:space="preserve">                нарастающим итогом</v>
      </c>
      <c r="B74" s="531"/>
      <c r="C74" s="539" t="str">
        <f ca="1">Проект!$C$175</f>
        <v>тыс. EUR</v>
      </c>
      <c r="D74" s="554" t="str">
        <f>Проект!$D$175</f>
        <v>int_end</v>
      </c>
      <c r="E74" s="531"/>
      <c r="F74" s="551">
        <f ca="1">Проект!$F$175</f>
        <v>0</v>
      </c>
      <c r="G74" s="551">
        <f ca="1">Проект!$G$175</f>
        <v>0</v>
      </c>
      <c r="H74" s="551">
        <f ca="1">Проект!$H$175</f>
        <v>0</v>
      </c>
      <c r="I74" s="551">
        <f ca="1">Проект!$I$175</f>
        <v>0</v>
      </c>
      <c r="J74" s="551">
        <f ca="1">Проект!$J$175</f>
        <v>0</v>
      </c>
      <c r="K74" s="551">
        <f ca="1">Проект!$K$175</f>
        <v>0</v>
      </c>
      <c r="L74" s="551">
        <f ca="1">Проект!$L$175</f>
        <v>0</v>
      </c>
      <c r="M74" s="551">
        <f ca="1">Проект!$M$175</f>
        <v>0</v>
      </c>
      <c r="N74" s="551">
        <f ca="1">Проект!$N$175</f>
        <v>143.71291226357724</v>
      </c>
      <c r="O74" s="551">
        <f ca="1">Проект!$O$175</f>
        <v>412.39218827425384</v>
      </c>
      <c r="P74" s="551">
        <f ca="1">Проект!$P$175</f>
        <v>681.07146428493047</v>
      </c>
      <c r="Q74" s="551">
        <f ca="1">Проект!$Q$175</f>
        <v>949.7507402956071</v>
      </c>
      <c r="R74" s="551">
        <f ca="1">Проект!$R$175</f>
        <v>1218.4300163062837</v>
      </c>
      <c r="S74" s="551">
        <f ca="1">Проект!$S$175</f>
        <v>1487.1092923169604</v>
      </c>
      <c r="T74" s="551">
        <f ca="1">Проект!$T$175</f>
        <v>1755.788568327637</v>
      </c>
      <c r="U74" s="551">
        <f ca="1">Проект!$U$175</f>
        <v>2024.4678443383136</v>
      </c>
      <c r="V74" s="551">
        <f ca="1">Проект!$V$175</f>
        <v>2293.14712034899</v>
      </c>
      <c r="W74" s="551">
        <f ca="1">Проект!$W$175</f>
        <v>2561.8263963596664</v>
      </c>
      <c r="X74" s="551">
        <f ca="1">Проект!$X$175</f>
        <v>2830.5056723703428</v>
      </c>
      <c r="Y74" s="551">
        <f ca="1">Проект!$Y$175</f>
        <v>3099.1849483810192</v>
      </c>
      <c r="Z74" s="551">
        <f ca="1">Проект!$Z$175</f>
        <v>3367.8642243916956</v>
      </c>
      <c r="AA74" s="551">
        <f ca="1">Проект!$AA$175</f>
        <v>3636.543500402372</v>
      </c>
      <c r="AB74" s="551">
        <f ca="1">Проект!$AB$175</f>
        <v>3905.2227764130485</v>
      </c>
      <c r="AC74" s="551">
        <f ca="1">Проект!$AC$175</f>
        <v>4173.9020524237249</v>
      </c>
      <c r="AD74" s="531"/>
      <c r="AE74" s="543"/>
    </row>
    <row r="75" spans="1:31" hidden="1" x14ac:dyDescent="0.3">
      <c r="A75" s="531" t="str">
        <f ca="1">Проект!$A$176</f>
        <v xml:space="preserve">    прибыль до налогообложения</v>
      </c>
      <c r="B75" s="531"/>
      <c r="C75" s="532" t="str">
        <f ca="1">Проект!$C$176</f>
        <v>тыс. EUR</v>
      </c>
      <c r="D75" s="533"/>
      <c r="E75" s="531"/>
      <c r="F75" s="551">
        <f ca="1">Проект!$F$176</f>
        <v>0</v>
      </c>
      <c r="G75" s="551">
        <f ca="1">Проект!$G$176</f>
        <v>0</v>
      </c>
      <c r="H75" s="551">
        <f ca="1">Проект!$H$176</f>
        <v>0</v>
      </c>
      <c r="I75" s="551">
        <f ca="1">Проект!$I$176</f>
        <v>0</v>
      </c>
      <c r="J75" s="551">
        <f ca="1">Проект!$J$176</f>
        <v>-309.35251270876392</v>
      </c>
      <c r="K75" s="551">
        <f ca="1">Проект!$K$176</f>
        <v>-542.72200914744883</v>
      </c>
      <c r="L75" s="551">
        <f ca="1">Проект!$L$176</f>
        <v>36.808723789765239</v>
      </c>
      <c r="M75" s="551">
        <f ca="1">Проект!$M$176</f>
        <v>515.87606298127139</v>
      </c>
      <c r="N75" s="551">
        <f ca="1">Проект!$N$176</f>
        <v>1055.7734838408458</v>
      </c>
      <c r="O75" s="551">
        <f ca="1">Проект!$O$176</f>
        <v>1414.1014526877718</v>
      </c>
      <c r="P75" s="551">
        <f ca="1">Проект!$P$176</f>
        <v>1414.1014526877718</v>
      </c>
      <c r="Q75" s="551">
        <f ca="1">Проект!$Q$176</f>
        <v>1414.1014526877718</v>
      </c>
      <c r="R75" s="551">
        <f ca="1">Проект!$R$176</f>
        <v>1414.1014526877718</v>
      </c>
      <c r="S75" s="551">
        <f ca="1">Проект!$S$176</f>
        <v>1414.1014526877718</v>
      </c>
      <c r="T75" s="551">
        <f ca="1">Проект!$T$176</f>
        <v>1414.1014526877718</v>
      </c>
      <c r="U75" s="551">
        <f ca="1">Проект!$U$176</f>
        <v>1414.1014526877718</v>
      </c>
      <c r="V75" s="551">
        <f ca="1">Проект!$V$176</f>
        <v>1414.1014526877718</v>
      </c>
      <c r="W75" s="551">
        <f ca="1">Проект!$W$176</f>
        <v>1414.1014526877718</v>
      </c>
      <c r="X75" s="551">
        <f ca="1">Проект!$X$176</f>
        <v>1414.1014526877718</v>
      </c>
      <c r="Y75" s="551">
        <f ca="1">Проект!$Y$176</f>
        <v>1414.1014526877718</v>
      </c>
      <c r="Z75" s="551">
        <f ca="1">Проект!$Z$176</f>
        <v>1414.1014526877718</v>
      </c>
      <c r="AA75" s="551">
        <f ca="1">Проект!$AA$176</f>
        <v>1414.1014526877718</v>
      </c>
      <c r="AB75" s="551">
        <f ca="1">Проект!$AB$176</f>
        <v>1414.1014526877718</v>
      </c>
      <c r="AC75" s="551">
        <f ca="1">Проект!$AC$176</f>
        <v>1414.1014526877718</v>
      </c>
      <c r="AD75" s="531"/>
      <c r="AE75" s="543">
        <f ca="1">Проект!$AE$176</f>
        <v>21967.90553907225</v>
      </c>
    </row>
    <row r="76" spans="1:31" hidden="1" x14ac:dyDescent="0.3">
      <c r="A76" s="531" t="str">
        <f ca="1">Проект!$A$177</f>
        <v xml:space="preserve">         то же, в итоговой валюте</v>
      </c>
      <c r="B76" s="531"/>
      <c r="C76" s="539" t="str">
        <f ca="1">Проект!$C$177</f>
        <v>тыс. EUR</v>
      </c>
      <c r="D76" s="533"/>
      <c r="E76" s="531"/>
      <c r="F76" s="551">
        <f ca="1">Проект!$F$177</f>
        <v>0</v>
      </c>
      <c r="G76" s="551">
        <f ca="1">Проект!$G$177</f>
        <v>0</v>
      </c>
      <c r="H76" s="551">
        <f ca="1">Проект!$H$177</f>
        <v>0</v>
      </c>
      <c r="I76" s="551">
        <f ca="1">Проект!$I$177</f>
        <v>0</v>
      </c>
      <c r="J76" s="551">
        <f ca="1">Проект!$J$177</f>
        <v>-309.35251270876392</v>
      </c>
      <c r="K76" s="551">
        <f ca="1">Проект!$K$177</f>
        <v>-542.72200914744883</v>
      </c>
      <c r="L76" s="551">
        <f ca="1">Проект!$L$177</f>
        <v>36.808723789765239</v>
      </c>
      <c r="M76" s="551">
        <f ca="1">Проект!$M$177</f>
        <v>515.87606298127139</v>
      </c>
      <c r="N76" s="551">
        <f ca="1">Проект!$N$177</f>
        <v>1055.7734838408458</v>
      </c>
      <c r="O76" s="551">
        <f ca="1">Проект!$O$177</f>
        <v>1414.1014526877718</v>
      </c>
      <c r="P76" s="551">
        <f ca="1">Проект!$P$177</f>
        <v>1414.1014526877718</v>
      </c>
      <c r="Q76" s="551">
        <f ca="1">Проект!$Q$177</f>
        <v>1414.1014526877718</v>
      </c>
      <c r="R76" s="551">
        <f ca="1">Проект!$R$177</f>
        <v>1414.1014526877718</v>
      </c>
      <c r="S76" s="551">
        <f ca="1">Проект!$S$177</f>
        <v>1414.1014526877718</v>
      </c>
      <c r="T76" s="551">
        <f ca="1">Проект!$T$177</f>
        <v>1414.1014526877718</v>
      </c>
      <c r="U76" s="551">
        <f ca="1">Проект!$U$177</f>
        <v>1414.1014526877718</v>
      </c>
      <c r="V76" s="551">
        <f ca="1">Проект!$V$177</f>
        <v>1414.1014526877718</v>
      </c>
      <c r="W76" s="551">
        <f ca="1">Проект!$W$177</f>
        <v>1414.1014526877718</v>
      </c>
      <c r="X76" s="551">
        <f ca="1">Проект!$X$177</f>
        <v>1414.1014526877718</v>
      </c>
      <c r="Y76" s="551">
        <f ca="1">Проект!$Y$177</f>
        <v>1414.1014526877718</v>
      </c>
      <c r="Z76" s="551">
        <f ca="1">Проект!$Z$177</f>
        <v>1414.1014526877718</v>
      </c>
      <c r="AA76" s="551">
        <f ca="1">Проект!$AA$177</f>
        <v>1414.1014526877718</v>
      </c>
      <c r="AB76" s="551">
        <f ca="1">Проект!$AB$177</f>
        <v>1414.1014526877718</v>
      </c>
      <c r="AC76" s="551">
        <f ca="1">Проект!$AC$177</f>
        <v>1414.1014526877718</v>
      </c>
      <c r="AD76" s="531"/>
      <c r="AE76" s="543">
        <f ca="1">Проект!$AE$177</f>
        <v>21967.90553907225</v>
      </c>
    </row>
    <row r="77" spans="1:31" hidden="1" x14ac:dyDescent="0.3">
      <c r="A77" s="531" t="str">
        <f ca="1">Проект!$A$178</f>
        <v xml:space="preserve">    проценты по кредиту, выплачиваемые из прибыли</v>
      </c>
      <c r="B77" s="531"/>
      <c r="C77" s="532" t="str">
        <f ca="1">Проект!$C$178</f>
        <v>тыс. EUR</v>
      </c>
      <c r="D77" s="533"/>
      <c r="E77" s="531"/>
      <c r="F77" s="551">
        <f>Проект!$F$178</f>
        <v>0</v>
      </c>
      <c r="G77" s="551">
        <f>Проект!$G$178</f>
        <v>0</v>
      </c>
      <c r="H77" s="551">
        <f>Проект!$H$178</f>
        <v>0</v>
      </c>
      <c r="I77" s="551">
        <f>Проект!$I$178</f>
        <v>0</v>
      </c>
      <c r="J77" s="551">
        <f>Проект!$J$178</f>
        <v>0</v>
      </c>
      <c r="K77" s="551">
        <f>Проект!$K$178</f>
        <v>0</v>
      </c>
      <c r="L77" s="551">
        <f>Проект!$L$178</f>
        <v>0</v>
      </c>
      <c r="M77" s="551">
        <f>Проект!$M$178</f>
        <v>0</v>
      </c>
      <c r="N77" s="551">
        <f>Проект!$N$178</f>
        <v>0</v>
      </c>
      <c r="O77" s="551">
        <f>Проект!$O$178</f>
        <v>0</v>
      </c>
      <c r="P77" s="551">
        <f>Проект!$P$178</f>
        <v>0</v>
      </c>
      <c r="Q77" s="551">
        <f>Проект!$Q$178</f>
        <v>0</v>
      </c>
      <c r="R77" s="551">
        <f>Проект!$R$178</f>
        <v>0</v>
      </c>
      <c r="S77" s="551">
        <f>Проект!$S$178</f>
        <v>0</v>
      </c>
      <c r="T77" s="551">
        <f>Проект!$T$178</f>
        <v>0</v>
      </c>
      <c r="U77" s="551">
        <f>Проект!$U$178</f>
        <v>0</v>
      </c>
      <c r="V77" s="551">
        <f>Проект!$V$178</f>
        <v>0</v>
      </c>
      <c r="W77" s="551">
        <f>Проект!$W$178</f>
        <v>0</v>
      </c>
      <c r="X77" s="551">
        <f>Проект!$X$178</f>
        <v>0</v>
      </c>
      <c r="Y77" s="551">
        <f>Проект!$Y$178</f>
        <v>0</v>
      </c>
      <c r="Z77" s="551">
        <f>Проект!$Z$178</f>
        <v>0</v>
      </c>
      <c r="AA77" s="551">
        <f>Проект!$AA$178</f>
        <v>0</v>
      </c>
      <c r="AB77" s="551">
        <f>Проект!$AB$178</f>
        <v>0</v>
      </c>
      <c r="AC77" s="551">
        <f>Проект!$AC$178</f>
        <v>0</v>
      </c>
      <c r="AD77" s="531"/>
      <c r="AE77" s="543">
        <f>Проект!$AE$178</f>
        <v>0</v>
      </c>
    </row>
    <row r="78" spans="1:31" hidden="1" x14ac:dyDescent="0.3">
      <c r="A78" s="531" t="str">
        <f ca="1">Проект!$A$179</f>
        <v xml:space="preserve">         то же, в итоговой валюте</v>
      </c>
      <c r="B78" s="531"/>
      <c r="C78" s="539" t="str">
        <f ca="1">Проект!$C$179</f>
        <v>тыс. EUR</v>
      </c>
      <c r="D78" s="533"/>
      <c r="E78" s="531"/>
      <c r="F78" s="551">
        <f>Проект!$F$179</f>
        <v>0</v>
      </c>
      <c r="G78" s="551">
        <f>Проект!$G$179</f>
        <v>0</v>
      </c>
      <c r="H78" s="551">
        <f>Проект!$H$179</f>
        <v>0</v>
      </c>
      <c r="I78" s="551">
        <f>Проект!$I$179</f>
        <v>0</v>
      </c>
      <c r="J78" s="551">
        <f>Проект!$J$179</f>
        <v>0</v>
      </c>
      <c r="K78" s="551">
        <f>Проект!$K$179</f>
        <v>0</v>
      </c>
      <c r="L78" s="551">
        <f>Проект!$L$179</f>
        <v>0</v>
      </c>
      <c r="M78" s="551">
        <f>Проект!$M$179</f>
        <v>0</v>
      </c>
      <c r="N78" s="551">
        <f>Проект!$N$179</f>
        <v>0</v>
      </c>
      <c r="O78" s="551">
        <f>Проект!$O$179</f>
        <v>0</v>
      </c>
      <c r="P78" s="551">
        <f>Проект!$P$179</f>
        <v>0</v>
      </c>
      <c r="Q78" s="551">
        <f>Проект!$Q$179</f>
        <v>0</v>
      </c>
      <c r="R78" s="551">
        <f>Проект!$R$179</f>
        <v>0</v>
      </c>
      <c r="S78" s="551">
        <f>Проект!$S$179</f>
        <v>0</v>
      </c>
      <c r="T78" s="551">
        <f>Проект!$T$179</f>
        <v>0</v>
      </c>
      <c r="U78" s="551">
        <f>Проект!$U$179</f>
        <v>0</v>
      </c>
      <c r="V78" s="551">
        <f>Проект!$V$179</f>
        <v>0</v>
      </c>
      <c r="W78" s="551">
        <f>Проект!$W$179</f>
        <v>0</v>
      </c>
      <c r="X78" s="551">
        <f>Проект!$X$179</f>
        <v>0</v>
      </c>
      <c r="Y78" s="551">
        <f>Проект!$Y$179</f>
        <v>0</v>
      </c>
      <c r="Z78" s="551">
        <f>Проект!$Z$179</f>
        <v>0</v>
      </c>
      <c r="AA78" s="551">
        <f>Проект!$AA$179</f>
        <v>0</v>
      </c>
      <c r="AB78" s="551">
        <f>Проект!$AB$179</f>
        <v>0</v>
      </c>
      <c r="AC78" s="551">
        <f>Проект!$AC$179</f>
        <v>0</v>
      </c>
      <c r="AD78" s="531"/>
      <c r="AE78" s="543">
        <f>Проект!$AE$179</f>
        <v>0</v>
      </c>
    </row>
    <row r="79" spans="1:31" hidden="1" x14ac:dyDescent="0.3">
      <c r="A79" s="531" t="str">
        <f ca="1">Проект!$A$180</f>
        <v xml:space="preserve">    льготы по налогу на прибыль</v>
      </c>
      <c r="B79" s="531"/>
      <c r="C79" s="532" t="str">
        <f ca="1">Проект!$C$180</f>
        <v>тыс. EUR</v>
      </c>
      <c r="D79" s="533"/>
      <c r="E79" s="531"/>
      <c r="F79" s="564">
        <f>Проект!$F$180</f>
        <v>0</v>
      </c>
      <c r="G79" s="564">
        <f>Проект!$G$180</f>
        <v>0</v>
      </c>
      <c r="H79" s="564">
        <f>Проект!$H$180</f>
        <v>0</v>
      </c>
      <c r="I79" s="564">
        <f>Проект!$I$180</f>
        <v>0</v>
      </c>
      <c r="J79" s="564">
        <f>Проект!$J$180</f>
        <v>0</v>
      </c>
      <c r="K79" s="564">
        <f>Проект!$K$180</f>
        <v>0</v>
      </c>
      <c r="L79" s="564">
        <f>Проект!$L$180</f>
        <v>0</v>
      </c>
      <c r="M79" s="564">
        <f>Проект!$M$180</f>
        <v>0</v>
      </c>
      <c r="N79" s="564">
        <f>Проект!$N$180</f>
        <v>0</v>
      </c>
      <c r="O79" s="564">
        <f>Проект!$O$180</f>
        <v>0</v>
      </c>
      <c r="P79" s="564">
        <f>Проект!$P$180</f>
        <v>0</v>
      </c>
      <c r="Q79" s="564">
        <f>Проект!$Q$180</f>
        <v>0</v>
      </c>
      <c r="R79" s="564">
        <f>Проект!$R$180</f>
        <v>0</v>
      </c>
      <c r="S79" s="564">
        <f>Проект!$S$180</f>
        <v>0</v>
      </c>
      <c r="T79" s="564">
        <f>Проект!$T$180</f>
        <v>0</v>
      </c>
      <c r="U79" s="564">
        <f>Проект!$U$180</f>
        <v>0</v>
      </c>
      <c r="V79" s="564">
        <f>Проект!$V$180</f>
        <v>0</v>
      </c>
      <c r="W79" s="564">
        <f>Проект!$W$180</f>
        <v>0</v>
      </c>
      <c r="X79" s="564">
        <f>Проект!$X$180</f>
        <v>0</v>
      </c>
      <c r="Y79" s="564">
        <f>Проект!$Y$180</f>
        <v>0</v>
      </c>
      <c r="Z79" s="564">
        <f>Проект!$Z$180</f>
        <v>0</v>
      </c>
      <c r="AA79" s="564">
        <f>Проект!$AA$180</f>
        <v>0</v>
      </c>
      <c r="AB79" s="564">
        <f>Проект!$AB$180</f>
        <v>0</v>
      </c>
      <c r="AC79" s="564">
        <f>Проект!$AC$180</f>
        <v>0</v>
      </c>
      <c r="AD79" s="531"/>
      <c r="AE79" s="543">
        <f>Проект!$AE$180</f>
        <v>0</v>
      </c>
    </row>
    <row r="80" spans="1:31" hidden="1" x14ac:dyDescent="0.3">
      <c r="A80" s="531" t="str">
        <f ca="1">Проект!$A$181</f>
        <v xml:space="preserve">         то же, в итоговой валюте</v>
      </c>
      <c r="B80" s="531"/>
      <c r="C80" s="539" t="str">
        <f ca="1">Проект!$C$181</f>
        <v>тыс. EUR</v>
      </c>
      <c r="D80" s="533"/>
      <c r="E80" s="531"/>
      <c r="F80" s="542">
        <f>Проект!$F$181</f>
        <v>0</v>
      </c>
      <c r="G80" s="542">
        <f>Проект!$G$181</f>
        <v>0</v>
      </c>
      <c r="H80" s="542">
        <f>Проект!$H$181</f>
        <v>0</v>
      </c>
      <c r="I80" s="542">
        <f>Проект!$I$181</f>
        <v>0</v>
      </c>
      <c r="J80" s="542">
        <f>Проект!$J$181</f>
        <v>0</v>
      </c>
      <c r="K80" s="542">
        <f>Проект!$K$181</f>
        <v>0</v>
      </c>
      <c r="L80" s="542">
        <f>Проект!$L$181</f>
        <v>0</v>
      </c>
      <c r="M80" s="542">
        <f>Проект!$M$181</f>
        <v>0</v>
      </c>
      <c r="N80" s="542">
        <f>Проект!$N$181</f>
        <v>0</v>
      </c>
      <c r="O80" s="542">
        <f>Проект!$O$181</f>
        <v>0</v>
      </c>
      <c r="P80" s="542">
        <f>Проект!$P$181</f>
        <v>0</v>
      </c>
      <c r="Q80" s="542">
        <f>Проект!$Q$181</f>
        <v>0</v>
      </c>
      <c r="R80" s="542">
        <f>Проект!$R$181</f>
        <v>0</v>
      </c>
      <c r="S80" s="542">
        <f>Проект!$S$181</f>
        <v>0</v>
      </c>
      <c r="T80" s="542">
        <f>Проект!$T$181</f>
        <v>0</v>
      </c>
      <c r="U80" s="542">
        <f>Проект!$U$181</f>
        <v>0</v>
      </c>
      <c r="V80" s="542">
        <f>Проект!$V$181</f>
        <v>0</v>
      </c>
      <c r="W80" s="542">
        <f>Проект!$W$181</f>
        <v>0</v>
      </c>
      <c r="X80" s="542">
        <f>Проект!$X$181</f>
        <v>0</v>
      </c>
      <c r="Y80" s="542">
        <f>Проект!$Y$181</f>
        <v>0</v>
      </c>
      <c r="Z80" s="542">
        <f>Проект!$Z$181</f>
        <v>0</v>
      </c>
      <c r="AA80" s="542">
        <f>Проект!$AA$181</f>
        <v>0</v>
      </c>
      <c r="AB80" s="542">
        <f>Проект!$AB$181</f>
        <v>0</v>
      </c>
      <c r="AC80" s="542">
        <f>Проект!$AC$181</f>
        <v>0</v>
      </c>
      <c r="AD80" s="531"/>
      <c r="AE80" s="543">
        <f>Проект!$AE$181</f>
        <v>0</v>
      </c>
    </row>
    <row r="81" spans="1:31" hidden="1" x14ac:dyDescent="0.3">
      <c r="A81" s="531" t="str">
        <f ca="1">Проект!$A$182</f>
        <v xml:space="preserve">    убытки предыдущих периодов</v>
      </c>
      <c r="B81" s="531"/>
      <c r="C81" s="532" t="str">
        <f ca="1">Проект!$C$182</f>
        <v>тыс. EUR</v>
      </c>
      <c r="D81" s="554" t="str">
        <f>Проект!$D$182</f>
        <v>int_end</v>
      </c>
      <c r="E81" s="531"/>
      <c r="F81" s="551">
        <f>Проект!$F$182</f>
        <v>0</v>
      </c>
      <c r="G81" s="551">
        <f ca="1">Проект!$G$182</f>
        <v>0</v>
      </c>
      <c r="H81" s="551">
        <f ca="1">Проект!$H$182</f>
        <v>0</v>
      </c>
      <c r="I81" s="551">
        <f ca="1">Проект!$I$182</f>
        <v>0</v>
      </c>
      <c r="J81" s="551">
        <f ca="1">Проект!$J$182</f>
        <v>0</v>
      </c>
      <c r="K81" s="551">
        <f ca="1">Проект!$K$182</f>
        <v>-309.35251270876392</v>
      </c>
      <c r="L81" s="551">
        <f ca="1">Проект!$L$182</f>
        <v>-852.07452185621275</v>
      </c>
      <c r="M81" s="551">
        <f ca="1">Проект!$M$182</f>
        <v>-815.26579806644747</v>
      </c>
      <c r="N81" s="551">
        <f ca="1">Проект!$N$182</f>
        <v>-299.38973508517608</v>
      </c>
      <c r="O81" s="551">
        <f ca="1">Проект!$O$182</f>
        <v>0</v>
      </c>
      <c r="P81" s="551">
        <f ca="1">Проект!$P$182</f>
        <v>0</v>
      </c>
      <c r="Q81" s="551">
        <f ca="1">Проект!$Q$182</f>
        <v>0</v>
      </c>
      <c r="R81" s="551">
        <f ca="1">Проект!$R$182</f>
        <v>0</v>
      </c>
      <c r="S81" s="551">
        <f ca="1">Проект!$S$182</f>
        <v>0</v>
      </c>
      <c r="T81" s="551">
        <f ca="1">Проект!$T$182</f>
        <v>0</v>
      </c>
      <c r="U81" s="551">
        <f ca="1">Проект!$U$182</f>
        <v>0</v>
      </c>
      <c r="V81" s="551">
        <f ca="1">Проект!$V$182</f>
        <v>0</v>
      </c>
      <c r="W81" s="551">
        <f ca="1">Проект!$W$182</f>
        <v>0</v>
      </c>
      <c r="X81" s="551">
        <f ca="1">Проект!$X$182</f>
        <v>0</v>
      </c>
      <c r="Y81" s="551">
        <f ca="1">Проект!$Y$182</f>
        <v>0</v>
      </c>
      <c r="Z81" s="551">
        <f ca="1">Проект!$Z$182</f>
        <v>0</v>
      </c>
      <c r="AA81" s="551">
        <f ca="1">Проект!$AA$182</f>
        <v>0</v>
      </c>
      <c r="AB81" s="551">
        <f ca="1">Проект!$AB$182</f>
        <v>0</v>
      </c>
      <c r="AC81" s="551">
        <f ca="1">Проект!$AC$182</f>
        <v>0</v>
      </c>
      <c r="AD81" s="531"/>
      <c r="AE81" s="535"/>
    </row>
    <row r="82" spans="1:31" hidden="1" x14ac:dyDescent="0.3">
      <c r="A82" s="531" t="str">
        <f ca="1">Проект!$A$183</f>
        <v xml:space="preserve">         то же, в итоговой валюте</v>
      </c>
      <c r="B82" s="531"/>
      <c r="C82" s="539" t="str">
        <f ca="1">Проект!$C$183</f>
        <v>тыс. EUR</v>
      </c>
      <c r="D82" s="554" t="str">
        <f>Проект!$D$183</f>
        <v>int_end</v>
      </c>
      <c r="E82" s="531"/>
      <c r="F82" s="551">
        <f>Проект!$F$183</f>
        <v>0</v>
      </c>
      <c r="G82" s="551">
        <f ca="1">Проект!$G$183</f>
        <v>0</v>
      </c>
      <c r="H82" s="551">
        <f ca="1">Проект!$H$183</f>
        <v>0</v>
      </c>
      <c r="I82" s="551">
        <f ca="1">Проект!$I$183</f>
        <v>0</v>
      </c>
      <c r="J82" s="551">
        <f ca="1">Проект!$J$183</f>
        <v>0</v>
      </c>
      <c r="K82" s="551">
        <f ca="1">Проект!$K$183</f>
        <v>-309.35251270876392</v>
      </c>
      <c r="L82" s="551">
        <f ca="1">Проект!$L$183</f>
        <v>-852.07452185621275</v>
      </c>
      <c r="M82" s="551">
        <f ca="1">Проект!$M$183</f>
        <v>-815.26579806644747</v>
      </c>
      <c r="N82" s="551">
        <f ca="1">Проект!$N$183</f>
        <v>-299.38973508517608</v>
      </c>
      <c r="O82" s="551">
        <f ca="1">Проект!$O$183</f>
        <v>0</v>
      </c>
      <c r="P82" s="551">
        <f ca="1">Проект!$P$183</f>
        <v>0</v>
      </c>
      <c r="Q82" s="551">
        <f ca="1">Проект!$Q$183</f>
        <v>0</v>
      </c>
      <c r="R82" s="551">
        <f ca="1">Проект!$R$183</f>
        <v>0</v>
      </c>
      <c r="S82" s="551">
        <f ca="1">Проект!$S$183</f>
        <v>0</v>
      </c>
      <c r="T82" s="551">
        <f ca="1">Проект!$T$183</f>
        <v>0</v>
      </c>
      <c r="U82" s="551">
        <f ca="1">Проект!$U$183</f>
        <v>0</v>
      </c>
      <c r="V82" s="551">
        <f ca="1">Проект!$V$183</f>
        <v>0</v>
      </c>
      <c r="W82" s="551">
        <f ca="1">Проект!$W$183</f>
        <v>0</v>
      </c>
      <c r="X82" s="551">
        <f ca="1">Проект!$X$183</f>
        <v>0</v>
      </c>
      <c r="Y82" s="551">
        <f ca="1">Проект!$Y$183</f>
        <v>0</v>
      </c>
      <c r="Z82" s="551">
        <f ca="1">Проект!$Z$183</f>
        <v>0</v>
      </c>
      <c r="AA82" s="551">
        <f ca="1">Проект!$AA$183</f>
        <v>0</v>
      </c>
      <c r="AB82" s="551">
        <f ca="1">Проект!$AB$183</f>
        <v>0</v>
      </c>
      <c r="AC82" s="551">
        <f ca="1">Проект!$AC$183</f>
        <v>0</v>
      </c>
      <c r="AD82" s="531"/>
      <c r="AE82" s="535"/>
    </row>
    <row r="83" spans="1:31" hidden="1" x14ac:dyDescent="0.3">
      <c r="A83" s="531" t="str">
        <f ca="1">Проект!$A$184</f>
        <v xml:space="preserve">    списано убытков предыдущих лет</v>
      </c>
      <c r="B83" s="531"/>
      <c r="C83" s="532" t="str">
        <f ca="1">Проект!$C$184</f>
        <v>тыс. EUR</v>
      </c>
      <c r="D83" s="533"/>
      <c r="E83" s="531"/>
      <c r="F83" s="551">
        <f ca="1">Проект!$F$184</f>
        <v>0</v>
      </c>
      <c r="G83" s="551">
        <f ca="1">Проект!$G$184</f>
        <v>0</v>
      </c>
      <c r="H83" s="551">
        <f ca="1">Проект!$H$184</f>
        <v>0</v>
      </c>
      <c r="I83" s="551">
        <f ca="1">Проект!$I$184</f>
        <v>0</v>
      </c>
      <c r="J83" s="551">
        <f ca="1">Проект!$J$184</f>
        <v>0</v>
      </c>
      <c r="K83" s="551">
        <f ca="1">Проект!$K$184</f>
        <v>0</v>
      </c>
      <c r="L83" s="551">
        <f ca="1">Проект!$L$184</f>
        <v>-36.808723789765239</v>
      </c>
      <c r="M83" s="551">
        <f ca="1">Проект!$M$184</f>
        <v>-515.87606298127139</v>
      </c>
      <c r="N83" s="551">
        <f ca="1">Проект!$N$184</f>
        <v>-299.38973508517608</v>
      </c>
      <c r="O83" s="551">
        <f ca="1">Проект!$O$184</f>
        <v>0</v>
      </c>
      <c r="P83" s="551">
        <f ca="1">Проект!$P$184</f>
        <v>0</v>
      </c>
      <c r="Q83" s="551">
        <f ca="1">Проект!$Q$184</f>
        <v>0</v>
      </c>
      <c r="R83" s="551">
        <f ca="1">Проект!$R$184</f>
        <v>0</v>
      </c>
      <c r="S83" s="551">
        <f ca="1">Проект!$S$184</f>
        <v>0</v>
      </c>
      <c r="T83" s="551">
        <f ca="1">Проект!$T$184</f>
        <v>0</v>
      </c>
      <c r="U83" s="551">
        <f ca="1">Проект!$U$184</f>
        <v>0</v>
      </c>
      <c r="V83" s="551">
        <f ca="1">Проект!$V$184</f>
        <v>0</v>
      </c>
      <c r="W83" s="551">
        <f ca="1">Проект!$W$184</f>
        <v>0</v>
      </c>
      <c r="X83" s="551">
        <f ca="1">Проект!$X$184</f>
        <v>0</v>
      </c>
      <c r="Y83" s="551">
        <f ca="1">Проект!$Y$184</f>
        <v>0</v>
      </c>
      <c r="Z83" s="551">
        <f ca="1">Проект!$Z$184</f>
        <v>0</v>
      </c>
      <c r="AA83" s="551">
        <f ca="1">Проект!$AA$184</f>
        <v>0</v>
      </c>
      <c r="AB83" s="551">
        <f ca="1">Проект!$AB$184</f>
        <v>0</v>
      </c>
      <c r="AC83" s="551">
        <f ca="1">Проект!$AC$184</f>
        <v>0</v>
      </c>
      <c r="AD83" s="531"/>
      <c r="AE83" s="535"/>
    </row>
    <row r="84" spans="1:31" hidden="1" x14ac:dyDescent="0.3">
      <c r="A84" s="531" t="str">
        <f ca="1">Проект!$A$185</f>
        <v xml:space="preserve">         то же, в итоговой валюте</v>
      </c>
      <c r="B84" s="531"/>
      <c r="C84" s="539" t="str">
        <f ca="1">Проект!$C$185</f>
        <v>тыс. EUR</v>
      </c>
      <c r="D84" s="533"/>
      <c r="E84" s="531"/>
      <c r="F84" s="551">
        <f ca="1">Проект!$F$185</f>
        <v>0</v>
      </c>
      <c r="G84" s="551">
        <f ca="1">Проект!$G$185</f>
        <v>0</v>
      </c>
      <c r="H84" s="551">
        <f ca="1">Проект!$H$185</f>
        <v>0</v>
      </c>
      <c r="I84" s="551">
        <f ca="1">Проект!$I$185</f>
        <v>0</v>
      </c>
      <c r="J84" s="551">
        <f ca="1">Проект!$J$185</f>
        <v>0</v>
      </c>
      <c r="K84" s="551">
        <f ca="1">Проект!$K$185</f>
        <v>0</v>
      </c>
      <c r="L84" s="551">
        <f ca="1">Проект!$L$185</f>
        <v>-36.808723789765239</v>
      </c>
      <c r="M84" s="551">
        <f ca="1">Проект!$M$185</f>
        <v>-515.87606298127139</v>
      </c>
      <c r="N84" s="551">
        <f ca="1">Проект!$N$185</f>
        <v>-299.38973508517608</v>
      </c>
      <c r="O84" s="551">
        <f ca="1">Проект!$O$185</f>
        <v>0</v>
      </c>
      <c r="P84" s="551">
        <f ca="1">Проект!$P$185</f>
        <v>0</v>
      </c>
      <c r="Q84" s="551">
        <f ca="1">Проект!$Q$185</f>
        <v>0</v>
      </c>
      <c r="R84" s="551">
        <f ca="1">Проект!$R$185</f>
        <v>0</v>
      </c>
      <c r="S84" s="551">
        <f ca="1">Проект!$S$185</f>
        <v>0</v>
      </c>
      <c r="T84" s="551">
        <f ca="1">Проект!$T$185</f>
        <v>0</v>
      </c>
      <c r="U84" s="551">
        <f ca="1">Проект!$U$185</f>
        <v>0</v>
      </c>
      <c r="V84" s="551">
        <f ca="1">Проект!$V$185</f>
        <v>0</v>
      </c>
      <c r="W84" s="551">
        <f ca="1">Проект!$W$185</f>
        <v>0</v>
      </c>
      <c r="X84" s="551">
        <f ca="1">Проект!$X$185</f>
        <v>0</v>
      </c>
      <c r="Y84" s="551">
        <f ca="1">Проект!$Y$185</f>
        <v>0</v>
      </c>
      <c r="Z84" s="551">
        <f ca="1">Проект!$Z$185</f>
        <v>0</v>
      </c>
      <c r="AA84" s="551">
        <f ca="1">Проект!$AA$185</f>
        <v>0</v>
      </c>
      <c r="AB84" s="551">
        <f ca="1">Проект!$AB$185</f>
        <v>0</v>
      </c>
      <c r="AC84" s="551">
        <f ca="1">Проект!$AC$185</f>
        <v>0</v>
      </c>
      <c r="AD84" s="531"/>
      <c r="AE84" s="535"/>
    </row>
    <row r="85" spans="1:31" hidden="1" x14ac:dyDescent="0.3">
      <c r="A85" s="531" t="str">
        <f ca="1">Проект!$A$186</f>
        <v xml:space="preserve">    прибыль, на которую начисляется налог</v>
      </c>
      <c r="B85" s="531"/>
      <c r="C85" s="532" t="str">
        <f ca="1">Проект!$C$186</f>
        <v>тыс. EUR</v>
      </c>
      <c r="D85" s="533"/>
      <c r="E85" s="531"/>
      <c r="F85" s="551">
        <f ca="1">Проект!$F$186</f>
        <v>0</v>
      </c>
      <c r="G85" s="551">
        <f ca="1">Проект!$G$186</f>
        <v>0</v>
      </c>
      <c r="H85" s="551">
        <f ca="1">Проект!$H$186</f>
        <v>0</v>
      </c>
      <c r="I85" s="551">
        <f ca="1">Проект!$I$186</f>
        <v>0</v>
      </c>
      <c r="J85" s="551">
        <f ca="1">Проект!$J$186</f>
        <v>0</v>
      </c>
      <c r="K85" s="551">
        <f ca="1">Проект!$K$186</f>
        <v>0</v>
      </c>
      <c r="L85" s="551">
        <f ca="1">Проект!$L$186</f>
        <v>0</v>
      </c>
      <c r="M85" s="551">
        <f ca="1">Проект!$M$186</f>
        <v>0</v>
      </c>
      <c r="N85" s="551">
        <f ca="1">Проект!$N$186</f>
        <v>756.38374875566967</v>
      </c>
      <c r="O85" s="551">
        <f ca="1">Проект!$O$186</f>
        <v>1414.1014526877718</v>
      </c>
      <c r="P85" s="551">
        <f ca="1">Проект!$P$186</f>
        <v>1414.1014526877718</v>
      </c>
      <c r="Q85" s="551">
        <f ca="1">Проект!$Q$186</f>
        <v>1414.1014526877718</v>
      </c>
      <c r="R85" s="551">
        <f ca="1">Проект!$R$186</f>
        <v>1414.1014526877718</v>
      </c>
      <c r="S85" s="551">
        <f ca="1">Проект!$S$186</f>
        <v>1414.1014526877718</v>
      </c>
      <c r="T85" s="551">
        <f ca="1">Проект!$T$186</f>
        <v>1414.1014526877718</v>
      </c>
      <c r="U85" s="551">
        <f ca="1">Проект!$U$186</f>
        <v>1414.1014526877718</v>
      </c>
      <c r="V85" s="551">
        <f ca="1">Проект!$V$186</f>
        <v>1414.1014526877718</v>
      </c>
      <c r="W85" s="551">
        <f ca="1">Проект!$W$186</f>
        <v>1414.1014526877718</v>
      </c>
      <c r="X85" s="551">
        <f ca="1">Проект!$X$186</f>
        <v>1414.1014526877718</v>
      </c>
      <c r="Y85" s="551">
        <f ca="1">Проект!$Y$186</f>
        <v>1414.1014526877718</v>
      </c>
      <c r="Z85" s="551">
        <f ca="1">Проект!$Z$186</f>
        <v>1414.1014526877718</v>
      </c>
      <c r="AA85" s="551">
        <f ca="1">Проект!$AA$186</f>
        <v>1414.1014526877718</v>
      </c>
      <c r="AB85" s="551">
        <f ca="1">Проект!$AB$186</f>
        <v>1414.1014526877718</v>
      </c>
      <c r="AC85" s="551">
        <f ca="1">Проект!$AC$186</f>
        <v>1414.1014526877718</v>
      </c>
      <c r="AD85" s="531"/>
      <c r="AE85" s="535"/>
    </row>
    <row r="86" spans="1:31" hidden="1" x14ac:dyDescent="0.3">
      <c r="A86" s="531" t="str">
        <f ca="1">Проект!$A$187</f>
        <v xml:space="preserve">         то же, в итоговой валюте</v>
      </c>
      <c r="B86" s="531"/>
      <c r="C86" s="539" t="str">
        <f ca="1">Проект!$C$187</f>
        <v>тыс. EUR</v>
      </c>
      <c r="D86" s="533"/>
      <c r="E86" s="531"/>
      <c r="F86" s="551">
        <f ca="1">Проект!$F$187</f>
        <v>0</v>
      </c>
      <c r="G86" s="551">
        <f ca="1">Проект!$G$187</f>
        <v>0</v>
      </c>
      <c r="H86" s="551">
        <f ca="1">Проект!$H$187</f>
        <v>0</v>
      </c>
      <c r="I86" s="551">
        <f ca="1">Проект!$I$187</f>
        <v>0</v>
      </c>
      <c r="J86" s="551">
        <f ca="1">Проект!$J$187</f>
        <v>0</v>
      </c>
      <c r="K86" s="551">
        <f ca="1">Проект!$K$187</f>
        <v>0</v>
      </c>
      <c r="L86" s="551">
        <f ca="1">Проект!$L$187</f>
        <v>0</v>
      </c>
      <c r="M86" s="551">
        <f ca="1">Проект!$M$187</f>
        <v>0</v>
      </c>
      <c r="N86" s="551">
        <f ca="1">Проект!$N$187</f>
        <v>756.38374875566967</v>
      </c>
      <c r="O86" s="551">
        <f ca="1">Проект!$O$187</f>
        <v>1414.1014526877718</v>
      </c>
      <c r="P86" s="551">
        <f ca="1">Проект!$P$187</f>
        <v>1414.1014526877718</v>
      </c>
      <c r="Q86" s="551">
        <f ca="1">Проект!$Q$187</f>
        <v>1414.1014526877718</v>
      </c>
      <c r="R86" s="551">
        <f ca="1">Проект!$R$187</f>
        <v>1414.1014526877718</v>
      </c>
      <c r="S86" s="551">
        <f ca="1">Проект!$S$187</f>
        <v>1414.1014526877718</v>
      </c>
      <c r="T86" s="551">
        <f ca="1">Проект!$T$187</f>
        <v>1414.1014526877718</v>
      </c>
      <c r="U86" s="551">
        <f ca="1">Проект!$U$187</f>
        <v>1414.1014526877718</v>
      </c>
      <c r="V86" s="551">
        <f ca="1">Проект!$V$187</f>
        <v>1414.1014526877718</v>
      </c>
      <c r="W86" s="551">
        <f ca="1">Проект!$W$187</f>
        <v>1414.1014526877718</v>
      </c>
      <c r="X86" s="551">
        <f ca="1">Проект!$X$187</f>
        <v>1414.1014526877718</v>
      </c>
      <c r="Y86" s="551">
        <f ca="1">Проект!$Y$187</f>
        <v>1414.1014526877718</v>
      </c>
      <c r="Z86" s="551">
        <f ca="1">Проект!$Z$187</f>
        <v>1414.1014526877718</v>
      </c>
      <c r="AA86" s="551">
        <f ca="1">Проект!$AA$187</f>
        <v>1414.1014526877718</v>
      </c>
      <c r="AB86" s="551">
        <f ca="1">Проект!$AB$187</f>
        <v>1414.1014526877718</v>
      </c>
      <c r="AC86" s="551">
        <f ca="1">Проект!$AC$187</f>
        <v>1414.1014526877718</v>
      </c>
      <c r="AD86" s="531"/>
      <c r="AE86" s="535"/>
    </row>
    <row r="87" spans="1:31" ht="11.25" customHeight="1" x14ac:dyDescent="0.3">
      <c r="A87" s="531"/>
      <c r="B87" s="531"/>
      <c r="C87" s="532"/>
      <c r="D87" s="533"/>
      <c r="E87" s="531"/>
      <c r="F87" s="534"/>
      <c r="G87" s="534"/>
      <c r="H87" s="534"/>
      <c r="I87" s="534"/>
      <c r="J87" s="534"/>
      <c r="K87" s="534"/>
      <c r="L87" s="534"/>
      <c r="M87" s="534"/>
      <c r="N87" s="534"/>
      <c r="O87" s="534"/>
      <c r="P87" s="534"/>
      <c r="Q87" s="534"/>
      <c r="R87" s="534"/>
      <c r="S87" s="534"/>
      <c r="T87" s="534"/>
      <c r="U87" s="534"/>
      <c r="V87" s="534"/>
      <c r="W87" s="534"/>
      <c r="X87" s="534"/>
      <c r="Y87" s="534"/>
      <c r="Z87" s="534"/>
      <c r="AA87" s="534"/>
      <c r="AB87" s="534"/>
      <c r="AC87" s="534"/>
      <c r="AD87" s="531"/>
      <c r="AE87" s="535"/>
    </row>
    <row r="88" spans="1:31" ht="11.25" customHeight="1" x14ac:dyDescent="0.3">
      <c r="A88" s="544"/>
      <c r="B88" s="544"/>
      <c r="C88" s="545"/>
      <c r="D88" s="546"/>
      <c r="E88" s="544"/>
      <c r="F88" s="547"/>
      <c r="G88" s="547"/>
      <c r="H88" s="547"/>
      <c r="I88" s="547"/>
      <c r="J88" s="547"/>
      <c r="K88" s="547"/>
      <c r="L88" s="547"/>
      <c r="M88" s="547"/>
      <c r="N88" s="547"/>
      <c r="O88" s="547"/>
      <c r="P88" s="547"/>
      <c r="Q88" s="547"/>
      <c r="R88" s="547"/>
      <c r="S88" s="547"/>
      <c r="T88" s="547"/>
      <c r="U88" s="547"/>
      <c r="V88" s="547"/>
      <c r="W88" s="547"/>
      <c r="X88" s="547"/>
      <c r="Y88" s="547"/>
      <c r="Z88" s="547"/>
      <c r="AA88" s="547"/>
      <c r="AB88" s="547"/>
      <c r="AC88" s="547"/>
      <c r="AD88" s="544"/>
      <c r="AE88" s="548"/>
    </row>
    <row r="89" spans="1:31" ht="11.25" customHeight="1" x14ac:dyDescent="0.3">
      <c r="A89" s="555" t="str">
        <f ca="1">Проект!$A$190</f>
        <v>СПЕЦИАЛЬНЫЕ РЕЖИМЫ НАЛОГООБЛОЖЕНИЯ</v>
      </c>
      <c r="B89" s="531"/>
      <c r="C89" s="532"/>
      <c r="D89" s="533"/>
      <c r="E89" s="531"/>
      <c r="F89" s="534"/>
      <c r="G89" s="534"/>
      <c r="H89" s="534"/>
      <c r="I89" s="534"/>
      <c r="J89" s="534"/>
      <c r="K89" s="534"/>
      <c r="L89" s="534"/>
      <c r="M89" s="534"/>
      <c r="N89" s="534"/>
      <c r="O89" s="534"/>
      <c r="P89" s="534"/>
      <c r="Q89" s="534"/>
      <c r="R89" s="534"/>
      <c r="S89" s="534"/>
      <c r="T89" s="534"/>
      <c r="U89" s="534"/>
      <c r="V89" s="534"/>
      <c r="W89" s="534"/>
      <c r="X89" s="534"/>
      <c r="Y89" s="534"/>
      <c r="Z89" s="534"/>
      <c r="AA89" s="534"/>
      <c r="AB89" s="534"/>
      <c r="AC89" s="534"/>
      <c r="AD89" s="531"/>
      <c r="AE89" s="535"/>
    </row>
    <row r="90" spans="1:31" hidden="1" x14ac:dyDescent="0.3">
      <c r="A90" s="544"/>
      <c r="B90" s="544"/>
      <c r="C90" s="545"/>
      <c r="D90" s="546"/>
      <c r="E90" s="544"/>
      <c r="F90" s="547"/>
      <c r="G90" s="547"/>
      <c r="H90" s="547"/>
      <c r="I90" s="547"/>
      <c r="J90" s="547"/>
      <c r="K90" s="547"/>
      <c r="L90" s="547"/>
      <c r="M90" s="547"/>
      <c r="N90" s="547"/>
      <c r="O90" s="547"/>
      <c r="P90" s="547"/>
      <c r="Q90" s="547"/>
      <c r="R90" s="547"/>
      <c r="S90" s="547"/>
      <c r="T90" s="547"/>
      <c r="U90" s="547"/>
      <c r="V90" s="547"/>
      <c r="W90" s="547"/>
      <c r="X90" s="547"/>
      <c r="Y90" s="547"/>
      <c r="Z90" s="547"/>
      <c r="AA90" s="547"/>
      <c r="AB90" s="547"/>
      <c r="AC90" s="547"/>
      <c r="AD90" s="544"/>
      <c r="AE90" s="548"/>
    </row>
    <row r="91" spans="1:31" hidden="1" x14ac:dyDescent="0.3">
      <c r="A91" s="536" t="str">
        <f ca="1">Проект!$A$192</f>
        <v>ЕДИНЫЙ НАЛОГ НА ВМЕНЕННЫЙ ДОХОД</v>
      </c>
      <c r="B91" s="531"/>
      <c r="C91" s="532"/>
      <c r="D91" s="533"/>
      <c r="E91" s="531"/>
      <c r="F91" s="534"/>
      <c r="G91" s="534"/>
      <c r="H91" s="534"/>
      <c r="I91" s="534"/>
      <c r="J91" s="534"/>
      <c r="K91" s="534"/>
      <c r="L91" s="534"/>
      <c r="M91" s="534"/>
      <c r="N91" s="534"/>
      <c r="O91" s="534"/>
      <c r="P91" s="534"/>
      <c r="Q91" s="534"/>
      <c r="R91" s="534"/>
      <c r="S91" s="534"/>
      <c r="T91" s="534"/>
      <c r="U91" s="534"/>
      <c r="V91" s="534"/>
      <c r="W91" s="534"/>
      <c r="X91" s="534"/>
      <c r="Y91" s="534"/>
      <c r="Z91" s="534"/>
      <c r="AA91" s="534"/>
      <c r="AB91" s="534"/>
      <c r="AC91" s="534"/>
      <c r="AD91" s="531"/>
      <c r="AE91" s="535"/>
    </row>
    <row r="92" spans="1:31" hidden="1" x14ac:dyDescent="0.3">
      <c r="A92" s="531"/>
      <c r="B92" s="531"/>
      <c r="C92" s="532"/>
      <c r="D92" s="533"/>
      <c r="E92" s="531"/>
      <c r="F92" s="534"/>
      <c r="G92" s="534"/>
      <c r="H92" s="534"/>
      <c r="I92" s="534"/>
      <c r="J92" s="534"/>
      <c r="K92" s="534"/>
      <c r="L92" s="534"/>
      <c r="M92" s="534"/>
      <c r="N92" s="534"/>
      <c r="O92" s="534"/>
      <c r="P92" s="534"/>
      <c r="Q92" s="534"/>
      <c r="R92" s="534"/>
      <c r="S92" s="534"/>
      <c r="T92" s="534"/>
      <c r="U92" s="534"/>
      <c r="V92" s="534"/>
      <c r="W92" s="534"/>
      <c r="X92" s="534"/>
      <c r="Y92" s="534"/>
      <c r="Z92" s="534"/>
      <c r="AA92" s="534"/>
      <c r="AB92" s="534"/>
      <c r="AC92" s="534"/>
      <c r="AD92" s="531"/>
      <c r="AE92" s="535"/>
    </row>
    <row r="93" spans="1:31" hidden="1" x14ac:dyDescent="0.3">
      <c r="A93" s="531" t="str">
        <f ca="1">Проект!$A$194</f>
        <v xml:space="preserve">    ставка</v>
      </c>
      <c r="B93" s="549">
        <f>Проект!$B$194</f>
        <v>0</v>
      </c>
      <c r="C93" s="532" t="str">
        <f>Проект!$C$194</f>
        <v>%</v>
      </c>
      <c r="D93" s="554" t="str">
        <f>Проект!$D$194</f>
        <v>int_avg</v>
      </c>
      <c r="E93" s="531"/>
      <c r="F93" s="534">
        <f>Проект!$F$194</f>
        <v>0</v>
      </c>
      <c r="G93" s="534">
        <f>Проект!$G$194</f>
        <v>0</v>
      </c>
      <c r="H93" s="534">
        <f>Проект!$H$194</f>
        <v>0</v>
      </c>
      <c r="I93" s="534">
        <f>Проект!$I$194</f>
        <v>0</v>
      </c>
      <c r="J93" s="534">
        <f>Проект!$J$194</f>
        <v>0</v>
      </c>
      <c r="K93" s="534">
        <f>Проект!$K$194</f>
        <v>0</v>
      </c>
      <c r="L93" s="534">
        <f>Проект!$L$194</f>
        <v>0</v>
      </c>
      <c r="M93" s="534">
        <f>Проект!$M$194</f>
        <v>0</v>
      </c>
      <c r="N93" s="534">
        <f>Проект!$N$194</f>
        <v>0</v>
      </c>
      <c r="O93" s="534">
        <f>Проект!$O$194</f>
        <v>0</v>
      </c>
      <c r="P93" s="534">
        <f>Проект!$P$194</f>
        <v>0</v>
      </c>
      <c r="Q93" s="534">
        <f>Проект!$Q$194</f>
        <v>0</v>
      </c>
      <c r="R93" s="534">
        <f>Проект!$R$194</f>
        <v>0</v>
      </c>
      <c r="S93" s="534">
        <f>Проект!$S$194</f>
        <v>0</v>
      </c>
      <c r="T93" s="534">
        <f>Проект!$T$194</f>
        <v>0</v>
      </c>
      <c r="U93" s="534">
        <f>Проект!$U$194</f>
        <v>0</v>
      </c>
      <c r="V93" s="534">
        <f>Проект!$V$194</f>
        <v>0</v>
      </c>
      <c r="W93" s="534">
        <f>Проект!$W$194</f>
        <v>0</v>
      </c>
      <c r="X93" s="534">
        <f>Проект!$X$194</f>
        <v>0</v>
      </c>
      <c r="Y93" s="534">
        <f>Проект!$Y$194</f>
        <v>0</v>
      </c>
      <c r="Z93" s="534">
        <f>Проект!$Z$194</f>
        <v>0</v>
      </c>
      <c r="AA93" s="534">
        <f>Проект!$AA$194</f>
        <v>0</v>
      </c>
      <c r="AB93" s="534">
        <f>Проект!$AB$194</f>
        <v>0</v>
      </c>
      <c r="AC93" s="534">
        <f>Проект!$AC$194</f>
        <v>0</v>
      </c>
      <c r="AD93" s="531"/>
      <c r="AE93" s="535"/>
    </row>
    <row r="94" spans="1:31" hidden="1" x14ac:dyDescent="0.3">
      <c r="A94" s="531" t="str">
        <f ca="1">Проект!$A$195</f>
        <v xml:space="preserve">    период уплаты</v>
      </c>
      <c r="B94" s="541">
        <f>Проект!$B$195</f>
        <v>90</v>
      </c>
      <c r="C94" s="532" t="str">
        <f ca="1">Проект!$C$195</f>
        <v>дней</v>
      </c>
      <c r="D94" s="554"/>
      <c r="E94" s="531"/>
      <c r="F94" s="534"/>
      <c r="G94" s="534"/>
      <c r="H94" s="534"/>
      <c r="I94" s="534"/>
      <c r="J94" s="534"/>
      <c r="K94" s="534"/>
      <c r="L94" s="534"/>
      <c r="M94" s="534"/>
      <c r="N94" s="534"/>
      <c r="O94" s="534"/>
      <c r="P94" s="534"/>
      <c r="Q94" s="534"/>
      <c r="R94" s="534"/>
      <c r="S94" s="534"/>
      <c r="T94" s="534"/>
      <c r="U94" s="534"/>
      <c r="V94" s="534"/>
      <c r="W94" s="534"/>
      <c r="X94" s="534"/>
      <c r="Y94" s="534"/>
      <c r="Z94" s="534"/>
      <c r="AA94" s="534"/>
      <c r="AB94" s="534"/>
      <c r="AC94" s="534"/>
      <c r="AD94" s="531"/>
      <c r="AE94" s="535"/>
    </row>
    <row r="95" spans="1:31" hidden="1" x14ac:dyDescent="0.3">
      <c r="A95" s="531" t="str">
        <f ca="1">Проект!$A$196</f>
        <v>Физический показатель доходности</v>
      </c>
      <c r="B95" s="566">
        <f>Проект!$B$196</f>
        <v>0</v>
      </c>
      <c r="C95" s="550" t="str">
        <f ca="1">Проект!$C$196</f>
        <v>ед.</v>
      </c>
      <c r="D95" s="533"/>
      <c r="E95" s="531"/>
      <c r="F95" s="564">
        <f>Проект!$F$196</f>
        <v>0</v>
      </c>
      <c r="G95" s="564">
        <f>Проект!$G$196</f>
        <v>0</v>
      </c>
      <c r="H95" s="564">
        <f>Проект!$H$196</f>
        <v>0</v>
      </c>
      <c r="I95" s="564">
        <f>Проект!$I$196</f>
        <v>0</v>
      </c>
      <c r="J95" s="564">
        <f>Проект!$J$196</f>
        <v>0</v>
      </c>
      <c r="K95" s="564">
        <f>Проект!$K$196</f>
        <v>0</v>
      </c>
      <c r="L95" s="564">
        <f>Проект!$L$196</f>
        <v>0</v>
      </c>
      <c r="M95" s="564">
        <f>Проект!$M$196</f>
        <v>0</v>
      </c>
      <c r="N95" s="564">
        <f>Проект!$N$196</f>
        <v>0</v>
      </c>
      <c r="O95" s="564">
        <f>Проект!$O$196</f>
        <v>0</v>
      </c>
      <c r="P95" s="564">
        <f>Проект!$P$196</f>
        <v>0</v>
      </c>
      <c r="Q95" s="564">
        <f>Проект!$Q$196</f>
        <v>0</v>
      </c>
      <c r="R95" s="564">
        <f>Проект!$R$196</f>
        <v>0</v>
      </c>
      <c r="S95" s="564">
        <f>Проект!$S$196</f>
        <v>0</v>
      </c>
      <c r="T95" s="564">
        <f>Проект!$T$196</f>
        <v>0</v>
      </c>
      <c r="U95" s="564">
        <f>Проект!$U$196</f>
        <v>0</v>
      </c>
      <c r="V95" s="564">
        <f>Проект!$V$196</f>
        <v>0</v>
      </c>
      <c r="W95" s="564">
        <f>Проект!$W$196</f>
        <v>0</v>
      </c>
      <c r="X95" s="564">
        <f>Проект!$X$196</f>
        <v>0</v>
      </c>
      <c r="Y95" s="564">
        <f>Проект!$Y$196</f>
        <v>0</v>
      </c>
      <c r="Z95" s="564">
        <f>Проект!$Z$196</f>
        <v>0</v>
      </c>
      <c r="AA95" s="564">
        <f>Проект!$AA$196</f>
        <v>0</v>
      </c>
      <c r="AB95" s="564">
        <f>Проект!$AB$196</f>
        <v>0</v>
      </c>
      <c r="AC95" s="564">
        <f>Проект!$AC$196</f>
        <v>0</v>
      </c>
      <c r="AD95" s="531"/>
      <c r="AE95" s="535"/>
    </row>
    <row r="96" spans="1:31" hidden="1" x14ac:dyDescent="0.3">
      <c r="A96" s="531" t="str">
        <f ca="1">Проект!$A$197</f>
        <v>Базовая доходность</v>
      </c>
      <c r="B96" s="566">
        <f>Проект!$B$197</f>
        <v>0</v>
      </c>
      <c r="C96" s="532" t="str">
        <f ca="1">Проект!$C$197</f>
        <v>тыс. EUR / ед.</v>
      </c>
      <c r="D96" s="533"/>
      <c r="E96" s="531"/>
      <c r="F96" s="542">
        <f>Проект!$F$197</f>
        <v>0</v>
      </c>
      <c r="G96" s="542">
        <f>Проект!$G$197</f>
        <v>0</v>
      </c>
      <c r="H96" s="542">
        <f>Проект!$H$197</f>
        <v>0</v>
      </c>
      <c r="I96" s="542">
        <f>Проект!$I$197</f>
        <v>0</v>
      </c>
      <c r="J96" s="542">
        <f>Проект!$J$197</f>
        <v>0</v>
      </c>
      <c r="K96" s="542">
        <f>Проект!$K$197</f>
        <v>0</v>
      </c>
      <c r="L96" s="542">
        <f>Проект!$L$197</f>
        <v>0</v>
      </c>
      <c r="M96" s="542">
        <f>Проект!$M$197</f>
        <v>0</v>
      </c>
      <c r="N96" s="542">
        <f>Проект!$N$197</f>
        <v>0</v>
      </c>
      <c r="O96" s="542">
        <f>Проект!$O$197</f>
        <v>0</v>
      </c>
      <c r="P96" s="542">
        <f>Проект!$P$197</f>
        <v>0</v>
      </c>
      <c r="Q96" s="542">
        <f>Проект!$Q$197</f>
        <v>0</v>
      </c>
      <c r="R96" s="542">
        <f>Проект!$R$197</f>
        <v>0</v>
      </c>
      <c r="S96" s="542">
        <f>Проект!$S$197</f>
        <v>0</v>
      </c>
      <c r="T96" s="542">
        <f>Проект!$T$197</f>
        <v>0</v>
      </c>
      <c r="U96" s="542">
        <f>Проект!$U$197</f>
        <v>0</v>
      </c>
      <c r="V96" s="542">
        <f>Проект!$V$197</f>
        <v>0</v>
      </c>
      <c r="W96" s="542">
        <f>Проект!$W$197</f>
        <v>0</v>
      </c>
      <c r="X96" s="542">
        <f>Проект!$X$197</f>
        <v>0</v>
      </c>
      <c r="Y96" s="542">
        <f>Проект!$Y$197</f>
        <v>0</v>
      </c>
      <c r="Z96" s="542">
        <f>Проект!$Z$197</f>
        <v>0</v>
      </c>
      <c r="AA96" s="542">
        <f>Проект!$AA$197</f>
        <v>0</v>
      </c>
      <c r="AB96" s="542">
        <f>Проект!$AB$197</f>
        <v>0</v>
      </c>
      <c r="AC96" s="542">
        <f>Проект!$AC$197</f>
        <v>0</v>
      </c>
      <c r="AD96" s="531"/>
      <c r="AE96" s="535"/>
    </row>
    <row r="97" spans="1:31" hidden="1" x14ac:dyDescent="0.3">
      <c r="A97" s="531" t="str">
        <f ca="1">Проект!$A$198</f>
        <v>Коэффициент-дефлятор К1</v>
      </c>
      <c r="B97" s="567">
        <f>Проект!$B$198</f>
        <v>1</v>
      </c>
      <c r="C97" s="532" t="str">
        <f ca="1">Проект!$C$198</f>
        <v>разы</v>
      </c>
      <c r="D97" s="533"/>
      <c r="E97" s="531"/>
      <c r="F97" s="568">
        <f>Проект!$F$198</f>
        <v>1</v>
      </c>
      <c r="G97" s="568">
        <f>Проект!$G$198</f>
        <v>1</v>
      </c>
      <c r="H97" s="568">
        <f>Проект!$H$198</f>
        <v>1</v>
      </c>
      <c r="I97" s="568">
        <f>Проект!$I$198</f>
        <v>1</v>
      </c>
      <c r="J97" s="568">
        <f>Проект!$J$198</f>
        <v>1</v>
      </c>
      <c r="K97" s="568">
        <f>Проект!$K$198</f>
        <v>1</v>
      </c>
      <c r="L97" s="568">
        <f>Проект!$L$198</f>
        <v>1</v>
      </c>
      <c r="M97" s="568">
        <f>Проект!$M$198</f>
        <v>1</v>
      </c>
      <c r="N97" s="568">
        <f>Проект!$N$198</f>
        <v>1</v>
      </c>
      <c r="O97" s="568">
        <f>Проект!$O$198</f>
        <v>1</v>
      </c>
      <c r="P97" s="568">
        <f>Проект!$P$198</f>
        <v>1</v>
      </c>
      <c r="Q97" s="568">
        <f>Проект!$Q$198</f>
        <v>1</v>
      </c>
      <c r="R97" s="568">
        <f>Проект!$R$198</f>
        <v>1</v>
      </c>
      <c r="S97" s="568">
        <f>Проект!$S$198</f>
        <v>1</v>
      </c>
      <c r="T97" s="568">
        <f>Проект!$T$198</f>
        <v>1</v>
      </c>
      <c r="U97" s="568">
        <f>Проект!$U$198</f>
        <v>1</v>
      </c>
      <c r="V97" s="568">
        <f>Проект!$V$198</f>
        <v>1</v>
      </c>
      <c r="W97" s="568">
        <f>Проект!$W$198</f>
        <v>1</v>
      </c>
      <c r="X97" s="568">
        <f>Проект!$X$198</f>
        <v>1</v>
      </c>
      <c r="Y97" s="568">
        <f>Проект!$Y$198</f>
        <v>1</v>
      </c>
      <c r="Z97" s="568">
        <f>Проект!$Z$198</f>
        <v>1</v>
      </c>
      <c r="AA97" s="568">
        <f>Проект!$AA$198</f>
        <v>1</v>
      </c>
      <c r="AB97" s="568">
        <f>Проект!$AB$198</f>
        <v>1</v>
      </c>
      <c r="AC97" s="568">
        <f>Проект!$AC$198</f>
        <v>1</v>
      </c>
      <c r="AD97" s="531"/>
      <c r="AE97" s="535"/>
    </row>
    <row r="98" spans="1:31" hidden="1" x14ac:dyDescent="0.3">
      <c r="A98" s="531" t="str">
        <f ca="1">Проект!$A$199</f>
        <v>Корректирующий коэффициент К2</v>
      </c>
      <c r="B98" s="567">
        <f>Проект!$B$199</f>
        <v>1</v>
      </c>
      <c r="C98" s="532" t="str">
        <f ca="1">Проект!$C$199</f>
        <v>разы</v>
      </c>
      <c r="D98" s="533"/>
      <c r="E98" s="531"/>
      <c r="F98" s="568">
        <f>Проект!$F$199</f>
        <v>1</v>
      </c>
      <c r="G98" s="568">
        <f>Проект!$G$199</f>
        <v>1</v>
      </c>
      <c r="H98" s="568">
        <f>Проект!$H$199</f>
        <v>1</v>
      </c>
      <c r="I98" s="568">
        <f>Проект!$I$199</f>
        <v>1</v>
      </c>
      <c r="J98" s="568">
        <f>Проект!$J$199</f>
        <v>1</v>
      </c>
      <c r="K98" s="568">
        <f>Проект!$K$199</f>
        <v>1</v>
      </c>
      <c r="L98" s="568">
        <f>Проект!$L$199</f>
        <v>1</v>
      </c>
      <c r="M98" s="568">
        <f>Проект!$M$199</f>
        <v>1</v>
      </c>
      <c r="N98" s="568">
        <f>Проект!$N$199</f>
        <v>1</v>
      </c>
      <c r="O98" s="568">
        <f>Проект!$O$199</f>
        <v>1</v>
      </c>
      <c r="P98" s="568">
        <f>Проект!$P$199</f>
        <v>1</v>
      </c>
      <c r="Q98" s="568">
        <f>Проект!$Q$199</f>
        <v>1</v>
      </c>
      <c r="R98" s="568">
        <f>Проект!$R$199</f>
        <v>1</v>
      </c>
      <c r="S98" s="568">
        <f>Проект!$S$199</f>
        <v>1</v>
      </c>
      <c r="T98" s="568">
        <f>Проект!$T$199</f>
        <v>1</v>
      </c>
      <c r="U98" s="568">
        <f>Проект!$U$199</f>
        <v>1</v>
      </c>
      <c r="V98" s="568">
        <f>Проект!$V$199</f>
        <v>1</v>
      </c>
      <c r="W98" s="568">
        <f>Проект!$W$199</f>
        <v>1</v>
      </c>
      <c r="X98" s="568">
        <f>Проект!$X$199</f>
        <v>1</v>
      </c>
      <c r="Y98" s="568">
        <f>Проект!$Y$199</f>
        <v>1</v>
      </c>
      <c r="Z98" s="568">
        <f>Проект!$Z$199</f>
        <v>1</v>
      </c>
      <c r="AA98" s="568">
        <f>Проект!$AA$199</f>
        <v>1</v>
      </c>
      <c r="AB98" s="568">
        <f>Проект!$AB$199</f>
        <v>1</v>
      </c>
      <c r="AC98" s="568">
        <f>Проект!$AC$199</f>
        <v>1</v>
      </c>
      <c r="AD98" s="531"/>
      <c r="AE98" s="535"/>
    </row>
    <row r="99" spans="1:31" hidden="1" x14ac:dyDescent="0.3">
      <c r="A99" s="536" t="str">
        <f ca="1">Проект!$A$200</f>
        <v>Начисленный налог на вмененный доход</v>
      </c>
      <c r="B99" s="531"/>
      <c r="C99" s="532" t="str">
        <f ca="1">Проект!$C$200</f>
        <v>тыс. EUR</v>
      </c>
      <c r="D99" s="533"/>
      <c r="E99" s="531"/>
      <c r="F99" s="556">
        <f>Проект!$F$200</f>
        <v>0</v>
      </c>
      <c r="G99" s="556">
        <f>Проект!$G$200</f>
        <v>0</v>
      </c>
      <c r="H99" s="556">
        <f>Проект!$H$200</f>
        <v>0</v>
      </c>
      <c r="I99" s="556">
        <f>Проект!$I$200</f>
        <v>0</v>
      </c>
      <c r="J99" s="556">
        <f>Проект!$J$200</f>
        <v>0</v>
      </c>
      <c r="K99" s="556">
        <f>Проект!$K$200</f>
        <v>0</v>
      </c>
      <c r="L99" s="556">
        <f>Проект!$L$200</f>
        <v>0</v>
      </c>
      <c r="M99" s="556">
        <f>Проект!$M$200</f>
        <v>0</v>
      </c>
      <c r="N99" s="556">
        <f>Проект!$N$200</f>
        <v>0</v>
      </c>
      <c r="O99" s="556">
        <f>Проект!$O$200</f>
        <v>0</v>
      </c>
      <c r="P99" s="556">
        <f>Проект!$P$200</f>
        <v>0</v>
      </c>
      <c r="Q99" s="556">
        <f>Проект!$Q$200</f>
        <v>0</v>
      </c>
      <c r="R99" s="556">
        <f>Проект!$R$200</f>
        <v>0</v>
      </c>
      <c r="S99" s="556">
        <f>Проект!$S$200</f>
        <v>0</v>
      </c>
      <c r="T99" s="556">
        <f>Проект!$T$200</f>
        <v>0</v>
      </c>
      <c r="U99" s="556">
        <f>Проект!$U$200</f>
        <v>0</v>
      </c>
      <c r="V99" s="556">
        <f>Проект!$V$200</f>
        <v>0</v>
      </c>
      <c r="W99" s="556">
        <f>Проект!$W$200</f>
        <v>0</v>
      </c>
      <c r="X99" s="556">
        <f>Проект!$X$200</f>
        <v>0</v>
      </c>
      <c r="Y99" s="556">
        <f>Проект!$Y$200</f>
        <v>0</v>
      </c>
      <c r="Z99" s="556">
        <f>Проект!$Z$200</f>
        <v>0</v>
      </c>
      <c r="AA99" s="556">
        <f>Проект!$AA$200</f>
        <v>0</v>
      </c>
      <c r="AB99" s="556">
        <f>Проект!$AB$200</f>
        <v>0</v>
      </c>
      <c r="AC99" s="556">
        <f>Проект!$AC$200</f>
        <v>0</v>
      </c>
      <c r="AD99" s="531"/>
      <c r="AE99" s="553">
        <f>Проект!$AE$200</f>
        <v>0</v>
      </c>
    </row>
    <row r="100" spans="1:31" hidden="1" x14ac:dyDescent="0.3">
      <c r="A100" s="555" t="str">
        <f ca="1">Проект!$A$201</f>
        <v xml:space="preserve">         то же, в итоговой валюте</v>
      </c>
      <c r="B100" s="531"/>
      <c r="C100" s="539" t="str">
        <f ca="1">Проект!$C$201</f>
        <v>тыс. EUR</v>
      </c>
      <c r="D100" s="533"/>
      <c r="E100" s="531"/>
      <c r="F100" s="551">
        <f>Проект!$F$201</f>
        <v>0</v>
      </c>
      <c r="G100" s="551">
        <f>Проект!$G$201</f>
        <v>0</v>
      </c>
      <c r="H100" s="551">
        <f>Проект!$H$201</f>
        <v>0</v>
      </c>
      <c r="I100" s="551">
        <f>Проект!$I$201</f>
        <v>0</v>
      </c>
      <c r="J100" s="551">
        <f>Проект!$J$201</f>
        <v>0</v>
      </c>
      <c r="K100" s="551">
        <f>Проект!$K$201</f>
        <v>0</v>
      </c>
      <c r="L100" s="551">
        <f>Проект!$L$201</f>
        <v>0</v>
      </c>
      <c r="M100" s="551">
        <f>Проект!$M$201</f>
        <v>0</v>
      </c>
      <c r="N100" s="551">
        <f>Проект!$N$201</f>
        <v>0</v>
      </c>
      <c r="O100" s="551">
        <f>Проект!$O$201</f>
        <v>0</v>
      </c>
      <c r="P100" s="551">
        <f>Проект!$P$201</f>
        <v>0</v>
      </c>
      <c r="Q100" s="551">
        <f>Проект!$Q$201</f>
        <v>0</v>
      </c>
      <c r="R100" s="551">
        <f>Проект!$R$201</f>
        <v>0</v>
      </c>
      <c r="S100" s="551">
        <f>Проект!$S$201</f>
        <v>0</v>
      </c>
      <c r="T100" s="551">
        <f>Проект!$T$201</f>
        <v>0</v>
      </c>
      <c r="U100" s="551">
        <f>Проект!$U$201</f>
        <v>0</v>
      </c>
      <c r="V100" s="551">
        <f>Проект!$V$201</f>
        <v>0</v>
      </c>
      <c r="W100" s="551">
        <f>Проект!$W$201</f>
        <v>0</v>
      </c>
      <c r="X100" s="551">
        <f>Проект!$X$201</f>
        <v>0</v>
      </c>
      <c r="Y100" s="551">
        <f>Проект!$Y$201</f>
        <v>0</v>
      </c>
      <c r="Z100" s="551">
        <f>Проект!$Z$201</f>
        <v>0</v>
      </c>
      <c r="AA100" s="551">
        <f>Проект!$AA$201</f>
        <v>0</v>
      </c>
      <c r="AB100" s="551">
        <f>Проект!$AB$201</f>
        <v>0</v>
      </c>
      <c r="AC100" s="551">
        <f>Проект!$AC$201</f>
        <v>0</v>
      </c>
      <c r="AD100" s="531"/>
      <c r="AE100" s="543">
        <f>Проект!$AE$201</f>
        <v>0</v>
      </c>
    </row>
    <row r="101" spans="1:31" hidden="1" x14ac:dyDescent="0.3">
      <c r="A101" s="531" t="str">
        <f ca="1">Проект!$A$202</f>
        <v>Величина вмененного дохода</v>
      </c>
      <c r="B101" s="531"/>
      <c r="C101" s="532" t="str">
        <f ca="1">Проект!$C$202</f>
        <v>тыс. EUR</v>
      </c>
      <c r="D101" s="533"/>
      <c r="E101" s="531"/>
      <c r="F101" s="542">
        <f>Проект!$F$202</f>
        <v>0</v>
      </c>
      <c r="G101" s="542">
        <f>Проект!$G$202</f>
        <v>0</v>
      </c>
      <c r="H101" s="542">
        <f>Проект!$H$202</f>
        <v>0</v>
      </c>
      <c r="I101" s="542">
        <f>Проект!$I$202</f>
        <v>0</v>
      </c>
      <c r="J101" s="542">
        <f>Проект!$J$202</f>
        <v>0</v>
      </c>
      <c r="K101" s="542">
        <f>Проект!$K$202</f>
        <v>0</v>
      </c>
      <c r="L101" s="542">
        <f>Проект!$L$202</f>
        <v>0</v>
      </c>
      <c r="M101" s="542">
        <f>Проект!$M$202</f>
        <v>0</v>
      </c>
      <c r="N101" s="542">
        <f>Проект!$N$202</f>
        <v>0</v>
      </c>
      <c r="O101" s="542">
        <f>Проект!$O$202</f>
        <v>0</v>
      </c>
      <c r="P101" s="542">
        <f>Проект!$P$202</f>
        <v>0</v>
      </c>
      <c r="Q101" s="542">
        <f>Проект!$Q$202</f>
        <v>0</v>
      </c>
      <c r="R101" s="542">
        <f>Проект!$R$202</f>
        <v>0</v>
      </c>
      <c r="S101" s="542">
        <f>Проект!$S$202</f>
        <v>0</v>
      </c>
      <c r="T101" s="542">
        <f>Проект!$T$202</f>
        <v>0</v>
      </c>
      <c r="U101" s="542">
        <f>Проект!$U$202</f>
        <v>0</v>
      </c>
      <c r="V101" s="542">
        <f>Проект!$V$202</f>
        <v>0</v>
      </c>
      <c r="W101" s="542">
        <f>Проект!$W$202</f>
        <v>0</v>
      </c>
      <c r="X101" s="542">
        <f>Проект!$X$202</f>
        <v>0</v>
      </c>
      <c r="Y101" s="542">
        <f>Проект!$Y$202</f>
        <v>0</v>
      </c>
      <c r="Z101" s="542">
        <f>Проект!$Z$202</f>
        <v>0</v>
      </c>
      <c r="AA101" s="542">
        <f>Проект!$AA$202</f>
        <v>0</v>
      </c>
      <c r="AB101" s="542">
        <f>Проект!$AB$202</f>
        <v>0</v>
      </c>
      <c r="AC101" s="542">
        <f>Проект!$AC$202</f>
        <v>0</v>
      </c>
      <c r="AD101" s="531"/>
      <c r="AE101" s="543">
        <f>Проект!$AE$202</f>
        <v>0</v>
      </c>
    </row>
    <row r="102" spans="1:31" hidden="1" x14ac:dyDescent="0.3">
      <c r="A102" s="536" t="str">
        <f ca="1">Проект!$A$203</f>
        <v>Взносы на обязательное пенсионное страхование</v>
      </c>
      <c r="B102" s="531"/>
      <c r="C102" s="532" t="str">
        <f ca="1">Проект!$C$203</f>
        <v>тыс. EUR</v>
      </c>
      <c r="D102" s="533"/>
      <c r="E102" s="531"/>
      <c r="F102" s="556">
        <f>Проект!$F$203</f>
        <v>0</v>
      </c>
      <c r="G102" s="556">
        <f>Проект!$G$203</f>
        <v>0</v>
      </c>
      <c r="H102" s="556">
        <f>Проект!$H$203</f>
        <v>0</v>
      </c>
      <c r="I102" s="556">
        <f>Проект!$I$203</f>
        <v>0</v>
      </c>
      <c r="J102" s="556">
        <f>Проект!$J$203</f>
        <v>0</v>
      </c>
      <c r="K102" s="556">
        <f>Проект!$K$203</f>
        <v>0</v>
      </c>
      <c r="L102" s="556">
        <f>Проект!$L$203</f>
        <v>0</v>
      </c>
      <c r="M102" s="556">
        <f>Проект!$M$203</f>
        <v>0</v>
      </c>
      <c r="N102" s="556">
        <f>Проект!$N$203</f>
        <v>0</v>
      </c>
      <c r="O102" s="556">
        <f>Проект!$O$203</f>
        <v>0</v>
      </c>
      <c r="P102" s="556">
        <f>Проект!$P$203</f>
        <v>0</v>
      </c>
      <c r="Q102" s="556">
        <f>Проект!$Q$203</f>
        <v>0</v>
      </c>
      <c r="R102" s="556">
        <f>Проект!$R$203</f>
        <v>0</v>
      </c>
      <c r="S102" s="556">
        <f>Проект!$S$203</f>
        <v>0</v>
      </c>
      <c r="T102" s="556">
        <f>Проект!$T$203</f>
        <v>0</v>
      </c>
      <c r="U102" s="556">
        <f>Проект!$U$203</f>
        <v>0</v>
      </c>
      <c r="V102" s="556">
        <f>Проект!$V$203</f>
        <v>0</v>
      </c>
      <c r="W102" s="556">
        <f>Проект!$W$203</f>
        <v>0</v>
      </c>
      <c r="X102" s="556">
        <f>Проект!$X$203</f>
        <v>0</v>
      </c>
      <c r="Y102" s="556">
        <f>Проект!$Y$203</f>
        <v>0</v>
      </c>
      <c r="Z102" s="556">
        <f>Проект!$Z$203</f>
        <v>0</v>
      </c>
      <c r="AA102" s="556">
        <f>Проект!$AA$203</f>
        <v>0</v>
      </c>
      <c r="AB102" s="556">
        <f>Проект!$AB$203</f>
        <v>0</v>
      </c>
      <c r="AC102" s="556">
        <f>Проект!$AC$203</f>
        <v>0</v>
      </c>
      <c r="AD102" s="536"/>
      <c r="AE102" s="553">
        <f>Проект!$AE$203</f>
        <v>0</v>
      </c>
    </row>
    <row r="103" spans="1:31" hidden="1" x14ac:dyDescent="0.3">
      <c r="A103" s="531" t="str">
        <f ca="1">Проект!$A$204</f>
        <v xml:space="preserve">    ставка</v>
      </c>
      <c r="B103" s="549">
        <f>Проект!$B$204</f>
        <v>0</v>
      </c>
      <c r="C103" s="532" t="str">
        <f>Проект!$C$204</f>
        <v>%</v>
      </c>
      <c r="D103" s="554" t="str">
        <f>Проект!$D$204</f>
        <v>int_avg</v>
      </c>
      <c r="E103" s="531"/>
      <c r="F103" s="534">
        <f>Проект!$F$204</f>
        <v>0</v>
      </c>
      <c r="G103" s="534">
        <f>Проект!$G$204</f>
        <v>0</v>
      </c>
      <c r="H103" s="534">
        <f>Проект!$H$204</f>
        <v>0</v>
      </c>
      <c r="I103" s="534">
        <f>Проект!$I$204</f>
        <v>0</v>
      </c>
      <c r="J103" s="534">
        <f>Проект!$J$204</f>
        <v>0</v>
      </c>
      <c r="K103" s="534">
        <f>Проект!$K$204</f>
        <v>0</v>
      </c>
      <c r="L103" s="534">
        <f>Проект!$L$204</f>
        <v>0</v>
      </c>
      <c r="M103" s="534">
        <f>Проект!$M$204</f>
        <v>0</v>
      </c>
      <c r="N103" s="534">
        <f>Проект!$N$204</f>
        <v>0</v>
      </c>
      <c r="O103" s="534">
        <f>Проект!$O$204</f>
        <v>0</v>
      </c>
      <c r="P103" s="534">
        <f>Проект!$P$204</f>
        <v>0</v>
      </c>
      <c r="Q103" s="534">
        <f>Проект!$Q$204</f>
        <v>0</v>
      </c>
      <c r="R103" s="534">
        <f>Проект!$R$204</f>
        <v>0</v>
      </c>
      <c r="S103" s="534">
        <f>Проект!$S$204</f>
        <v>0</v>
      </c>
      <c r="T103" s="534">
        <f>Проект!$T$204</f>
        <v>0</v>
      </c>
      <c r="U103" s="534">
        <f>Проект!$U$204</f>
        <v>0</v>
      </c>
      <c r="V103" s="534">
        <f>Проект!$V$204</f>
        <v>0</v>
      </c>
      <c r="W103" s="534">
        <f>Проект!$W$204</f>
        <v>0</v>
      </c>
      <c r="X103" s="534">
        <f>Проект!$X$204</f>
        <v>0</v>
      </c>
      <c r="Y103" s="534">
        <f>Проект!$Y$204</f>
        <v>0</v>
      </c>
      <c r="Z103" s="534">
        <f>Проект!$Z$204</f>
        <v>0</v>
      </c>
      <c r="AA103" s="534">
        <f>Проект!$AA$204</f>
        <v>0</v>
      </c>
      <c r="AB103" s="534">
        <f>Проект!$AB$204</f>
        <v>0</v>
      </c>
      <c r="AC103" s="534">
        <f>Проект!$AC$204</f>
        <v>0</v>
      </c>
      <c r="AD103" s="531"/>
      <c r="AE103" s="535"/>
    </row>
    <row r="104" spans="1:31" hidden="1" x14ac:dyDescent="0.3">
      <c r="A104" s="531" t="str">
        <f ca="1">Проект!$A$205</f>
        <v xml:space="preserve">    период уплаты</v>
      </c>
      <c r="B104" s="541">
        <f>Проект!$B$205</f>
        <v>90</v>
      </c>
      <c r="C104" s="532" t="str">
        <f ca="1">Проект!$C$205</f>
        <v>дней</v>
      </c>
      <c r="D104" s="554"/>
      <c r="E104" s="531"/>
      <c r="F104" s="534"/>
      <c r="G104" s="534"/>
      <c r="H104" s="534"/>
      <c r="I104" s="534"/>
      <c r="J104" s="534"/>
      <c r="K104" s="534"/>
      <c r="L104" s="534"/>
      <c r="M104" s="534"/>
      <c r="N104" s="534"/>
      <c r="O104" s="534"/>
      <c r="P104" s="534"/>
      <c r="Q104" s="534"/>
      <c r="R104" s="534"/>
      <c r="S104" s="534"/>
      <c r="T104" s="534"/>
      <c r="U104" s="534"/>
      <c r="V104" s="534"/>
      <c r="W104" s="534"/>
      <c r="X104" s="534"/>
      <c r="Y104" s="534"/>
      <c r="Z104" s="534"/>
      <c r="AA104" s="534"/>
      <c r="AB104" s="534"/>
      <c r="AC104" s="534"/>
      <c r="AD104" s="531"/>
      <c r="AE104" s="535"/>
    </row>
    <row r="105" spans="1:31" hidden="1" x14ac:dyDescent="0.3">
      <c r="A105" s="531" t="str">
        <f ca="1">Проект!$A$206</f>
        <v xml:space="preserve">    облагаемая база</v>
      </c>
      <c r="B105" s="531"/>
      <c r="C105" s="532" t="str">
        <f ca="1">Проект!$C$206</f>
        <v>тыс. EUR</v>
      </c>
      <c r="D105" s="533"/>
      <c r="E105" s="531"/>
      <c r="F105" s="542">
        <f>Проект!$F$206</f>
        <v>0</v>
      </c>
      <c r="G105" s="542">
        <f>Проект!$G$206</f>
        <v>0</v>
      </c>
      <c r="H105" s="542">
        <f>Проект!$H$206</f>
        <v>0</v>
      </c>
      <c r="I105" s="542">
        <f>Проект!$I$206</f>
        <v>0</v>
      </c>
      <c r="J105" s="542">
        <f>Проект!$J$206</f>
        <v>0</v>
      </c>
      <c r="K105" s="542">
        <f>Проект!$K$206</f>
        <v>366.15</v>
      </c>
      <c r="L105" s="542">
        <f>Проект!$L$206</f>
        <v>366.15</v>
      </c>
      <c r="M105" s="542">
        <f>Проект!$M$206</f>
        <v>366.15</v>
      </c>
      <c r="N105" s="542">
        <f>Проект!$N$206</f>
        <v>366.15</v>
      </c>
      <c r="O105" s="542">
        <f>Проект!$O$206</f>
        <v>366.15</v>
      </c>
      <c r="P105" s="542">
        <f>Проект!$P$206</f>
        <v>366.15</v>
      </c>
      <c r="Q105" s="542">
        <f>Проект!$Q$206</f>
        <v>366.15</v>
      </c>
      <c r="R105" s="542">
        <f>Проект!$R$206</f>
        <v>366.15</v>
      </c>
      <c r="S105" s="542">
        <f>Проект!$S$206</f>
        <v>366.15</v>
      </c>
      <c r="T105" s="542">
        <f>Проект!$T$206</f>
        <v>366.15</v>
      </c>
      <c r="U105" s="542">
        <f>Проект!$U$206</f>
        <v>366.15</v>
      </c>
      <c r="V105" s="542">
        <f>Проект!$V$206</f>
        <v>366.15</v>
      </c>
      <c r="W105" s="542">
        <f>Проект!$W$206</f>
        <v>366.15</v>
      </c>
      <c r="X105" s="542">
        <f>Проект!$X$206</f>
        <v>366.15</v>
      </c>
      <c r="Y105" s="542">
        <f>Проект!$Y$206</f>
        <v>366.15</v>
      </c>
      <c r="Z105" s="542">
        <f>Проект!$Z$206</f>
        <v>366.15</v>
      </c>
      <c r="AA105" s="542">
        <f>Проект!$AA$206</f>
        <v>366.15</v>
      </c>
      <c r="AB105" s="542">
        <f>Проект!$AB$206</f>
        <v>366.15</v>
      </c>
      <c r="AC105" s="542">
        <f>Проект!$AC$206</f>
        <v>366.15</v>
      </c>
      <c r="AD105" s="531"/>
      <c r="AE105" s="543">
        <f>Проект!$AE$206</f>
        <v>6956.8499999999976</v>
      </c>
    </row>
    <row r="106" spans="1:31" hidden="1" x14ac:dyDescent="0.3">
      <c r="A106" s="563"/>
      <c r="B106" s="563"/>
      <c r="C106" s="563"/>
      <c r="D106" s="563"/>
      <c r="E106" s="563"/>
      <c r="F106" s="563"/>
      <c r="G106" s="563"/>
      <c r="H106" s="563"/>
      <c r="I106" s="563"/>
      <c r="J106" s="563"/>
      <c r="K106" s="563"/>
      <c r="L106" s="563"/>
      <c r="M106" s="563"/>
      <c r="N106" s="563"/>
      <c r="O106" s="563"/>
      <c r="P106" s="563"/>
      <c r="Q106" s="563"/>
      <c r="R106" s="563"/>
      <c r="S106" s="563"/>
      <c r="T106" s="563"/>
      <c r="U106" s="563"/>
      <c r="V106" s="563"/>
      <c r="W106" s="563"/>
      <c r="X106" s="563"/>
      <c r="Y106" s="563"/>
      <c r="Z106" s="563"/>
      <c r="AA106" s="563"/>
      <c r="AB106" s="563"/>
      <c r="AC106" s="563"/>
      <c r="AD106" s="563"/>
      <c r="AE106" s="569"/>
    </row>
    <row r="107" spans="1:31" hidden="1" x14ac:dyDescent="0.3">
      <c r="A107" s="544"/>
      <c r="B107" s="544"/>
      <c r="C107" s="544"/>
      <c r="D107" s="544"/>
      <c r="E107" s="544"/>
      <c r="F107" s="544"/>
      <c r="G107" s="544"/>
      <c r="H107" s="544"/>
      <c r="I107" s="544"/>
      <c r="J107" s="544"/>
      <c r="K107" s="544"/>
      <c r="L107" s="544"/>
      <c r="M107" s="544"/>
      <c r="N107" s="544"/>
      <c r="O107" s="544"/>
      <c r="P107" s="544"/>
      <c r="Q107" s="544"/>
      <c r="R107" s="544"/>
      <c r="S107" s="544"/>
      <c r="T107" s="544"/>
      <c r="U107" s="544"/>
      <c r="V107" s="544"/>
      <c r="W107" s="544"/>
      <c r="X107" s="544"/>
      <c r="Y107" s="544"/>
      <c r="Z107" s="544"/>
      <c r="AA107" s="544"/>
      <c r="AB107" s="544"/>
      <c r="AC107" s="544"/>
      <c r="AD107" s="544"/>
      <c r="AE107" s="548"/>
    </row>
    <row r="108" spans="1:31" hidden="1" x14ac:dyDescent="0.3">
      <c r="A108" s="570" t="str">
        <f ca="1">Проект!$A$209</f>
        <v>УПРОЩЕННАЯ СИСТЕМА НАЛОГООБЛОЖЕНИЯ</v>
      </c>
      <c r="B108" s="563"/>
      <c r="C108" s="563"/>
      <c r="D108" s="563"/>
      <c r="E108" s="563"/>
      <c r="F108" s="563"/>
      <c r="G108" s="563"/>
      <c r="H108" s="563"/>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9"/>
    </row>
    <row r="109" spans="1:31" hidden="1" x14ac:dyDescent="0.3">
      <c r="A109" s="563"/>
      <c r="B109" s="563"/>
      <c r="C109" s="563"/>
      <c r="D109" s="563"/>
      <c r="E109" s="563"/>
      <c r="F109" s="571"/>
      <c r="G109" s="571"/>
      <c r="H109" s="571"/>
      <c r="I109" s="571"/>
      <c r="J109" s="571"/>
      <c r="K109" s="571"/>
      <c r="L109" s="571"/>
      <c r="M109" s="571"/>
      <c r="N109" s="571"/>
      <c r="O109" s="571"/>
      <c r="P109" s="571"/>
      <c r="Q109" s="571"/>
      <c r="R109" s="571"/>
      <c r="S109" s="571"/>
      <c r="T109" s="571"/>
      <c r="U109" s="571"/>
      <c r="V109" s="571"/>
      <c r="W109" s="571"/>
      <c r="X109" s="571"/>
      <c r="Y109" s="571"/>
      <c r="Z109" s="571"/>
      <c r="AA109" s="571"/>
      <c r="AB109" s="571"/>
      <c r="AC109" s="571"/>
      <c r="AD109" s="571"/>
      <c r="AE109" s="572"/>
    </row>
    <row r="110" spans="1:31" hidden="1" x14ac:dyDescent="0.3">
      <c r="A110" s="563" t="str">
        <f ca="1">Проект!$A$211</f>
        <v>Объект налогообложения</v>
      </c>
      <c r="B110" s="537">
        <f>Проект!$B$211</f>
        <v>1</v>
      </c>
      <c r="C110" s="573" t="str">
        <f ca="1">Проект!$C$211</f>
        <v>Доходы</v>
      </c>
      <c r="D110" s="563"/>
      <c r="E110" s="563"/>
      <c r="F110" s="571"/>
      <c r="G110" s="571"/>
      <c r="H110" s="571"/>
      <c r="I110" s="571"/>
      <c r="J110" s="571"/>
      <c r="K110" s="571"/>
      <c r="L110" s="571"/>
      <c r="M110" s="571"/>
      <c r="N110" s="571"/>
      <c r="O110" s="571"/>
      <c r="P110" s="571"/>
      <c r="Q110" s="571"/>
      <c r="R110" s="571"/>
      <c r="S110" s="571"/>
      <c r="T110" s="571"/>
      <c r="U110" s="571"/>
      <c r="V110" s="571"/>
      <c r="W110" s="571"/>
      <c r="X110" s="571"/>
      <c r="Y110" s="571"/>
      <c r="Z110" s="571"/>
      <c r="AA110" s="571"/>
      <c r="AB110" s="571"/>
      <c r="AC110" s="571"/>
      <c r="AD110" s="571"/>
      <c r="AE110" s="572"/>
    </row>
    <row r="111" spans="1:31" hidden="1" x14ac:dyDescent="0.3">
      <c r="A111" s="531" t="str">
        <f ca="1">Проект!$A$212</f>
        <v xml:space="preserve">    ставка</v>
      </c>
      <c r="B111" s="549">
        <f>Проект!$B$212</f>
        <v>0</v>
      </c>
      <c r="C111" s="532" t="str">
        <f>Проект!$C$212</f>
        <v>%</v>
      </c>
      <c r="D111" s="554" t="str">
        <f>Проект!$D$212</f>
        <v>int_avg</v>
      </c>
      <c r="E111" s="563"/>
      <c r="F111" s="571"/>
      <c r="G111" s="571"/>
      <c r="H111" s="571"/>
      <c r="I111" s="571"/>
      <c r="J111" s="571"/>
      <c r="K111" s="571"/>
      <c r="L111" s="571"/>
      <c r="M111" s="571"/>
      <c r="N111" s="571"/>
      <c r="O111" s="571"/>
      <c r="P111" s="571"/>
      <c r="Q111" s="571"/>
      <c r="R111" s="571"/>
      <c r="S111" s="571"/>
      <c r="T111" s="571"/>
      <c r="U111" s="571"/>
      <c r="V111" s="571"/>
      <c r="W111" s="571"/>
      <c r="X111" s="571"/>
      <c r="Y111" s="571"/>
      <c r="Z111" s="571"/>
      <c r="AA111" s="571"/>
      <c r="AB111" s="571"/>
      <c r="AC111" s="571"/>
      <c r="AD111" s="571"/>
      <c r="AE111" s="572"/>
    </row>
    <row r="112" spans="1:31" hidden="1" x14ac:dyDescent="0.3">
      <c r="A112" s="531" t="str">
        <f ca="1">Проект!$A$213</f>
        <v xml:space="preserve">    период уплаты</v>
      </c>
      <c r="B112" s="541">
        <f>Проект!$B$213</f>
        <v>90</v>
      </c>
      <c r="C112" s="532" t="str">
        <f ca="1">Проект!$C$213</f>
        <v>дней</v>
      </c>
      <c r="D112" s="554"/>
      <c r="E112" s="563"/>
      <c r="F112" s="571"/>
      <c r="G112" s="571"/>
      <c r="H112" s="571"/>
      <c r="I112" s="571"/>
      <c r="J112" s="571"/>
      <c r="K112" s="571"/>
      <c r="L112" s="571"/>
      <c r="M112" s="571"/>
      <c r="N112" s="571"/>
      <c r="O112" s="571"/>
      <c r="P112" s="571"/>
      <c r="Q112" s="571"/>
      <c r="R112" s="571"/>
      <c r="S112" s="571"/>
      <c r="T112" s="571"/>
      <c r="U112" s="571"/>
      <c r="V112" s="571"/>
      <c r="W112" s="571"/>
      <c r="X112" s="571"/>
      <c r="Y112" s="571"/>
      <c r="Z112" s="571"/>
      <c r="AA112" s="571"/>
      <c r="AB112" s="571"/>
      <c r="AC112" s="571"/>
      <c r="AD112" s="571"/>
      <c r="AE112" s="572"/>
    </row>
    <row r="113" spans="1:31" hidden="1" x14ac:dyDescent="0.3">
      <c r="A113" s="536" t="str">
        <f ca="1">Проект!$A$214</f>
        <v>Начисленный налог</v>
      </c>
      <c r="B113" s="539"/>
      <c r="C113" s="532" t="str">
        <f ca="1">Проект!$C$214</f>
        <v>тыс. EUR</v>
      </c>
      <c r="D113" s="563"/>
      <c r="E113" s="563"/>
      <c r="F113" s="574">
        <f ca="1">Проект!$F$214</f>
        <v>0</v>
      </c>
      <c r="G113" s="574">
        <f ca="1">Проект!$G$214</f>
        <v>0</v>
      </c>
      <c r="H113" s="574">
        <f ca="1">Проект!$H$214</f>
        <v>0</v>
      </c>
      <c r="I113" s="574">
        <f ca="1">Проект!$I$214</f>
        <v>0</v>
      </c>
      <c r="J113" s="574">
        <f ca="1">Проект!$J$214</f>
        <v>0</v>
      </c>
      <c r="K113" s="574">
        <f ca="1">Проект!$K$214</f>
        <v>0</v>
      </c>
      <c r="L113" s="574">
        <f ca="1">Проект!$L$214</f>
        <v>0</v>
      </c>
      <c r="M113" s="574">
        <f ca="1">Проект!$M$214</f>
        <v>0</v>
      </c>
      <c r="N113" s="574">
        <f ca="1">Проект!$N$214</f>
        <v>0</v>
      </c>
      <c r="O113" s="574">
        <f ca="1">Проект!$O$214</f>
        <v>0</v>
      </c>
      <c r="P113" s="574">
        <f ca="1">Проект!$P$214</f>
        <v>0</v>
      </c>
      <c r="Q113" s="574">
        <f ca="1">Проект!$Q$214</f>
        <v>0</v>
      </c>
      <c r="R113" s="574">
        <f ca="1">Проект!$R$214</f>
        <v>0</v>
      </c>
      <c r="S113" s="574">
        <f ca="1">Проект!$S$214</f>
        <v>0</v>
      </c>
      <c r="T113" s="574">
        <f ca="1">Проект!$T$214</f>
        <v>0</v>
      </c>
      <c r="U113" s="574">
        <f ca="1">Проект!$U$214</f>
        <v>0</v>
      </c>
      <c r="V113" s="574">
        <f ca="1">Проект!$V$214</f>
        <v>0</v>
      </c>
      <c r="W113" s="574">
        <f ca="1">Проект!$W$214</f>
        <v>0</v>
      </c>
      <c r="X113" s="574">
        <f ca="1">Проект!$X$214</f>
        <v>0</v>
      </c>
      <c r="Y113" s="574">
        <f ca="1">Проект!$Y$214</f>
        <v>0</v>
      </c>
      <c r="Z113" s="574">
        <f ca="1">Проект!$Z$214</f>
        <v>0</v>
      </c>
      <c r="AA113" s="574">
        <f ca="1">Проект!$AA$214</f>
        <v>0</v>
      </c>
      <c r="AB113" s="574">
        <f ca="1">Проект!$AB$214</f>
        <v>0</v>
      </c>
      <c r="AC113" s="574">
        <f ca="1">Проект!$AC$214</f>
        <v>0</v>
      </c>
      <c r="AD113" s="571"/>
      <c r="AE113" s="575">
        <f ca="1">Проект!$AE$214</f>
        <v>0</v>
      </c>
    </row>
    <row r="114" spans="1:31" hidden="1" x14ac:dyDescent="0.3">
      <c r="A114" s="555" t="str">
        <f ca="1">Проект!$A$215</f>
        <v xml:space="preserve">         то же, в итоговой валюте</v>
      </c>
      <c r="B114" s="531"/>
      <c r="C114" s="539" t="str">
        <f ca="1">Проект!$C$215</f>
        <v>тыс. EUR</v>
      </c>
      <c r="D114" s="533"/>
      <c r="E114" s="531"/>
      <c r="F114" s="551">
        <f ca="1">Проект!$F$215</f>
        <v>0</v>
      </c>
      <c r="G114" s="551">
        <f ca="1">Проект!$G$215</f>
        <v>0</v>
      </c>
      <c r="H114" s="551">
        <f ca="1">Проект!$H$215</f>
        <v>0</v>
      </c>
      <c r="I114" s="551">
        <f ca="1">Проект!$I$215</f>
        <v>0</v>
      </c>
      <c r="J114" s="551">
        <f ca="1">Проект!$J$215</f>
        <v>0</v>
      </c>
      <c r="K114" s="551">
        <f ca="1">Проект!$K$215</f>
        <v>0</v>
      </c>
      <c r="L114" s="551">
        <f ca="1">Проект!$L$215</f>
        <v>0</v>
      </c>
      <c r="M114" s="551">
        <f ca="1">Проект!$M$215</f>
        <v>0</v>
      </c>
      <c r="N114" s="551">
        <f ca="1">Проект!$N$215</f>
        <v>0</v>
      </c>
      <c r="O114" s="551">
        <f ca="1">Проект!$O$215</f>
        <v>0</v>
      </c>
      <c r="P114" s="551">
        <f ca="1">Проект!$P$215</f>
        <v>0</v>
      </c>
      <c r="Q114" s="551">
        <f ca="1">Проект!$Q$215</f>
        <v>0</v>
      </c>
      <c r="R114" s="551">
        <f ca="1">Проект!$R$215</f>
        <v>0</v>
      </c>
      <c r="S114" s="551">
        <f ca="1">Проект!$S$215</f>
        <v>0</v>
      </c>
      <c r="T114" s="551">
        <f ca="1">Проект!$T$215</f>
        <v>0</v>
      </c>
      <c r="U114" s="551">
        <f ca="1">Проект!$U$215</f>
        <v>0</v>
      </c>
      <c r="V114" s="551">
        <f ca="1">Проект!$V$215</f>
        <v>0</v>
      </c>
      <c r="W114" s="551">
        <f ca="1">Проект!$W$215</f>
        <v>0</v>
      </c>
      <c r="X114" s="551">
        <f ca="1">Проект!$X$215</f>
        <v>0</v>
      </c>
      <c r="Y114" s="551">
        <f ca="1">Проект!$Y$215</f>
        <v>0</v>
      </c>
      <c r="Z114" s="551">
        <f ca="1">Проект!$Z$215</f>
        <v>0</v>
      </c>
      <c r="AA114" s="551">
        <f ca="1">Проект!$AA$215</f>
        <v>0</v>
      </c>
      <c r="AB114" s="551">
        <f ca="1">Проект!$AB$215</f>
        <v>0</v>
      </c>
      <c r="AC114" s="551">
        <f ca="1">Проект!$AC$215</f>
        <v>0</v>
      </c>
      <c r="AD114" s="531"/>
      <c r="AE114" s="543">
        <f ca="1">Проект!$AE$215</f>
        <v>0</v>
      </c>
    </row>
    <row r="115" spans="1:31" hidden="1" x14ac:dyDescent="0.3">
      <c r="A115" s="555" t="str">
        <f ca="1">Проект!$A$216</f>
        <v>Облагаемая база до списания убытков</v>
      </c>
      <c r="B115" s="563"/>
      <c r="C115" s="532" t="str">
        <f ca="1">Проект!$C$216</f>
        <v>тыс. EUR</v>
      </c>
      <c r="D115" s="563"/>
      <c r="E115" s="563"/>
      <c r="F115" s="571">
        <f ca="1">Проект!$F$216</f>
        <v>0</v>
      </c>
      <c r="G115" s="571">
        <f ca="1">Проект!$G$216</f>
        <v>0</v>
      </c>
      <c r="H115" s="571">
        <f ca="1">Проект!$H$216</f>
        <v>0</v>
      </c>
      <c r="I115" s="571">
        <f ca="1">Проект!$I$216</f>
        <v>0</v>
      </c>
      <c r="J115" s="571">
        <f ca="1">Проект!$J$216</f>
        <v>0</v>
      </c>
      <c r="K115" s="571">
        <f ca="1">Проект!$K$216</f>
        <v>714.56092469127964</v>
      </c>
      <c r="L115" s="571">
        <f ca="1">Проект!$L$216</f>
        <v>2731.2132863136535</v>
      </c>
      <c r="M115" s="571">
        <f ca="1">Проект!$M$216</f>
        <v>4381.7008046824012</v>
      </c>
      <c r="N115" s="571">
        <f ca="1">Проект!$N$216</f>
        <v>6249.0205978072227</v>
      </c>
      <c r="O115" s="571">
        <f ca="1">Проект!$O$216</f>
        <v>7525.4219523772372</v>
      </c>
      <c r="P115" s="571">
        <f ca="1">Проект!$P$216</f>
        <v>7525.4219523772372</v>
      </c>
      <c r="Q115" s="571">
        <f ca="1">Проект!$Q$216</f>
        <v>7525.4219523772372</v>
      </c>
      <c r="R115" s="571">
        <f ca="1">Проект!$R$216</f>
        <v>7525.4219523772372</v>
      </c>
      <c r="S115" s="571">
        <f ca="1">Проект!$S$216</f>
        <v>7525.4219523772372</v>
      </c>
      <c r="T115" s="571">
        <f ca="1">Проект!$T$216</f>
        <v>7525.4219523772372</v>
      </c>
      <c r="U115" s="571">
        <f ca="1">Проект!$U$216</f>
        <v>7525.4219523772372</v>
      </c>
      <c r="V115" s="571">
        <f ca="1">Проект!$V$216</f>
        <v>7525.4219523772372</v>
      </c>
      <c r="W115" s="571">
        <f ca="1">Проект!$W$216</f>
        <v>7525.4219523772372</v>
      </c>
      <c r="X115" s="571">
        <f ca="1">Проект!$X$216</f>
        <v>7525.4219523772372</v>
      </c>
      <c r="Y115" s="571">
        <f ca="1">Проект!$Y$216</f>
        <v>7525.4219523772372</v>
      </c>
      <c r="Z115" s="571">
        <f ca="1">Проект!$Z$216</f>
        <v>7525.4219523772372</v>
      </c>
      <c r="AA115" s="571">
        <f ca="1">Проект!$AA$216</f>
        <v>7525.4219523772372</v>
      </c>
      <c r="AB115" s="571">
        <f ca="1">Проект!$AB$216</f>
        <v>7525.4219523772372</v>
      </c>
      <c r="AC115" s="571">
        <f ca="1">Проект!$AC$216</f>
        <v>7525.4219523772372</v>
      </c>
      <c r="AD115" s="571"/>
      <c r="AE115" s="572">
        <f ca="1">Проект!$AE$216</f>
        <v>126957.82489915307</v>
      </c>
    </row>
    <row r="116" spans="1:31" hidden="1" x14ac:dyDescent="0.3">
      <c r="A116" s="531" t="str">
        <f ca="1">Проект!$A$217</f>
        <v xml:space="preserve">    накопленная прибыль/убытки текущего года</v>
      </c>
      <c r="B116" s="531"/>
      <c r="C116" s="532" t="str">
        <f ca="1">Проект!$C$217</f>
        <v>тыс. EUR</v>
      </c>
      <c r="D116" s="554" t="str">
        <f>Проект!$D$217</f>
        <v>int_end</v>
      </c>
      <c r="E116" s="531"/>
      <c r="F116" s="551">
        <f ca="1">Проект!$F$217</f>
        <v>0</v>
      </c>
      <c r="G116" s="551">
        <f ca="1">Проект!$G$217</f>
        <v>0</v>
      </c>
      <c r="H116" s="551">
        <f ca="1">Проект!$H$217</f>
        <v>0</v>
      </c>
      <c r="I116" s="551">
        <f ca="1">Проект!$I$217</f>
        <v>0</v>
      </c>
      <c r="J116" s="551">
        <f ca="1">Проект!$J$217</f>
        <v>0</v>
      </c>
      <c r="K116" s="551">
        <f ca="1">Проект!$K$217</f>
        <v>714.56092469127964</v>
      </c>
      <c r="L116" s="551">
        <f ca="1">Проект!$L$217</f>
        <v>3445.774211004933</v>
      </c>
      <c r="M116" s="551">
        <f ca="1">Проект!$M$217</f>
        <v>7827.4750156873342</v>
      </c>
      <c r="N116" s="551">
        <f ca="1">Проект!$N$217</f>
        <v>6249.0205978072227</v>
      </c>
      <c r="O116" s="551">
        <f ca="1">Проект!$O$217</f>
        <v>13774.44255018446</v>
      </c>
      <c r="P116" s="551">
        <f ca="1">Проект!$P$217</f>
        <v>21299.864502561697</v>
      </c>
      <c r="Q116" s="551">
        <f ca="1">Проект!$Q$217</f>
        <v>28825.286454938934</v>
      </c>
      <c r="R116" s="551">
        <f ca="1">Проект!$R$217</f>
        <v>7525.4219523772372</v>
      </c>
      <c r="S116" s="551">
        <f ca="1">Проект!$S$217</f>
        <v>15050.843904754474</v>
      </c>
      <c r="T116" s="551">
        <f ca="1">Проект!$T$217</f>
        <v>22576.265857131712</v>
      </c>
      <c r="U116" s="551">
        <f ca="1">Проект!$U$217</f>
        <v>30101.687809508949</v>
      </c>
      <c r="V116" s="551">
        <f ca="1">Проект!$V$217</f>
        <v>7525.4219523772372</v>
      </c>
      <c r="W116" s="551">
        <f ca="1">Проект!$W$217</f>
        <v>15050.843904754474</v>
      </c>
      <c r="X116" s="551">
        <f ca="1">Проект!$X$217</f>
        <v>22576.265857131712</v>
      </c>
      <c r="Y116" s="551">
        <f ca="1">Проект!$Y$217</f>
        <v>30101.687809508949</v>
      </c>
      <c r="Z116" s="551">
        <f ca="1">Проект!$Z$217</f>
        <v>7525.4219523772372</v>
      </c>
      <c r="AA116" s="551">
        <f ca="1">Проект!$AA$217</f>
        <v>15050.843904754474</v>
      </c>
      <c r="AB116" s="551">
        <f ca="1">Проект!$AB$217</f>
        <v>22576.265857131712</v>
      </c>
      <c r="AC116" s="551">
        <f ca="1">Проект!$AC$217</f>
        <v>30101.687809508949</v>
      </c>
      <c r="AD116" s="531"/>
      <c r="AE116" s="535"/>
    </row>
    <row r="117" spans="1:31" hidden="1" x14ac:dyDescent="0.3">
      <c r="A117" s="531" t="str">
        <f ca="1">Проект!$A$218</f>
        <v xml:space="preserve">    убытки предыдущих периодов</v>
      </c>
      <c r="B117" s="531"/>
      <c r="C117" s="532" t="str">
        <f ca="1">Проект!$C$218</f>
        <v>тыс. EUR</v>
      </c>
      <c r="D117" s="533"/>
      <c r="E117" s="531"/>
      <c r="F117" s="551">
        <f>Проект!$F$218</f>
        <v>0</v>
      </c>
      <c r="G117" s="551">
        <f ca="1">Проект!$G$218</f>
        <v>0</v>
      </c>
      <c r="H117" s="551">
        <f ca="1">Проект!$H$218</f>
        <v>0</v>
      </c>
      <c r="I117" s="551">
        <f ca="1">Проект!$I$218</f>
        <v>0</v>
      </c>
      <c r="J117" s="551">
        <f ca="1">Проект!$J$218</f>
        <v>0</v>
      </c>
      <c r="K117" s="551">
        <f ca="1">Проект!$K$218</f>
        <v>0</v>
      </c>
      <c r="L117" s="551">
        <f ca="1">Проект!$L$218</f>
        <v>0</v>
      </c>
      <c r="M117" s="551">
        <f ca="1">Проект!$M$218</f>
        <v>0</v>
      </c>
      <c r="N117" s="551">
        <f ca="1">Проект!$N$218</f>
        <v>0</v>
      </c>
      <c r="O117" s="551">
        <f ca="1">Проект!$O$218</f>
        <v>0</v>
      </c>
      <c r="P117" s="551">
        <f ca="1">Проект!$P$218</f>
        <v>0</v>
      </c>
      <c r="Q117" s="551">
        <f ca="1">Проект!$Q$218</f>
        <v>0</v>
      </c>
      <c r="R117" s="551">
        <f ca="1">Проект!$R$218</f>
        <v>0</v>
      </c>
      <c r="S117" s="551">
        <f ca="1">Проект!$S$218</f>
        <v>0</v>
      </c>
      <c r="T117" s="551">
        <f ca="1">Проект!$T$218</f>
        <v>0</v>
      </c>
      <c r="U117" s="551">
        <f ca="1">Проект!$U$218</f>
        <v>0</v>
      </c>
      <c r="V117" s="551">
        <f ca="1">Проект!$V$218</f>
        <v>0</v>
      </c>
      <c r="W117" s="551">
        <f ca="1">Проект!$W$218</f>
        <v>0</v>
      </c>
      <c r="X117" s="551">
        <f ca="1">Проект!$X$218</f>
        <v>0</v>
      </c>
      <c r="Y117" s="551">
        <f ca="1">Проект!$Y$218</f>
        <v>0</v>
      </c>
      <c r="Z117" s="551">
        <f ca="1">Проект!$Z$218</f>
        <v>0</v>
      </c>
      <c r="AA117" s="551">
        <f ca="1">Проект!$AA$218</f>
        <v>0</v>
      </c>
      <c r="AB117" s="551">
        <f ca="1">Проект!$AB$218</f>
        <v>0</v>
      </c>
      <c r="AC117" s="551">
        <f ca="1">Проект!$AC$218</f>
        <v>0</v>
      </c>
      <c r="AD117" s="531"/>
      <c r="AE117" s="535"/>
    </row>
    <row r="118" spans="1:31" hidden="1" x14ac:dyDescent="0.3">
      <c r="A118" s="531" t="str">
        <f ca="1">Проект!$A$219</f>
        <v xml:space="preserve">    списано убытков предыдущих лет</v>
      </c>
      <c r="B118" s="531"/>
      <c r="C118" s="532" t="str">
        <f ca="1">Проект!$C$219</f>
        <v>тыс. EUR</v>
      </c>
      <c r="D118" s="533"/>
      <c r="E118" s="531"/>
      <c r="F118" s="551">
        <f ca="1">Проект!$F$219</f>
        <v>0</v>
      </c>
      <c r="G118" s="551">
        <f ca="1">Проект!$G$219</f>
        <v>0</v>
      </c>
      <c r="H118" s="551">
        <f ca="1">Проект!$H$219</f>
        <v>0</v>
      </c>
      <c r="I118" s="551">
        <f ca="1">Проект!$I$219</f>
        <v>0</v>
      </c>
      <c r="J118" s="551">
        <f ca="1">Проект!$J$219</f>
        <v>0</v>
      </c>
      <c r="K118" s="551">
        <f ca="1">Проект!$K$219</f>
        <v>0</v>
      </c>
      <c r="L118" s="551">
        <f ca="1">Проект!$L$219</f>
        <v>0</v>
      </c>
      <c r="M118" s="551">
        <f ca="1">Проект!$M$219</f>
        <v>0</v>
      </c>
      <c r="N118" s="551">
        <f ca="1">Проект!$N$219</f>
        <v>0</v>
      </c>
      <c r="O118" s="551">
        <f ca="1">Проект!$O$219</f>
        <v>0</v>
      </c>
      <c r="P118" s="551">
        <f ca="1">Проект!$P$219</f>
        <v>0</v>
      </c>
      <c r="Q118" s="551">
        <f ca="1">Проект!$Q$219</f>
        <v>0</v>
      </c>
      <c r="R118" s="551">
        <f ca="1">Проект!$R$219</f>
        <v>0</v>
      </c>
      <c r="S118" s="551">
        <f ca="1">Проект!$S$219</f>
        <v>0</v>
      </c>
      <c r="T118" s="551">
        <f ca="1">Проект!$T$219</f>
        <v>0</v>
      </c>
      <c r="U118" s="551">
        <f ca="1">Проект!$U$219</f>
        <v>0</v>
      </c>
      <c r="V118" s="551">
        <f ca="1">Проект!$V$219</f>
        <v>0</v>
      </c>
      <c r="W118" s="551">
        <f ca="1">Проект!$W$219</f>
        <v>0</v>
      </c>
      <c r="X118" s="551">
        <f ca="1">Проект!$X$219</f>
        <v>0</v>
      </c>
      <c r="Y118" s="551">
        <f ca="1">Проект!$Y$219</f>
        <v>0</v>
      </c>
      <c r="Z118" s="551">
        <f ca="1">Проект!$Z$219</f>
        <v>0</v>
      </c>
      <c r="AA118" s="551">
        <f ca="1">Проект!$AA$219</f>
        <v>0</v>
      </c>
      <c r="AB118" s="551">
        <f ca="1">Проект!$AB$219</f>
        <v>0</v>
      </c>
      <c r="AC118" s="551">
        <f ca="1">Проект!$AC$219</f>
        <v>0</v>
      </c>
      <c r="AD118" s="531"/>
      <c r="AE118" s="535"/>
    </row>
    <row r="119" spans="1:31" hidden="1" x14ac:dyDescent="0.3">
      <c r="A119" s="531" t="str">
        <f ca="1">Проект!$A$220</f>
        <v>База, на которую начисляется налог</v>
      </c>
      <c r="B119" s="531"/>
      <c r="C119" s="532" t="str">
        <f ca="1">Проект!$C$220</f>
        <v>тыс. EUR</v>
      </c>
      <c r="D119" s="533"/>
      <c r="E119" s="531"/>
      <c r="F119" s="551">
        <f ca="1">Проект!$F$220</f>
        <v>0</v>
      </c>
      <c r="G119" s="551">
        <f ca="1">Проект!$G$220</f>
        <v>0</v>
      </c>
      <c r="H119" s="551">
        <f ca="1">Проект!$H$220</f>
        <v>0</v>
      </c>
      <c r="I119" s="551">
        <f ca="1">Проект!$I$220</f>
        <v>0</v>
      </c>
      <c r="J119" s="551">
        <f ca="1">Проект!$J$220</f>
        <v>0</v>
      </c>
      <c r="K119" s="551">
        <f ca="1">Проект!$K$220</f>
        <v>714.56092469127964</v>
      </c>
      <c r="L119" s="551">
        <f ca="1">Проект!$L$220</f>
        <v>2731.2132863136535</v>
      </c>
      <c r="M119" s="551">
        <f ca="1">Проект!$M$220</f>
        <v>4381.7008046824012</v>
      </c>
      <c r="N119" s="551">
        <f ca="1">Проект!$N$220</f>
        <v>6249.0205978072227</v>
      </c>
      <c r="O119" s="551">
        <f ca="1">Проект!$O$220</f>
        <v>7525.4219523772372</v>
      </c>
      <c r="P119" s="551">
        <f ca="1">Проект!$P$220</f>
        <v>7525.4219523772372</v>
      </c>
      <c r="Q119" s="551">
        <f ca="1">Проект!$Q$220</f>
        <v>7525.4219523772372</v>
      </c>
      <c r="R119" s="551">
        <f ca="1">Проект!$R$220</f>
        <v>7525.4219523772372</v>
      </c>
      <c r="S119" s="551">
        <f ca="1">Проект!$S$220</f>
        <v>7525.4219523772372</v>
      </c>
      <c r="T119" s="551">
        <f ca="1">Проект!$T$220</f>
        <v>7525.4219523772372</v>
      </c>
      <c r="U119" s="551">
        <f ca="1">Проект!$U$220</f>
        <v>7525.4219523772372</v>
      </c>
      <c r="V119" s="551">
        <f ca="1">Проект!$V$220</f>
        <v>7525.4219523772372</v>
      </c>
      <c r="W119" s="551">
        <f ca="1">Проект!$W$220</f>
        <v>7525.4219523772372</v>
      </c>
      <c r="X119" s="551">
        <f ca="1">Проект!$X$220</f>
        <v>7525.4219523772372</v>
      </c>
      <c r="Y119" s="551">
        <f ca="1">Проект!$Y$220</f>
        <v>7525.4219523772372</v>
      </c>
      <c r="Z119" s="551">
        <f ca="1">Проект!$Z$220</f>
        <v>7525.4219523772372</v>
      </c>
      <c r="AA119" s="551">
        <f ca="1">Проект!$AA$220</f>
        <v>7525.4219523772372</v>
      </c>
      <c r="AB119" s="551">
        <f ca="1">Проект!$AB$220</f>
        <v>7525.4219523772372</v>
      </c>
      <c r="AC119" s="551">
        <f ca="1">Проект!$AC$220</f>
        <v>7525.4219523772372</v>
      </c>
      <c r="AD119" s="531"/>
      <c r="AE119" s="535"/>
    </row>
    <row r="120" spans="1:31" hidden="1" x14ac:dyDescent="0.3">
      <c r="A120" s="531" t="str">
        <f ca="1">Проект!$A$221</f>
        <v>Минимальный налог</v>
      </c>
      <c r="B120" s="531"/>
      <c r="C120" s="532" t="str">
        <f ca="1">Проект!$C$221</f>
        <v>тыс. EUR</v>
      </c>
      <c r="D120" s="533"/>
      <c r="E120" s="531"/>
      <c r="F120" s="551">
        <f>Проект!$F$221</f>
        <v>0</v>
      </c>
      <c r="G120" s="551">
        <f>Проект!$G$221</f>
        <v>0</v>
      </c>
      <c r="H120" s="551">
        <f>Проект!$H$221</f>
        <v>0</v>
      </c>
      <c r="I120" s="551">
        <f>Проект!$I$221</f>
        <v>0</v>
      </c>
      <c r="J120" s="551">
        <f>Проект!$J$221</f>
        <v>0</v>
      </c>
      <c r="K120" s="551">
        <f>Проект!$K$221</f>
        <v>0</v>
      </c>
      <c r="L120" s="551">
        <f>Проект!$L$221</f>
        <v>0</v>
      </c>
      <c r="M120" s="551">
        <f>Проект!$M$221</f>
        <v>0</v>
      </c>
      <c r="N120" s="551">
        <f>Проект!$N$221</f>
        <v>0</v>
      </c>
      <c r="O120" s="551">
        <f>Проект!$O$221</f>
        <v>0</v>
      </c>
      <c r="P120" s="551">
        <f>Проект!$P$221</f>
        <v>0</v>
      </c>
      <c r="Q120" s="551">
        <f>Проект!$Q$221</f>
        <v>0</v>
      </c>
      <c r="R120" s="551">
        <f>Проект!$R$221</f>
        <v>0</v>
      </c>
      <c r="S120" s="551">
        <f>Проект!$S$221</f>
        <v>0</v>
      </c>
      <c r="T120" s="551">
        <f>Проект!$T$221</f>
        <v>0</v>
      </c>
      <c r="U120" s="551">
        <f>Проект!$U$221</f>
        <v>0</v>
      </c>
      <c r="V120" s="551">
        <f>Проект!$V$221</f>
        <v>0</v>
      </c>
      <c r="W120" s="551">
        <f>Проект!$W$221</f>
        <v>0</v>
      </c>
      <c r="X120" s="551">
        <f>Проект!$X$221</f>
        <v>0</v>
      </c>
      <c r="Y120" s="551">
        <f>Проект!$Y$221</f>
        <v>0</v>
      </c>
      <c r="Z120" s="551">
        <f>Проект!$Z$221</f>
        <v>0</v>
      </c>
      <c r="AA120" s="551">
        <f>Проект!$AA$221</f>
        <v>0</v>
      </c>
      <c r="AB120" s="551">
        <f>Проект!$AB$221</f>
        <v>0</v>
      </c>
      <c r="AC120" s="551">
        <f>Проект!$AC$221</f>
        <v>0</v>
      </c>
      <c r="AD120" s="531"/>
      <c r="AE120" s="535"/>
    </row>
    <row r="121" spans="1:31" hidden="1" x14ac:dyDescent="0.3">
      <c r="A121" s="536" t="str">
        <f ca="1">Проект!$A$222</f>
        <v>Взносы на обязательное пенсионное страхование</v>
      </c>
      <c r="B121" s="531"/>
      <c r="C121" s="532"/>
      <c r="D121" s="533"/>
      <c r="E121" s="531"/>
      <c r="F121" s="556">
        <f>Проект!$F$222</f>
        <v>0</v>
      </c>
      <c r="G121" s="556">
        <f>Проект!$G$222</f>
        <v>0</v>
      </c>
      <c r="H121" s="556">
        <f>Проект!$H$222</f>
        <v>0</v>
      </c>
      <c r="I121" s="556">
        <f>Проект!$I$222</f>
        <v>0</v>
      </c>
      <c r="J121" s="556">
        <f>Проект!$J$222</f>
        <v>0</v>
      </c>
      <c r="K121" s="556">
        <f>Проект!$K$222</f>
        <v>0</v>
      </c>
      <c r="L121" s="556">
        <f>Проект!$L$222</f>
        <v>0</v>
      </c>
      <c r="M121" s="556">
        <f>Проект!$M$222</f>
        <v>0</v>
      </c>
      <c r="N121" s="556">
        <f>Проект!$N$222</f>
        <v>0</v>
      </c>
      <c r="O121" s="556">
        <f>Проект!$O$222</f>
        <v>0</v>
      </c>
      <c r="P121" s="556">
        <f>Проект!$P$222</f>
        <v>0</v>
      </c>
      <c r="Q121" s="556">
        <f>Проект!$Q$222</f>
        <v>0</v>
      </c>
      <c r="R121" s="556">
        <f>Проект!$R$222</f>
        <v>0</v>
      </c>
      <c r="S121" s="556">
        <f>Проект!$S$222</f>
        <v>0</v>
      </c>
      <c r="T121" s="556">
        <f>Проект!$T$222</f>
        <v>0</v>
      </c>
      <c r="U121" s="556">
        <f>Проект!$U$222</f>
        <v>0</v>
      </c>
      <c r="V121" s="556">
        <f>Проект!$V$222</f>
        <v>0</v>
      </c>
      <c r="W121" s="556">
        <f>Проект!$W$222</f>
        <v>0</v>
      </c>
      <c r="X121" s="556">
        <f>Проект!$X$222</f>
        <v>0</v>
      </c>
      <c r="Y121" s="556">
        <f>Проект!$Y$222</f>
        <v>0</v>
      </c>
      <c r="Z121" s="556">
        <f>Проект!$Z$222</f>
        <v>0</v>
      </c>
      <c r="AA121" s="556">
        <f>Проект!$AA$222</f>
        <v>0</v>
      </c>
      <c r="AB121" s="556">
        <f>Проект!$AB$222</f>
        <v>0</v>
      </c>
      <c r="AC121" s="556">
        <f>Проект!$AC$222</f>
        <v>0</v>
      </c>
      <c r="AD121" s="536"/>
      <c r="AE121" s="553">
        <f>Проект!$AE$222</f>
        <v>0</v>
      </c>
    </row>
    <row r="122" spans="1:31" hidden="1" x14ac:dyDescent="0.3">
      <c r="A122" s="531" t="str">
        <f ca="1">Проект!$A$223</f>
        <v xml:space="preserve">    ставка</v>
      </c>
      <c r="B122" s="549">
        <f>Проект!$B$223</f>
        <v>0</v>
      </c>
      <c r="C122" s="532" t="str">
        <f>Проект!$C$223</f>
        <v>%</v>
      </c>
      <c r="D122" s="554" t="str">
        <f>Проект!$D$223</f>
        <v>int_avg</v>
      </c>
      <c r="E122" s="531"/>
      <c r="F122" s="534">
        <f>Проект!$F$223</f>
        <v>0</v>
      </c>
      <c r="G122" s="534">
        <f>Проект!$G$223</f>
        <v>0</v>
      </c>
      <c r="H122" s="534">
        <f>Проект!$H$223</f>
        <v>0</v>
      </c>
      <c r="I122" s="534">
        <f>Проект!$I$223</f>
        <v>0</v>
      </c>
      <c r="J122" s="534">
        <f>Проект!$J$223</f>
        <v>0</v>
      </c>
      <c r="K122" s="534">
        <f>Проект!$K$223</f>
        <v>0</v>
      </c>
      <c r="L122" s="534">
        <f>Проект!$L$223</f>
        <v>0</v>
      </c>
      <c r="M122" s="534">
        <f>Проект!$M$223</f>
        <v>0</v>
      </c>
      <c r="N122" s="534">
        <f>Проект!$N$223</f>
        <v>0</v>
      </c>
      <c r="O122" s="534">
        <f>Проект!$O$223</f>
        <v>0</v>
      </c>
      <c r="P122" s="534">
        <f>Проект!$P$223</f>
        <v>0</v>
      </c>
      <c r="Q122" s="534">
        <f>Проект!$Q$223</f>
        <v>0</v>
      </c>
      <c r="R122" s="534">
        <f>Проект!$R$223</f>
        <v>0</v>
      </c>
      <c r="S122" s="534">
        <f>Проект!$S$223</f>
        <v>0</v>
      </c>
      <c r="T122" s="534">
        <f>Проект!$T$223</f>
        <v>0</v>
      </c>
      <c r="U122" s="534">
        <f>Проект!$U$223</f>
        <v>0</v>
      </c>
      <c r="V122" s="534">
        <f>Проект!$V$223</f>
        <v>0</v>
      </c>
      <c r="W122" s="534">
        <f>Проект!$W$223</f>
        <v>0</v>
      </c>
      <c r="X122" s="534">
        <f>Проект!$X$223</f>
        <v>0</v>
      </c>
      <c r="Y122" s="534">
        <f>Проект!$Y$223</f>
        <v>0</v>
      </c>
      <c r="Z122" s="534">
        <f>Проект!$Z$223</f>
        <v>0</v>
      </c>
      <c r="AA122" s="534">
        <f>Проект!$AA$223</f>
        <v>0</v>
      </c>
      <c r="AB122" s="534">
        <f>Проект!$AB$223</f>
        <v>0</v>
      </c>
      <c r="AC122" s="534">
        <f>Проект!$AC$223</f>
        <v>0</v>
      </c>
      <c r="AD122" s="531"/>
      <c r="AE122" s="535"/>
    </row>
    <row r="123" spans="1:31" hidden="1" x14ac:dyDescent="0.3">
      <c r="A123" s="531" t="str">
        <f ca="1">Проект!$A$224</f>
        <v xml:space="preserve">    период уплаты</v>
      </c>
      <c r="B123" s="541">
        <f>Проект!$B$224</f>
        <v>90</v>
      </c>
      <c r="C123" s="532" t="str">
        <f ca="1">Проект!$C$224</f>
        <v>дней</v>
      </c>
      <c r="D123" s="554"/>
      <c r="E123" s="531"/>
      <c r="F123" s="534"/>
      <c r="G123" s="534"/>
      <c r="H123" s="534"/>
      <c r="I123" s="534"/>
      <c r="J123" s="534"/>
      <c r="K123" s="534"/>
      <c r="L123" s="534"/>
      <c r="M123" s="534"/>
      <c r="N123" s="534"/>
      <c r="O123" s="534"/>
      <c r="P123" s="534"/>
      <c r="Q123" s="534"/>
      <c r="R123" s="534"/>
      <c r="S123" s="534"/>
      <c r="T123" s="534"/>
      <c r="U123" s="534"/>
      <c r="V123" s="534"/>
      <c r="W123" s="534"/>
      <c r="X123" s="534"/>
      <c r="Y123" s="534"/>
      <c r="Z123" s="534"/>
      <c r="AA123" s="534"/>
      <c r="AB123" s="534"/>
      <c r="AC123" s="534"/>
      <c r="AD123" s="531"/>
      <c r="AE123" s="535"/>
    </row>
    <row r="124" spans="1:31" hidden="1" x14ac:dyDescent="0.3">
      <c r="A124" s="531" t="str">
        <f ca="1">Проект!$A$225</f>
        <v xml:space="preserve">    облагаемая база</v>
      </c>
      <c r="B124" s="531"/>
      <c r="C124" s="532" t="str">
        <f ca="1">Проект!$C$225</f>
        <v>тыс. EUR</v>
      </c>
      <c r="D124" s="533"/>
      <c r="E124" s="531"/>
      <c r="F124" s="542">
        <f>Проект!$F$225</f>
        <v>0</v>
      </c>
      <c r="G124" s="542">
        <f>Проект!$G$225</f>
        <v>0</v>
      </c>
      <c r="H124" s="542">
        <f>Проект!$H$225</f>
        <v>0</v>
      </c>
      <c r="I124" s="542">
        <f>Проект!$I$225</f>
        <v>0</v>
      </c>
      <c r="J124" s="542">
        <f>Проект!$J$225</f>
        <v>0</v>
      </c>
      <c r="K124" s="542">
        <f>Проект!$K$225</f>
        <v>366.15</v>
      </c>
      <c r="L124" s="542">
        <f>Проект!$L$225</f>
        <v>366.15</v>
      </c>
      <c r="M124" s="542">
        <f>Проект!$M$225</f>
        <v>366.15</v>
      </c>
      <c r="N124" s="542">
        <f>Проект!$N$225</f>
        <v>366.15</v>
      </c>
      <c r="O124" s="542">
        <f>Проект!$O$225</f>
        <v>366.15</v>
      </c>
      <c r="P124" s="542">
        <f>Проект!$P$225</f>
        <v>366.15</v>
      </c>
      <c r="Q124" s="542">
        <f>Проект!$Q$225</f>
        <v>366.15</v>
      </c>
      <c r="R124" s="542">
        <f>Проект!$R$225</f>
        <v>366.15</v>
      </c>
      <c r="S124" s="542">
        <f>Проект!$S$225</f>
        <v>366.15</v>
      </c>
      <c r="T124" s="542">
        <f>Проект!$T$225</f>
        <v>366.15</v>
      </c>
      <c r="U124" s="542">
        <f>Проект!$U$225</f>
        <v>366.15</v>
      </c>
      <c r="V124" s="542">
        <f>Проект!$V$225</f>
        <v>366.15</v>
      </c>
      <c r="W124" s="542">
        <f>Проект!$W$225</f>
        <v>366.15</v>
      </c>
      <c r="X124" s="542">
        <f>Проект!$X$225</f>
        <v>366.15</v>
      </c>
      <c r="Y124" s="542">
        <f>Проект!$Y$225</f>
        <v>366.15</v>
      </c>
      <c r="Z124" s="542">
        <f>Проект!$Z$225</f>
        <v>366.15</v>
      </c>
      <c r="AA124" s="542">
        <f>Проект!$AA$225</f>
        <v>366.15</v>
      </c>
      <c r="AB124" s="542">
        <f>Проект!$AB$225</f>
        <v>366.15</v>
      </c>
      <c r="AC124" s="542">
        <f>Проект!$AC$225</f>
        <v>366.15</v>
      </c>
      <c r="AD124" s="531"/>
      <c r="AE124" s="543">
        <f>Проект!$AE$225</f>
        <v>6956.8499999999976</v>
      </c>
    </row>
    <row r="125" spans="1:31" ht="11.25" customHeight="1" x14ac:dyDescent="0.3">
      <c r="A125" s="544"/>
      <c r="B125" s="544"/>
      <c r="C125" s="545"/>
      <c r="D125" s="546"/>
      <c r="E125" s="544"/>
      <c r="F125" s="547"/>
      <c r="G125" s="547"/>
      <c r="H125" s="547"/>
      <c r="I125" s="547"/>
      <c r="J125" s="547"/>
      <c r="K125" s="547"/>
      <c r="L125" s="547"/>
      <c r="M125" s="547"/>
      <c r="N125" s="547"/>
      <c r="O125" s="547"/>
      <c r="P125" s="547"/>
      <c r="Q125" s="547"/>
      <c r="R125" s="547"/>
      <c r="S125" s="547"/>
      <c r="T125" s="547"/>
      <c r="U125" s="547"/>
      <c r="V125" s="547"/>
      <c r="W125" s="547"/>
      <c r="X125" s="547"/>
      <c r="Y125" s="547"/>
      <c r="Z125" s="547"/>
      <c r="AA125" s="547"/>
      <c r="AB125" s="547"/>
      <c r="AC125" s="547"/>
      <c r="AD125" s="544"/>
      <c r="AE125" s="548"/>
    </row>
    <row r="126" spans="1:31" ht="11.25" customHeight="1" x14ac:dyDescent="0.3">
      <c r="A126" s="576" t="str">
        <f ca="1">Проект!$A$227</f>
        <v>Суммарные налоговые выплаты</v>
      </c>
      <c r="B126" s="577"/>
      <c r="C126" s="532" t="str">
        <f ca="1">Проект!$C$227</f>
        <v>тыс. EUR</v>
      </c>
      <c r="D126" s="578"/>
      <c r="E126" s="577"/>
      <c r="F126" s="556">
        <f ca="1">Проект!$F$227</f>
        <v>0</v>
      </c>
      <c r="G126" s="556">
        <f ca="1">Проект!$G$227</f>
        <v>0</v>
      </c>
      <c r="H126" s="556">
        <f ca="1">Проект!$H$227</f>
        <v>0</v>
      </c>
      <c r="I126" s="556">
        <f ca="1">Проект!$I$227</f>
        <v>0</v>
      </c>
      <c r="J126" s="556">
        <f ca="1">Проект!$J$227</f>
        <v>0</v>
      </c>
      <c r="K126" s="556">
        <f ca="1">Проект!$K$227</f>
        <v>-2989.0006576008236</v>
      </c>
      <c r="L126" s="556">
        <f ca="1">Проект!$L$227</f>
        <v>-26.982459645938384</v>
      </c>
      <c r="M126" s="556">
        <f ca="1">Проект!$M$227</f>
        <v>-464.71153767040261</v>
      </c>
      <c r="N126" s="556">
        <f ca="1">Проект!$N$227</f>
        <v>-483.23416319071339</v>
      </c>
      <c r="O126" s="556">
        <f ca="1">Проект!$O$227</f>
        <v>-663.57494506462081</v>
      </c>
      <c r="P126" s="556">
        <f ca="1">Проект!$P$227</f>
        <v>-874.73182378093111</v>
      </c>
      <c r="Q126" s="556">
        <f ca="1">Проект!$Q$227</f>
        <v>-874.73182378093111</v>
      </c>
      <c r="R126" s="556">
        <f ca="1">Проект!$R$227</f>
        <v>-874.73182378093111</v>
      </c>
      <c r="S126" s="556">
        <f ca="1">Проект!$S$227</f>
        <v>-874.73182378093111</v>
      </c>
      <c r="T126" s="556">
        <f ca="1">Проект!$T$227</f>
        <v>-874.73182378093111</v>
      </c>
      <c r="U126" s="556">
        <f ca="1">Проект!$U$227</f>
        <v>-874.73182378093111</v>
      </c>
      <c r="V126" s="556">
        <f ca="1">Проект!$V$227</f>
        <v>-874.73182378093111</v>
      </c>
      <c r="W126" s="556">
        <f ca="1">Проект!$W$227</f>
        <v>-874.73182378093111</v>
      </c>
      <c r="X126" s="556">
        <f ca="1">Проект!$X$227</f>
        <v>-874.73182378093111</v>
      </c>
      <c r="Y126" s="556">
        <f ca="1">Проект!$Y$227</f>
        <v>-874.73182378093111</v>
      </c>
      <c r="Z126" s="556">
        <f ca="1">Проект!$Z$227</f>
        <v>-874.73182378093111</v>
      </c>
      <c r="AA126" s="556">
        <f ca="1">Проект!$AA$227</f>
        <v>-874.73182378093111</v>
      </c>
      <c r="AB126" s="556">
        <f ca="1">Проект!$AB$227</f>
        <v>-874.73182378093111</v>
      </c>
      <c r="AC126" s="556">
        <f ca="1">Проект!$AC$227</f>
        <v>-874.73182378093111</v>
      </c>
      <c r="AD126" s="577"/>
      <c r="AE126" s="579">
        <f ca="1">Проект!$AE$227</f>
        <v>-16873.749296105529</v>
      </c>
    </row>
    <row r="127" spans="1:31" ht="11.25" customHeight="1" x14ac:dyDescent="0.3">
      <c r="A127" s="544"/>
      <c r="B127" s="544"/>
      <c r="C127" s="545"/>
      <c r="D127" s="546"/>
      <c r="E127" s="544"/>
      <c r="F127" s="547"/>
      <c r="G127" s="547"/>
      <c r="H127" s="547"/>
      <c r="I127" s="547"/>
      <c r="J127" s="547"/>
      <c r="K127" s="547"/>
      <c r="L127" s="547"/>
      <c r="M127" s="547"/>
      <c r="N127" s="547"/>
      <c r="O127" s="547"/>
      <c r="P127" s="547"/>
      <c r="Q127" s="547"/>
      <c r="R127" s="547"/>
      <c r="S127" s="547"/>
      <c r="T127" s="547"/>
      <c r="U127" s="547"/>
      <c r="V127" s="547"/>
      <c r="W127" s="547"/>
      <c r="X127" s="547"/>
      <c r="Y127" s="547"/>
      <c r="Z127" s="547"/>
      <c r="AA127" s="547"/>
      <c r="AB127" s="547"/>
      <c r="AC127" s="547"/>
      <c r="AD127" s="544"/>
      <c r="AE127" s="548"/>
    </row>
    <row r="130" spans="1:31" ht="15.95" customHeight="1" thickBot="1" x14ac:dyDescent="0.25">
      <c r="A130" s="528" t="str">
        <f ca="1">Проект!$A$669</f>
        <v xml:space="preserve">         ОБЪЕМЫ РЕАЛИЗАЦИИ (в единицах)</v>
      </c>
      <c r="B130" s="528"/>
      <c r="C130" s="528"/>
      <c r="D130" s="528"/>
      <c r="E130" s="528"/>
      <c r="F130" s="529" t="str">
        <f ca="1">Проект!$F$669</f>
        <v>1 кв. 2016</v>
      </c>
      <c r="G130" s="529" t="str">
        <f ca="1">Проект!$G$669</f>
        <v>2 кв. 2016</v>
      </c>
      <c r="H130" s="529" t="str">
        <f ca="1">Проект!$H$669</f>
        <v>3 кв. 2016</v>
      </c>
      <c r="I130" s="529" t="str">
        <f ca="1">Проект!$I$669</f>
        <v>4 кв. 2016</v>
      </c>
      <c r="J130" s="529" t="str">
        <f ca="1">Проект!$J$669</f>
        <v>1 кв. 2017</v>
      </c>
      <c r="K130" s="529" t="str">
        <f ca="1">Проект!$K$669</f>
        <v>2 кв. 2017</v>
      </c>
      <c r="L130" s="529" t="str">
        <f ca="1">Проект!$L$669</f>
        <v>3 кв. 2017</v>
      </c>
      <c r="M130" s="529" t="str">
        <f ca="1">Проект!$M$669</f>
        <v>4 кв. 2017</v>
      </c>
      <c r="N130" s="529" t="str">
        <f ca="1">Проект!$N$669</f>
        <v>1 кв. 2018</v>
      </c>
      <c r="O130" s="529" t="str">
        <f ca="1">Проект!$O$669</f>
        <v>2 кв. 2018</v>
      </c>
      <c r="P130" s="529" t="str">
        <f ca="1">Проект!$P$669</f>
        <v>3 кв. 2018</v>
      </c>
      <c r="Q130" s="529" t="str">
        <f ca="1">Проект!$Q$669</f>
        <v>4 кв. 2018</v>
      </c>
      <c r="R130" s="529" t="str">
        <f ca="1">Проект!$R$669</f>
        <v>1 кв. 2019</v>
      </c>
      <c r="S130" s="529" t="str">
        <f ca="1">Проект!$S$669</f>
        <v>2 кв. 2019</v>
      </c>
      <c r="T130" s="529" t="str">
        <f ca="1">Проект!$T$669</f>
        <v>3 кв. 2019</v>
      </c>
      <c r="U130" s="529" t="str">
        <f ca="1">Проект!$U$669</f>
        <v>4 кв. 2019</v>
      </c>
      <c r="V130" s="529" t="str">
        <f ca="1">Проект!$V$669</f>
        <v>1 кв. 2020</v>
      </c>
      <c r="W130" s="529" t="str">
        <f ca="1">Проект!$W$669</f>
        <v>2 кв. 2020</v>
      </c>
      <c r="X130" s="529" t="str">
        <f ca="1">Проект!$X$669</f>
        <v>3 кв. 2020</v>
      </c>
      <c r="Y130" s="529" t="str">
        <f ca="1">Проект!$Y$669</f>
        <v>4 кв. 2020</v>
      </c>
      <c r="Z130" s="529" t="str">
        <f ca="1">Проект!$Z$669</f>
        <v>1 кв. 2021</v>
      </c>
      <c r="AA130" s="529" t="str">
        <f ca="1">Проект!$AA$669</f>
        <v>2 кв. 2021</v>
      </c>
      <c r="AB130" s="529" t="str">
        <f ca="1">Проект!$AB$669</f>
        <v>3 кв. 2021</v>
      </c>
      <c r="AC130" s="529" t="str">
        <f ca="1">Проект!$AC$669</f>
        <v>4 кв. 2021</v>
      </c>
      <c r="AD130" s="528"/>
      <c r="AE130" s="530" t="str">
        <f ca="1">Проект!$AE$669</f>
        <v>ИТОГО</v>
      </c>
    </row>
    <row r="131" spans="1:31" ht="12" customHeight="1" thickTop="1" x14ac:dyDescent="0.3">
      <c r="A131" s="563"/>
      <c r="B131" s="563"/>
      <c r="C131" s="563"/>
      <c r="D131" s="563">
        <f>Проект!$D$670</f>
        <v>0</v>
      </c>
      <c r="E131" s="563">
        <f>Проект!$E$670</f>
        <v>1</v>
      </c>
      <c r="F131" s="563"/>
      <c r="G131" s="563"/>
      <c r="H131" s="563"/>
      <c r="I131" s="563"/>
      <c r="J131" s="563"/>
      <c r="K131" s="563"/>
      <c r="L131" s="563"/>
      <c r="M131" s="563"/>
      <c r="N131" s="563"/>
      <c r="O131" s="563"/>
      <c r="P131" s="563"/>
      <c r="Q131" s="563"/>
      <c r="R131" s="563"/>
      <c r="S131" s="563"/>
      <c r="T131" s="563"/>
      <c r="U131" s="563"/>
      <c r="V131" s="563"/>
      <c r="W131" s="563"/>
      <c r="X131" s="563"/>
      <c r="Y131" s="563"/>
      <c r="Z131" s="563"/>
      <c r="AA131" s="563"/>
      <c r="AB131" s="563"/>
      <c r="AC131" s="563"/>
      <c r="AD131" s="563"/>
      <c r="AE131" s="569"/>
    </row>
    <row r="132" spans="1:31" ht="11.25" customHeight="1" x14ac:dyDescent="0.3">
      <c r="A132" s="563" t="str">
        <f>Проект!$A$671</f>
        <v>Долота</v>
      </c>
      <c r="B132" s="580"/>
      <c r="C132" s="539" t="str">
        <f ca="1">Проект!$C$671</f>
        <v>ед.</v>
      </c>
      <c r="D132" s="563"/>
      <c r="E132" s="563"/>
      <c r="F132" s="581">
        <f>Проект!$F$671</f>
        <v>0</v>
      </c>
      <c r="G132" s="581">
        <f>Проект!$G$671</f>
        <v>0</v>
      </c>
      <c r="H132" s="581">
        <f>Проект!$H$671</f>
        <v>0</v>
      </c>
      <c r="I132" s="581">
        <f>Проект!$I$671</f>
        <v>0</v>
      </c>
      <c r="J132" s="581">
        <f>Проект!$J$671</f>
        <v>0</v>
      </c>
      <c r="K132" s="581">
        <f>Проект!$K$671</f>
        <v>84</v>
      </c>
      <c r="L132" s="581">
        <f>Проект!$L$671</f>
        <v>136</v>
      </c>
      <c r="M132" s="581">
        <f>Проект!$M$671</f>
        <v>204</v>
      </c>
      <c r="N132" s="581">
        <f>Проект!$N$671</f>
        <v>270</v>
      </c>
      <c r="O132" s="581">
        <f>Проект!$O$671</f>
        <v>270</v>
      </c>
      <c r="P132" s="581">
        <f>Проект!$P$671</f>
        <v>270</v>
      </c>
      <c r="Q132" s="581">
        <f>Проект!$Q$671</f>
        <v>270</v>
      </c>
      <c r="R132" s="581">
        <f>Проект!$R$671</f>
        <v>270</v>
      </c>
      <c r="S132" s="581">
        <f>Проект!$S$671</f>
        <v>270</v>
      </c>
      <c r="T132" s="581">
        <f>Проект!$T$671</f>
        <v>270</v>
      </c>
      <c r="U132" s="581">
        <f>Проект!$U$671</f>
        <v>270</v>
      </c>
      <c r="V132" s="581">
        <f>Проект!$V$671</f>
        <v>270</v>
      </c>
      <c r="W132" s="581">
        <f>Проект!$W$671</f>
        <v>270</v>
      </c>
      <c r="X132" s="581">
        <f>Проект!$X$671</f>
        <v>270</v>
      </c>
      <c r="Y132" s="581">
        <f>Проект!$Y$671</f>
        <v>270</v>
      </c>
      <c r="Z132" s="581">
        <f>Проект!$Z$671</f>
        <v>270</v>
      </c>
      <c r="AA132" s="581">
        <f>Проект!$AA$671</f>
        <v>270</v>
      </c>
      <c r="AB132" s="581">
        <f>Проект!$AB$671</f>
        <v>270</v>
      </c>
      <c r="AC132" s="581">
        <f>Проект!$AC$671</f>
        <v>270</v>
      </c>
      <c r="AD132" s="571"/>
      <c r="AE132" s="575">
        <f>Проект!$AE$671</f>
        <v>4744</v>
      </c>
    </row>
    <row r="133" spans="1:31" ht="11.25" customHeight="1" x14ac:dyDescent="0.3">
      <c r="A133" s="563" t="str">
        <f>Проект!$A$672</f>
        <v>ВЗД</v>
      </c>
      <c r="B133" s="580"/>
      <c r="C133" s="539" t="str">
        <f ca="1">Проект!$C$672</f>
        <v>ед.</v>
      </c>
      <c r="D133" s="563"/>
      <c r="E133" s="563"/>
      <c r="F133" s="581">
        <f>Проект!$F$672</f>
        <v>0</v>
      </c>
      <c r="G133" s="581">
        <f>Проект!$G$672</f>
        <v>0</v>
      </c>
      <c r="H133" s="581">
        <f>Проект!$H$672</f>
        <v>0</v>
      </c>
      <c r="I133" s="581">
        <f>Проект!$I$672</f>
        <v>0</v>
      </c>
      <c r="J133" s="581">
        <f>Проект!$J$672</f>
        <v>0</v>
      </c>
      <c r="K133" s="581">
        <f>Проект!$K$672</f>
        <v>0</v>
      </c>
      <c r="L133" s="581">
        <f>Проект!$L$672</f>
        <v>73</v>
      </c>
      <c r="M133" s="581">
        <f>Проект!$M$672</f>
        <v>122</v>
      </c>
      <c r="N133" s="581">
        <f>Проект!$N$672</f>
        <v>182</v>
      </c>
      <c r="O133" s="581">
        <f>Проект!$O$672</f>
        <v>240</v>
      </c>
      <c r="P133" s="581">
        <f>Проект!$P$672</f>
        <v>240</v>
      </c>
      <c r="Q133" s="581">
        <f>Проект!$Q$672</f>
        <v>240</v>
      </c>
      <c r="R133" s="581">
        <f>Проект!$R$672</f>
        <v>240</v>
      </c>
      <c r="S133" s="581">
        <f>Проект!$S$672</f>
        <v>240</v>
      </c>
      <c r="T133" s="581">
        <f>Проект!$T$672</f>
        <v>240</v>
      </c>
      <c r="U133" s="581">
        <f>Проект!$U$672</f>
        <v>240</v>
      </c>
      <c r="V133" s="581">
        <f>Проект!$V$672</f>
        <v>240</v>
      </c>
      <c r="W133" s="581">
        <f>Проект!$W$672</f>
        <v>240</v>
      </c>
      <c r="X133" s="581">
        <f>Проект!$X$672</f>
        <v>240</v>
      </c>
      <c r="Y133" s="581">
        <f>Проект!$Y$672</f>
        <v>240</v>
      </c>
      <c r="Z133" s="581">
        <f>Проект!$Z$672</f>
        <v>240</v>
      </c>
      <c r="AA133" s="581">
        <f>Проект!$AA$672</f>
        <v>240</v>
      </c>
      <c r="AB133" s="581">
        <f>Проект!$AB$672</f>
        <v>240</v>
      </c>
      <c r="AC133" s="581">
        <f>Проект!$AC$672</f>
        <v>240</v>
      </c>
      <c r="AD133" s="571"/>
      <c r="AE133" s="575">
        <f>Проект!$AE$672</f>
        <v>3977</v>
      </c>
    </row>
    <row r="134" spans="1:31" ht="11.25" customHeight="1" x14ac:dyDescent="0.3">
      <c r="A134" s="569"/>
      <c r="B134" s="582"/>
      <c r="C134" s="539"/>
      <c r="D134" s="533"/>
      <c r="E134" s="563"/>
      <c r="F134" s="583"/>
      <c r="G134" s="583"/>
      <c r="H134" s="583"/>
      <c r="I134" s="583"/>
      <c r="J134" s="583"/>
      <c r="K134" s="583"/>
      <c r="L134" s="583"/>
      <c r="M134" s="583"/>
      <c r="N134" s="583"/>
      <c r="O134" s="583"/>
      <c r="P134" s="583"/>
      <c r="Q134" s="583"/>
      <c r="R134" s="583"/>
      <c r="S134" s="583"/>
      <c r="T134" s="583"/>
      <c r="U134" s="583"/>
      <c r="V134" s="583"/>
      <c r="W134" s="583"/>
      <c r="X134" s="583"/>
      <c r="Y134" s="583"/>
      <c r="Z134" s="583"/>
      <c r="AA134" s="583"/>
      <c r="AB134" s="583"/>
      <c r="AC134" s="583"/>
      <c r="AD134" s="563"/>
      <c r="AE134" s="569"/>
    </row>
    <row r="135" spans="1:31" ht="11.25" customHeight="1" x14ac:dyDescent="0.3">
      <c r="A135" s="544"/>
      <c r="B135" s="544"/>
      <c r="C135" s="544"/>
      <c r="D135" s="544"/>
      <c r="E135" s="544"/>
      <c r="F135" s="544"/>
      <c r="G135" s="544"/>
      <c r="H135" s="544"/>
      <c r="I135" s="544"/>
      <c r="J135" s="544"/>
      <c r="K135" s="544"/>
      <c r="L135" s="544"/>
      <c r="M135" s="544"/>
      <c r="N135" s="544"/>
      <c r="O135" s="544"/>
      <c r="P135" s="544"/>
      <c r="Q135" s="544"/>
      <c r="R135" s="544"/>
      <c r="S135" s="544"/>
      <c r="T135" s="544"/>
      <c r="U135" s="544"/>
      <c r="V135" s="544"/>
      <c r="W135" s="544"/>
      <c r="X135" s="544"/>
      <c r="Y135" s="544"/>
      <c r="Z135" s="544"/>
      <c r="AA135" s="544"/>
      <c r="AB135" s="544"/>
      <c r="AC135" s="544"/>
      <c r="AD135" s="544"/>
      <c r="AE135" s="548"/>
    </row>
    <row r="138" spans="1:31" ht="15.95" customHeight="1" thickBot="1" x14ac:dyDescent="0.25">
      <c r="A138" s="528" t="str">
        <f ca="1">Проект!$A$676</f>
        <v xml:space="preserve">         ЦЕНА РЕАЛИЗАЦИИ (за единицу, с НДС)</v>
      </c>
      <c r="B138" s="528"/>
      <c r="C138" s="528"/>
      <c r="D138" s="528"/>
      <c r="E138" s="528"/>
      <c r="F138" s="529" t="str">
        <f ca="1">Проект!$F$676</f>
        <v>1 кв. 2016</v>
      </c>
      <c r="G138" s="529" t="str">
        <f ca="1">Проект!$G$676</f>
        <v>2 кв. 2016</v>
      </c>
      <c r="H138" s="529" t="str">
        <f ca="1">Проект!$H$676</f>
        <v>3 кв. 2016</v>
      </c>
      <c r="I138" s="529" t="str">
        <f ca="1">Проект!$I$676</f>
        <v>4 кв. 2016</v>
      </c>
      <c r="J138" s="529" t="str">
        <f ca="1">Проект!$J$676</f>
        <v>1 кв. 2017</v>
      </c>
      <c r="K138" s="529" t="str">
        <f ca="1">Проект!$K$676</f>
        <v>2 кв. 2017</v>
      </c>
      <c r="L138" s="529" t="str">
        <f ca="1">Проект!$L$676</f>
        <v>3 кв. 2017</v>
      </c>
      <c r="M138" s="529" t="str">
        <f ca="1">Проект!$M$676</f>
        <v>4 кв. 2017</v>
      </c>
      <c r="N138" s="529" t="str">
        <f ca="1">Проект!$N$676</f>
        <v>1 кв. 2018</v>
      </c>
      <c r="O138" s="529" t="str">
        <f ca="1">Проект!$O$676</f>
        <v>2 кв. 2018</v>
      </c>
      <c r="P138" s="529" t="str">
        <f ca="1">Проект!$P$676</f>
        <v>3 кв. 2018</v>
      </c>
      <c r="Q138" s="529" t="str">
        <f ca="1">Проект!$Q$676</f>
        <v>4 кв. 2018</v>
      </c>
      <c r="R138" s="529" t="str">
        <f ca="1">Проект!$R$676</f>
        <v>1 кв. 2019</v>
      </c>
      <c r="S138" s="529" t="str">
        <f ca="1">Проект!$S$676</f>
        <v>2 кв. 2019</v>
      </c>
      <c r="T138" s="529" t="str">
        <f ca="1">Проект!$T$676</f>
        <v>3 кв. 2019</v>
      </c>
      <c r="U138" s="529" t="str">
        <f ca="1">Проект!$U$676</f>
        <v>4 кв. 2019</v>
      </c>
      <c r="V138" s="529" t="str">
        <f ca="1">Проект!$V$676</f>
        <v>1 кв. 2020</v>
      </c>
      <c r="W138" s="529" t="str">
        <f ca="1">Проект!$W$676</f>
        <v>2 кв. 2020</v>
      </c>
      <c r="X138" s="529" t="str">
        <f ca="1">Проект!$X$676</f>
        <v>3 кв. 2020</v>
      </c>
      <c r="Y138" s="529" t="str">
        <f ca="1">Проект!$Y$676</f>
        <v>4 кв. 2020</v>
      </c>
      <c r="Z138" s="529" t="str">
        <f ca="1">Проект!$Z$676</f>
        <v>1 кв. 2021</v>
      </c>
      <c r="AA138" s="529" t="str">
        <f ca="1">Проект!$AA$676</f>
        <v>2 кв. 2021</v>
      </c>
      <c r="AB138" s="529" t="str">
        <f ca="1">Проект!$AB$676</f>
        <v>3 кв. 2021</v>
      </c>
      <c r="AC138" s="529" t="str">
        <f ca="1">Проект!$AC$676</f>
        <v>4 кв. 2021</v>
      </c>
      <c r="AD138" s="528"/>
      <c r="AE138" s="530"/>
    </row>
    <row r="139" spans="1:31" ht="12" customHeight="1" thickTop="1" x14ac:dyDescent="0.3">
      <c r="A139" s="563"/>
      <c r="B139" s="584" t="str">
        <f ca="1">Проект!$B$677</f>
        <v>Валюта</v>
      </c>
      <c r="C139" s="563"/>
      <c r="D139" s="563">
        <f>Проект!$D$677</f>
        <v>0</v>
      </c>
      <c r="E139" s="563">
        <f>Проект!$E$677</f>
        <v>7</v>
      </c>
      <c r="F139" s="563"/>
      <c r="G139" s="563"/>
      <c r="H139" s="563"/>
      <c r="I139" s="563"/>
      <c r="J139" s="563"/>
      <c r="K139" s="563"/>
      <c r="L139" s="563"/>
      <c r="M139" s="563"/>
      <c r="N139" s="563"/>
      <c r="O139" s="563"/>
      <c r="P139" s="563"/>
      <c r="Q139" s="563"/>
      <c r="R139" s="563"/>
      <c r="S139" s="563"/>
      <c r="T139" s="563"/>
      <c r="U139" s="563"/>
      <c r="V139" s="563"/>
      <c r="W139" s="563"/>
      <c r="X139" s="563"/>
      <c r="Y139" s="563"/>
      <c r="Z139" s="563"/>
      <c r="AA139" s="563"/>
      <c r="AB139" s="563"/>
      <c r="AC139" s="563"/>
      <c r="AD139" s="563"/>
      <c r="AE139" s="569"/>
    </row>
    <row r="140" spans="1:31" ht="11.25" customHeight="1" x14ac:dyDescent="0.3">
      <c r="A140" s="563" t="str">
        <f>Проект!$A$678</f>
        <v>Долота</v>
      </c>
      <c r="B140" s="537">
        <f>Проект!$B$678</f>
        <v>1</v>
      </c>
      <c r="C140" s="585" t="str">
        <f ca="1">Проект!$C$678</f>
        <v>тыс. EUR</v>
      </c>
      <c r="D140" s="533" t="str">
        <f>Проект!$D$678</f>
        <v>int_avg</v>
      </c>
      <c r="E140" s="563"/>
      <c r="F140" s="586"/>
      <c r="G140" s="586"/>
      <c r="H140" s="586"/>
      <c r="I140" s="586"/>
      <c r="J140" s="586">
        <f>Проект!$J$678</f>
        <v>0</v>
      </c>
      <c r="K140" s="586">
        <f>Проект!$K$678</f>
        <v>8.5066776748961868</v>
      </c>
      <c r="L140" s="586">
        <f>Проект!$L$678</f>
        <v>8.5134748275305991</v>
      </c>
      <c r="M140" s="586">
        <f>Проект!$M$678</f>
        <v>8.4676262884251177</v>
      </c>
      <c r="N140" s="586">
        <f>Проект!$N$678</f>
        <v>8.4906447461459571</v>
      </c>
      <c r="O140" s="586">
        <f>Проект!$O$678</f>
        <v>8.4906447461459571</v>
      </c>
      <c r="P140" s="586">
        <f>Проект!$P$678</f>
        <v>8.4906447461459571</v>
      </c>
      <c r="Q140" s="586">
        <f>Проект!$Q$678</f>
        <v>8.4906447461459571</v>
      </c>
      <c r="R140" s="586">
        <f>Проект!$R$678</f>
        <v>8.4906447461459571</v>
      </c>
      <c r="S140" s="586">
        <f>Проект!$S$678</f>
        <v>8.4906447461459571</v>
      </c>
      <c r="T140" s="586">
        <f>Проект!$T$678</f>
        <v>8.4906447461459571</v>
      </c>
      <c r="U140" s="586">
        <f>Проект!$U$678</f>
        <v>8.4906447461459571</v>
      </c>
      <c r="V140" s="586">
        <f>Проект!$V$678</f>
        <v>8.4906447461459571</v>
      </c>
      <c r="W140" s="586">
        <f>Проект!$W$678</f>
        <v>8.4906447461459571</v>
      </c>
      <c r="X140" s="586">
        <f>Проект!$X$678</f>
        <v>8.4906447461459571</v>
      </c>
      <c r="Y140" s="586">
        <f>Проект!$Y$678</f>
        <v>8.4906447461459571</v>
      </c>
      <c r="Z140" s="586">
        <f>Проект!$Z$678</f>
        <v>8.4906447461459571</v>
      </c>
      <c r="AA140" s="586">
        <f>Проект!$AA$678</f>
        <v>8.4906447461459571</v>
      </c>
      <c r="AB140" s="586">
        <f>Проект!$AB$678</f>
        <v>8.4906447461459571</v>
      </c>
      <c r="AC140" s="586">
        <f>Проект!$AC$678</f>
        <v>8.4906447461459571</v>
      </c>
      <c r="AD140" s="563"/>
      <c r="AE140" s="569"/>
    </row>
    <row r="141" spans="1:31" hidden="1" x14ac:dyDescent="0.3">
      <c r="A141" s="563" t="str">
        <f ca="1">Проект!$A$679</f>
        <v>Предполагаемый темп годового роста цен</v>
      </c>
      <c r="B141" s="563"/>
      <c r="C141" s="539" t="str">
        <f>Проект!$C$679</f>
        <v>%</v>
      </c>
      <c r="D141" s="554" t="str">
        <f>Проект!$D$679</f>
        <v>int_avg</v>
      </c>
      <c r="E141" s="563"/>
      <c r="F141" s="587">
        <f>Проект!$F$679</f>
        <v>0</v>
      </c>
      <c r="G141" s="587">
        <f>Проект!$G$679</f>
        <v>0</v>
      </c>
      <c r="H141" s="587">
        <f>Проект!$H$679</f>
        <v>0</v>
      </c>
      <c r="I141" s="587">
        <f>Проект!$I$679</f>
        <v>0</v>
      </c>
      <c r="J141" s="587">
        <f>Проект!$J$679</f>
        <v>0</v>
      </c>
      <c r="K141" s="587">
        <f>Проект!$K$679</f>
        <v>0</v>
      </c>
      <c r="L141" s="587">
        <f>Проект!$L$679</f>
        <v>0</v>
      </c>
      <c r="M141" s="587">
        <f>Проект!$M$679</f>
        <v>0</v>
      </c>
      <c r="N141" s="587">
        <f>Проект!$N$679</f>
        <v>0</v>
      </c>
      <c r="O141" s="587">
        <f>Проект!$O$679</f>
        <v>0</v>
      </c>
      <c r="P141" s="587">
        <f>Проект!$P$679</f>
        <v>0</v>
      </c>
      <c r="Q141" s="587">
        <f>Проект!$Q$679</f>
        <v>0</v>
      </c>
      <c r="R141" s="587">
        <f>Проект!$R$679</f>
        <v>0</v>
      </c>
      <c r="S141" s="587">
        <f>Проект!$S$679</f>
        <v>0</v>
      </c>
      <c r="T141" s="587">
        <f>Проект!$T$679</f>
        <v>0</v>
      </c>
      <c r="U141" s="587">
        <f>Проект!$U$679</f>
        <v>0</v>
      </c>
      <c r="V141" s="587">
        <f>Проект!$V$679</f>
        <v>0</v>
      </c>
      <c r="W141" s="587">
        <f>Проект!$W$679</f>
        <v>0</v>
      </c>
      <c r="X141" s="587">
        <f>Проект!$X$679</f>
        <v>0</v>
      </c>
      <c r="Y141" s="587">
        <f>Проект!$Y$679</f>
        <v>0</v>
      </c>
      <c r="Z141" s="587">
        <f>Проект!$Z$679</f>
        <v>0</v>
      </c>
      <c r="AA141" s="587">
        <f>Проект!$AA$679</f>
        <v>0</v>
      </c>
      <c r="AB141" s="587">
        <f>Проект!$AB$679</f>
        <v>0</v>
      </c>
      <c r="AC141" s="587">
        <f>Проект!$AC$679</f>
        <v>0</v>
      </c>
      <c r="AD141" s="563"/>
      <c r="AE141" s="569"/>
    </row>
    <row r="142" spans="1:31" hidden="1" x14ac:dyDescent="0.3">
      <c r="A142" s="563" t="str">
        <f ca="1">Проект!$A$680</f>
        <v>То же, в пересчете на период, равный шагу проекта</v>
      </c>
      <c r="B142" s="563"/>
      <c r="C142" s="539" t="str">
        <f>Проект!$C$680</f>
        <v>%</v>
      </c>
      <c r="D142" s="554" t="str">
        <f>Проект!$D$680</f>
        <v>int_avg</v>
      </c>
      <c r="E142" s="563"/>
      <c r="F142" s="588">
        <f>Проект!$F$680</f>
        <v>0</v>
      </c>
      <c r="G142" s="588">
        <f>Проект!$G$680</f>
        <v>0</v>
      </c>
      <c r="H142" s="588">
        <f>Проект!$H$680</f>
        <v>0</v>
      </c>
      <c r="I142" s="588">
        <f>Проект!$I$680</f>
        <v>0</v>
      </c>
      <c r="J142" s="588">
        <f>Проект!$J$680</f>
        <v>0</v>
      </c>
      <c r="K142" s="588">
        <f>Проект!$K$680</f>
        <v>0</v>
      </c>
      <c r="L142" s="588">
        <f>Проект!$L$680</f>
        <v>0</v>
      </c>
      <c r="M142" s="588">
        <f>Проект!$M$680</f>
        <v>0</v>
      </c>
      <c r="N142" s="588">
        <f>Проект!$N$680</f>
        <v>0</v>
      </c>
      <c r="O142" s="588">
        <f>Проект!$O$680</f>
        <v>0</v>
      </c>
      <c r="P142" s="588">
        <f>Проект!$P$680</f>
        <v>0</v>
      </c>
      <c r="Q142" s="588">
        <f>Проект!$Q$680</f>
        <v>0</v>
      </c>
      <c r="R142" s="588">
        <f>Проект!$R$680</f>
        <v>0</v>
      </c>
      <c r="S142" s="588">
        <f>Проект!$S$680</f>
        <v>0</v>
      </c>
      <c r="T142" s="588">
        <f>Проект!$T$680</f>
        <v>0</v>
      </c>
      <c r="U142" s="588">
        <f>Проект!$U$680</f>
        <v>0</v>
      </c>
      <c r="V142" s="588">
        <f>Проект!$V$680</f>
        <v>0</v>
      </c>
      <c r="W142" s="588">
        <f>Проект!$W$680</f>
        <v>0</v>
      </c>
      <c r="X142" s="588">
        <f>Проект!$X$680</f>
        <v>0</v>
      </c>
      <c r="Y142" s="588">
        <f>Проект!$Y$680</f>
        <v>0</v>
      </c>
      <c r="Z142" s="588">
        <f>Проект!$Z$680</f>
        <v>0</v>
      </c>
      <c r="AA142" s="588">
        <f>Проект!$AA$680</f>
        <v>0</v>
      </c>
      <c r="AB142" s="588">
        <f>Проект!$AB$680</f>
        <v>0</v>
      </c>
      <c r="AC142" s="588">
        <f>Проект!$AC$680</f>
        <v>0</v>
      </c>
      <c r="AD142" s="563"/>
      <c r="AE142" s="569"/>
    </row>
    <row r="143" spans="1:31" hidden="1" x14ac:dyDescent="0.3">
      <c r="A143" s="563" t="str">
        <f ca="1">Проект!$A$681</f>
        <v xml:space="preserve">    цена без НДС и акцизов</v>
      </c>
      <c r="B143" s="584" t="str">
        <f ca="1">Проект!$B$681</f>
        <v>Адвалорные</v>
      </c>
      <c r="C143" s="584" t="str">
        <f ca="1">Проект!$C$681</f>
        <v>Твердые</v>
      </c>
      <c r="D143" s="533" t="str">
        <f>Проект!$D$681</f>
        <v>int_avg</v>
      </c>
      <c r="E143" s="563"/>
      <c r="F143" s="589">
        <f>Проект!$F$681</f>
        <v>0</v>
      </c>
      <c r="G143" s="589">
        <f>Проект!$G$681</f>
        <v>0</v>
      </c>
      <c r="H143" s="589">
        <f>Проект!$H$681</f>
        <v>0</v>
      </c>
      <c r="I143" s="589">
        <f>Проект!$I$681</f>
        <v>0</v>
      </c>
      <c r="J143" s="589">
        <f>Проект!$J$681</f>
        <v>0</v>
      </c>
      <c r="K143" s="589">
        <f>Проект!$K$681</f>
        <v>8.5066776748961868</v>
      </c>
      <c r="L143" s="589">
        <f>Проект!$L$681</f>
        <v>8.5134748275305991</v>
      </c>
      <c r="M143" s="589">
        <f>Проект!$M$681</f>
        <v>8.4676262884251177</v>
      </c>
      <c r="N143" s="589">
        <f>Проект!$N$681</f>
        <v>8.4906447461459571</v>
      </c>
      <c r="O143" s="589">
        <f>Проект!$O$681</f>
        <v>8.4906447461459571</v>
      </c>
      <c r="P143" s="589">
        <f>Проект!$P$681</f>
        <v>8.4906447461459571</v>
      </c>
      <c r="Q143" s="589">
        <f>Проект!$Q$681</f>
        <v>8.4906447461459571</v>
      </c>
      <c r="R143" s="589">
        <f>Проект!$R$681</f>
        <v>8.4906447461459571</v>
      </c>
      <c r="S143" s="589">
        <f>Проект!$S$681</f>
        <v>8.4906447461459571</v>
      </c>
      <c r="T143" s="589">
        <f>Проект!$T$681</f>
        <v>8.4906447461459571</v>
      </c>
      <c r="U143" s="589">
        <f>Проект!$U$681</f>
        <v>8.4906447461459571</v>
      </c>
      <c r="V143" s="589">
        <f>Проект!$V$681</f>
        <v>8.4906447461459571</v>
      </c>
      <c r="W143" s="589">
        <f>Проект!$W$681</f>
        <v>8.4906447461459571</v>
      </c>
      <c r="X143" s="589">
        <f>Проект!$X$681</f>
        <v>8.4906447461459571</v>
      </c>
      <c r="Y143" s="589">
        <f>Проект!$Y$681</f>
        <v>8.4906447461459571</v>
      </c>
      <c r="Z143" s="589">
        <f>Проект!$Z$681</f>
        <v>8.4906447461459571</v>
      </c>
      <c r="AA143" s="589">
        <f>Проект!$AA$681</f>
        <v>8.4906447461459571</v>
      </c>
      <c r="AB143" s="589">
        <f>Проект!$AB$681</f>
        <v>8.4906447461459571</v>
      </c>
      <c r="AC143" s="589">
        <f>Проект!$AC$681</f>
        <v>8.4906447461459571</v>
      </c>
      <c r="AD143" s="563"/>
      <c r="AE143" s="569"/>
    </row>
    <row r="144" spans="1:31" hidden="1" x14ac:dyDescent="0.3">
      <c r="A144" s="563" t="str">
        <f ca="1">Проект!$A$682</f>
        <v xml:space="preserve">    акцизы</v>
      </c>
      <c r="B144" s="590">
        <f>Проект!$B$682</f>
        <v>0</v>
      </c>
      <c r="C144" s="591">
        <f>Проект!$C$682</f>
        <v>0</v>
      </c>
      <c r="D144" s="533" t="str">
        <f>Проект!$D$682</f>
        <v>int_avg</v>
      </c>
      <c r="E144" s="563"/>
      <c r="F144" s="589">
        <f>Проект!$F$682</f>
        <v>0</v>
      </c>
      <c r="G144" s="589">
        <f>Проект!$G$682</f>
        <v>0</v>
      </c>
      <c r="H144" s="589">
        <f>Проект!$H$682</f>
        <v>0</v>
      </c>
      <c r="I144" s="589">
        <f>Проект!$I$682</f>
        <v>0</v>
      </c>
      <c r="J144" s="589">
        <f>Проект!$J$682</f>
        <v>0</v>
      </c>
      <c r="K144" s="589">
        <f>Проект!$K$682</f>
        <v>0</v>
      </c>
      <c r="L144" s="589">
        <f>Проект!$L$682</f>
        <v>0</v>
      </c>
      <c r="M144" s="589">
        <f>Проект!$M$682</f>
        <v>0</v>
      </c>
      <c r="N144" s="589">
        <f>Проект!$N$682</f>
        <v>0</v>
      </c>
      <c r="O144" s="589">
        <f>Проект!$O$682</f>
        <v>0</v>
      </c>
      <c r="P144" s="589">
        <f>Проект!$P$682</f>
        <v>0</v>
      </c>
      <c r="Q144" s="589">
        <f>Проект!$Q$682</f>
        <v>0</v>
      </c>
      <c r="R144" s="589">
        <f>Проект!$R$682</f>
        <v>0</v>
      </c>
      <c r="S144" s="589">
        <f>Проект!$S$682</f>
        <v>0</v>
      </c>
      <c r="T144" s="589">
        <f>Проект!$T$682</f>
        <v>0</v>
      </c>
      <c r="U144" s="589">
        <f>Проект!$U$682</f>
        <v>0</v>
      </c>
      <c r="V144" s="589">
        <f>Проект!$V$682</f>
        <v>0</v>
      </c>
      <c r="W144" s="589">
        <f>Проект!$W$682</f>
        <v>0</v>
      </c>
      <c r="X144" s="589">
        <f>Проект!$X$682</f>
        <v>0</v>
      </c>
      <c r="Y144" s="589">
        <f>Проект!$Y$682</f>
        <v>0</v>
      </c>
      <c r="Z144" s="589">
        <f>Проект!$Z$682</f>
        <v>0</v>
      </c>
      <c r="AA144" s="589">
        <f>Проект!$AA$682</f>
        <v>0</v>
      </c>
      <c r="AB144" s="589">
        <f>Проект!$AB$682</f>
        <v>0</v>
      </c>
      <c r="AC144" s="589">
        <f>Проект!$AC$682</f>
        <v>0</v>
      </c>
      <c r="AD144" s="563"/>
      <c r="AE144" s="569"/>
    </row>
    <row r="145" spans="1:31" hidden="1" x14ac:dyDescent="0.3">
      <c r="A145" s="563" t="str">
        <f ca="1">Проект!$A$683</f>
        <v xml:space="preserve">    налог с продаж</v>
      </c>
      <c r="B145" s="592">
        <f>Проект!$B$683</f>
        <v>0</v>
      </c>
      <c r="C145" s="593" t="str">
        <f ca="1">Проект!$C$683</f>
        <v>тыс. EUR</v>
      </c>
      <c r="D145" s="533" t="str">
        <f>Проект!$D$683</f>
        <v>int_avg</v>
      </c>
      <c r="E145" s="563"/>
      <c r="F145" s="589">
        <f>Проект!$F$683</f>
        <v>0</v>
      </c>
      <c r="G145" s="589">
        <f>Проект!$G$683</f>
        <v>0</v>
      </c>
      <c r="H145" s="589">
        <f>Проект!$H$683</f>
        <v>0</v>
      </c>
      <c r="I145" s="589">
        <f>Проект!$I$683</f>
        <v>0</v>
      </c>
      <c r="J145" s="589">
        <f>Проект!$J$683</f>
        <v>0</v>
      </c>
      <c r="K145" s="589">
        <f>Проект!$K$683</f>
        <v>0</v>
      </c>
      <c r="L145" s="589">
        <f>Проект!$L$683</f>
        <v>0</v>
      </c>
      <c r="M145" s="589">
        <f>Проект!$M$683</f>
        <v>0</v>
      </c>
      <c r="N145" s="589">
        <f>Проект!$N$683</f>
        <v>0</v>
      </c>
      <c r="O145" s="589">
        <f>Проект!$O$683</f>
        <v>0</v>
      </c>
      <c r="P145" s="589">
        <f>Проект!$P$683</f>
        <v>0</v>
      </c>
      <c r="Q145" s="589">
        <f>Проект!$Q$683</f>
        <v>0</v>
      </c>
      <c r="R145" s="589">
        <f>Проект!$R$683</f>
        <v>0</v>
      </c>
      <c r="S145" s="589">
        <f>Проект!$S$683</f>
        <v>0</v>
      </c>
      <c r="T145" s="589">
        <f>Проект!$T$683</f>
        <v>0</v>
      </c>
      <c r="U145" s="589">
        <f>Проект!$U$683</f>
        <v>0</v>
      </c>
      <c r="V145" s="589">
        <f>Проект!$V$683</f>
        <v>0</v>
      </c>
      <c r="W145" s="589">
        <f>Проект!$W$683</f>
        <v>0</v>
      </c>
      <c r="X145" s="589">
        <f>Проект!$X$683</f>
        <v>0</v>
      </c>
      <c r="Y145" s="589">
        <f>Проект!$Y$683</f>
        <v>0</v>
      </c>
      <c r="Z145" s="589">
        <f>Проект!$Z$683</f>
        <v>0</v>
      </c>
      <c r="AA145" s="589">
        <f>Проект!$AA$683</f>
        <v>0</v>
      </c>
      <c r="AB145" s="589">
        <f>Проект!$AB$683</f>
        <v>0</v>
      </c>
      <c r="AC145" s="589">
        <f>Проект!$AC$683</f>
        <v>0</v>
      </c>
      <c r="AD145" s="563"/>
      <c r="AE145" s="569"/>
    </row>
    <row r="146" spans="1:31" hidden="1" x14ac:dyDescent="0.3">
      <c r="A146" s="563" t="str">
        <f ca="1">Проект!$A$684</f>
        <v xml:space="preserve">    НДС</v>
      </c>
      <c r="B146" s="592">
        <f>Проект!$B$684</f>
        <v>0</v>
      </c>
      <c r="C146" s="594" t="str">
        <f ca="1">Проект!$C$684</f>
        <v>тыс. EUR</v>
      </c>
      <c r="D146" s="533" t="str">
        <f>Проект!$D$684</f>
        <v>int_avg</v>
      </c>
      <c r="E146" s="563"/>
      <c r="F146" s="589">
        <f>Проект!$F$684</f>
        <v>0</v>
      </c>
      <c r="G146" s="589">
        <f>Проект!$G$684</f>
        <v>0</v>
      </c>
      <c r="H146" s="589">
        <f>Проект!$H$684</f>
        <v>0</v>
      </c>
      <c r="I146" s="589">
        <f>Проект!$I$684</f>
        <v>0</v>
      </c>
      <c r="J146" s="589">
        <f>Проект!$J$684</f>
        <v>0</v>
      </c>
      <c r="K146" s="589">
        <f>Проект!$K$684</f>
        <v>0</v>
      </c>
      <c r="L146" s="589">
        <f>Проект!$L$684</f>
        <v>0</v>
      </c>
      <c r="M146" s="589">
        <f>Проект!$M$684</f>
        <v>0</v>
      </c>
      <c r="N146" s="589">
        <f>Проект!$N$684</f>
        <v>0</v>
      </c>
      <c r="O146" s="589">
        <f>Проект!$O$684</f>
        <v>0</v>
      </c>
      <c r="P146" s="589">
        <f>Проект!$P$684</f>
        <v>0</v>
      </c>
      <c r="Q146" s="589">
        <f>Проект!$Q$684</f>
        <v>0</v>
      </c>
      <c r="R146" s="589">
        <f>Проект!$R$684</f>
        <v>0</v>
      </c>
      <c r="S146" s="589">
        <f>Проект!$S$684</f>
        <v>0</v>
      </c>
      <c r="T146" s="589">
        <f>Проект!$T$684</f>
        <v>0</v>
      </c>
      <c r="U146" s="589">
        <f>Проект!$U$684</f>
        <v>0</v>
      </c>
      <c r="V146" s="589">
        <f>Проект!$V$684</f>
        <v>0</v>
      </c>
      <c r="W146" s="589">
        <f>Проект!$W$684</f>
        <v>0</v>
      </c>
      <c r="X146" s="589">
        <f>Проект!$X$684</f>
        <v>0</v>
      </c>
      <c r="Y146" s="589">
        <f>Проект!$Y$684</f>
        <v>0</v>
      </c>
      <c r="Z146" s="589">
        <f>Проект!$Z$684</f>
        <v>0</v>
      </c>
      <c r="AA146" s="589">
        <f>Проект!$AA$684</f>
        <v>0</v>
      </c>
      <c r="AB146" s="589">
        <f>Проект!$AB$684</f>
        <v>0</v>
      </c>
      <c r="AC146" s="589">
        <f>Проект!$AC$684</f>
        <v>0</v>
      </c>
      <c r="AD146" s="563"/>
      <c r="AE146" s="569"/>
    </row>
    <row r="147" spans="1:31" ht="11.25" customHeight="1" x14ac:dyDescent="0.3">
      <c r="A147" s="563" t="str">
        <f>Проект!$A$685</f>
        <v>ВЗД</v>
      </c>
      <c r="B147" s="537">
        <f>Проект!$B$685</f>
        <v>1</v>
      </c>
      <c r="C147" s="585" t="str">
        <f ca="1">Проект!$C$685</f>
        <v>тыс. EUR</v>
      </c>
      <c r="D147" s="533" t="str">
        <f>Проект!$D$685</f>
        <v>int_avg</v>
      </c>
      <c r="E147" s="563"/>
      <c r="F147" s="586"/>
      <c r="G147" s="586"/>
      <c r="H147" s="586"/>
      <c r="I147" s="586"/>
      <c r="J147" s="586">
        <f>Проект!$J$685</f>
        <v>0</v>
      </c>
      <c r="K147" s="586">
        <f>Проект!$K$685</f>
        <v>0</v>
      </c>
      <c r="L147" s="586">
        <f>Проект!$L$685</f>
        <v>21.553160407801261</v>
      </c>
      <c r="M147" s="586">
        <f>Проект!$M$685</f>
        <v>21.756598703636698</v>
      </c>
      <c r="N147" s="586">
        <f>Проект!$N$685</f>
        <v>21.739266573339638</v>
      </c>
      <c r="O147" s="586">
        <f>Проект!$O$685</f>
        <v>21.803949462157622</v>
      </c>
      <c r="P147" s="586">
        <f>Проект!$P$685</f>
        <v>21.803949462157622</v>
      </c>
      <c r="Q147" s="586">
        <f>Проект!$Q$685</f>
        <v>21.803949462157622</v>
      </c>
      <c r="R147" s="586">
        <f>Проект!$R$685</f>
        <v>21.803949462157622</v>
      </c>
      <c r="S147" s="586">
        <f>Проект!$S$685</f>
        <v>21.803949462157622</v>
      </c>
      <c r="T147" s="586">
        <f>Проект!$T$685</f>
        <v>21.803949462157622</v>
      </c>
      <c r="U147" s="586">
        <f>Проект!$U$685</f>
        <v>21.803949462157622</v>
      </c>
      <c r="V147" s="586">
        <f>Проект!$V$685</f>
        <v>21.803949462157622</v>
      </c>
      <c r="W147" s="586">
        <f>Проект!$W$685</f>
        <v>21.803949462157622</v>
      </c>
      <c r="X147" s="586">
        <f>Проект!$X$685</f>
        <v>21.803949462157622</v>
      </c>
      <c r="Y147" s="586">
        <f>Проект!$Y$685</f>
        <v>21.803949462157622</v>
      </c>
      <c r="Z147" s="586">
        <f>Проект!$Z$685</f>
        <v>21.803949462157622</v>
      </c>
      <c r="AA147" s="586">
        <f>Проект!$AA$685</f>
        <v>21.803949462157622</v>
      </c>
      <c r="AB147" s="586">
        <f>Проект!$AB$685</f>
        <v>21.803949462157622</v>
      </c>
      <c r="AC147" s="586">
        <f>Проект!$AC$685</f>
        <v>21.803949462157622</v>
      </c>
      <c r="AD147" s="563"/>
      <c r="AE147" s="569"/>
    </row>
    <row r="148" spans="1:31" hidden="1" x14ac:dyDescent="0.3">
      <c r="A148" s="563" t="str">
        <f ca="1">Проект!$A$686</f>
        <v>Предполагаемый темп годового роста цен</v>
      </c>
      <c r="B148" s="563"/>
      <c r="C148" s="539" t="str">
        <f>Проект!$C$686</f>
        <v>%</v>
      </c>
      <c r="D148" s="554" t="str">
        <f>Проект!$D$686</f>
        <v>int_avg</v>
      </c>
      <c r="E148" s="563"/>
      <c r="F148" s="587">
        <f>Проект!$F$686</f>
        <v>0</v>
      </c>
      <c r="G148" s="587">
        <f>Проект!$G$686</f>
        <v>0</v>
      </c>
      <c r="H148" s="587">
        <f>Проект!$H$686</f>
        <v>0</v>
      </c>
      <c r="I148" s="587">
        <f>Проект!$I$686</f>
        <v>0</v>
      </c>
      <c r="J148" s="587">
        <f>Проект!$J$686</f>
        <v>0</v>
      </c>
      <c r="K148" s="587">
        <f>Проект!$K$686</f>
        <v>0</v>
      </c>
      <c r="L148" s="587">
        <f>Проект!$L$686</f>
        <v>0</v>
      </c>
      <c r="M148" s="587">
        <f>Проект!$M$686</f>
        <v>0</v>
      </c>
      <c r="N148" s="587">
        <f>Проект!$N$686</f>
        <v>0</v>
      </c>
      <c r="O148" s="587">
        <f>Проект!$O$686</f>
        <v>0</v>
      </c>
      <c r="P148" s="587">
        <f>Проект!$P$686</f>
        <v>0</v>
      </c>
      <c r="Q148" s="587">
        <f>Проект!$Q$686</f>
        <v>0</v>
      </c>
      <c r="R148" s="587">
        <f>Проект!$R$686</f>
        <v>0</v>
      </c>
      <c r="S148" s="587">
        <f>Проект!$S$686</f>
        <v>0</v>
      </c>
      <c r="T148" s="587">
        <f>Проект!$T$686</f>
        <v>0</v>
      </c>
      <c r="U148" s="587">
        <f>Проект!$U$686</f>
        <v>0</v>
      </c>
      <c r="V148" s="587">
        <f>Проект!$V$686</f>
        <v>0</v>
      </c>
      <c r="W148" s="587">
        <f>Проект!$W$686</f>
        <v>0</v>
      </c>
      <c r="X148" s="587">
        <f>Проект!$X$686</f>
        <v>0</v>
      </c>
      <c r="Y148" s="587">
        <f>Проект!$Y$686</f>
        <v>0</v>
      </c>
      <c r="Z148" s="587">
        <f>Проект!$Z$686</f>
        <v>0</v>
      </c>
      <c r="AA148" s="587">
        <f>Проект!$AA$686</f>
        <v>0</v>
      </c>
      <c r="AB148" s="587">
        <f>Проект!$AB$686</f>
        <v>0</v>
      </c>
      <c r="AC148" s="587">
        <f>Проект!$AC$686</f>
        <v>0</v>
      </c>
      <c r="AD148" s="563"/>
      <c r="AE148" s="569"/>
    </row>
    <row r="149" spans="1:31" hidden="1" x14ac:dyDescent="0.3">
      <c r="A149" s="563" t="str">
        <f ca="1">Проект!$A$687</f>
        <v>То же, в пересчете на период, равный шагу проекта</v>
      </c>
      <c r="B149" s="563"/>
      <c r="C149" s="539" t="str">
        <f>Проект!$C$687</f>
        <v>%</v>
      </c>
      <c r="D149" s="554" t="str">
        <f>Проект!$D$687</f>
        <v>int_avg</v>
      </c>
      <c r="E149" s="563"/>
      <c r="F149" s="588">
        <f>Проект!$F$687</f>
        <v>0</v>
      </c>
      <c r="G149" s="588">
        <f>Проект!$G$687</f>
        <v>0</v>
      </c>
      <c r="H149" s="588">
        <f>Проект!$H$687</f>
        <v>0</v>
      </c>
      <c r="I149" s="588">
        <f>Проект!$I$687</f>
        <v>0</v>
      </c>
      <c r="J149" s="588">
        <f>Проект!$J$687</f>
        <v>0</v>
      </c>
      <c r="K149" s="588">
        <f>Проект!$K$687</f>
        <v>0</v>
      </c>
      <c r="L149" s="588">
        <f>Проект!$L$687</f>
        <v>0</v>
      </c>
      <c r="M149" s="588">
        <f>Проект!$M$687</f>
        <v>0</v>
      </c>
      <c r="N149" s="588">
        <f>Проект!$N$687</f>
        <v>0</v>
      </c>
      <c r="O149" s="588">
        <f>Проект!$O$687</f>
        <v>0</v>
      </c>
      <c r="P149" s="588">
        <f>Проект!$P$687</f>
        <v>0</v>
      </c>
      <c r="Q149" s="588">
        <f>Проект!$Q$687</f>
        <v>0</v>
      </c>
      <c r="R149" s="588">
        <f>Проект!$R$687</f>
        <v>0</v>
      </c>
      <c r="S149" s="588">
        <f>Проект!$S$687</f>
        <v>0</v>
      </c>
      <c r="T149" s="588">
        <f>Проект!$T$687</f>
        <v>0</v>
      </c>
      <c r="U149" s="588">
        <f>Проект!$U$687</f>
        <v>0</v>
      </c>
      <c r="V149" s="588">
        <f>Проект!$V$687</f>
        <v>0</v>
      </c>
      <c r="W149" s="588">
        <f>Проект!$W$687</f>
        <v>0</v>
      </c>
      <c r="X149" s="588">
        <f>Проект!$X$687</f>
        <v>0</v>
      </c>
      <c r="Y149" s="588">
        <f>Проект!$Y$687</f>
        <v>0</v>
      </c>
      <c r="Z149" s="588">
        <f>Проект!$Z$687</f>
        <v>0</v>
      </c>
      <c r="AA149" s="588">
        <f>Проект!$AA$687</f>
        <v>0</v>
      </c>
      <c r="AB149" s="588">
        <f>Проект!$AB$687</f>
        <v>0</v>
      </c>
      <c r="AC149" s="588">
        <f>Проект!$AC$687</f>
        <v>0</v>
      </c>
      <c r="AD149" s="563"/>
      <c r="AE149" s="569"/>
    </row>
    <row r="150" spans="1:31" hidden="1" x14ac:dyDescent="0.3">
      <c r="A150" s="563" t="str">
        <f ca="1">Проект!$A$688</f>
        <v xml:space="preserve">    цена без НДС и акцизов</v>
      </c>
      <c r="B150" s="584" t="str">
        <f ca="1">Проект!$B$688</f>
        <v>Адвалорные</v>
      </c>
      <c r="C150" s="584" t="str">
        <f ca="1">Проект!$C$688</f>
        <v>Твердые</v>
      </c>
      <c r="D150" s="533" t="str">
        <f>Проект!$D$688</f>
        <v>int_avg</v>
      </c>
      <c r="E150" s="563"/>
      <c r="F150" s="589">
        <f>Проект!$F$688</f>
        <v>0</v>
      </c>
      <c r="G150" s="589">
        <f>Проект!$G$688</f>
        <v>0</v>
      </c>
      <c r="H150" s="589">
        <f>Проект!$H$688</f>
        <v>0</v>
      </c>
      <c r="I150" s="589">
        <f>Проект!$I$688</f>
        <v>0</v>
      </c>
      <c r="J150" s="589">
        <f>Проект!$J$688</f>
        <v>0</v>
      </c>
      <c r="K150" s="589">
        <f>Проект!$K$688</f>
        <v>0</v>
      </c>
      <c r="L150" s="589">
        <f>Проект!$L$688</f>
        <v>21.553160407801261</v>
      </c>
      <c r="M150" s="589">
        <f>Проект!$M$688</f>
        <v>21.756598703636698</v>
      </c>
      <c r="N150" s="589">
        <f>Проект!$N$688</f>
        <v>21.739266573339638</v>
      </c>
      <c r="O150" s="589">
        <f>Проект!$O$688</f>
        <v>21.803949462157622</v>
      </c>
      <c r="P150" s="589">
        <f>Проект!$P$688</f>
        <v>21.803949462157622</v>
      </c>
      <c r="Q150" s="589">
        <f>Проект!$Q$688</f>
        <v>21.803949462157622</v>
      </c>
      <c r="R150" s="589">
        <f>Проект!$R$688</f>
        <v>21.803949462157622</v>
      </c>
      <c r="S150" s="589">
        <f>Проект!$S$688</f>
        <v>21.803949462157622</v>
      </c>
      <c r="T150" s="589">
        <f>Проект!$T$688</f>
        <v>21.803949462157622</v>
      </c>
      <c r="U150" s="589">
        <f>Проект!$U$688</f>
        <v>21.803949462157622</v>
      </c>
      <c r="V150" s="589">
        <f>Проект!$V$688</f>
        <v>21.803949462157622</v>
      </c>
      <c r="W150" s="589">
        <f>Проект!$W$688</f>
        <v>21.803949462157622</v>
      </c>
      <c r="X150" s="589">
        <f>Проект!$X$688</f>
        <v>21.803949462157622</v>
      </c>
      <c r="Y150" s="589">
        <f>Проект!$Y$688</f>
        <v>21.803949462157622</v>
      </c>
      <c r="Z150" s="589">
        <f>Проект!$Z$688</f>
        <v>21.803949462157622</v>
      </c>
      <c r="AA150" s="589">
        <f>Проект!$AA$688</f>
        <v>21.803949462157622</v>
      </c>
      <c r="AB150" s="589">
        <f>Проект!$AB$688</f>
        <v>21.803949462157622</v>
      </c>
      <c r="AC150" s="589">
        <f>Проект!$AC$688</f>
        <v>21.803949462157622</v>
      </c>
      <c r="AD150" s="563"/>
      <c r="AE150" s="569"/>
    </row>
    <row r="151" spans="1:31" hidden="1" x14ac:dyDescent="0.3">
      <c r="A151" s="563" t="str">
        <f ca="1">Проект!$A$689</f>
        <v xml:space="preserve">    акцизы</v>
      </c>
      <c r="B151" s="590">
        <f>Проект!$B$689</f>
        <v>0</v>
      </c>
      <c r="C151" s="591">
        <f>Проект!$C$689</f>
        <v>0</v>
      </c>
      <c r="D151" s="533" t="str">
        <f>Проект!$D$689</f>
        <v>int_avg</v>
      </c>
      <c r="E151" s="563"/>
      <c r="F151" s="589">
        <f>Проект!$F$689</f>
        <v>0</v>
      </c>
      <c r="G151" s="589">
        <f>Проект!$G$689</f>
        <v>0</v>
      </c>
      <c r="H151" s="589">
        <f>Проект!$H$689</f>
        <v>0</v>
      </c>
      <c r="I151" s="589">
        <f>Проект!$I$689</f>
        <v>0</v>
      </c>
      <c r="J151" s="589">
        <f>Проект!$J$689</f>
        <v>0</v>
      </c>
      <c r="K151" s="589">
        <f>Проект!$K$689</f>
        <v>0</v>
      </c>
      <c r="L151" s="589">
        <f>Проект!$L$689</f>
        <v>0</v>
      </c>
      <c r="M151" s="589">
        <f>Проект!$M$689</f>
        <v>0</v>
      </c>
      <c r="N151" s="589">
        <f>Проект!$N$689</f>
        <v>0</v>
      </c>
      <c r="O151" s="589">
        <f>Проект!$O$689</f>
        <v>0</v>
      </c>
      <c r="P151" s="589">
        <f>Проект!$P$689</f>
        <v>0</v>
      </c>
      <c r="Q151" s="589">
        <f>Проект!$Q$689</f>
        <v>0</v>
      </c>
      <c r="R151" s="589">
        <f>Проект!$R$689</f>
        <v>0</v>
      </c>
      <c r="S151" s="589">
        <f>Проект!$S$689</f>
        <v>0</v>
      </c>
      <c r="T151" s="589">
        <f>Проект!$T$689</f>
        <v>0</v>
      </c>
      <c r="U151" s="589">
        <f>Проект!$U$689</f>
        <v>0</v>
      </c>
      <c r="V151" s="589">
        <f>Проект!$V$689</f>
        <v>0</v>
      </c>
      <c r="W151" s="589">
        <f>Проект!$W$689</f>
        <v>0</v>
      </c>
      <c r="X151" s="589">
        <f>Проект!$X$689</f>
        <v>0</v>
      </c>
      <c r="Y151" s="589">
        <f>Проект!$Y$689</f>
        <v>0</v>
      </c>
      <c r="Z151" s="589">
        <f>Проект!$Z$689</f>
        <v>0</v>
      </c>
      <c r="AA151" s="589">
        <f>Проект!$AA$689</f>
        <v>0</v>
      </c>
      <c r="AB151" s="589">
        <f>Проект!$AB$689</f>
        <v>0</v>
      </c>
      <c r="AC151" s="589">
        <f>Проект!$AC$689</f>
        <v>0</v>
      </c>
      <c r="AD151" s="563"/>
      <c r="AE151" s="569"/>
    </row>
    <row r="152" spans="1:31" hidden="1" x14ac:dyDescent="0.3">
      <c r="A152" s="563" t="str">
        <f ca="1">Проект!$A$690</f>
        <v xml:space="preserve">    налог с продаж</v>
      </c>
      <c r="B152" s="592">
        <f>Проект!$B$690</f>
        <v>0</v>
      </c>
      <c r="C152" s="593" t="str">
        <f ca="1">Проект!$C$690</f>
        <v>тыс. EUR</v>
      </c>
      <c r="D152" s="533" t="str">
        <f>Проект!$D$690</f>
        <v>int_avg</v>
      </c>
      <c r="E152" s="563"/>
      <c r="F152" s="589">
        <f>Проект!$F$690</f>
        <v>0</v>
      </c>
      <c r="G152" s="589">
        <f>Проект!$G$690</f>
        <v>0</v>
      </c>
      <c r="H152" s="589">
        <f>Проект!$H$690</f>
        <v>0</v>
      </c>
      <c r="I152" s="589">
        <f>Проект!$I$690</f>
        <v>0</v>
      </c>
      <c r="J152" s="589">
        <f>Проект!$J$690</f>
        <v>0</v>
      </c>
      <c r="K152" s="589">
        <f>Проект!$K$690</f>
        <v>0</v>
      </c>
      <c r="L152" s="589">
        <f>Проект!$L$690</f>
        <v>0</v>
      </c>
      <c r="M152" s="589">
        <f>Проект!$M$690</f>
        <v>0</v>
      </c>
      <c r="N152" s="589">
        <f>Проект!$N$690</f>
        <v>0</v>
      </c>
      <c r="O152" s="589">
        <f>Проект!$O$690</f>
        <v>0</v>
      </c>
      <c r="P152" s="589">
        <f>Проект!$P$690</f>
        <v>0</v>
      </c>
      <c r="Q152" s="589">
        <f>Проект!$Q$690</f>
        <v>0</v>
      </c>
      <c r="R152" s="589">
        <f>Проект!$R$690</f>
        <v>0</v>
      </c>
      <c r="S152" s="589">
        <f>Проект!$S$690</f>
        <v>0</v>
      </c>
      <c r="T152" s="589">
        <f>Проект!$T$690</f>
        <v>0</v>
      </c>
      <c r="U152" s="589">
        <f>Проект!$U$690</f>
        <v>0</v>
      </c>
      <c r="V152" s="589">
        <f>Проект!$V$690</f>
        <v>0</v>
      </c>
      <c r="W152" s="589">
        <f>Проект!$W$690</f>
        <v>0</v>
      </c>
      <c r="X152" s="589">
        <f>Проект!$X$690</f>
        <v>0</v>
      </c>
      <c r="Y152" s="589">
        <f>Проект!$Y$690</f>
        <v>0</v>
      </c>
      <c r="Z152" s="589">
        <f>Проект!$Z$690</f>
        <v>0</v>
      </c>
      <c r="AA152" s="589">
        <f>Проект!$AA$690</f>
        <v>0</v>
      </c>
      <c r="AB152" s="589">
        <f>Проект!$AB$690</f>
        <v>0</v>
      </c>
      <c r="AC152" s="589">
        <f>Проект!$AC$690</f>
        <v>0</v>
      </c>
      <c r="AD152" s="563"/>
      <c r="AE152" s="569"/>
    </row>
    <row r="153" spans="1:31" hidden="1" x14ac:dyDescent="0.3">
      <c r="A153" s="563" t="str">
        <f ca="1">Проект!$A$691</f>
        <v xml:space="preserve">    НДС</v>
      </c>
      <c r="B153" s="592">
        <f>Проект!$B$691</f>
        <v>0</v>
      </c>
      <c r="C153" s="594" t="str">
        <f ca="1">Проект!$C$691</f>
        <v>тыс. EUR</v>
      </c>
      <c r="D153" s="533" t="str">
        <f>Проект!$D$691</f>
        <v>int_avg</v>
      </c>
      <c r="E153" s="563"/>
      <c r="F153" s="589">
        <f>Проект!$F$691</f>
        <v>0</v>
      </c>
      <c r="G153" s="589">
        <f>Проект!$G$691</f>
        <v>0</v>
      </c>
      <c r="H153" s="589">
        <f>Проект!$H$691</f>
        <v>0</v>
      </c>
      <c r="I153" s="589">
        <f>Проект!$I$691</f>
        <v>0</v>
      </c>
      <c r="J153" s="589">
        <f>Проект!$J$691</f>
        <v>0</v>
      </c>
      <c r="K153" s="589">
        <f>Проект!$K$691</f>
        <v>0</v>
      </c>
      <c r="L153" s="589">
        <f>Проект!$L$691</f>
        <v>0</v>
      </c>
      <c r="M153" s="589">
        <f>Проект!$M$691</f>
        <v>0</v>
      </c>
      <c r="N153" s="589">
        <f>Проект!$N$691</f>
        <v>0</v>
      </c>
      <c r="O153" s="589">
        <f>Проект!$O$691</f>
        <v>0</v>
      </c>
      <c r="P153" s="589">
        <f>Проект!$P$691</f>
        <v>0</v>
      </c>
      <c r="Q153" s="589">
        <f>Проект!$Q$691</f>
        <v>0</v>
      </c>
      <c r="R153" s="589">
        <f>Проект!$R$691</f>
        <v>0</v>
      </c>
      <c r="S153" s="589">
        <f>Проект!$S$691</f>
        <v>0</v>
      </c>
      <c r="T153" s="589">
        <f>Проект!$T$691</f>
        <v>0</v>
      </c>
      <c r="U153" s="589">
        <f>Проект!$U$691</f>
        <v>0</v>
      </c>
      <c r="V153" s="589">
        <f>Проект!$V$691</f>
        <v>0</v>
      </c>
      <c r="W153" s="589">
        <f>Проект!$W$691</f>
        <v>0</v>
      </c>
      <c r="X153" s="589">
        <f>Проект!$X$691</f>
        <v>0</v>
      </c>
      <c r="Y153" s="589">
        <f>Проект!$Y$691</f>
        <v>0</v>
      </c>
      <c r="Z153" s="589">
        <f>Проект!$Z$691</f>
        <v>0</v>
      </c>
      <c r="AA153" s="589">
        <f>Проект!$AA$691</f>
        <v>0</v>
      </c>
      <c r="AB153" s="589">
        <f>Проект!$AB$691</f>
        <v>0</v>
      </c>
      <c r="AC153" s="589">
        <f>Проект!$AC$691</f>
        <v>0</v>
      </c>
      <c r="AD153" s="563"/>
      <c r="AE153" s="569"/>
    </row>
    <row r="154" spans="1:31" ht="11.25" customHeight="1" x14ac:dyDescent="0.3">
      <c r="A154" s="563"/>
      <c r="B154" s="563"/>
      <c r="C154" s="563"/>
      <c r="D154" s="563"/>
      <c r="E154" s="563"/>
      <c r="F154" s="563"/>
      <c r="G154" s="563"/>
      <c r="H154" s="563"/>
      <c r="I154" s="563"/>
      <c r="J154" s="563"/>
      <c r="K154" s="563"/>
      <c r="L154" s="563"/>
      <c r="M154" s="563"/>
      <c r="N154" s="563"/>
      <c r="O154" s="563"/>
      <c r="P154" s="563"/>
      <c r="Q154" s="563"/>
      <c r="R154" s="563"/>
      <c r="S154" s="563"/>
      <c r="T154" s="563"/>
      <c r="U154" s="563"/>
      <c r="V154" s="563"/>
      <c r="W154" s="563"/>
      <c r="X154" s="563"/>
      <c r="Y154" s="563"/>
      <c r="Z154" s="563"/>
      <c r="AA154" s="563"/>
      <c r="AB154" s="563"/>
      <c r="AC154" s="563"/>
      <c r="AD154" s="563"/>
      <c r="AE154" s="569"/>
    </row>
    <row r="155" spans="1:31" ht="11.25" customHeight="1" x14ac:dyDescent="0.3">
      <c r="A155" s="544"/>
      <c r="B155" s="544"/>
      <c r="C155" s="544"/>
      <c r="D155" s="544"/>
      <c r="E155" s="544"/>
      <c r="F155" s="544"/>
      <c r="G155" s="544"/>
      <c r="H155" s="544"/>
      <c r="I155" s="544"/>
      <c r="J155" s="544"/>
      <c r="K155" s="544"/>
      <c r="L155" s="544"/>
      <c r="M155" s="544"/>
      <c r="N155" s="544"/>
      <c r="O155" s="544"/>
      <c r="P155" s="544"/>
      <c r="Q155" s="544"/>
      <c r="R155" s="544"/>
      <c r="S155" s="544"/>
      <c r="T155" s="544"/>
      <c r="U155" s="544"/>
      <c r="V155" s="544"/>
      <c r="W155" s="544"/>
      <c r="X155" s="544"/>
      <c r="Y155" s="544"/>
      <c r="Z155" s="544"/>
      <c r="AA155" s="544"/>
      <c r="AB155" s="544"/>
      <c r="AC155" s="544"/>
      <c r="AD155" s="544"/>
      <c r="AE155" s="548"/>
    </row>
    <row r="158" spans="1:31" ht="15.95" customHeight="1" thickBot="1" x14ac:dyDescent="0.25">
      <c r="A158" s="528" t="str">
        <f ca="1">Проект!$A$695</f>
        <v xml:space="preserve">         ДОХОДЫ ОТ ПРОДАЖ</v>
      </c>
      <c r="B158" s="528"/>
      <c r="C158" s="528"/>
      <c r="D158" s="528"/>
      <c r="E158" s="528"/>
      <c r="F158" s="529" t="str">
        <f ca="1">Проект!$F$695</f>
        <v>1 кв. 2016</v>
      </c>
      <c r="G158" s="529" t="str">
        <f ca="1">Проект!$G$695</f>
        <v>2 кв. 2016</v>
      </c>
      <c r="H158" s="529" t="str">
        <f ca="1">Проект!$H$695</f>
        <v>3 кв. 2016</v>
      </c>
      <c r="I158" s="529" t="str">
        <f ca="1">Проект!$I$695</f>
        <v>4 кв. 2016</v>
      </c>
      <c r="J158" s="529" t="str">
        <f ca="1">Проект!$J$695</f>
        <v>1 кв. 2017</v>
      </c>
      <c r="K158" s="529" t="str">
        <f ca="1">Проект!$K$695</f>
        <v>2 кв. 2017</v>
      </c>
      <c r="L158" s="529" t="str">
        <f ca="1">Проект!$L$695</f>
        <v>3 кв. 2017</v>
      </c>
      <c r="M158" s="529" t="str">
        <f ca="1">Проект!$M$695</f>
        <v>4 кв. 2017</v>
      </c>
      <c r="N158" s="529" t="str">
        <f ca="1">Проект!$N$695</f>
        <v>1 кв. 2018</v>
      </c>
      <c r="O158" s="529" t="str">
        <f ca="1">Проект!$O$695</f>
        <v>2 кв. 2018</v>
      </c>
      <c r="P158" s="529" t="str">
        <f ca="1">Проект!$P$695</f>
        <v>3 кв. 2018</v>
      </c>
      <c r="Q158" s="529" t="str">
        <f ca="1">Проект!$Q$695</f>
        <v>4 кв. 2018</v>
      </c>
      <c r="R158" s="529" t="str">
        <f ca="1">Проект!$R$695</f>
        <v>1 кв. 2019</v>
      </c>
      <c r="S158" s="529" t="str">
        <f ca="1">Проект!$S$695</f>
        <v>2 кв. 2019</v>
      </c>
      <c r="T158" s="529" t="str">
        <f ca="1">Проект!$T$695</f>
        <v>3 кв. 2019</v>
      </c>
      <c r="U158" s="529" t="str">
        <f ca="1">Проект!$U$695</f>
        <v>4 кв. 2019</v>
      </c>
      <c r="V158" s="529" t="str">
        <f ca="1">Проект!$V$695</f>
        <v>1 кв. 2020</v>
      </c>
      <c r="W158" s="529" t="str">
        <f ca="1">Проект!$W$695</f>
        <v>2 кв. 2020</v>
      </c>
      <c r="X158" s="529" t="str">
        <f ca="1">Проект!$X$695</f>
        <v>3 кв. 2020</v>
      </c>
      <c r="Y158" s="529" t="str">
        <f ca="1">Проект!$Y$695</f>
        <v>4 кв. 2020</v>
      </c>
      <c r="Z158" s="529" t="str">
        <f ca="1">Проект!$Z$695</f>
        <v>1 кв. 2021</v>
      </c>
      <c r="AA158" s="529" t="str">
        <f ca="1">Проект!$AA$695</f>
        <v>2 кв. 2021</v>
      </c>
      <c r="AB158" s="529" t="str">
        <f ca="1">Проект!$AB$695</f>
        <v>3 кв. 2021</v>
      </c>
      <c r="AC158" s="529" t="str">
        <f ca="1">Проект!$AC$695</f>
        <v>4 кв. 2021</v>
      </c>
      <c r="AD158" s="528"/>
      <c r="AE158" s="530" t="str">
        <f ca="1">Проект!$AE$695</f>
        <v>ИТОГО</v>
      </c>
    </row>
    <row r="159" spans="1:31" ht="12" customHeight="1" thickTop="1" x14ac:dyDescent="0.3">
      <c r="A159" s="563"/>
      <c r="B159" s="563"/>
      <c r="C159" s="563"/>
      <c r="D159" s="563">
        <f>Проект!$D$696</f>
        <v>0</v>
      </c>
      <c r="E159" s="563">
        <f>Проект!$E$696</f>
        <v>8</v>
      </c>
      <c r="F159" s="563"/>
      <c r="G159" s="563"/>
      <c r="H159" s="563"/>
      <c r="I159" s="563"/>
      <c r="J159" s="563"/>
      <c r="K159" s="563"/>
      <c r="L159" s="563"/>
      <c r="M159" s="563"/>
      <c r="N159" s="563"/>
      <c r="O159" s="563"/>
      <c r="P159" s="563"/>
      <c r="Q159" s="563"/>
      <c r="R159" s="563"/>
      <c r="S159" s="563"/>
      <c r="T159" s="563"/>
      <c r="U159" s="563"/>
      <c r="V159" s="563"/>
      <c r="W159" s="563"/>
      <c r="X159" s="563"/>
      <c r="Y159" s="563"/>
      <c r="Z159" s="563"/>
      <c r="AA159" s="563"/>
      <c r="AB159" s="563"/>
      <c r="AC159" s="563"/>
      <c r="AD159" s="563"/>
      <c r="AE159" s="569"/>
    </row>
    <row r="160" spans="1:31" ht="11.25" customHeight="1" x14ac:dyDescent="0.3">
      <c r="A160" s="563" t="str">
        <f>Проект!$A$697</f>
        <v>Долота</v>
      </c>
      <c r="B160" s="563"/>
      <c r="C160" s="539" t="str">
        <f ca="1">Проект!$C$697</f>
        <v>тыс. EUR</v>
      </c>
      <c r="D160" s="533" t="str">
        <f>Проект!$D$697</f>
        <v>1_01</v>
      </c>
      <c r="E160" s="563"/>
      <c r="F160" s="595">
        <f>Проект!$F$697</f>
        <v>0</v>
      </c>
      <c r="G160" s="595">
        <f>Проект!$G$697</f>
        <v>0</v>
      </c>
      <c r="H160" s="595">
        <f>Проект!$H$697</f>
        <v>0</v>
      </c>
      <c r="I160" s="595">
        <f>Проект!$I$697</f>
        <v>0</v>
      </c>
      <c r="J160" s="595">
        <f>Проект!$J$697</f>
        <v>0</v>
      </c>
      <c r="K160" s="595">
        <f>Проект!$K$697</f>
        <v>714.56092469127964</v>
      </c>
      <c r="L160" s="595">
        <f>Проект!$L$697</f>
        <v>1157.8325765441614</v>
      </c>
      <c r="M160" s="595">
        <f>Проект!$M$697</f>
        <v>1727.3957628387241</v>
      </c>
      <c r="N160" s="595">
        <f>Проект!$N$697</f>
        <v>2292.4740814594084</v>
      </c>
      <c r="O160" s="595">
        <f>Проект!$O$697</f>
        <v>2292.4740814594084</v>
      </c>
      <c r="P160" s="595">
        <f>Проект!$P$697</f>
        <v>2292.4740814594084</v>
      </c>
      <c r="Q160" s="595">
        <f>Проект!$Q$697</f>
        <v>2292.4740814594084</v>
      </c>
      <c r="R160" s="595">
        <f>Проект!$R$697</f>
        <v>2292.4740814594084</v>
      </c>
      <c r="S160" s="595">
        <f>Проект!$S$697</f>
        <v>2292.4740814594084</v>
      </c>
      <c r="T160" s="595">
        <f>Проект!$T$697</f>
        <v>2292.4740814594084</v>
      </c>
      <c r="U160" s="595">
        <f>Проект!$U$697</f>
        <v>2292.4740814594084</v>
      </c>
      <c r="V160" s="595">
        <f>Проект!$V$697</f>
        <v>2292.4740814594084</v>
      </c>
      <c r="W160" s="595">
        <f>Проект!$W$697</f>
        <v>2292.4740814594084</v>
      </c>
      <c r="X160" s="595">
        <f>Проект!$X$697</f>
        <v>2292.4740814594084</v>
      </c>
      <c r="Y160" s="595">
        <f>Проект!$Y$697</f>
        <v>2292.4740814594084</v>
      </c>
      <c r="Z160" s="595">
        <f>Проект!$Z$697</f>
        <v>2292.4740814594084</v>
      </c>
      <c r="AA160" s="595">
        <f>Проект!$AA$697</f>
        <v>2292.4740814594084</v>
      </c>
      <c r="AB160" s="595">
        <f>Проект!$AB$697</f>
        <v>2292.4740814594084</v>
      </c>
      <c r="AC160" s="595">
        <f>Проект!$AC$697</f>
        <v>2292.4740814594084</v>
      </c>
      <c r="AD160" s="563"/>
      <c r="AE160" s="575">
        <f>Проект!$AE$697</f>
        <v>40279.374567424704</v>
      </c>
    </row>
    <row r="161" spans="1:31" hidden="1" x14ac:dyDescent="0.3">
      <c r="A161" s="563" t="str">
        <f ca="1">Проект!$A$698</f>
        <v xml:space="preserve">    к оплате от покупателей (без НДС)</v>
      </c>
      <c r="B161" s="563"/>
      <c r="C161" s="539" t="str">
        <f ca="1">Проект!$C$698</f>
        <v>тыс. EUR</v>
      </c>
      <c r="D161" s="563" t="str">
        <f>Проект!$D$698</f>
        <v>1_02</v>
      </c>
      <c r="E161" s="563"/>
      <c r="F161" s="551">
        <f>Проект!$F$698</f>
        <v>0</v>
      </c>
      <c r="G161" s="551">
        <f>Проект!$G$698</f>
        <v>0</v>
      </c>
      <c r="H161" s="551">
        <f>Проект!$H$698</f>
        <v>0</v>
      </c>
      <c r="I161" s="551">
        <f>Проект!$I$698</f>
        <v>0</v>
      </c>
      <c r="J161" s="551">
        <f>Проект!$J$698</f>
        <v>0</v>
      </c>
      <c r="K161" s="551">
        <f>Проект!$K$698</f>
        <v>714.56092469127964</v>
      </c>
      <c r="L161" s="551">
        <f>Проект!$L$698</f>
        <v>1157.8325765441614</v>
      </c>
      <c r="M161" s="551">
        <f>Проект!$M$698</f>
        <v>1727.3957628387241</v>
      </c>
      <c r="N161" s="551">
        <f>Проект!$N$698</f>
        <v>2292.4740814594084</v>
      </c>
      <c r="O161" s="551">
        <f>Проект!$O$698</f>
        <v>2292.4740814594084</v>
      </c>
      <c r="P161" s="551">
        <f>Проект!$P$698</f>
        <v>2292.4740814594084</v>
      </c>
      <c r="Q161" s="551">
        <f>Проект!$Q$698</f>
        <v>2292.4740814594084</v>
      </c>
      <c r="R161" s="551">
        <f>Проект!$R$698</f>
        <v>2292.4740814594084</v>
      </c>
      <c r="S161" s="551">
        <f>Проект!$S$698</f>
        <v>2292.4740814594084</v>
      </c>
      <c r="T161" s="551">
        <f>Проект!$T$698</f>
        <v>2292.4740814594084</v>
      </c>
      <c r="U161" s="551">
        <f>Проект!$U$698</f>
        <v>2292.4740814594084</v>
      </c>
      <c r="V161" s="551">
        <f>Проект!$V$698</f>
        <v>2292.4740814594084</v>
      </c>
      <c r="W161" s="551">
        <f>Проект!$W$698</f>
        <v>2292.4740814594084</v>
      </c>
      <c r="X161" s="551">
        <f>Проект!$X$698</f>
        <v>2292.4740814594084</v>
      </c>
      <c r="Y161" s="551">
        <f>Проект!$Y$698</f>
        <v>2292.4740814594084</v>
      </c>
      <c r="Z161" s="551">
        <f>Проект!$Z$698</f>
        <v>2292.4740814594084</v>
      </c>
      <c r="AA161" s="551">
        <f>Проект!$AA$698</f>
        <v>2292.4740814594084</v>
      </c>
      <c r="AB161" s="551">
        <f>Проект!$AB$698</f>
        <v>2292.4740814594084</v>
      </c>
      <c r="AC161" s="551">
        <f>Проект!$AC$698</f>
        <v>2292.4740814594084</v>
      </c>
      <c r="AD161" s="563"/>
      <c r="AE161" s="572">
        <f>Проект!$AE$698</f>
        <v>40279.374567424704</v>
      </c>
    </row>
    <row r="162" spans="1:31" hidden="1" x14ac:dyDescent="0.3">
      <c r="A162" s="563" t="str">
        <f ca="1">Проект!$A$699</f>
        <v xml:space="preserve">    в т.ч. акцизов, налогов и пошлин</v>
      </c>
      <c r="B162" s="563"/>
      <c r="C162" s="539" t="str">
        <f ca="1">Проект!$C$699</f>
        <v>тыс. EUR</v>
      </c>
      <c r="D162" s="563" t="str">
        <f>Проект!$D$699</f>
        <v>1_03</v>
      </c>
      <c r="E162" s="563"/>
      <c r="F162" s="551">
        <f>Проект!$F$699</f>
        <v>0</v>
      </c>
      <c r="G162" s="551">
        <f>Проект!$G$699</f>
        <v>0</v>
      </c>
      <c r="H162" s="551">
        <f>Проект!$H$699</f>
        <v>0</v>
      </c>
      <c r="I162" s="551">
        <f>Проект!$I$699</f>
        <v>0</v>
      </c>
      <c r="J162" s="551">
        <f>Проект!$J$699</f>
        <v>0</v>
      </c>
      <c r="K162" s="551">
        <f>Проект!$K$699</f>
        <v>0</v>
      </c>
      <c r="L162" s="551">
        <f>Проект!$L$699</f>
        <v>0</v>
      </c>
      <c r="M162" s="551">
        <f>Проект!$M$699</f>
        <v>0</v>
      </c>
      <c r="N162" s="551">
        <f>Проект!$N$699</f>
        <v>0</v>
      </c>
      <c r="O162" s="551">
        <f>Проект!$O$699</f>
        <v>0</v>
      </c>
      <c r="P162" s="551">
        <f>Проект!$P$699</f>
        <v>0</v>
      </c>
      <c r="Q162" s="551">
        <f>Проект!$Q$699</f>
        <v>0</v>
      </c>
      <c r="R162" s="551">
        <f>Проект!$R$699</f>
        <v>0</v>
      </c>
      <c r="S162" s="551">
        <f>Проект!$S$699</f>
        <v>0</v>
      </c>
      <c r="T162" s="551">
        <f>Проект!$T$699</f>
        <v>0</v>
      </c>
      <c r="U162" s="551">
        <f>Проект!$U$699</f>
        <v>0</v>
      </c>
      <c r="V162" s="551">
        <f>Проект!$V$699</f>
        <v>0</v>
      </c>
      <c r="W162" s="551">
        <f>Проект!$W$699</f>
        <v>0</v>
      </c>
      <c r="X162" s="551">
        <f>Проект!$X$699</f>
        <v>0</v>
      </c>
      <c r="Y162" s="551">
        <f>Проект!$Y$699</f>
        <v>0</v>
      </c>
      <c r="Z162" s="551">
        <f>Проект!$Z$699</f>
        <v>0</v>
      </c>
      <c r="AA162" s="551">
        <f>Проект!$AA$699</f>
        <v>0</v>
      </c>
      <c r="AB162" s="551">
        <f>Проект!$AB$699</f>
        <v>0</v>
      </c>
      <c r="AC162" s="551">
        <f>Проект!$AC$699</f>
        <v>0</v>
      </c>
      <c r="AD162" s="563"/>
      <c r="AE162" s="572">
        <f>Проект!$AE$699</f>
        <v>0</v>
      </c>
    </row>
    <row r="163" spans="1:31" hidden="1" x14ac:dyDescent="0.3">
      <c r="A163" s="563" t="str">
        <f ca="1">Проект!$A$700</f>
        <v xml:space="preserve">    НДС на поставленную продукцию</v>
      </c>
      <c r="B163" s="563"/>
      <c r="C163" s="539" t="str">
        <f ca="1">Проект!$C$700</f>
        <v>тыс. EUR</v>
      </c>
      <c r="D163" s="563" t="str">
        <f>Проект!$D$700</f>
        <v>1_08</v>
      </c>
      <c r="E163" s="563"/>
      <c r="F163" s="551">
        <f>Проект!$F$700</f>
        <v>0</v>
      </c>
      <c r="G163" s="551">
        <f>Проект!$G$700</f>
        <v>0</v>
      </c>
      <c r="H163" s="551">
        <f>Проект!$H$700</f>
        <v>0</v>
      </c>
      <c r="I163" s="551">
        <f>Проект!$I$700</f>
        <v>0</v>
      </c>
      <c r="J163" s="551">
        <f>Проект!$J$700</f>
        <v>0</v>
      </c>
      <c r="K163" s="551">
        <f>Проект!$K$700</f>
        <v>0</v>
      </c>
      <c r="L163" s="551">
        <f>Проект!$L$700</f>
        <v>0</v>
      </c>
      <c r="M163" s="551">
        <f>Проект!$M$700</f>
        <v>0</v>
      </c>
      <c r="N163" s="551">
        <f>Проект!$N$700</f>
        <v>0</v>
      </c>
      <c r="O163" s="551">
        <f>Проект!$O$700</f>
        <v>0</v>
      </c>
      <c r="P163" s="551">
        <f>Проект!$P$700</f>
        <v>0</v>
      </c>
      <c r="Q163" s="551">
        <f>Проект!$Q$700</f>
        <v>0</v>
      </c>
      <c r="R163" s="551">
        <f>Проект!$R$700</f>
        <v>0</v>
      </c>
      <c r="S163" s="551">
        <f>Проект!$S$700</f>
        <v>0</v>
      </c>
      <c r="T163" s="551">
        <f>Проект!$T$700</f>
        <v>0</v>
      </c>
      <c r="U163" s="551">
        <f>Проект!$U$700</f>
        <v>0</v>
      </c>
      <c r="V163" s="551">
        <f>Проект!$V$700</f>
        <v>0</v>
      </c>
      <c r="W163" s="551">
        <f>Проект!$W$700</f>
        <v>0</v>
      </c>
      <c r="X163" s="551">
        <f>Проект!$X$700</f>
        <v>0</v>
      </c>
      <c r="Y163" s="551">
        <f>Проект!$Y$700</f>
        <v>0</v>
      </c>
      <c r="Z163" s="551">
        <f>Проект!$Z$700</f>
        <v>0</v>
      </c>
      <c r="AA163" s="551">
        <f>Проект!$AA$700</f>
        <v>0</v>
      </c>
      <c r="AB163" s="551">
        <f>Проект!$AB$700</f>
        <v>0</v>
      </c>
      <c r="AC163" s="551">
        <f>Проект!$AC$700</f>
        <v>0</v>
      </c>
      <c r="AD163" s="563"/>
      <c r="AE163" s="572">
        <f>Проект!$AE$700</f>
        <v>0</v>
      </c>
    </row>
    <row r="164" spans="1:31" hidden="1" x14ac:dyDescent="0.3">
      <c r="A164" s="563" t="str">
        <f ca="1">Проект!$A$701</f>
        <v xml:space="preserve">    график оплаты (без НДС)</v>
      </c>
      <c r="B164" s="563"/>
      <c r="C164" s="539" t="str">
        <f ca="1">Проект!$C$701</f>
        <v>тыс. EUR</v>
      </c>
      <c r="D164" s="563" t="str">
        <f>Проект!$D$701</f>
        <v>1_04</v>
      </c>
      <c r="E164" s="563"/>
      <c r="F164" s="596">
        <f>Проект!$F$701</f>
        <v>0</v>
      </c>
      <c r="G164" s="596">
        <f>Проект!$G$701</f>
        <v>0</v>
      </c>
      <c r="H164" s="596">
        <f>Проект!$H$701</f>
        <v>0</v>
      </c>
      <c r="I164" s="596">
        <f>Проект!$I$701</f>
        <v>0</v>
      </c>
      <c r="J164" s="596">
        <f>Проект!$J$701</f>
        <v>0</v>
      </c>
      <c r="K164" s="596">
        <f>Проект!$K$701</f>
        <v>714.56092469127964</v>
      </c>
      <c r="L164" s="596">
        <f>Проект!$L$701</f>
        <v>1157.8325765441614</v>
      </c>
      <c r="M164" s="596">
        <f>Проект!$M$701</f>
        <v>1727.3957628387241</v>
      </c>
      <c r="N164" s="596">
        <f>Проект!$N$701</f>
        <v>2292.4740814594084</v>
      </c>
      <c r="O164" s="596">
        <f>Проект!$O$701</f>
        <v>2292.4740814594084</v>
      </c>
      <c r="P164" s="596">
        <f>Проект!$P$701</f>
        <v>2292.4740814594084</v>
      </c>
      <c r="Q164" s="596">
        <f>Проект!$Q$701</f>
        <v>2292.4740814594084</v>
      </c>
      <c r="R164" s="596">
        <f>Проект!$R$701</f>
        <v>2292.4740814594084</v>
      </c>
      <c r="S164" s="596">
        <f>Проект!$S$701</f>
        <v>2292.4740814594084</v>
      </c>
      <c r="T164" s="596">
        <f>Проект!$T$701</f>
        <v>2292.4740814594084</v>
      </c>
      <c r="U164" s="596">
        <f>Проект!$U$701</f>
        <v>2292.4740814594084</v>
      </c>
      <c r="V164" s="596">
        <f>Проект!$V$701</f>
        <v>2292.4740814594084</v>
      </c>
      <c r="W164" s="596">
        <f>Проект!$W$701</f>
        <v>2292.4740814594084</v>
      </c>
      <c r="X164" s="596">
        <f>Проект!$X$701</f>
        <v>2292.4740814594084</v>
      </c>
      <c r="Y164" s="596">
        <f>Проект!$Y$701</f>
        <v>2292.4740814594084</v>
      </c>
      <c r="Z164" s="596">
        <f>Проект!$Z$701</f>
        <v>2292.4740814594084</v>
      </c>
      <c r="AA164" s="596">
        <f>Проект!$AA$701</f>
        <v>2292.4740814594084</v>
      </c>
      <c r="AB164" s="596">
        <f>Проект!$AB$701</f>
        <v>2292.4740814594084</v>
      </c>
      <c r="AC164" s="596">
        <f>Проект!$AC$701</f>
        <v>2292.4740814594084</v>
      </c>
      <c r="AD164" s="563"/>
      <c r="AE164" s="572">
        <f>Проект!$AE$701</f>
        <v>40279.374567424704</v>
      </c>
    </row>
    <row r="165" spans="1:31" hidden="1" x14ac:dyDescent="0.3">
      <c r="A165" s="563" t="str">
        <f ca="1">Проект!$A$702</f>
        <v xml:space="preserve">    полученный НДС</v>
      </c>
      <c r="B165" s="563"/>
      <c r="C165" s="539" t="str">
        <f ca="1">Проект!$C$702</f>
        <v>тыс. EUR</v>
      </c>
      <c r="D165" s="563" t="str">
        <f>Проект!$D$702</f>
        <v>1_05</v>
      </c>
      <c r="E165" s="563"/>
      <c r="F165" s="551">
        <f>Проект!$F$702</f>
        <v>0</v>
      </c>
      <c r="G165" s="551">
        <f>Проект!$G$702</f>
        <v>0</v>
      </c>
      <c r="H165" s="551">
        <f>Проект!$H$702</f>
        <v>0</v>
      </c>
      <c r="I165" s="551">
        <f>Проект!$I$702</f>
        <v>0</v>
      </c>
      <c r="J165" s="551">
        <f>Проект!$J$702</f>
        <v>0</v>
      </c>
      <c r="K165" s="551">
        <f>Проект!$K$702</f>
        <v>0</v>
      </c>
      <c r="L165" s="551">
        <f>Проект!$L$702</f>
        <v>0</v>
      </c>
      <c r="M165" s="551">
        <f>Проект!$M$702</f>
        <v>0</v>
      </c>
      <c r="N165" s="551">
        <f>Проект!$N$702</f>
        <v>0</v>
      </c>
      <c r="O165" s="551">
        <f>Проект!$O$702</f>
        <v>0</v>
      </c>
      <c r="P165" s="551">
        <f>Проект!$P$702</f>
        <v>0</v>
      </c>
      <c r="Q165" s="551">
        <f>Проект!$Q$702</f>
        <v>0</v>
      </c>
      <c r="R165" s="551">
        <f>Проект!$R$702</f>
        <v>0</v>
      </c>
      <c r="S165" s="551">
        <f>Проект!$S$702</f>
        <v>0</v>
      </c>
      <c r="T165" s="551">
        <f>Проект!$T$702</f>
        <v>0</v>
      </c>
      <c r="U165" s="551">
        <f>Проект!$U$702</f>
        <v>0</v>
      </c>
      <c r="V165" s="551">
        <f>Проект!$V$702</f>
        <v>0</v>
      </c>
      <c r="W165" s="551">
        <f>Проект!$W$702</f>
        <v>0</v>
      </c>
      <c r="X165" s="551">
        <f>Проект!$X$702</f>
        <v>0</v>
      </c>
      <c r="Y165" s="551">
        <f>Проект!$Y$702</f>
        <v>0</v>
      </c>
      <c r="Z165" s="551">
        <f>Проект!$Z$702</f>
        <v>0</v>
      </c>
      <c r="AA165" s="551">
        <f>Проект!$AA$702</f>
        <v>0</v>
      </c>
      <c r="AB165" s="551">
        <f>Проект!$AB$702</f>
        <v>0</v>
      </c>
      <c r="AC165" s="551">
        <f>Проект!$AC$702</f>
        <v>0</v>
      </c>
      <c r="AD165" s="563"/>
      <c r="AE165" s="572">
        <f>Проект!$AE$702</f>
        <v>0</v>
      </c>
    </row>
    <row r="166" spans="1:31" hidden="1" x14ac:dyDescent="0.3">
      <c r="A166" s="563" t="str">
        <f ca="1">Проект!$A$703</f>
        <v xml:space="preserve">    дебиторская задолженность</v>
      </c>
      <c r="B166" s="563"/>
      <c r="C166" s="539" t="str">
        <f ca="1">Проект!$C$703</f>
        <v>тыс. EUR</v>
      </c>
      <c r="D166" s="563" t="str">
        <f>Проект!$D$703</f>
        <v>1_06;int_end</v>
      </c>
      <c r="E166" s="563"/>
      <c r="F166" s="551">
        <f>Проект!$F$703</f>
        <v>0</v>
      </c>
      <c r="G166" s="551">
        <f>Проект!$G$703</f>
        <v>0</v>
      </c>
      <c r="H166" s="551">
        <f>Проект!$H$703</f>
        <v>0</v>
      </c>
      <c r="I166" s="551">
        <f>Проект!$I$703</f>
        <v>0</v>
      </c>
      <c r="J166" s="551">
        <f>Проект!$J$703</f>
        <v>0</v>
      </c>
      <c r="K166" s="551">
        <f>Проект!$K$703</f>
        <v>0</v>
      </c>
      <c r="L166" s="551">
        <f>Проект!$L$703</f>
        <v>0</v>
      </c>
      <c r="M166" s="551">
        <f>Проект!$M$703</f>
        <v>0</v>
      </c>
      <c r="N166" s="551">
        <f>Проект!$N$703</f>
        <v>0</v>
      </c>
      <c r="O166" s="551">
        <f>Проект!$O$703</f>
        <v>0</v>
      </c>
      <c r="P166" s="551">
        <f>Проект!$P$703</f>
        <v>0</v>
      </c>
      <c r="Q166" s="551">
        <f>Проект!$Q$703</f>
        <v>0</v>
      </c>
      <c r="R166" s="551">
        <f>Проект!$R$703</f>
        <v>0</v>
      </c>
      <c r="S166" s="551">
        <f>Проект!$S$703</f>
        <v>0</v>
      </c>
      <c r="T166" s="551">
        <f>Проект!$T$703</f>
        <v>0</v>
      </c>
      <c r="U166" s="551">
        <f>Проект!$U$703</f>
        <v>0</v>
      </c>
      <c r="V166" s="551">
        <f>Проект!$V$703</f>
        <v>0</v>
      </c>
      <c r="W166" s="551">
        <f>Проект!$W$703</f>
        <v>0</v>
      </c>
      <c r="X166" s="551">
        <f>Проект!$X$703</f>
        <v>0</v>
      </c>
      <c r="Y166" s="551">
        <f>Проект!$Y$703</f>
        <v>0</v>
      </c>
      <c r="Z166" s="551">
        <f>Проект!$Z$703</f>
        <v>0</v>
      </c>
      <c r="AA166" s="551">
        <f>Проект!$AA$703</f>
        <v>0</v>
      </c>
      <c r="AB166" s="551">
        <f>Проект!$AB$703</f>
        <v>0</v>
      </c>
      <c r="AC166" s="551">
        <f>Проект!$AC$703</f>
        <v>0</v>
      </c>
      <c r="AD166" s="563"/>
      <c r="AE166" s="569"/>
    </row>
    <row r="167" spans="1:31" hidden="1" x14ac:dyDescent="0.3">
      <c r="A167" s="563" t="str">
        <f ca="1">Проект!$A$704</f>
        <v xml:space="preserve">    полученные авансы</v>
      </c>
      <c r="B167" s="563"/>
      <c r="C167" s="539" t="str">
        <f ca="1">Проект!$C$704</f>
        <v>тыс. EUR</v>
      </c>
      <c r="D167" s="563" t="str">
        <f>Проект!$D$704</f>
        <v>1_07;int_end</v>
      </c>
      <c r="E167" s="563"/>
      <c r="F167" s="551">
        <f>Проект!$F$704</f>
        <v>0</v>
      </c>
      <c r="G167" s="551">
        <f>Проект!$G$704</f>
        <v>0</v>
      </c>
      <c r="H167" s="551">
        <f>Проект!$H$704</f>
        <v>0</v>
      </c>
      <c r="I167" s="551">
        <f>Проект!$I$704</f>
        <v>0</v>
      </c>
      <c r="J167" s="551">
        <f>Проект!$J$704</f>
        <v>0</v>
      </c>
      <c r="K167" s="551">
        <f>Проект!$K$704</f>
        <v>0</v>
      </c>
      <c r="L167" s="551">
        <f>Проект!$L$704</f>
        <v>0</v>
      </c>
      <c r="M167" s="551">
        <f>Проект!$M$704</f>
        <v>0</v>
      </c>
      <c r="N167" s="551">
        <f>Проект!$N$704</f>
        <v>0</v>
      </c>
      <c r="O167" s="551">
        <f>Проект!$O$704</f>
        <v>0</v>
      </c>
      <c r="P167" s="551">
        <f>Проект!$P$704</f>
        <v>0</v>
      </c>
      <c r="Q167" s="551">
        <f>Проект!$Q$704</f>
        <v>0</v>
      </c>
      <c r="R167" s="551">
        <f>Проект!$R$704</f>
        <v>0</v>
      </c>
      <c r="S167" s="551">
        <f>Проект!$S$704</f>
        <v>0</v>
      </c>
      <c r="T167" s="551">
        <f>Проект!$T$704</f>
        <v>0</v>
      </c>
      <c r="U167" s="551">
        <f>Проект!$U$704</f>
        <v>0</v>
      </c>
      <c r="V167" s="551">
        <f>Проект!$V$704</f>
        <v>0</v>
      </c>
      <c r="W167" s="551">
        <f>Проект!$W$704</f>
        <v>0</v>
      </c>
      <c r="X167" s="551">
        <f>Проект!$X$704</f>
        <v>0</v>
      </c>
      <c r="Y167" s="551">
        <f>Проект!$Y$704</f>
        <v>0</v>
      </c>
      <c r="Z167" s="551">
        <f>Проект!$Z$704</f>
        <v>0</v>
      </c>
      <c r="AA167" s="551">
        <f>Проект!$AA$704</f>
        <v>0</v>
      </c>
      <c r="AB167" s="551">
        <f>Проект!$AB$704</f>
        <v>0</v>
      </c>
      <c r="AC167" s="551">
        <f>Проект!$AC$704</f>
        <v>0</v>
      </c>
      <c r="AD167" s="563"/>
      <c r="AE167" s="569"/>
    </row>
    <row r="168" spans="1:31" ht="11.25" customHeight="1" x14ac:dyDescent="0.3">
      <c r="A168" s="563" t="str">
        <f>Проект!$A$705</f>
        <v>ВЗД</v>
      </c>
      <c r="B168" s="563"/>
      <c r="C168" s="539" t="str">
        <f ca="1">Проект!$C$705</f>
        <v>тыс. EUR</v>
      </c>
      <c r="D168" s="533" t="str">
        <f>Проект!$D$705</f>
        <v>1_01</v>
      </c>
      <c r="E168" s="563"/>
      <c r="F168" s="595">
        <f>Проект!$F$705</f>
        <v>0</v>
      </c>
      <c r="G168" s="595">
        <f>Проект!$G$705</f>
        <v>0</v>
      </c>
      <c r="H168" s="595">
        <f>Проект!$H$705</f>
        <v>0</v>
      </c>
      <c r="I168" s="595">
        <f>Проект!$I$705</f>
        <v>0</v>
      </c>
      <c r="J168" s="595">
        <f>Проект!$J$705</f>
        <v>0</v>
      </c>
      <c r="K168" s="595">
        <f>Проект!$K$705</f>
        <v>0</v>
      </c>
      <c r="L168" s="595">
        <f>Проект!$L$705</f>
        <v>1573.3807097694921</v>
      </c>
      <c r="M168" s="595">
        <f>Проект!$M$705</f>
        <v>2654.3050418436769</v>
      </c>
      <c r="N168" s="595">
        <f>Проект!$N$705</f>
        <v>3956.5465163478138</v>
      </c>
      <c r="O168" s="595">
        <f>Проект!$O$705</f>
        <v>5232.9478709178293</v>
      </c>
      <c r="P168" s="595">
        <f>Проект!$P$705</f>
        <v>5232.9478709178293</v>
      </c>
      <c r="Q168" s="595">
        <f>Проект!$Q$705</f>
        <v>5232.9478709178293</v>
      </c>
      <c r="R168" s="595">
        <f>Проект!$R$705</f>
        <v>5232.9478709178293</v>
      </c>
      <c r="S168" s="595">
        <f>Проект!$S$705</f>
        <v>5232.9478709178293</v>
      </c>
      <c r="T168" s="595">
        <f>Проект!$T$705</f>
        <v>5232.9478709178293</v>
      </c>
      <c r="U168" s="595">
        <f>Проект!$U$705</f>
        <v>5232.9478709178293</v>
      </c>
      <c r="V168" s="595">
        <f>Проект!$V$705</f>
        <v>5232.9478709178293</v>
      </c>
      <c r="W168" s="595">
        <f>Проект!$W$705</f>
        <v>5232.9478709178293</v>
      </c>
      <c r="X168" s="595">
        <f>Проект!$X$705</f>
        <v>5232.9478709178293</v>
      </c>
      <c r="Y168" s="595">
        <f>Проект!$Y$705</f>
        <v>5232.9478709178293</v>
      </c>
      <c r="Z168" s="595">
        <f>Проект!$Z$705</f>
        <v>5232.9478709178293</v>
      </c>
      <c r="AA168" s="595">
        <f>Проект!$AA$705</f>
        <v>5232.9478709178293</v>
      </c>
      <c r="AB168" s="595">
        <f>Проект!$AB$705</f>
        <v>5232.9478709178293</v>
      </c>
      <c r="AC168" s="595">
        <f>Проект!$AC$705</f>
        <v>5232.9478709178293</v>
      </c>
      <c r="AD168" s="563"/>
      <c r="AE168" s="575">
        <f>Проект!$AE$705</f>
        <v>86678.450331728411</v>
      </c>
    </row>
    <row r="169" spans="1:31" hidden="1" x14ac:dyDescent="0.3">
      <c r="A169" s="563" t="str">
        <f ca="1">Проект!$A$706</f>
        <v xml:space="preserve">    к оплате от покупателей (без НДС)</v>
      </c>
      <c r="B169" s="563"/>
      <c r="C169" s="539" t="str">
        <f ca="1">Проект!$C$706</f>
        <v>тыс. EUR</v>
      </c>
      <c r="D169" s="563" t="str">
        <f>Проект!$D$706</f>
        <v>1_02</v>
      </c>
      <c r="E169" s="563"/>
      <c r="F169" s="551">
        <f>Проект!$F$706</f>
        <v>0</v>
      </c>
      <c r="G169" s="551">
        <f>Проект!$G$706</f>
        <v>0</v>
      </c>
      <c r="H169" s="551">
        <f>Проект!$H$706</f>
        <v>0</v>
      </c>
      <c r="I169" s="551">
        <f>Проект!$I$706</f>
        <v>0</v>
      </c>
      <c r="J169" s="551">
        <f>Проект!$J$706</f>
        <v>0</v>
      </c>
      <c r="K169" s="551">
        <f>Проект!$K$706</f>
        <v>0</v>
      </c>
      <c r="L169" s="551">
        <f>Проект!$L$706</f>
        <v>1573.3807097694921</v>
      </c>
      <c r="M169" s="551">
        <f>Проект!$M$706</f>
        <v>2654.3050418436769</v>
      </c>
      <c r="N169" s="551">
        <f>Проект!$N$706</f>
        <v>3956.5465163478138</v>
      </c>
      <c r="O169" s="551">
        <f>Проект!$O$706</f>
        <v>5232.9478709178293</v>
      </c>
      <c r="P169" s="551">
        <f>Проект!$P$706</f>
        <v>5232.9478709178293</v>
      </c>
      <c r="Q169" s="551">
        <f>Проект!$Q$706</f>
        <v>5232.9478709178293</v>
      </c>
      <c r="R169" s="551">
        <f>Проект!$R$706</f>
        <v>5232.9478709178293</v>
      </c>
      <c r="S169" s="551">
        <f>Проект!$S$706</f>
        <v>5232.9478709178293</v>
      </c>
      <c r="T169" s="551">
        <f>Проект!$T$706</f>
        <v>5232.9478709178293</v>
      </c>
      <c r="U169" s="551">
        <f>Проект!$U$706</f>
        <v>5232.9478709178293</v>
      </c>
      <c r="V169" s="551">
        <f>Проект!$V$706</f>
        <v>5232.9478709178293</v>
      </c>
      <c r="W169" s="551">
        <f>Проект!$W$706</f>
        <v>5232.9478709178293</v>
      </c>
      <c r="X169" s="551">
        <f>Проект!$X$706</f>
        <v>5232.9478709178293</v>
      </c>
      <c r="Y169" s="551">
        <f>Проект!$Y$706</f>
        <v>5232.9478709178293</v>
      </c>
      <c r="Z169" s="551">
        <f>Проект!$Z$706</f>
        <v>5232.9478709178293</v>
      </c>
      <c r="AA169" s="551">
        <f>Проект!$AA$706</f>
        <v>5232.9478709178293</v>
      </c>
      <c r="AB169" s="551">
        <f>Проект!$AB$706</f>
        <v>5232.9478709178293</v>
      </c>
      <c r="AC169" s="551">
        <f>Проект!$AC$706</f>
        <v>5232.9478709178293</v>
      </c>
      <c r="AD169" s="563"/>
      <c r="AE169" s="572">
        <f>Проект!$AE$706</f>
        <v>86678.450331728411</v>
      </c>
    </row>
    <row r="170" spans="1:31" hidden="1" x14ac:dyDescent="0.3">
      <c r="A170" s="563" t="str">
        <f ca="1">Проект!$A$707</f>
        <v xml:space="preserve">    в т.ч. акцизов, налогов и пошлин</v>
      </c>
      <c r="B170" s="563"/>
      <c r="C170" s="539" t="str">
        <f ca="1">Проект!$C$707</f>
        <v>тыс. EUR</v>
      </c>
      <c r="D170" s="563" t="str">
        <f>Проект!$D$707</f>
        <v>1_03</v>
      </c>
      <c r="E170" s="563"/>
      <c r="F170" s="551">
        <f>Проект!$F$707</f>
        <v>0</v>
      </c>
      <c r="G170" s="551">
        <f>Проект!$G$707</f>
        <v>0</v>
      </c>
      <c r="H170" s="551">
        <f>Проект!$H$707</f>
        <v>0</v>
      </c>
      <c r="I170" s="551">
        <f>Проект!$I$707</f>
        <v>0</v>
      </c>
      <c r="J170" s="551">
        <f>Проект!$J$707</f>
        <v>0</v>
      </c>
      <c r="K170" s="551">
        <f>Проект!$K$707</f>
        <v>0</v>
      </c>
      <c r="L170" s="551">
        <f>Проект!$L$707</f>
        <v>0</v>
      </c>
      <c r="M170" s="551">
        <f>Проект!$M$707</f>
        <v>0</v>
      </c>
      <c r="N170" s="551">
        <f>Проект!$N$707</f>
        <v>0</v>
      </c>
      <c r="O170" s="551">
        <f>Проект!$O$707</f>
        <v>0</v>
      </c>
      <c r="P170" s="551">
        <f>Проект!$P$707</f>
        <v>0</v>
      </c>
      <c r="Q170" s="551">
        <f>Проект!$Q$707</f>
        <v>0</v>
      </c>
      <c r="R170" s="551">
        <f>Проект!$R$707</f>
        <v>0</v>
      </c>
      <c r="S170" s="551">
        <f>Проект!$S$707</f>
        <v>0</v>
      </c>
      <c r="T170" s="551">
        <f>Проект!$T$707</f>
        <v>0</v>
      </c>
      <c r="U170" s="551">
        <f>Проект!$U$707</f>
        <v>0</v>
      </c>
      <c r="V170" s="551">
        <f>Проект!$V$707</f>
        <v>0</v>
      </c>
      <c r="W170" s="551">
        <f>Проект!$W$707</f>
        <v>0</v>
      </c>
      <c r="X170" s="551">
        <f>Проект!$X$707</f>
        <v>0</v>
      </c>
      <c r="Y170" s="551">
        <f>Проект!$Y$707</f>
        <v>0</v>
      </c>
      <c r="Z170" s="551">
        <f>Проект!$Z$707</f>
        <v>0</v>
      </c>
      <c r="AA170" s="551">
        <f>Проект!$AA$707</f>
        <v>0</v>
      </c>
      <c r="AB170" s="551">
        <f>Проект!$AB$707</f>
        <v>0</v>
      </c>
      <c r="AC170" s="551">
        <f>Проект!$AC$707</f>
        <v>0</v>
      </c>
      <c r="AD170" s="563"/>
      <c r="AE170" s="572">
        <f>Проект!$AE$707</f>
        <v>0</v>
      </c>
    </row>
    <row r="171" spans="1:31" hidden="1" x14ac:dyDescent="0.3">
      <c r="A171" s="563" t="str">
        <f ca="1">Проект!$A$708</f>
        <v xml:space="preserve">    НДС на поставленную продукцию</v>
      </c>
      <c r="B171" s="563"/>
      <c r="C171" s="539" t="str">
        <f ca="1">Проект!$C$708</f>
        <v>тыс. EUR</v>
      </c>
      <c r="D171" s="563" t="str">
        <f>Проект!$D$708</f>
        <v>1_08</v>
      </c>
      <c r="E171" s="563"/>
      <c r="F171" s="551">
        <f>Проект!$F$708</f>
        <v>0</v>
      </c>
      <c r="G171" s="551">
        <f>Проект!$G$708</f>
        <v>0</v>
      </c>
      <c r="H171" s="551">
        <f>Проект!$H$708</f>
        <v>0</v>
      </c>
      <c r="I171" s="551">
        <f>Проект!$I$708</f>
        <v>0</v>
      </c>
      <c r="J171" s="551">
        <f>Проект!$J$708</f>
        <v>0</v>
      </c>
      <c r="K171" s="551">
        <f>Проект!$K$708</f>
        <v>0</v>
      </c>
      <c r="L171" s="551">
        <f>Проект!$L$708</f>
        <v>0</v>
      </c>
      <c r="M171" s="551">
        <f>Проект!$M$708</f>
        <v>0</v>
      </c>
      <c r="N171" s="551">
        <f>Проект!$N$708</f>
        <v>0</v>
      </c>
      <c r="O171" s="551">
        <f>Проект!$O$708</f>
        <v>0</v>
      </c>
      <c r="P171" s="551">
        <f>Проект!$P$708</f>
        <v>0</v>
      </c>
      <c r="Q171" s="551">
        <f>Проект!$Q$708</f>
        <v>0</v>
      </c>
      <c r="R171" s="551">
        <f>Проект!$R$708</f>
        <v>0</v>
      </c>
      <c r="S171" s="551">
        <f>Проект!$S$708</f>
        <v>0</v>
      </c>
      <c r="T171" s="551">
        <f>Проект!$T$708</f>
        <v>0</v>
      </c>
      <c r="U171" s="551">
        <f>Проект!$U$708</f>
        <v>0</v>
      </c>
      <c r="V171" s="551">
        <f>Проект!$V$708</f>
        <v>0</v>
      </c>
      <c r="W171" s="551">
        <f>Проект!$W$708</f>
        <v>0</v>
      </c>
      <c r="X171" s="551">
        <f>Проект!$X$708</f>
        <v>0</v>
      </c>
      <c r="Y171" s="551">
        <f>Проект!$Y$708</f>
        <v>0</v>
      </c>
      <c r="Z171" s="551">
        <f>Проект!$Z$708</f>
        <v>0</v>
      </c>
      <c r="AA171" s="551">
        <f>Проект!$AA$708</f>
        <v>0</v>
      </c>
      <c r="AB171" s="551">
        <f>Проект!$AB$708</f>
        <v>0</v>
      </c>
      <c r="AC171" s="551">
        <f>Проект!$AC$708</f>
        <v>0</v>
      </c>
      <c r="AD171" s="563"/>
      <c r="AE171" s="572">
        <f>Проект!$AE$708</f>
        <v>0</v>
      </c>
    </row>
    <row r="172" spans="1:31" hidden="1" x14ac:dyDescent="0.3">
      <c r="A172" s="563" t="str">
        <f ca="1">Проект!$A$709</f>
        <v xml:space="preserve">    график оплаты (без НДС)</v>
      </c>
      <c r="B172" s="563"/>
      <c r="C172" s="539" t="str">
        <f ca="1">Проект!$C$709</f>
        <v>тыс. EUR</v>
      </c>
      <c r="D172" s="563" t="str">
        <f>Проект!$D$709</f>
        <v>1_04</v>
      </c>
      <c r="E172" s="563"/>
      <c r="F172" s="596">
        <f>Проект!$F$709</f>
        <v>0</v>
      </c>
      <c r="G172" s="596">
        <f>Проект!$G$709</f>
        <v>0</v>
      </c>
      <c r="H172" s="596">
        <f>Проект!$H$709</f>
        <v>0</v>
      </c>
      <c r="I172" s="596">
        <f>Проект!$I$709</f>
        <v>0</v>
      </c>
      <c r="J172" s="596">
        <f>Проект!$J$709</f>
        <v>0</v>
      </c>
      <c r="K172" s="596">
        <f>Проект!$K$709</f>
        <v>0</v>
      </c>
      <c r="L172" s="596">
        <f>Проект!$L$709</f>
        <v>1573.3807097694921</v>
      </c>
      <c r="M172" s="596">
        <f>Проект!$M$709</f>
        <v>2654.3050418436769</v>
      </c>
      <c r="N172" s="596">
        <f>Проект!$N$709</f>
        <v>3956.5465163478138</v>
      </c>
      <c r="O172" s="596">
        <f>Проект!$O$709</f>
        <v>5232.9478709178293</v>
      </c>
      <c r="P172" s="596">
        <f>Проект!$P$709</f>
        <v>5232.9478709178293</v>
      </c>
      <c r="Q172" s="596">
        <f>Проект!$Q$709</f>
        <v>5232.9478709178293</v>
      </c>
      <c r="R172" s="596">
        <f>Проект!$R$709</f>
        <v>5232.9478709178293</v>
      </c>
      <c r="S172" s="596">
        <f>Проект!$S$709</f>
        <v>5232.9478709178293</v>
      </c>
      <c r="T172" s="596">
        <f>Проект!$T$709</f>
        <v>5232.9478709178293</v>
      </c>
      <c r="U172" s="596">
        <f>Проект!$U$709</f>
        <v>5232.9478709178293</v>
      </c>
      <c r="V172" s="596">
        <f>Проект!$V$709</f>
        <v>5232.9478709178293</v>
      </c>
      <c r="W172" s="596">
        <f>Проект!$W$709</f>
        <v>5232.9478709178293</v>
      </c>
      <c r="X172" s="596">
        <f>Проект!$X$709</f>
        <v>5232.9478709178293</v>
      </c>
      <c r="Y172" s="596">
        <f>Проект!$Y$709</f>
        <v>5232.9478709178293</v>
      </c>
      <c r="Z172" s="596">
        <f>Проект!$Z$709</f>
        <v>5232.9478709178293</v>
      </c>
      <c r="AA172" s="596">
        <f>Проект!$AA$709</f>
        <v>5232.9478709178293</v>
      </c>
      <c r="AB172" s="596">
        <f>Проект!$AB$709</f>
        <v>5232.9478709178293</v>
      </c>
      <c r="AC172" s="596">
        <f>Проект!$AC$709</f>
        <v>5232.9478709178293</v>
      </c>
      <c r="AD172" s="563"/>
      <c r="AE172" s="572">
        <f>Проект!$AE$709</f>
        <v>86678.450331728411</v>
      </c>
    </row>
    <row r="173" spans="1:31" hidden="1" x14ac:dyDescent="0.3">
      <c r="A173" s="563" t="str">
        <f ca="1">Проект!$A$710</f>
        <v xml:space="preserve">    полученный НДС</v>
      </c>
      <c r="B173" s="563"/>
      <c r="C173" s="539" t="str">
        <f ca="1">Проект!$C$710</f>
        <v>тыс. EUR</v>
      </c>
      <c r="D173" s="563" t="str">
        <f>Проект!$D$710</f>
        <v>1_05</v>
      </c>
      <c r="E173" s="563"/>
      <c r="F173" s="551">
        <f>Проект!$F$710</f>
        <v>0</v>
      </c>
      <c r="G173" s="551">
        <f>Проект!$G$710</f>
        <v>0</v>
      </c>
      <c r="H173" s="551">
        <f>Проект!$H$710</f>
        <v>0</v>
      </c>
      <c r="I173" s="551">
        <f>Проект!$I$710</f>
        <v>0</v>
      </c>
      <c r="J173" s="551">
        <f>Проект!$J$710</f>
        <v>0</v>
      </c>
      <c r="K173" s="551">
        <f>Проект!$K$710</f>
        <v>0</v>
      </c>
      <c r="L173" s="551">
        <f>Проект!$L$710</f>
        <v>0</v>
      </c>
      <c r="M173" s="551">
        <f>Проект!$M$710</f>
        <v>0</v>
      </c>
      <c r="N173" s="551">
        <f>Проект!$N$710</f>
        <v>0</v>
      </c>
      <c r="O173" s="551">
        <f>Проект!$O$710</f>
        <v>0</v>
      </c>
      <c r="P173" s="551">
        <f>Проект!$P$710</f>
        <v>0</v>
      </c>
      <c r="Q173" s="551">
        <f>Проект!$Q$710</f>
        <v>0</v>
      </c>
      <c r="R173" s="551">
        <f>Проект!$R$710</f>
        <v>0</v>
      </c>
      <c r="S173" s="551">
        <f>Проект!$S$710</f>
        <v>0</v>
      </c>
      <c r="T173" s="551">
        <f>Проект!$T$710</f>
        <v>0</v>
      </c>
      <c r="U173" s="551">
        <f>Проект!$U$710</f>
        <v>0</v>
      </c>
      <c r="V173" s="551">
        <f>Проект!$V$710</f>
        <v>0</v>
      </c>
      <c r="W173" s="551">
        <f>Проект!$W$710</f>
        <v>0</v>
      </c>
      <c r="X173" s="551">
        <f>Проект!$X$710</f>
        <v>0</v>
      </c>
      <c r="Y173" s="551">
        <f>Проект!$Y$710</f>
        <v>0</v>
      </c>
      <c r="Z173" s="551">
        <f>Проект!$Z$710</f>
        <v>0</v>
      </c>
      <c r="AA173" s="551">
        <f>Проект!$AA$710</f>
        <v>0</v>
      </c>
      <c r="AB173" s="551">
        <f>Проект!$AB$710</f>
        <v>0</v>
      </c>
      <c r="AC173" s="551">
        <f>Проект!$AC$710</f>
        <v>0</v>
      </c>
      <c r="AD173" s="563"/>
      <c r="AE173" s="572">
        <f>Проект!$AE$710</f>
        <v>0</v>
      </c>
    </row>
    <row r="174" spans="1:31" hidden="1" x14ac:dyDescent="0.3">
      <c r="A174" s="563" t="str">
        <f ca="1">Проект!$A$711</f>
        <v xml:space="preserve">    дебиторская задолженность</v>
      </c>
      <c r="B174" s="563"/>
      <c r="C174" s="539" t="str">
        <f ca="1">Проект!$C$711</f>
        <v>тыс. EUR</v>
      </c>
      <c r="D174" s="563" t="str">
        <f>Проект!$D$711</f>
        <v>1_06;int_end</v>
      </c>
      <c r="E174" s="563"/>
      <c r="F174" s="551">
        <f>Проект!$F$711</f>
        <v>0</v>
      </c>
      <c r="G174" s="551">
        <f>Проект!$G$711</f>
        <v>0</v>
      </c>
      <c r="H174" s="551">
        <f>Проект!$H$711</f>
        <v>0</v>
      </c>
      <c r="I174" s="551">
        <f>Проект!$I$711</f>
        <v>0</v>
      </c>
      <c r="J174" s="551">
        <f>Проект!$J$711</f>
        <v>0</v>
      </c>
      <c r="K174" s="551">
        <f>Проект!$K$711</f>
        <v>0</v>
      </c>
      <c r="L174" s="551">
        <f>Проект!$L$711</f>
        <v>0</v>
      </c>
      <c r="M174" s="551">
        <f>Проект!$M$711</f>
        <v>0</v>
      </c>
      <c r="N174" s="551">
        <f>Проект!$N$711</f>
        <v>0</v>
      </c>
      <c r="O174" s="551">
        <f>Проект!$O$711</f>
        <v>0</v>
      </c>
      <c r="P174" s="551">
        <f>Проект!$P$711</f>
        <v>0</v>
      </c>
      <c r="Q174" s="551">
        <f>Проект!$Q$711</f>
        <v>0</v>
      </c>
      <c r="R174" s="551">
        <f>Проект!$R$711</f>
        <v>0</v>
      </c>
      <c r="S174" s="551">
        <f>Проект!$S$711</f>
        <v>0</v>
      </c>
      <c r="T174" s="551">
        <f>Проект!$T$711</f>
        <v>0</v>
      </c>
      <c r="U174" s="551">
        <f>Проект!$U$711</f>
        <v>0</v>
      </c>
      <c r="V174" s="551">
        <f>Проект!$V$711</f>
        <v>0</v>
      </c>
      <c r="W174" s="551">
        <f>Проект!$W$711</f>
        <v>0</v>
      </c>
      <c r="X174" s="551">
        <f>Проект!$X$711</f>
        <v>0</v>
      </c>
      <c r="Y174" s="551">
        <f>Проект!$Y$711</f>
        <v>0</v>
      </c>
      <c r="Z174" s="551">
        <f>Проект!$Z$711</f>
        <v>0</v>
      </c>
      <c r="AA174" s="551">
        <f>Проект!$AA$711</f>
        <v>0</v>
      </c>
      <c r="AB174" s="551">
        <f>Проект!$AB$711</f>
        <v>0</v>
      </c>
      <c r="AC174" s="551">
        <f>Проект!$AC$711</f>
        <v>0</v>
      </c>
      <c r="AD174" s="563"/>
      <c r="AE174" s="569"/>
    </row>
    <row r="175" spans="1:31" hidden="1" x14ac:dyDescent="0.3">
      <c r="A175" s="563" t="str">
        <f ca="1">Проект!$A$712</f>
        <v xml:space="preserve">    полученные авансы</v>
      </c>
      <c r="B175" s="563"/>
      <c r="C175" s="539" t="str">
        <f ca="1">Проект!$C$712</f>
        <v>тыс. EUR</v>
      </c>
      <c r="D175" s="563" t="str">
        <f>Проект!$D$712</f>
        <v>1_07;int_end</v>
      </c>
      <c r="E175" s="563"/>
      <c r="F175" s="551">
        <f>Проект!$F$712</f>
        <v>0</v>
      </c>
      <c r="G175" s="551">
        <f>Проект!$G$712</f>
        <v>0</v>
      </c>
      <c r="H175" s="551">
        <f>Проект!$H$712</f>
        <v>0</v>
      </c>
      <c r="I175" s="551">
        <f>Проект!$I$712</f>
        <v>0</v>
      </c>
      <c r="J175" s="551">
        <f>Проект!$J$712</f>
        <v>0</v>
      </c>
      <c r="K175" s="551">
        <f>Проект!$K$712</f>
        <v>0</v>
      </c>
      <c r="L175" s="551">
        <f>Проект!$L$712</f>
        <v>0</v>
      </c>
      <c r="M175" s="551">
        <f>Проект!$M$712</f>
        <v>0</v>
      </c>
      <c r="N175" s="551">
        <f>Проект!$N$712</f>
        <v>0</v>
      </c>
      <c r="O175" s="551">
        <f>Проект!$O$712</f>
        <v>0</v>
      </c>
      <c r="P175" s="551">
        <f>Проект!$P$712</f>
        <v>0</v>
      </c>
      <c r="Q175" s="551">
        <f>Проект!$Q$712</f>
        <v>0</v>
      </c>
      <c r="R175" s="551">
        <f>Проект!$R$712</f>
        <v>0</v>
      </c>
      <c r="S175" s="551">
        <f>Проект!$S$712</f>
        <v>0</v>
      </c>
      <c r="T175" s="551">
        <f>Проект!$T$712</f>
        <v>0</v>
      </c>
      <c r="U175" s="551">
        <f>Проект!$U$712</f>
        <v>0</v>
      </c>
      <c r="V175" s="551">
        <f>Проект!$V$712</f>
        <v>0</v>
      </c>
      <c r="W175" s="551">
        <f>Проект!$W$712</f>
        <v>0</v>
      </c>
      <c r="X175" s="551">
        <f>Проект!$X$712</f>
        <v>0</v>
      </c>
      <c r="Y175" s="551">
        <f>Проект!$Y$712</f>
        <v>0</v>
      </c>
      <c r="Z175" s="551">
        <f>Проект!$Z$712</f>
        <v>0</v>
      </c>
      <c r="AA175" s="551">
        <f>Проект!$AA$712</f>
        <v>0</v>
      </c>
      <c r="AB175" s="551">
        <f>Проект!$AB$712</f>
        <v>0</v>
      </c>
      <c r="AC175" s="551">
        <f>Проект!$AC$712</f>
        <v>0</v>
      </c>
      <c r="AD175" s="563"/>
      <c r="AE175" s="569"/>
    </row>
    <row r="176" spans="1:31" ht="11.25" customHeight="1" x14ac:dyDescent="0.3">
      <c r="A176" s="563"/>
      <c r="B176" s="563"/>
      <c r="C176" s="563"/>
      <c r="D176" s="563"/>
      <c r="E176" s="563"/>
      <c r="F176" s="563"/>
      <c r="G176" s="563"/>
      <c r="H176" s="563"/>
      <c r="I176" s="563"/>
      <c r="J176" s="563"/>
      <c r="K176" s="563"/>
      <c r="L176" s="563"/>
      <c r="M176" s="563"/>
      <c r="N176" s="563"/>
      <c r="O176" s="563"/>
      <c r="P176" s="563"/>
      <c r="Q176" s="563"/>
      <c r="R176" s="563"/>
      <c r="S176" s="563"/>
      <c r="T176" s="563"/>
      <c r="U176" s="563"/>
      <c r="V176" s="563"/>
      <c r="W176" s="563"/>
      <c r="X176" s="563"/>
      <c r="Y176" s="563"/>
      <c r="Z176" s="563"/>
      <c r="AA176" s="563"/>
      <c r="AB176" s="563"/>
      <c r="AC176" s="563"/>
      <c r="AD176" s="563"/>
      <c r="AE176" s="569"/>
    </row>
    <row r="177" spans="1:31" ht="11.25" customHeight="1" x14ac:dyDescent="0.3">
      <c r="A177" s="570" t="str">
        <f ca="1">Проект!$A$714</f>
        <v xml:space="preserve"> = Итого</v>
      </c>
      <c r="B177" s="563"/>
      <c r="C177" s="539" t="str">
        <f ca="1">Проект!$C$714</f>
        <v>тыс. EUR</v>
      </c>
      <c r="D177" s="563"/>
      <c r="E177" s="563"/>
      <c r="F177" s="551">
        <f>Проект!$F$714</f>
        <v>0</v>
      </c>
      <c r="G177" s="551">
        <f>Проект!$G$714</f>
        <v>0</v>
      </c>
      <c r="H177" s="551">
        <f>Проект!$H$714</f>
        <v>0</v>
      </c>
      <c r="I177" s="551">
        <f>Проект!$I$714</f>
        <v>0</v>
      </c>
      <c r="J177" s="551">
        <f>Проект!$J$714</f>
        <v>0</v>
      </c>
      <c r="K177" s="551">
        <f>Проект!$K$714</f>
        <v>714.56092469127964</v>
      </c>
      <c r="L177" s="551">
        <f>Проект!$L$714</f>
        <v>2731.2132863136535</v>
      </c>
      <c r="M177" s="551">
        <f>Проект!$M$714</f>
        <v>4381.7008046824012</v>
      </c>
      <c r="N177" s="551">
        <f>Проект!$N$714</f>
        <v>6249.0205978072227</v>
      </c>
      <c r="O177" s="551">
        <f>Проект!$O$714</f>
        <v>7525.4219523772372</v>
      </c>
      <c r="P177" s="551">
        <f>Проект!$P$714</f>
        <v>7525.4219523772372</v>
      </c>
      <c r="Q177" s="551">
        <f>Проект!$Q$714</f>
        <v>7525.4219523772372</v>
      </c>
      <c r="R177" s="551">
        <f>Проект!$R$714</f>
        <v>7525.4219523772372</v>
      </c>
      <c r="S177" s="551">
        <f>Проект!$S$714</f>
        <v>7525.4219523772372</v>
      </c>
      <c r="T177" s="551">
        <f>Проект!$T$714</f>
        <v>7525.4219523772372</v>
      </c>
      <c r="U177" s="551">
        <f>Проект!$U$714</f>
        <v>7525.4219523772372</v>
      </c>
      <c r="V177" s="551">
        <f>Проект!$V$714</f>
        <v>7525.4219523772372</v>
      </c>
      <c r="W177" s="551">
        <f>Проект!$W$714</f>
        <v>7525.4219523772372</v>
      </c>
      <c r="X177" s="551">
        <f>Проект!$X$714</f>
        <v>7525.4219523772372</v>
      </c>
      <c r="Y177" s="551">
        <f>Проект!$Y$714</f>
        <v>7525.4219523772372</v>
      </c>
      <c r="Z177" s="551">
        <f>Проект!$Z$714</f>
        <v>7525.4219523772372</v>
      </c>
      <c r="AA177" s="551">
        <f>Проект!$AA$714</f>
        <v>7525.4219523772372</v>
      </c>
      <c r="AB177" s="551">
        <f>Проект!$AB$714</f>
        <v>7525.4219523772372</v>
      </c>
      <c r="AC177" s="551">
        <f>Проект!$AC$714</f>
        <v>7525.4219523772372</v>
      </c>
      <c r="AD177" s="563"/>
      <c r="AE177" s="575">
        <f>Проект!$AE$714</f>
        <v>126957.82489915307</v>
      </c>
    </row>
    <row r="178" spans="1:31" hidden="1" x14ac:dyDescent="0.3">
      <c r="A178" s="563" t="str">
        <f ca="1">Проект!$A$715</f>
        <v xml:space="preserve">    к оплате от покупателей (без НДС)</v>
      </c>
      <c r="B178" s="563"/>
      <c r="C178" s="539" t="str">
        <f ca="1">Проект!$C$715</f>
        <v>тыс. EUR</v>
      </c>
      <c r="D178" s="563"/>
      <c r="E178" s="563"/>
      <c r="F178" s="551">
        <f>Проект!$F$715</f>
        <v>0</v>
      </c>
      <c r="G178" s="551">
        <f>Проект!$G$715</f>
        <v>0</v>
      </c>
      <c r="H178" s="551">
        <f>Проект!$H$715</f>
        <v>0</v>
      </c>
      <c r="I178" s="551">
        <f>Проект!$I$715</f>
        <v>0</v>
      </c>
      <c r="J178" s="551">
        <f>Проект!$J$715</f>
        <v>0</v>
      </c>
      <c r="K178" s="551">
        <f>Проект!$K$715</f>
        <v>714.56092469127964</v>
      </c>
      <c r="L178" s="551">
        <f>Проект!$L$715</f>
        <v>2731.2132863136535</v>
      </c>
      <c r="M178" s="551">
        <f>Проект!$M$715</f>
        <v>4381.7008046824012</v>
      </c>
      <c r="N178" s="551">
        <f>Проект!$N$715</f>
        <v>6249.0205978072227</v>
      </c>
      <c r="O178" s="551">
        <f>Проект!$O$715</f>
        <v>7525.4219523772372</v>
      </c>
      <c r="P178" s="551">
        <f>Проект!$P$715</f>
        <v>7525.4219523772372</v>
      </c>
      <c r="Q178" s="551">
        <f>Проект!$Q$715</f>
        <v>7525.4219523772372</v>
      </c>
      <c r="R178" s="551">
        <f>Проект!$R$715</f>
        <v>7525.4219523772372</v>
      </c>
      <c r="S178" s="551">
        <f>Проект!$S$715</f>
        <v>7525.4219523772372</v>
      </c>
      <c r="T178" s="551">
        <f>Проект!$T$715</f>
        <v>7525.4219523772372</v>
      </c>
      <c r="U178" s="551">
        <f>Проект!$U$715</f>
        <v>7525.4219523772372</v>
      </c>
      <c r="V178" s="551">
        <f>Проект!$V$715</f>
        <v>7525.4219523772372</v>
      </c>
      <c r="W178" s="551">
        <f>Проект!$W$715</f>
        <v>7525.4219523772372</v>
      </c>
      <c r="X178" s="551">
        <f>Проект!$X$715</f>
        <v>7525.4219523772372</v>
      </c>
      <c r="Y178" s="551">
        <f>Проект!$Y$715</f>
        <v>7525.4219523772372</v>
      </c>
      <c r="Z178" s="551">
        <f>Проект!$Z$715</f>
        <v>7525.4219523772372</v>
      </c>
      <c r="AA178" s="551">
        <f>Проект!$AA$715</f>
        <v>7525.4219523772372</v>
      </c>
      <c r="AB178" s="551">
        <f>Проект!$AB$715</f>
        <v>7525.4219523772372</v>
      </c>
      <c r="AC178" s="551">
        <f>Проект!$AC$715</f>
        <v>7525.4219523772372</v>
      </c>
      <c r="AD178" s="563"/>
      <c r="AE178" s="572">
        <f>Проект!$AE$715</f>
        <v>126957.82489915307</v>
      </c>
    </row>
    <row r="179" spans="1:31" hidden="1" x14ac:dyDescent="0.3">
      <c r="A179" s="563" t="str">
        <f ca="1">Проект!$A$716</f>
        <v xml:space="preserve">    в т.ч. акцизов, налогов и пошлин</v>
      </c>
      <c r="B179" s="563"/>
      <c r="C179" s="539" t="str">
        <f ca="1">Проект!$C$716</f>
        <v>тыс. EUR</v>
      </c>
      <c r="D179" s="563"/>
      <c r="E179" s="563"/>
      <c r="F179" s="551">
        <f>Проект!$F$716</f>
        <v>0</v>
      </c>
      <c r="G179" s="551">
        <f>Проект!$G$716</f>
        <v>0</v>
      </c>
      <c r="H179" s="551">
        <f>Проект!$H$716</f>
        <v>0</v>
      </c>
      <c r="I179" s="551">
        <f>Проект!$I$716</f>
        <v>0</v>
      </c>
      <c r="J179" s="551">
        <f>Проект!$J$716</f>
        <v>0</v>
      </c>
      <c r="K179" s="551">
        <f>Проект!$K$716</f>
        <v>0</v>
      </c>
      <c r="L179" s="551">
        <f>Проект!$L$716</f>
        <v>0</v>
      </c>
      <c r="M179" s="551">
        <f>Проект!$M$716</f>
        <v>0</v>
      </c>
      <c r="N179" s="551">
        <f>Проект!$N$716</f>
        <v>0</v>
      </c>
      <c r="O179" s="551">
        <f>Проект!$O$716</f>
        <v>0</v>
      </c>
      <c r="P179" s="551">
        <f>Проект!$P$716</f>
        <v>0</v>
      </c>
      <c r="Q179" s="551">
        <f>Проект!$Q$716</f>
        <v>0</v>
      </c>
      <c r="R179" s="551">
        <f>Проект!$R$716</f>
        <v>0</v>
      </c>
      <c r="S179" s="551">
        <f>Проект!$S$716</f>
        <v>0</v>
      </c>
      <c r="T179" s="551">
        <f>Проект!$T$716</f>
        <v>0</v>
      </c>
      <c r="U179" s="551">
        <f>Проект!$U$716</f>
        <v>0</v>
      </c>
      <c r="V179" s="551">
        <f>Проект!$V$716</f>
        <v>0</v>
      </c>
      <c r="W179" s="551">
        <f>Проект!$W$716</f>
        <v>0</v>
      </c>
      <c r="X179" s="551">
        <f>Проект!$X$716</f>
        <v>0</v>
      </c>
      <c r="Y179" s="551">
        <f>Проект!$Y$716</f>
        <v>0</v>
      </c>
      <c r="Z179" s="551">
        <f>Проект!$Z$716</f>
        <v>0</v>
      </c>
      <c r="AA179" s="551">
        <f>Проект!$AA$716</f>
        <v>0</v>
      </c>
      <c r="AB179" s="551">
        <f>Проект!$AB$716</f>
        <v>0</v>
      </c>
      <c r="AC179" s="551">
        <f>Проект!$AC$716</f>
        <v>0</v>
      </c>
      <c r="AD179" s="563"/>
      <c r="AE179" s="572">
        <f>Проект!$AE$716</f>
        <v>0</v>
      </c>
    </row>
    <row r="180" spans="1:31" hidden="1" x14ac:dyDescent="0.3">
      <c r="A180" s="563" t="str">
        <f ca="1">Проект!$A$717</f>
        <v xml:space="preserve">    НДС на поставленную продукцию</v>
      </c>
      <c r="B180" s="563"/>
      <c r="C180" s="539" t="str">
        <f ca="1">Проект!$C$717</f>
        <v>тыс. EUR</v>
      </c>
      <c r="D180" s="563"/>
      <c r="E180" s="563"/>
      <c r="F180" s="551">
        <f>Проект!$F$717</f>
        <v>0</v>
      </c>
      <c r="G180" s="551">
        <f>Проект!$G$717</f>
        <v>0</v>
      </c>
      <c r="H180" s="551">
        <f>Проект!$H$717</f>
        <v>0</v>
      </c>
      <c r="I180" s="551">
        <f>Проект!$I$717</f>
        <v>0</v>
      </c>
      <c r="J180" s="551">
        <f>Проект!$J$717</f>
        <v>0</v>
      </c>
      <c r="K180" s="551">
        <f>Проект!$K$717</f>
        <v>0</v>
      </c>
      <c r="L180" s="551">
        <f>Проект!$L$717</f>
        <v>0</v>
      </c>
      <c r="M180" s="551">
        <f>Проект!$M$717</f>
        <v>0</v>
      </c>
      <c r="N180" s="551">
        <f>Проект!$N$717</f>
        <v>0</v>
      </c>
      <c r="O180" s="551">
        <f>Проект!$O$717</f>
        <v>0</v>
      </c>
      <c r="P180" s="551">
        <f>Проект!$P$717</f>
        <v>0</v>
      </c>
      <c r="Q180" s="551">
        <f>Проект!$Q$717</f>
        <v>0</v>
      </c>
      <c r="R180" s="551">
        <f>Проект!$R$717</f>
        <v>0</v>
      </c>
      <c r="S180" s="551">
        <f>Проект!$S$717</f>
        <v>0</v>
      </c>
      <c r="T180" s="551">
        <f>Проект!$T$717</f>
        <v>0</v>
      </c>
      <c r="U180" s="551">
        <f>Проект!$U$717</f>
        <v>0</v>
      </c>
      <c r="V180" s="551">
        <f>Проект!$V$717</f>
        <v>0</v>
      </c>
      <c r="W180" s="551">
        <f>Проект!$W$717</f>
        <v>0</v>
      </c>
      <c r="X180" s="551">
        <f>Проект!$X$717</f>
        <v>0</v>
      </c>
      <c r="Y180" s="551">
        <f>Проект!$Y$717</f>
        <v>0</v>
      </c>
      <c r="Z180" s="551">
        <f>Проект!$Z$717</f>
        <v>0</v>
      </c>
      <c r="AA180" s="551">
        <f>Проект!$AA$717</f>
        <v>0</v>
      </c>
      <c r="AB180" s="551">
        <f>Проект!$AB$717</f>
        <v>0</v>
      </c>
      <c r="AC180" s="551">
        <f>Проект!$AC$717</f>
        <v>0</v>
      </c>
      <c r="AD180" s="563"/>
      <c r="AE180" s="572">
        <f>Проект!$AE$717</f>
        <v>0</v>
      </c>
    </row>
    <row r="181" spans="1:31" hidden="1" x14ac:dyDescent="0.3">
      <c r="A181" s="563" t="str">
        <f ca="1">Проект!$A$718</f>
        <v xml:space="preserve">    график оплаты (без НДС)</v>
      </c>
      <c r="B181" s="563"/>
      <c r="C181" s="539" t="str">
        <f ca="1">Проект!$C$718</f>
        <v>тыс. EUR</v>
      </c>
      <c r="D181" s="563"/>
      <c r="E181" s="563"/>
      <c r="F181" s="551">
        <f>Проект!$F$718</f>
        <v>0</v>
      </c>
      <c r="G181" s="551">
        <f>Проект!$G$718</f>
        <v>0</v>
      </c>
      <c r="H181" s="551">
        <f>Проект!$H$718</f>
        <v>0</v>
      </c>
      <c r="I181" s="551">
        <f>Проект!$I$718</f>
        <v>0</v>
      </c>
      <c r="J181" s="551">
        <f>Проект!$J$718</f>
        <v>0</v>
      </c>
      <c r="K181" s="551">
        <f>Проект!$K$718</f>
        <v>714.56092469127964</v>
      </c>
      <c r="L181" s="551">
        <f>Проект!$L$718</f>
        <v>2731.2132863136535</v>
      </c>
      <c r="M181" s="551">
        <f>Проект!$M$718</f>
        <v>4381.7008046824012</v>
      </c>
      <c r="N181" s="551">
        <f>Проект!$N$718</f>
        <v>6249.0205978072227</v>
      </c>
      <c r="O181" s="551">
        <f>Проект!$O$718</f>
        <v>7525.4219523772372</v>
      </c>
      <c r="P181" s="551">
        <f>Проект!$P$718</f>
        <v>7525.4219523772372</v>
      </c>
      <c r="Q181" s="551">
        <f>Проект!$Q$718</f>
        <v>7525.4219523772372</v>
      </c>
      <c r="R181" s="551">
        <f>Проект!$R$718</f>
        <v>7525.4219523772372</v>
      </c>
      <c r="S181" s="551">
        <f>Проект!$S$718</f>
        <v>7525.4219523772372</v>
      </c>
      <c r="T181" s="551">
        <f>Проект!$T$718</f>
        <v>7525.4219523772372</v>
      </c>
      <c r="U181" s="551">
        <f>Проект!$U$718</f>
        <v>7525.4219523772372</v>
      </c>
      <c r="V181" s="551">
        <f>Проект!$V$718</f>
        <v>7525.4219523772372</v>
      </c>
      <c r="W181" s="551">
        <f>Проект!$W$718</f>
        <v>7525.4219523772372</v>
      </c>
      <c r="X181" s="551">
        <f>Проект!$X$718</f>
        <v>7525.4219523772372</v>
      </c>
      <c r="Y181" s="551">
        <f>Проект!$Y$718</f>
        <v>7525.4219523772372</v>
      </c>
      <c r="Z181" s="551">
        <f>Проект!$Z$718</f>
        <v>7525.4219523772372</v>
      </c>
      <c r="AA181" s="551">
        <f>Проект!$AA$718</f>
        <v>7525.4219523772372</v>
      </c>
      <c r="AB181" s="551">
        <f>Проект!$AB$718</f>
        <v>7525.4219523772372</v>
      </c>
      <c r="AC181" s="551">
        <f>Проект!$AC$718</f>
        <v>7525.4219523772372</v>
      </c>
      <c r="AD181" s="563"/>
      <c r="AE181" s="572">
        <f>Проект!$AE$718</f>
        <v>126957.82489915307</v>
      </c>
    </row>
    <row r="182" spans="1:31" hidden="1" x14ac:dyDescent="0.3">
      <c r="A182" s="563" t="str">
        <f ca="1">Проект!$A$719</f>
        <v xml:space="preserve">    полученный НДС</v>
      </c>
      <c r="B182" s="563"/>
      <c r="C182" s="539" t="str">
        <f ca="1">Проект!$C$719</f>
        <v>тыс. EUR</v>
      </c>
      <c r="D182" s="563"/>
      <c r="E182" s="563"/>
      <c r="F182" s="551">
        <f>Проект!$F$719</f>
        <v>0</v>
      </c>
      <c r="G182" s="551">
        <f>Проект!$G$719</f>
        <v>0</v>
      </c>
      <c r="H182" s="551">
        <f>Проект!$H$719</f>
        <v>0</v>
      </c>
      <c r="I182" s="551">
        <f>Проект!$I$719</f>
        <v>0</v>
      </c>
      <c r="J182" s="551">
        <f>Проект!$J$719</f>
        <v>0</v>
      </c>
      <c r="K182" s="551">
        <f>Проект!$K$719</f>
        <v>0</v>
      </c>
      <c r="L182" s="551">
        <f>Проект!$L$719</f>
        <v>0</v>
      </c>
      <c r="M182" s="551">
        <f>Проект!$M$719</f>
        <v>0</v>
      </c>
      <c r="N182" s="551">
        <f>Проект!$N$719</f>
        <v>0</v>
      </c>
      <c r="O182" s="551">
        <f>Проект!$O$719</f>
        <v>0</v>
      </c>
      <c r="P182" s="551">
        <f>Проект!$P$719</f>
        <v>0</v>
      </c>
      <c r="Q182" s="551">
        <f>Проект!$Q$719</f>
        <v>0</v>
      </c>
      <c r="R182" s="551">
        <f>Проект!$R$719</f>
        <v>0</v>
      </c>
      <c r="S182" s="551">
        <f>Проект!$S$719</f>
        <v>0</v>
      </c>
      <c r="T182" s="551">
        <f>Проект!$T$719</f>
        <v>0</v>
      </c>
      <c r="U182" s="551">
        <f>Проект!$U$719</f>
        <v>0</v>
      </c>
      <c r="V182" s="551">
        <f>Проект!$V$719</f>
        <v>0</v>
      </c>
      <c r="W182" s="551">
        <f>Проект!$W$719</f>
        <v>0</v>
      </c>
      <c r="X182" s="551">
        <f>Проект!$X$719</f>
        <v>0</v>
      </c>
      <c r="Y182" s="551">
        <f>Проект!$Y$719</f>
        <v>0</v>
      </c>
      <c r="Z182" s="551">
        <f>Проект!$Z$719</f>
        <v>0</v>
      </c>
      <c r="AA182" s="551">
        <f>Проект!$AA$719</f>
        <v>0</v>
      </c>
      <c r="AB182" s="551">
        <f>Проект!$AB$719</f>
        <v>0</v>
      </c>
      <c r="AC182" s="551">
        <f>Проект!$AC$719</f>
        <v>0</v>
      </c>
      <c r="AD182" s="563"/>
      <c r="AE182" s="572">
        <f>Проект!$AE$719</f>
        <v>0</v>
      </c>
    </row>
    <row r="183" spans="1:31" hidden="1" x14ac:dyDescent="0.3">
      <c r="A183" s="563" t="str">
        <f ca="1">Проект!$A$720</f>
        <v xml:space="preserve">    дебиторская задолженность</v>
      </c>
      <c r="B183" s="563"/>
      <c r="C183" s="539" t="str">
        <f ca="1">Проект!$C$720</f>
        <v>тыс. EUR</v>
      </c>
      <c r="D183" s="554" t="str">
        <f>Проект!$D$720</f>
        <v>int_end</v>
      </c>
      <c r="E183" s="563"/>
      <c r="F183" s="551">
        <f>Проект!$F$720</f>
        <v>0</v>
      </c>
      <c r="G183" s="551">
        <f>Проект!$G$720</f>
        <v>0</v>
      </c>
      <c r="H183" s="551">
        <f>Проект!$H$720</f>
        <v>0</v>
      </c>
      <c r="I183" s="551">
        <f>Проект!$I$720</f>
        <v>0</v>
      </c>
      <c r="J183" s="551">
        <f>Проект!$J$720</f>
        <v>0</v>
      </c>
      <c r="K183" s="551">
        <f>Проект!$K$720</f>
        <v>0</v>
      </c>
      <c r="L183" s="551">
        <f>Проект!$L$720</f>
        <v>0</v>
      </c>
      <c r="M183" s="551">
        <f>Проект!$M$720</f>
        <v>0</v>
      </c>
      <c r="N183" s="551">
        <f>Проект!$N$720</f>
        <v>0</v>
      </c>
      <c r="O183" s="551">
        <f>Проект!$O$720</f>
        <v>0</v>
      </c>
      <c r="P183" s="551">
        <f>Проект!$P$720</f>
        <v>0</v>
      </c>
      <c r="Q183" s="551">
        <f>Проект!$Q$720</f>
        <v>0</v>
      </c>
      <c r="R183" s="551">
        <f>Проект!$R$720</f>
        <v>0</v>
      </c>
      <c r="S183" s="551">
        <f>Проект!$S$720</f>
        <v>0</v>
      </c>
      <c r="T183" s="551">
        <f>Проект!$T$720</f>
        <v>0</v>
      </c>
      <c r="U183" s="551">
        <f>Проект!$U$720</f>
        <v>0</v>
      </c>
      <c r="V183" s="551">
        <f>Проект!$V$720</f>
        <v>0</v>
      </c>
      <c r="W183" s="551">
        <f>Проект!$W$720</f>
        <v>0</v>
      </c>
      <c r="X183" s="551">
        <f>Проект!$X$720</f>
        <v>0</v>
      </c>
      <c r="Y183" s="551">
        <f>Проект!$Y$720</f>
        <v>0</v>
      </c>
      <c r="Z183" s="551">
        <f>Проект!$Z$720</f>
        <v>0</v>
      </c>
      <c r="AA183" s="551">
        <f>Проект!$AA$720</f>
        <v>0</v>
      </c>
      <c r="AB183" s="551">
        <f>Проект!$AB$720</f>
        <v>0</v>
      </c>
      <c r="AC183" s="551">
        <f>Проект!$AC$720</f>
        <v>0</v>
      </c>
      <c r="AD183" s="563"/>
      <c r="AE183" s="569"/>
    </row>
    <row r="184" spans="1:31" hidden="1" x14ac:dyDescent="0.3">
      <c r="A184" s="563" t="str">
        <f ca="1">Проект!$A$721</f>
        <v xml:space="preserve">    полученные авансы</v>
      </c>
      <c r="B184" s="563"/>
      <c r="C184" s="539" t="str">
        <f ca="1">Проект!$C$721</f>
        <v>тыс. EUR</v>
      </c>
      <c r="D184" s="554" t="str">
        <f>Проект!$D$721</f>
        <v>int_end</v>
      </c>
      <c r="E184" s="563"/>
      <c r="F184" s="551">
        <f>Проект!$F$721</f>
        <v>0</v>
      </c>
      <c r="G184" s="551">
        <f>Проект!$G$721</f>
        <v>0</v>
      </c>
      <c r="H184" s="551">
        <f>Проект!$H$721</f>
        <v>0</v>
      </c>
      <c r="I184" s="551">
        <f>Проект!$I$721</f>
        <v>0</v>
      </c>
      <c r="J184" s="551">
        <f>Проект!$J$721</f>
        <v>0</v>
      </c>
      <c r="K184" s="551">
        <f>Проект!$K$721</f>
        <v>0</v>
      </c>
      <c r="L184" s="551">
        <f>Проект!$L$721</f>
        <v>0</v>
      </c>
      <c r="M184" s="551">
        <f>Проект!$M$721</f>
        <v>0</v>
      </c>
      <c r="N184" s="551">
        <f>Проект!$N$721</f>
        <v>0</v>
      </c>
      <c r="O184" s="551">
        <f>Проект!$O$721</f>
        <v>0</v>
      </c>
      <c r="P184" s="551">
        <f>Проект!$P$721</f>
        <v>0</v>
      </c>
      <c r="Q184" s="551">
        <f>Проект!$Q$721</f>
        <v>0</v>
      </c>
      <c r="R184" s="551">
        <f>Проект!$R$721</f>
        <v>0</v>
      </c>
      <c r="S184" s="551">
        <f>Проект!$S$721</f>
        <v>0</v>
      </c>
      <c r="T184" s="551">
        <f>Проект!$T$721</f>
        <v>0</v>
      </c>
      <c r="U184" s="551">
        <f>Проект!$U$721</f>
        <v>0</v>
      </c>
      <c r="V184" s="551">
        <f>Проект!$V$721</f>
        <v>0</v>
      </c>
      <c r="W184" s="551">
        <f>Проект!$W$721</f>
        <v>0</v>
      </c>
      <c r="X184" s="551">
        <f>Проект!$X$721</f>
        <v>0</v>
      </c>
      <c r="Y184" s="551">
        <f>Проект!$Y$721</f>
        <v>0</v>
      </c>
      <c r="Z184" s="551">
        <f>Проект!$Z$721</f>
        <v>0</v>
      </c>
      <c r="AA184" s="551">
        <f>Проект!$AA$721</f>
        <v>0</v>
      </c>
      <c r="AB184" s="551">
        <f>Проект!$AB$721</f>
        <v>0</v>
      </c>
      <c r="AC184" s="551">
        <f>Проект!$AC$721</f>
        <v>0</v>
      </c>
      <c r="AD184" s="563"/>
      <c r="AE184" s="569"/>
    </row>
    <row r="185" spans="1:31" ht="11.25" customHeight="1" x14ac:dyDescent="0.3">
      <c r="A185" s="544"/>
      <c r="B185" s="544"/>
      <c r="C185" s="545"/>
      <c r="D185" s="546"/>
      <c r="E185" s="544"/>
      <c r="F185" s="597"/>
      <c r="G185" s="597"/>
      <c r="H185" s="597"/>
      <c r="I185" s="597"/>
      <c r="J185" s="597"/>
      <c r="K185" s="597"/>
      <c r="L185" s="597"/>
      <c r="M185" s="597"/>
      <c r="N185" s="597"/>
      <c r="O185" s="597"/>
      <c r="P185" s="597"/>
      <c r="Q185" s="597"/>
      <c r="R185" s="597"/>
      <c r="S185" s="597"/>
      <c r="T185" s="597"/>
      <c r="U185" s="597"/>
      <c r="V185" s="597"/>
      <c r="W185" s="597"/>
      <c r="X185" s="597"/>
      <c r="Y185" s="597"/>
      <c r="Z185" s="597"/>
      <c r="AA185" s="597"/>
      <c r="AB185" s="597"/>
      <c r="AC185" s="597"/>
      <c r="AD185" s="544"/>
      <c r="AE185" s="548"/>
    </row>
    <row r="188" spans="1:31" ht="15.95" customHeight="1" thickBot="1" x14ac:dyDescent="0.25">
      <c r="A188" s="528" t="str">
        <f ca="1">Проект!$A$1197</f>
        <v xml:space="preserve">         ОТЧЕТ О ПРИБЫЛЯХ И УБЫТКАХ</v>
      </c>
      <c r="B188" s="528"/>
      <c r="C188" s="528"/>
      <c r="D188" s="528"/>
      <c r="E188" s="528"/>
      <c r="F188" s="529" t="str">
        <f ca="1">Проект!$F$1197</f>
        <v>1 кв. 2016</v>
      </c>
      <c r="G188" s="529" t="str">
        <f ca="1">Проект!$G$1197</f>
        <v>2 кв. 2016</v>
      </c>
      <c r="H188" s="529" t="str">
        <f ca="1">Проект!$H$1197</f>
        <v>3 кв. 2016</v>
      </c>
      <c r="I188" s="529" t="str">
        <f ca="1">Проект!$I$1197</f>
        <v>4 кв. 2016</v>
      </c>
      <c r="J188" s="529" t="str">
        <f ca="1">Проект!$J$1197</f>
        <v>1 кв. 2017</v>
      </c>
      <c r="K188" s="529" t="str">
        <f ca="1">Проект!$K$1197</f>
        <v>2 кв. 2017</v>
      </c>
      <c r="L188" s="529" t="str">
        <f ca="1">Проект!$L$1197</f>
        <v>3 кв. 2017</v>
      </c>
      <c r="M188" s="529" t="str">
        <f ca="1">Проект!$M$1197</f>
        <v>4 кв. 2017</v>
      </c>
      <c r="N188" s="529" t="str">
        <f ca="1">Проект!$N$1197</f>
        <v>1 кв. 2018</v>
      </c>
      <c r="O188" s="529" t="str">
        <f ca="1">Проект!$O$1197</f>
        <v>2 кв. 2018</v>
      </c>
      <c r="P188" s="529" t="str">
        <f ca="1">Проект!$P$1197</f>
        <v>3 кв. 2018</v>
      </c>
      <c r="Q188" s="529" t="str">
        <f ca="1">Проект!$Q$1197</f>
        <v>4 кв. 2018</v>
      </c>
      <c r="R188" s="529" t="str">
        <f ca="1">Проект!$R$1197</f>
        <v>1 кв. 2019</v>
      </c>
      <c r="S188" s="529" t="str">
        <f ca="1">Проект!$S$1197</f>
        <v>2 кв. 2019</v>
      </c>
      <c r="T188" s="529" t="str">
        <f ca="1">Проект!$T$1197</f>
        <v>3 кв. 2019</v>
      </c>
      <c r="U188" s="529" t="str">
        <f ca="1">Проект!$U$1197</f>
        <v>4 кв. 2019</v>
      </c>
      <c r="V188" s="529" t="str">
        <f ca="1">Проект!$V$1197</f>
        <v>1 кв. 2020</v>
      </c>
      <c r="W188" s="529" t="str">
        <f ca="1">Проект!$W$1197</f>
        <v>2 кв. 2020</v>
      </c>
      <c r="X188" s="529" t="str">
        <f ca="1">Проект!$X$1197</f>
        <v>3 кв. 2020</v>
      </c>
      <c r="Y188" s="529" t="str">
        <f ca="1">Проект!$Y$1197</f>
        <v>4 кв. 2020</v>
      </c>
      <c r="Z188" s="529" t="str">
        <f ca="1">Проект!$Z$1197</f>
        <v>1 кв. 2021</v>
      </c>
      <c r="AA188" s="529" t="str">
        <f ca="1">Проект!$AA$1197</f>
        <v>2 кв. 2021</v>
      </c>
      <c r="AB188" s="529" t="str">
        <f ca="1">Проект!$AB$1197</f>
        <v>3 кв. 2021</v>
      </c>
      <c r="AC188" s="529" t="str">
        <f ca="1">Проект!$AC$1197</f>
        <v>4 кв. 2021</v>
      </c>
      <c r="AD188" s="528"/>
      <c r="AE188" s="530" t="str">
        <f ca="1">Проект!$AE$1197</f>
        <v>ИТОГО</v>
      </c>
    </row>
    <row r="189" spans="1:31" ht="12" customHeight="1" thickTop="1" x14ac:dyDescent="0.3">
      <c r="A189" s="563"/>
      <c r="B189" s="563"/>
      <c r="C189" s="563"/>
      <c r="D189" s="563"/>
      <c r="E189" s="563"/>
      <c r="F189" s="563"/>
      <c r="G189" s="563"/>
      <c r="H189" s="563"/>
      <c r="I189" s="563"/>
      <c r="J189" s="563"/>
      <c r="K189" s="563"/>
      <c r="L189" s="563"/>
      <c r="M189" s="563"/>
      <c r="N189" s="563"/>
      <c r="O189" s="563"/>
      <c r="P189" s="563"/>
      <c r="Q189" s="563"/>
      <c r="R189" s="563"/>
      <c r="S189" s="563"/>
      <c r="T189" s="563"/>
      <c r="U189" s="563"/>
      <c r="V189" s="563"/>
      <c r="W189" s="563"/>
      <c r="X189" s="563"/>
      <c r="Y189" s="563"/>
      <c r="Z189" s="563"/>
      <c r="AA189" s="563"/>
      <c r="AB189" s="563"/>
      <c r="AC189" s="563"/>
      <c r="AD189" s="563"/>
      <c r="AE189" s="569"/>
    </row>
    <row r="190" spans="1:31" ht="11.25" customHeight="1" x14ac:dyDescent="0.3">
      <c r="A190" s="570" t="str">
        <f ca="1">Проект!$A$1199</f>
        <v>Выручка (нетто)</v>
      </c>
      <c r="B190" s="563"/>
      <c r="C190" s="539" t="str">
        <f ca="1">Проект!$C$1199</f>
        <v>тыс. EUR</v>
      </c>
      <c r="D190" s="563"/>
      <c r="E190" s="563"/>
      <c r="F190" s="552">
        <f>Проект!$F$1199</f>
        <v>0</v>
      </c>
      <c r="G190" s="552">
        <f>Проект!$G$1199</f>
        <v>0</v>
      </c>
      <c r="H190" s="552">
        <f>Проект!$H$1199</f>
        <v>0</v>
      </c>
      <c r="I190" s="552">
        <f>Проект!$I$1199</f>
        <v>0</v>
      </c>
      <c r="J190" s="552">
        <f>Проект!$J$1199</f>
        <v>0</v>
      </c>
      <c r="K190" s="552">
        <f>Проект!$K$1199</f>
        <v>714.56092469127964</v>
      </c>
      <c r="L190" s="552">
        <f>Проект!$L$1199</f>
        <v>2731.2132863136535</v>
      </c>
      <c r="M190" s="552">
        <f>Проект!$M$1199</f>
        <v>4381.7008046824012</v>
      </c>
      <c r="N190" s="552">
        <f>Проект!$N$1199</f>
        <v>6249.0205978072227</v>
      </c>
      <c r="O190" s="552">
        <f>Проект!$O$1199</f>
        <v>7525.4219523772372</v>
      </c>
      <c r="P190" s="552">
        <f>Проект!$P$1199</f>
        <v>7525.4219523772372</v>
      </c>
      <c r="Q190" s="552">
        <f>Проект!$Q$1199</f>
        <v>7525.4219523772372</v>
      </c>
      <c r="R190" s="552">
        <f>Проект!$R$1199</f>
        <v>7525.4219523772372</v>
      </c>
      <c r="S190" s="552">
        <f>Проект!$S$1199</f>
        <v>7525.4219523772372</v>
      </c>
      <c r="T190" s="552">
        <f>Проект!$T$1199</f>
        <v>7525.4219523772372</v>
      </c>
      <c r="U190" s="552">
        <f>Проект!$U$1199</f>
        <v>7525.4219523772372</v>
      </c>
      <c r="V190" s="552">
        <f>Проект!$V$1199</f>
        <v>7525.4219523772372</v>
      </c>
      <c r="W190" s="552">
        <f>Проект!$W$1199</f>
        <v>7525.4219523772372</v>
      </c>
      <c r="X190" s="552">
        <f>Проект!$X$1199</f>
        <v>7525.4219523772372</v>
      </c>
      <c r="Y190" s="552">
        <f>Проект!$Y$1199</f>
        <v>7525.4219523772372</v>
      </c>
      <c r="Z190" s="552">
        <f>Проект!$Z$1199</f>
        <v>7525.4219523772372</v>
      </c>
      <c r="AA190" s="552">
        <f>Проект!$AA$1199</f>
        <v>7525.4219523772372</v>
      </c>
      <c r="AB190" s="552">
        <f>Проект!$AB$1199</f>
        <v>7525.4219523772372</v>
      </c>
      <c r="AC190" s="552">
        <f>Проект!$AC$1199</f>
        <v>7525.4219523772372</v>
      </c>
      <c r="AD190" s="571"/>
      <c r="AE190" s="575">
        <f>Проект!$AE$1199</f>
        <v>126957.82489915307</v>
      </c>
    </row>
    <row r="191" spans="1:31" ht="11.25" customHeight="1" x14ac:dyDescent="0.3">
      <c r="A191" s="570" t="str">
        <f ca="1">Проект!$A$1200</f>
        <v>Себестоимость</v>
      </c>
      <c r="B191" s="563"/>
      <c r="C191" s="539" t="str">
        <f ca="1">Проект!$C$1200</f>
        <v>тыс. EUR</v>
      </c>
      <c r="D191" s="563"/>
      <c r="E191" s="563"/>
      <c r="F191" s="574">
        <f ca="1">Проект!$F$1200</f>
        <v>0</v>
      </c>
      <c r="G191" s="574">
        <f ca="1">Проект!$G$1200</f>
        <v>0</v>
      </c>
      <c r="H191" s="574">
        <f ca="1">Проект!$H$1200</f>
        <v>0</v>
      </c>
      <c r="I191" s="574">
        <f ca="1">Проект!$I$1200</f>
        <v>0</v>
      </c>
      <c r="J191" s="574">
        <f ca="1">Проект!$J$1200</f>
        <v>309.35251270876392</v>
      </c>
      <c r="K191" s="574">
        <f ca="1">Проект!$K$1200</f>
        <v>1112.356722758786</v>
      </c>
      <c r="L191" s="574">
        <f ca="1">Проект!$L$1200</f>
        <v>2508.2607139099546</v>
      </c>
      <c r="M191" s="574">
        <f ca="1">Проект!$M$1200</f>
        <v>3646.083756017103</v>
      </c>
      <c r="N191" s="574">
        <f ca="1">Проект!$N$1200</f>
        <v>4935.4347409324864</v>
      </c>
      <c r="O191" s="574">
        <f ca="1">Проект!$O$1200</f>
        <v>5827.1771500095974</v>
      </c>
      <c r="P191" s="574">
        <f ca="1">Проект!$P$1200</f>
        <v>5827.1771500095974</v>
      </c>
      <c r="Q191" s="574">
        <f ca="1">Проект!$Q$1200</f>
        <v>5827.1771500095974</v>
      </c>
      <c r="R191" s="574">
        <f ca="1">Проект!$R$1200</f>
        <v>5827.1771500095974</v>
      </c>
      <c r="S191" s="574">
        <f ca="1">Проект!$S$1200</f>
        <v>5827.1771500095974</v>
      </c>
      <c r="T191" s="574">
        <f ca="1">Проект!$T$1200</f>
        <v>5827.1771500095974</v>
      </c>
      <c r="U191" s="574">
        <f ca="1">Проект!$U$1200</f>
        <v>5827.1771500095974</v>
      </c>
      <c r="V191" s="574">
        <f ca="1">Проект!$V$1200</f>
        <v>5827.1771500095974</v>
      </c>
      <c r="W191" s="574">
        <f ca="1">Проект!$W$1200</f>
        <v>5827.1771500095974</v>
      </c>
      <c r="X191" s="574">
        <f ca="1">Проект!$X$1200</f>
        <v>5827.1771500095974</v>
      </c>
      <c r="Y191" s="574">
        <f ca="1">Проект!$Y$1200</f>
        <v>5827.1771500095974</v>
      </c>
      <c r="Z191" s="574">
        <f ca="1">Проект!$Z$1200</f>
        <v>5827.1771500095974</v>
      </c>
      <c r="AA191" s="574">
        <f ca="1">Проект!$AA$1200</f>
        <v>5827.1771500095974</v>
      </c>
      <c r="AB191" s="574">
        <f ca="1">Проект!$AB$1200</f>
        <v>5827.1771500095974</v>
      </c>
      <c r="AC191" s="574">
        <f ca="1">Проект!$AC$1200</f>
        <v>5827.1771500095974</v>
      </c>
      <c r="AD191" s="571"/>
      <c r="AE191" s="575">
        <f ca="1">Проект!$AE$1200</f>
        <v>99919.145696471038</v>
      </c>
    </row>
    <row r="192" spans="1:31" ht="11.25" customHeight="1" x14ac:dyDescent="0.3">
      <c r="A192" s="598" t="str">
        <f ca="1">Проект!$A$1201</f>
        <v>в том числе</v>
      </c>
      <c r="B192" s="563"/>
      <c r="C192" s="563"/>
      <c r="D192" s="563"/>
      <c r="E192" s="563"/>
      <c r="F192" s="571"/>
      <c r="G192" s="571"/>
      <c r="H192" s="571"/>
      <c r="I192" s="571"/>
      <c r="J192" s="571"/>
      <c r="K192" s="571"/>
      <c r="L192" s="571"/>
      <c r="M192" s="571"/>
      <c r="N192" s="571"/>
      <c r="O192" s="571"/>
      <c r="P192" s="571"/>
      <c r="Q192" s="571"/>
      <c r="R192" s="571"/>
      <c r="S192" s="571"/>
      <c r="T192" s="571"/>
      <c r="U192" s="571"/>
      <c r="V192" s="571"/>
      <c r="W192" s="571"/>
      <c r="X192" s="571"/>
      <c r="Y192" s="571"/>
      <c r="Z192" s="571"/>
      <c r="AA192" s="571"/>
      <c r="AB192" s="571"/>
      <c r="AC192" s="571"/>
      <c r="AD192" s="571"/>
      <c r="AE192" s="572"/>
    </row>
    <row r="193" spans="1:31" ht="11.25" customHeight="1" x14ac:dyDescent="0.3">
      <c r="A193" s="598" t="str">
        <f ca="1">Проект!$A$1202</f>
        <v xml:space="preserve">    Сырье и материалы</v>
      </c>
      <c r="B193" s="563"/>
      <c r="C193" s="539" t="str">
        <f ca="1">Проект!$C$1202</f>
        <v>тыс. EUR</v>
      </c>
      <c r="D193" s="563"/>
      <c r="E193" s="563"/>
      <c r="F193" s="551">
        <f ca="1">Проект!$F$1202</f>
        <v>0</v>
      </c>
      <c r="G193" s="551">
        <f ca="1">Проект!$G$1202</f>
        <v>0</v>
      </c>
      <c r="H193" s="551">
        <f ca="1">Проект!$H$1202</f>
        <v>0</v>
      </c>
      <c r="I193" s="551">
        <f ca="1">Проект!$I$1202</f>
        <v>0</v>
      </c>
      <c r="J193" s="551">
        <f ca="1">Проект!$J$1202</f>
        <v>0</v>
      </c>
      <c r="K193" s="551">
        <f ca="1">Проект!$K$1202</f>
        <v>473.16364375002166</v>
      </c>
      <c r="L193" s="551">
        <f ca="1">Проект!$L$1202</f>
        <v>1847.0848948830612</v>
      </c>
      <c r="M193" s="551">
        <f ca="1">Проект!$M$1202</f>
        <v>2966.9894638861606</v>
      </c>
      <c r="N193" s="551">
        <f ca="1">Проект!$N$1202</f>
        <v>4236.0357088816163</v>
      </c>
      <c r="O193" s="551">
        <f ca="1">Проект!$O$1202</f>
        <v>5113.7349304142062</v>
      </c>
      <c r="P193" s="551">
        <f ca="1">Проект!$P$1202</f>
        <v>5113.7349304142062</v>
      </c>
      <c r="Q193" s="551">
        <f ca="1">Проект!$Q$1202</f>
        <v>5113.7349304142062</v>
      </c>
      <c r="R193" s="551">
        <f ca="1">Проект!$R$1202</f>
        <v>5113.7349304142062</v>
      </c>
      <c r="S193" s="551">
        <f ca="1">Проект!$S$1202</f>
        <v>5113.7349304142062</v>
      </c>
      <c r="T193" s="551">
        <f ca="1">Проект!$T$1202</f>
        <v>5113.7349304142062</v>
      </c>
      <c r="U193" s="551">
        <f ca="1">Проект!$U$1202</f>
        <v>5113.7349304142062</v>
      </c>
      <c r="V193" s="551">
        <f ca="1">Проект!$V$1202</f>
        <v>5113.7349304142062</v>
      </c>
      <c r="W193" s="551">
        <f ca="1">Проект!$W$1202</f>
        <v>5113.7349304142062</v>
      </c>
      <c r="X193" s="551">
        <f ca="1">Проект!$X$1202</f>
        <v>5113.7349304142062</v>
      </c>
      <c r="Y193" s="551">
        <f ca="1">Проект!$Y$1202</f>
        <v>5113.7349304142062</v>
      </c>
      <c r="Z193" s="551">
        <f ca="1">Проект!$Z$1202</f>
        <v>5113.7349304142062</v>
      </c>
      <c r="AA193" s="551">
        <f ca="1">Проект!$AA$1202</f>
        <v>5113.7349304142062</v>
      </c>
      <c r="AB193" s="551">
        <f ca="1">Проект!$AB$1202</f>
        <v>5113.7349304142062</v>
      </c>
      <c r="AC193" s="551">
        <f ca="1">Проект!$AC$1202</f>
        <v>5113.7349304142062</v>
      </c>
      <c r="AD193" s="571"/>
      <c r="AE193" s="572">
        <f ca="1">Проект!$AE$1202</f>
        <v>86229.297667613966</v>
      </c>
    </row>
    <row r="194" spans="1:31" ht="11.25" customHeight="1" x14ac:dyDescent="0.3">
      <c r="A194" s="598" t="str">
        <f ca="1">Проект!$A$1203</f>
        <v xml:space="preserve">    Прочие переменные расходы</v>
      </c>
      <c r="B194" s="563"/>
      <c r="C194" s="539" t="str">
        <f ca="1">Проект!$C$1203</f>
        <v>тыс. EUR</v>
      </c>
      <c r="D194" s="563"/>
      <c r="E194" s="563"/>
      <c r="F194" s="551">
        <f ca="1">Проект!$F$1203</f>
        <v>0</v>
      </c>
      <c r="G194" s="551">
        <f ca="1">Проект!$G$1203</f>
        <v>0</v>
      </c>
      <c r="H194" s="551">
        <f ca="1">Проект!$H$1203</f>
        <v>0</v>
      </c>
      <c r="I194" s="551">
        <f ca="1">Проект!$I$1203</f>
        <v>0</v>
      </c>
      <c r="J194" s="551">
        <f ca="1">Проект!$J$1203</f>
        <v>0</v>
      </c>
      <c r="K194" s="551">
        <f ca="1">Проект!$K$1203</f>
        <v>0</v>
      </c>
      <c r="L194" s="551">
        <f ca="1">Проект!$L$1203</f>
        <v>0</v>
      </c>
      <c r="M194" s="551">
        <f ca="1">Проект!$M$1203</f>
        <v>0</v>
      </c>
      <c r="N194" s="551">
        <f ca="1">Проект!$N$1203</f>
        <v>0</v>
      </c>
      <c r="O194" s="551">
        <f ca="1">Проект!$O$1203</f>
        <v>0</v>
      </c>
      <c r="P194" s="551">
        <f ca="1">Проект!$P$1203</f>
        <v>0</v>
      </c>
      <c r="Q194" s="551">
        <f ca="1">Проект!$Q$1203</f>
        <v>0</v>
      </c>
      <c r="R194" s="551">
        <f ca="1">Проект!$R$1203</f>
        <v>0</v>
      </c>
      <c r="S194" s="551">
        <f ca="1">Проект!$S$1203</f>
        <v>0</v>
      </c>
      <c r="T194" s="551">
        <f ca="1">Проект!$T$1203</f>
        <v>0</v>
      </c>
      <c r="U194" s="551">
        <f ca="1">Проект!$U$1203</f>
        <v>0</v>
      </c>
      <c r="V194" s="551">
        <f ca="1">Проект!$V$1203</f>
        <v>0</v>
      </c>
      <c r="W194" s="551">
        <f ca="1">Проект!$W$1203</f>
        <v>0</v>
      </c>
      <c r="X194" s="551">
        <f ca="1">Проект!$X$1203</f>
        <v>0</v>
      </c>
      <c r="Y194" s="551">
        <f ca="1">Проект!$Y$1203</f>
        <v>0</v>
      </c>
      <c r="Z194" s="551">
        <f ca="1">Проект!$Z$1203</f>
        <v>0</v>
      </c>
      <c r="AA194" s="551">
        <f ca="1">Проект!$AA$1203</f>
        <v>0</v>
      </c>
      <c r="AB194" s="551">
        <f ca="1">Проект!$AB$1203</f>
        <v>0</v>
      </c>
      <c r="AC194" s="551">
        <f ca="1">Проект!$AC$1203</f>
        <v>0</v>
      </c>
      <c r="AD194" s="571"/>
      <c r="AE194" s="572">
        <f ca="1">Проект!$AE$1203</f>
        <v>0</v>
      </c>
    </row>
    <row r="195" spans="1:31" ht="11.25" customHeight="1" x14ac:dyDescent="0.3">
      <c r="A195" s="598" t="str">
        <f ca="1">Проект!$A$1204</f>
        <v xml:space="preserve">    Оплата производственного персонала</v>
      </c>
      <c r="B195" s="563"/>
      <c r="C195" s="539" t="str">
        <f ca="1">Проект!$C$1204</f>
        <v>тыс. EUR</v>
      </c>
      <c r="D195" s="563"/>
      <c r="E195" s="563"/>
      <c r="F195" s="551">
        <f>Проект!$F$1204</f>
        <v>0</v>
      </c>
      <c r="G195" s="551">
        <f>Проект!$G$1204</f>
        <v>0</v>
      </c>
      <c r="H195" s="551">
        <f>Проект!$H$1204</f>
        <v>0</v>
      </c>
      <c r="I195" s="551">
        <f>Проект!$I$1204</f>
        <v>0</v>
      </c>
      <c r="J195" s="551">
        <f>Проект!$J$1204</f>
        <v>0</v>
      </c>
      <c r="K195" s="551">
        <f>Проект!$K$1204</f>
        <v>322.269948</v>
      </c>
      <c r="L195" s="551">
        <f>Проект!$L$1204</f>
        <v>322.269948</v>
      </c>
      <c r="M195" s="551">
        <f>Проект!$M$1204</f>
        <v>322.269948</v>
      </c>
      <c r="N195" s="551">
        <f>Проект!$N$1204</f>
        <v>322.269948</v>
      </c>
      <c r="O195" s="551">
        <f>Проект!$O$1204</f>
        <v>322.269948</v>
      </c>
      <c r="P195" s="551">
        <f>Проект!$P$1204</f>
        <v>322.269948</v>
      </c>
      <c r="Q195" s="551">
        <f>Проект!$Q$1204</f>
        <v>322.269948</v>
      </c>
      <c r="R195" s="551">
        <f>Проект!$R$1204</f>
        <v>322.269948</v>
      </c>
      <c r="S195" s="551">
        <f>Проект!$S$1204</f>
        <v>322.269948</v>
      </c>
      <c r="T195" s="551">
        <f>Проект!$T$1204</f>
        <v>322.269948</v>
      </c>
      <c r="U195" s="551">
        <f>Проект!$U$1204</f>
        <v>322.269948</v>
      </c>
      <c r="V195" s="551">
        <f>Проект!$V$1204</f>
        <v>322.269948</v>
      </c>
      <c r="W195" s="551">
        <f>Проект!$W$1204</f>
        <v>322.269948</v>
      </c>
      <c r="X195" s="551">
        <f>Проект!$X$1204</f>
        <v>322.269948</v>
      </c>
      <c r="Y195" s="551">
        <f>Проект!$Y$1204</f>
        <v>322.269948</v>
      </c>
      <c r="Z195" s="551">
        <f>Проект!$Z$1204</f>
        <v>322.269948</v>
      </c>
      <c r="AA195" s="551">
        <f>Проект!$AA$1204</f>
        <v>322.269948</v>
      </c>
      <c r="AB195" s="551">
        <f>Проект!$AB$1204</f>
        <v>322.269948</v>
      </c>
      <c r="AC195" s="551">
        <f>Проект!$AC$1204</f>
        <v>322.269948</v>
      </c>
      <c r="AD195" s="571"/>
      <c r="AE195" s="572">
        <f>Проект!$AE$1204</f>
        <v>6123.1290120000012</v>
      </c>
    </row>
    <row r="196" spans="1:31" ht="11.25" customHeight="1" x14ac:dyDescent="0.3">
      <c r="A196" s="598" t="str">
        <f ca="1">Проект!$A$1205</f>
        <v xml:space="preserve">    Лизинговые платежи</v>
      </c>
      <c r="B196" s="563"/>
      <c r="C196" s="539" t="str">
        <f ca="1">Проект!$C$1205</f>
        <v>тыс. EUR</v>
      </c>
      <c r="D196" s="563"/>
      <c r="E196" s="563"/>
      <c r="F196" s="551">
        <f ca="1">Проект!$F$1205</f>
        <v>0</v>
      </c>
      <c r="G196" s="551">
        <f ca="1">Проект!$G$1205</f>
        <v>0</v>
      </c>
      <c r="H196" s="551">
        <f ca="1">Проект!$H$1205</f>
        <v>0</v>
      </c>
      <c r="I196" s="551">
        <f ca="1">Проект!$I$1205</f>
        <v>0</v>
      </c>
      <c r="J196" s="551">
        <f ca="1">Проект!$J$1205</f>
        <v>0</v>
      </c>
      <c r="K196" s="551">
        <f ca="1">Проект!$K$1205</f>
        <v>0</v>
      </c>
      <c r="L196" s="551">
        <f ca="1">Проект!$L$1205</f>
        <v>0</v>
      </c>
      <c r="M196" s="551">
        <f ca="1">Проект!$M$1205</f>
        <v>0</v>
      </c>
      <c r="N196" s="551">
        <f ca="1">Проект!$N$1205</f>
        <v>0</v>
      </c>
      <c r="O196" s="551">
        <f ca="1">Проект!$O$1205</f>
        <v>0</v>
      </c>
      <c r="P196" s="551">
        <f ca="1">Проект!$P$1205</f>
        <v>0</v>
      </c>
      <c r="Q196" s="551">
        <f ca="1">Проект!$Q$1205</f>
        <v>0</v>
      </c>
      <c r="R196" s="551">
        <f ca="1">Проект!$R$1205</f>
        <v>0</v>
      </c>
      <c r="S196" s="551">
        <f ca="1">Проект!$S$1205</f>
        <v>0</v>
      </c>
      <c r="T196" s="551">
        <f ca="1">Проект!$T$1205</f>
        <v>0</v>
      </c>
      <c r="U196" s="551">
        <f ca="1">Проект!$U$1205</f>
        <v>0</v>
      </c>
      <c r="V196" s="551">
        <f ca="1">Проект!$V$1205</f>
        <v>0</v>
      </c>
      <c r="W196" s="551">
        <f ca="1">Проект!$W$1205</f>
        <v>0</v>
      </c>
      <c r="X196" s="551">
        <f ca="1">Проект!$X$1205</f>
        <v>0</v>
      </c>
      <c r="Y196" s="551">
        <f ca="1">Проект!$Y$1205</f>
        <v>0</v>
      </c>
      <c r="Z196" s="551">
        <f ca="1">Проект!$Z$1205</f>
        <v>0</v>
      </c>
      <c r="AA196" s="551">
        <f ca="1">Проект!$AA$1205</f>
        <v>0</v>
      </c>
      <c r="AB196" s="551">
        <f ca="1">Проект!$AB$1205</f>
        <v>0</v>
      </c>
      <c r="AC196" s="551">
        <f ca="1">Проект!$AC$1205</f>
        <v>0</v>
      </c>
      <c r="AD196" s="571"/>
      <c r="AE196" s="572">
        <f ca="1">Проект!$AE$1205</f>
        <v>0</v>
      </c>
    </row>
    <row r="197" spans="1:31" ht="11.25" customHeight="1" x14ac:dyDescent="0.3">
      <c r="A197" s="598" t="str">
        <f ca="1">Проект!$A$1206</f>
        <v xml:space="preserve">    Прочие производственные расходы</v>
      </c>
      <c r="B197" s="563"/>
      <c r="C197" s="539" t="str">
        <f ca="1">Проект!$C$1206</f>
        <v>тыс. EUR</v>
      </c>
      <c r="D197" s="563"/>
      <c r="E197" s="563"/>
      <c r="F197" s="551">
        <f ca="1">Проект!$F$1206</f>
        <v>0</v>
      </c>
      <c r="G197" s="551">
        <f ca="1">Проект!$G$1206</f>
        <v>0</v>
      </c>
      <c r="H197" s="551">
        <f ca="1">Проект!$H$1206</f>
        <v>0</v>
      </c>
      <c r="I197" s="551">
        <f ca="1">Проект!$I$1206</f>
        <v>0</v>
      </c>
      <c r="J197" s="551">
        <f ca="1">Проект!$J$1206</f>
        <v>0</v>
      </c>
      <c r="K197" s="551">
        <f ca="1">Проект!$K$1206</f>
        <v>7.5706183000003486</v>
      </c>
      <c r="L197" s="551">
        <f ca="1">Проект!$L$1206</f>
        <v>29.553358318128979</v>
      </c>
      <c r="M197" s="551">
        <f ca="1">Проект!$M$1206</f>
        <v>47.471831422178568</v>
      </c>
      <c r="N197" s="551">
        <f ca="1">Проект!$N$1206</f>
        <v>67.776571342105868</v>
      </c>
      <c r="O197" s="551">
        <f ca="1">Проект!$O$1206</f>
        <v>81.819758886627284</v>
      </c>
      <c r="P197" s="551">
        <f ca="1">Проект!$P$1206</f>
        <v>81.819758886627284</v>
      </c>
      <c r="Q197" s="551">
        <f ca="1">Проект!$Q$1206</f>
        <v>81.819758886627284</v>
      </c>
      <c r="R197" s="551">
        <f ca="1">Проект!$R$1206</f>
        <v>81.819758886627284</v>
      </c>
      <c r="S197" s="551">
        <f ca="1">Проект!$S$1206</f>
        <v>81.819758886627284</v>
      </c>
      <c r="T197" s="551">
        <f ca="1">Проект!$T$1206</f>
        <v>81.819758886627284</v>
      </c>
      <c r="U197" s="551">
        <f ca="1">Проект!$U$1206</f>
        <v>81.819758886627284</v>
      </c>
      <c r="V197" s="551">
        <f ca="1">Проект!$V$1206</f>
        <v>81.819758886627284</v>
      </c>
      <c r="W197" s="551">
        <f ca="1">Проект!$W$1206</f>
        <v>81.819758886627284</v>
      </c>
      <c r="X197" s="551">
        <f ca="1">Проект!$X$1206</f>
        <v>81.819758886627284</v>
      </c>
      <c r="Y197" s="551">
        <f ca="1">Проект!$Y$1206</f>
        <v>81.819758886627284</v>
      </c>
      <c r="Z197" s="551">
        <f ca="1">Проект!$Z$1206</f>
        <v>81.819758886627284</v>
      </c>
      <c r="AA197" s="551">
        <f ca="1">Проект!$AA$1206</f>
        <v>81.819758886627284</v>
      </c>
      <c r="AB197" s="551">
        <f ca="1">Проект!$AB$1206</f>
        <v>81.819758886627284</v>
      </c>
      <c r="AC197" s="551">
        <f ca="1">Проект!$AC$1206</f>
        <v>81.819758886627284</v>
      </c>
      <c r="AD197" s="571"/>
      <c r="AE197" s="572">
        <f ca="1">Проект!$AE$1206</f>
        <v>1379.6687626818232</v>
      </c>
    </row>
    <row r="198" spans="1:31" ht="11.25" customHeight="1" x14ac:dyDescent="0.3">
      <c r="A198" s="563" t="str">
        <f ca="1">Проект!$A$1207</f>
        <v xml:space="preserve">    Амортизация</v>
      </c>
      <c r="B198" s="563"/>
      <c r="C198" s="539" t="str">
        <f ca="1">Проект!$C$1207</f>
        <v>тыс. EUR</v>
      </c>
      <c r="D198" s="563"/>
      <c r="E198" s="563"/>
      <c r="F198" s="551">
        <f ca="1">Проект!$F$1207</f>
        <v>0</v>
      </c>
      <c r="G198" s="551">
        <f ca="1">Проект!$G$1207</f>
        <v>0</v>
      </c>
      <c r="H198" s="551">
        <f ca="1">Проект!$H$1207</f>
        <v>0</v>
      </c>
      <c r="I198" s="551">
        <f ca="1">Проект!$I$1207</f>
        <v>0</v>
      </c>
      <c r="J198" s="551">
        <f ca="1">Проект!$J$1207</f>
        <v>309.35251270876392</v>
      </c>
      <c r="K198" s="551">
        <f ca="1">Проект!$K$1207</f>
        <v>309.35251270876392</v>
      </c>
      <c r="L198" s="551">
        <f ca="1">Проект!$L$1207</f>
        <v>309.35251270876392</v>
      </c>
      <c r="M198" s="551">
        <f ca="1">Проект!$M$1207</f>
        <v>309.35251270876392</v>
      </c>
      <c r="N198" s="551">
        <f ca="1">Проект!$N$1207</f>
        <v>309.35251270876392</v>
      </c>
      <c r="O198" s="551">
        <f ca="1">Проект!$O$1207</f>
        <v>309.35251270876392</v>
      </c>
      <c r="P198" s="551">
        <f ca="1">Проект!$P$1207</f>
        <v>309.35251270876392</v>
      </c>
      <c r="Q198" s="551">
        <f ca="1">Проект!$Q$1207</f>
        <v>309.35251270876392</v>
      </c>
      <c r="R198" s="551">
        <f ca="1">Проект!$R$1207</f>
        <v>309.35251270876392</v>
      </c>
      <c r="S198" s="551">
        <f ca="1">Проект!$S$1207</f>
        <v>309.35251270876392</v>
      </c>
      <c r="T198" s="551">
        <f ca="1">Проект!$T$1207</f>
        <v>309.35251270876392</v>
      </c>
      <c r="U198" s="551">
        <f ca="1">Проект!$U$1207</f>
        <v>309.35251270876392</v>
      </c>
      <c r="V198" s="551">
        <f ca="1">Проект!$V$1207</f>
        <v>309.35251270876392</v>
      </c>
      <c r="W198" s="551">
        <f ca="1">Проект!$W$1207</f>
        <v>309.35251270876392</v>
      </c>
      <c r="X198" s="551">
        <f ca="1">Проект!$X$1207</f>
        <v>309.35251270876392</v>
      </c>
      <c r="Y198" s="551">
        <f ca="1">Проект!$Y$1207</f>
        <v>309.35251270876392</v>
      </c>
      <c r="Z198" s="551">
        <f ca="1">Проект!$Z$1207</f>
        <v>309.35251270876392</v>
      </c>
      <c r="AA198" s="551">
        <f ca="1">Проект!$AA$1207</f>
        <v>309.35251270876392</v>
      </c>
      <c r="AB198" s="551">
        <f ca="1">Проект!$AB$1207</f>
        <v>309.35251270876392</v>
      </c>
      <c r="AC198" s="551">
        <f ca="1">Проект!$AC$1207</f>
        <v>309.35251270876392</v>
      </c>
      <c r="AD198" s="571"/>
      <c r="AE198" s="572">
        <f ca="1">Проект!$AE$1207</f>
        <v>6187.0502541752812</v>
      </c>
    </row>
    <row r="199" spans="1:31" ht="11.25" customHeight="1" x14ac:dyDescent="0.3">
      <c r="A199" s="570" t="str">
        <f ca="1">Проект!$A$1208</f>
        <v>Валовая прибыль</v>
      </c>
      <c r="B199" s="563"/>
      <c r="C199" s="539" t="str">
        <f ca="1">Проект!$C$1208</f>
        <v>тыс. EUR</v>
      </c>
      <c r="D199" s="563"/>
      <c r="E199" s="563"/>
      <c r="F199" s="574">
        <f ca="1">Проект!$F$1208</f>
        <v>0</v>
      </c>
      <c r="G199" s="574">
        <f ca="1">Проект!$G$1208</f>
        <v>0</v>
      </c>
      <c r="H199" s="574">
        <f ca="1">Проект!$H$1208</f>
        <v>0</v>
      </c>
      <c r="I199" s="574">
        <f ca="1">Проект!$I$1208</f>
        <v>0</v>
      </c>
      <c r="J199" s="574">
        <f ca="1">Проект!$J$1208</f>
        <v>-309.35251270876392</v>
      </c>
      <c r="K199" s="574">
        <f ca="1">Проект!$K$1208</f>
        <v>-397.79579806750633</v>
      </c>
      <c r="L199" s="574">
        <f ca="1">Проект!$L$1208</f>
        <v>222.95257240369892</v>
      </c>
      <c r="M199" s="574">
        <f ca="1">Проект!$M$1208</f>
        <v>735.61704866529817</v>
      </c>
      <c r="N199" s="574">
        <f ca="1">Проект!$N$1208</f>
        <v>1313.5858568747362</v>
      </c>
      <c r="O199" s="574">
        <f ca="1">Проект!$O$1208</f>
        <v>1698.2448023676397</v>
      </c>
      <c r="P199" s="574">
        <f ca="1">Проект!$P$1208</f>
        <v>1698.2448023676397</v>
      </c>
      <c r="Q199" s="574">
        <f ca="1">Проект!$Q$1208</f>
        <v>1698.2448023676397</v>
      </c>
      <c r="R199" s="574">
        <f ca="1">Проект!$R$1208</f>
        <v>1698.2448023676397</v>
      </c>
      <c r="S199" s="574">
        <f ca="1">Проект!$S$1208</f>
        <v>1698.2448023676397</v>
      </c>
      <c r="T199" s="574">
        <f ca="1">Проект!$T$1208</f>
        <v>1698.2448023676397</v>
      </c>
      <c r="U199" s="574">
        <f ca="1">Проект!$U$1208</f>
        <v>1698.2448023676397</v>
      </c>
      <c r="V199" s="574">
        <f ca="1">Проект!$V$1208</f>
        <v>1698.2448023676397</v>
      </c>
      <c r="W199" s="574">
        <f ca="1">Проект!$W$1208</f>
        <v>1698.2448023676397</v>
      </c>
      <c r="X199" s="574">
        <f ca="1">Проект!$X$1208</f>
        <v>1698.2448023676397</v>
      </c>
      <c r="Y199" s="574">
        <f ca="1">Проект!$Y$1208</f>
        <v>1698.2448023676397</v>
      </c>
      <c r="Z199" s="574">
        <f ca="1">Проект!$Z$1208</f>
        <v>1698.2448023676397</v>
      </c>
      <c r="AA199" s="574">
        <f ca="1">Проект!$AA$1208</f>
        <v>1698.2448023676397</v>
      </c>
      <c r="AB199" s="574">
        <f ca="1">Проект!$AB$1208</f>
        <v>1698.2448023676397</v>
      </c>
      <c r="AC199" s="574">
        <f ca="1">Проект!$AC$1208</f>
        <v>1698.2448023676397</v>
      </c>
      <c r="AD199" s="571"/>
      <c r="AE199" s="575">
        <f ca="1">Проект!$AE$1208</f>
        <v>27038.679202682069</v>
      </c>
    </row>
    <row r="200" spans="1:31" ht="11.25" customHeight="1" x14ac:dyDescent="0.3">
      <c r="A200" s="598" t="str">
        <f ca="1">Проект!$A$1209</f>
        <v>Оплата административного и коммерческого персонала</v>
      </c>
      <c r="B200" s="563"/>
      <c r="C200" s="539" t="str">
        <f ca="1">Проект!$C$1209</f>
        <v>тыс. EUR</v>
      </c>
      <c r="D200" s="563"/>
      <c r="E200" s="563"/>
      <c r="F200" s="551">
        <f>Проект!$F$1209</f>
        <v>0</v>
      </c>
      <c r="G200" s="551">
        <f>Проект!$G$1209</f>
        <v>0</v>
      </c>
      <c r="H200" s="551">
        <f>Проект!$H$1209</f>
        <v>0</v>
      </c>
      <c r="I200" s="551">
        <f>Проект!$I$1209</f>
        <v>0</v>
      </c>
      <c r="J200" s="551">
        <f>Проект!$J$1209</f>
        <v>0</v>
      </c>
      <c r="K200" s="551">
        <f>Проект!$K$1209</f>
        <v>117.54943199999998</v>
      </c>
      <c r="L200" s="551">
        <f>Проект!$L$1209</f>
        <v>117.54943199999998</v>
      </c>
      <c r="M200" s="551">
        <f>Проект!$M$1209</f>
        <v>117.54943199999998</v>
      </c>
      <c r="N200" s="551">
        <f>Проект!$N$1209</f>
        <v>117.54943199999998</v>
      </c>
      <c r="O200" s="551">
        <f>Проект!$O$1209</f>
        <v>117.54943199999998</v>
      </c>
      <c r="P200" s="551">
        <f>Проект!$P$1209</f>
        <v>117.54943199999998</v>
      </c>
      <c r="Q200" s="551">
        <f>Проект!$Q$1209</f>
        <v>117.54943199999998</v>
      </c>
      <c r="R200" s="551">
        <f>Проект!$R$1209</f>
        <v>117.54943199999998</v>
      </c>
      <c r="S200" s="551">
        <f>Проект!$S$1209</f>
        <v>117.54943199999998</v>
      </c>
      <c r="T200" s="551">
        <f>Проект!$T$1209</f>
        <v>117.54943199999998</v>
      </c>
      <c r="U200" s="551">
        <f>Проект!$U$1209</f>
        <v>117.54943199999998</v>
      </c>
      <c r="V200" s="551">
        <f>Проект!$V$1209</f>
        <v>117.54943199999998</v>
      </c>
      <c r="W200" s="551">
        <f>Проект!$W$1209</f>
        <v>117.54943199999998</v>
      </c>
      <c r="X200" s="551">
        <f>Проект!$X$1209</f>
        <v>117.54943199999998</v>
      </c>
      <c r="Y200" s="551">
        <f>Проект!$Y$1209</f>
        <v>117.54943199999998</v>
      </c>
      <c r="Z200" s="551">
        <f>Проект!$Z$1209</f>
        <v>117.54943199999998</v>
      </c>
      <c r="AA200" s="551">
        <f>Проект!$AA$1209</f>
        <v>117.54943199999998</v>
      </c>
      <c r="AB200" s="551">
        <f>Проект!$AB$1209</f>
        <v>117.54943199999998</v>
      </c>
      <c r="AC200" s="551">
        <f>Проект!$AC$1209</f>
        <v>117.54943199999998</v>
      </c>
      <c r="AD200" s="571"/>
      <c r="AE200" s="572">
        <f>Проект!$AE$1209</f>
        <v>2233.4392079999998</v>
      </c>
    </row>
    <row r="201" spans="1:31" ht="11.25" customHeight="1" x14ac:dyDescent="0.3">
      <c r="A201" s="598" t="str">
        <f ca="1">Проект!$A$1210</f>
        <v>Административные расходы</v>
      </c>
      <c r="B201" s="563"/>
      <c r="C201" s="539" t="str">
        <f ca="1">Проект!$C$1210</f>
        <v>тыс. EUR</v>
      </c>
      <c r="D201" s="563"/>
      <c r="E201" s="563"/>
      <c r="F201" s="551">
        <f ca="1">Проект!$F$1210</f>
        <v>0</v>
      </c>
      <c r="G201" s="551">
        <f ca="1">Проект!$G$1210</f>
        <v>0</v>
      </c>
      <c r="H201" s="551">
        <f ca="1">Проект!$H$1210</f>
        <v>0</v>
      </c>
      <c r="I201" s="551">
        <f ca="1">Проект!$I$1210</f>
        <v>0</v>
      </c>
      <c r="J201" s="551">
        <f ca="1">Проект!$J$1210</f>
        <v>0</v>
      </c>
      <c r="K201" s="551">
        <f ca="1">Проект!$K$1210</f>
        <v>2.3658182187501087</v>
      </c>
      <c r="L201" s="551">
        <f ca="1">Проект!$L$1210</f>
        <v>9.2354244744153071</v>
      </c>
      <c r="M201" s="551">
        <f ca="1">Проект!$M$1210</f>
        <v>14.834947319430801</v>
      </c>
      <c r="N201" s="551">
        <f ca="1">Проект!$N$1210</f>
        <v>21.180178544408086</v>
      </c>
      <c r="O201" s="551">
        <f ca="1">Проект!$O$1210</f>
        <v>25.568674652071024</v>
      </c>
      <c r="P201" s="551">
        <f ca="1">Проект!$P$1210</f>
        <v>25.568674652071024</v>
      </c>
      <c r="Q201" s="551">
        <f ca="1">Проект!$Q$1210</f>
        <v>25.568674652071024</v>
      </c>
      <c r="R201" s="551">
        <f ca="1">Проект!$R$1210</f>
        <v>25.568674652071024</v>
      </c>
      <c r="S201" s="551">
        <f ca="1">Проект!$S$1210</f>
        <v>25.568674652071024</v>
      </c>
      <c r="T201" s="551">
        <f ca="1">Проект!$T$1210</f>
        <v>25.568674652071024</v>
      </c>
      <c r="U201" s="551">
        <f ca="1">Проект!$U$1210</f>
        <v>25.568674652071024</v>
      </c>
      <c r="V201" s="551">
        <f ca="1">Проект!$V$1210</f>
        <v>25.568674652071024</v>
      </c>
      <c r="W201" s="551">
        <f ca="1">Проект!$W$1210</f>
        <v>25.568674652071024</v>
      </c>
      <c r="X201" s="551">
        <f ca="1">Проект!$X$1210</f>
        <v>25.568674652071024</v>
      </c>
      <c r="Y201" s="551">
        <f ca="1">Проект!$Y$1210</f>
        <v>25.568674652071024</v>
      </c>
      <c r="Z201" s="551">
        <f ca="1">Проект!$Z$1210</f>
        <v>25.568674652071024</v>
      </c>
      <c r="AA201" s="551">
        <f ca="1">Проект!$AA$1210</f>
        <v>25.568674652071024</v>
      </c>
      <c r="AB201" s="551">
        <f ca="1">Проект!$AB$1210</f>
        <v>25.568674652071024</v>
      </c>
      <c r="AC201" s="551">
        <f ca="1">Проект!$AC$1210</f>
        <v>25.568674652071024</v>
      </c>
      <c r="AD201" s="571"/>
      <c r="AE201" s="572">
        <f ca="1">Проект!$AE$1210</f>
        <v>431.14648833806967</v>
      </c>
    </row>
    <row r="202" spans="1:31" ht="11.25" customHeight="1" x14ac:dyDescent="0.3">
      <c r="A202" s="598" t="str">
        <f ca="1">Проект!$A$1211</f>
        <v>Коммерческие расходы</v>
      </c>
      <c r="B202" s="563"/>
      <c r="C202" s="539" t="str">
        <f ca="1">Проект!$C$1211</f>
        <v>тыс. EUR</v>
      </c>
      <c r="D202" s="563"/>
      <c r="E202" s="563"/>
      <c r="F202" s="551">
        <f ca="1">Проект!$F$1211</f>
        <v>0</v>
      </c>
      <c r="G202" s="551">
        <f ca="1">Проект!$G$1211</f>
        <v>0</v>
      </c>
      <c r="H202" s="551">
        <f ca="1">Проект!$H$1211</f>
        <v>0</v>
      </c>
      <c r="I202" s="551">
        <f ca="1">Проект!$I$1211</f>
        <v>0</v>
      </c>
      <c r="J202" s="551">
        <f ca="1">Проект!$J$1211</f>
        <v>0</v>
      </c>
      <c r="K202" s="551">
        <f ca="1">Проект!$K$1211</f>
        <v>11.829091093750543</v>
      </c>
      <c r="L202" s="551">
        <f ca="1">Проект!$L$1211</f>
        <v>46.177122372076532</v>
      </c>
      <c r="M202" s="551">
        <f ca="1">Проект!$M$1211</f>
        <v>74.174736597154009</v>
      </c>
      <c r="N202" s="551">
        <f ca="1">Проект!$N$1211</f>
        <v>105.90089272204042</v>
      </c>
      <c r="O202" s="551">
        <f ca="1">Проект!$O$1211</f>
        <v>127.84337326035515</v>
      </c>
      <c r="P202" s="551">
        <f ca="1">Проект!$P$1211</f>
        <v>127.84337326035515</v>
      </c>
      <c r="Q202" s="551">
        <f ca="1">Проект!$Q$1211</f>
        <v>127.84337326035515</v>
      </c>
      <c r="R202" s="551">
        <f ca="1">Проект!$R$1211</f>
        <v>127.84337326035515</v>
      </c>
      <c r="S202" s="551">
        <f ca="1">Проект!$S$1211</f>
        <v>127.84337326035515</v>
      </c>
      <c r="T202" s="551">
        <f ca="1">Проект!$T$1211</f>
        <v>127.84337326035515</v>
      </c>
      <c r="U202" s="551">
        <f ca="1">Проект!$U$1211</f>
        <v>127.84337326035515</v>
      </c>
      <c r="V202" s="551">
        <f ca="1">Проект!$V$1211</f>
        <v>127.84337326035515</v>
      </c>
      <c r="W202" s="551">
        <f ca="1">Проект!$W$1211</f>
        <v>127.84337326035515</v>
      </c>
      <c r="X202" s="551">
        <f ca="1">Проект!$X$1211</f>
        <v>127.84337326035515</v>
      </c>
      <c r="Y202" s="551">
        <f ca="1">Проект!$Y$1211</f>
        <v>127.84337326035515</v>
      </c>
      <c r="Z202" s="551">
        <f ca="1">Проект!$Z$1211</f>
        <v>127.84337326035515</v>
      </c>
      <c r="AA202" s="551">
        <f ca="1">Проект!$AA$1211</f>
        <v>127.84337326035515</v>
      </c>
      <c r="AB202" s="551">
        <f ca="1">Проект!$AB$1211</f>
        <v>127.84337326035515</v>
      </c>
      <c r="AC202" s="551">
        <f ca="1">Проект!$AC$1211</f>
        <v>127.84337326035515</v>
      </c>
      <c r="AD202" s="571"/>
      <c r="AE202" s="572">
        <f ca="1">Проект!$AE$1211</f>
        <v>2155.7324416903484</v>
      </c>
    </row>
    <row r="203" spans="1:31" ht="11.25" customHeight="1" x14ac:dyDescent="0.3">
      <c r="A203" s="598" t="str">
        <f ca="1">Проект!$A$1212</f>
        <v>Налоги, кроме налога на прибыль</v>
      </c>
      <c r="B203" s="563"/>
      <c r="C203" s="539" t="str">
        <f ca="1">Проект!$C$1212</f>
        <v>тыс. EUR</v>
      </c>
      <c r="D203" s="563"/>
      <c r="E203" s="563"/>
      <c r="F203" s="551">
        <f>Проект!$F$1212</f>
        <v>0</v>
      </c>
      <c r="G203" s="551">
        <f>Проект!$G$1212</f>
        <v>0</v>
      </c>
      <c r="H203" s="551">
        <f>Проект!$H$1212</f>
        <v>0</v>
      </c>
      <c r="I203" s="551">
        <f>Проект!$I$1212</f>
        <v>0</v>
      </c>
      <c r="J203" s="551">
        <f>Проект!$J$1212</f>
        <v>0</v>
      </c>
      <c r="K203" s="551">
        <f>Проект!$K$1212</f>
        <v>13.18186976744186</v>
      </c>
      <c r="L203" s="551">
        <f>Проект!$L$1212</f>
        <v>13.18186976744186</v>
      </c>
      <c r="M203" s="551">
        <f>Проект!$M$1212</f>
        <v>13.18186976744186</v>
      </c>
      <c r="N203" s="551">
        <f>Проект!$N$1212</f>
        <v>13.18186976744186</v>
      </c>
      <c r="O203" s="551">
        <f>Проект!$O$1212</f>
        <v>13.18186976744186</v>
      </c>
      <c r="P203" s="551">
        <f>Проект!$P$1212</f>
        <v>13.18186976744186</v>
      </c>
      <c r="Q203" s="551">
        <f>Проект!$Q$1212</f>
        <v>13.18186976744186</v>
      </c>
      <c r="R203" s="551">
        <f>Проект!$R$1212</f>
        <v>13.18186976744186</v>
      </c>
      <c r="S203" s="551">
        <f>Проект!$S$1212</f>
        <v>13.18186976744186</v>
      </c>
      <c r="T203" s="551">
        <f>Проект!$T$1212</f>
        <v>13.18186976744186</v>
      </c>
      <c r="U203" s="551">
        <f>Проект!$U$1212</f>
        <v>13.18186976744186</v>
      </c>
      <c r="V203" s="551">
        <f>Проект!$V$1212</f>
        <v>13.18186976744186</v>
      </c>
      <c r="W203" s="551">
        <f>Проект!$W$1212</f>
        <v>13.18186976744186</v>
      </c>
      <c r="X203" s="551">
        <f>Проект!$X$1212</f>
        <v>13.18186976744186</v>
      </c>
      <c r="Y203" s="551">
        <f>Проект!$Y$1212</f>
        <v>13.18186976744186</v>
      </c>
      <c r="Z203" s="551">
        <f>Проект!$Z$1212</f>
        <v>13.18186976744186</v>
      </c>
      <c r="AA203" s="551">
        <f>Проект!$AA$1212</f>
        <v>13.18186976744186</v>
      </c>
      <c r="AB203" s="551">
        <f>Проект!$AB$1212</f>
        <v>13.18186976744186</v>
      </c>
      <c r="AC203" s="551">
        <f>Проект!$AC$1212</f>
        <v>13.18186976744186</v>
      </c>
      <c r="AD203" s="571"/>
      <c r="AE203" s="572">
        <f>Проект!$AE$1212</f>
        <v>250.45552558139545</v>
      </c>
    </row>
    <row r="204" spans="1:31" ht="11.25" customHeight="1" x14ac:dyDescent="0.3">
      <c r="A204" s="563" t="str">
        <f ca="1">Проект!$A$1213</f>
        <v>Проценты</v>
      </c>
      <c r="B204" s="563"/>
      <c r="C204" s="539" t="str">
        <f ca="1">Проект!$C$1213</f>
        <v>тыс. EUR</v>
      </c>
      <c r="D204" s="563"/>
      <c r="E204" s="563"/>
      <c r="F204" s="551">
        <f>Проект!$F$1213</f>
        <v>0</v>
      </c>
      <c r="G204" s="551">
        <f>Проект!$G$1213</f>
        <v>0</v>
      </c>
      <c r="H204" s="551">
        <f>Проект!$H$1213</f>
        <v>0</v>
      </c>
      <c r="I204" s="551">
        <f>Проект!$I$1213</f>
        <v>0</v>
      </c>
      <c r="J204" s="551">
        <f>Проект!$J$1213</f>
        <v>0</v>
      </c>
      <c r="K204" s="551">
        <f>Проект!$K$1213</f>
        <v>0</v>
      </c>
      <c r="L204" s="551">
        <f>Проект!$L$1213</f>
        <v>0</v>
      </c>
      <c r="M204" s="551">
        <f>Проект!$M$1213</f>
        <v>0</v>
      </c>
      <c r="N204" s="551">
        <f>Проект!$N$1213</f>
        <v>0</v>
      </c>
      <c r="O204" s="551">
        <f>Проект!$O$1213</f>
        <v>0</v>
      </c>
      <c r="P204" s="551">
        <f>Проект!$P$1213</f>
        <v>0</v>
      </c>
      <c r="Q204" s="551">
        <f>Проект!$Q$1213</f>
        <v>0</v>
      </c>
      <c r="R204" s="551">
        <f>Проект!$R$1213</f>
        <v>0</v>
      </c>
      <c r="S204" s="551">
        <f>Проект!$S$1213</f>
        <v>0</v>
      </c>
      <c r="T204" s="551">
        <f>Проект!$T$1213</f>
        <v>0</v>
      </c>
      <c r="U204" s="551">
        <f>Проект!$U$1213</f>
        <v>0</v>
      </c>
      <c r="V204" s="551">
        <f>Проект!$V$1213</f>
        <v>0</v>
      </c>
      <c r="W204" s="551">
        <f>Проект!$W$1213</f>
        <v>0</v>
      </c>
      <c r="X204" s="551">
        <f>Проект!$X$1213</f>
        <v>0</v>
      </c>
      <c r="Y204" s="551">
        <f>Проект!$Y$1213</f>
        <v>0</v>
      </c>
      <c r="Z204" s="551">
        <f>Проект!$Z$1213</f>
        <v>0</v>
      </c>
      <c r="AA204" s="551">
        <f>Проект!$AA$1213</f>
        <v>0</v>
      </c>
      <c r="AB204" s="551">
        <f>Проект!$AB$1213</f>
        <v>0</v>
      </c>
      <c r="AC204" s="551">
        <f>Проект!$AC$1213</f>
        <v>0</v>
      </c>
      <c r="AD204" s="571"/>
      <c r="AE204" s="572">
        <f>Проект!$AE$1213</f>
        <v>0</v>
      </c>
    </row>
    <row r="205" spans="1:31" ht="11.25" customHeight="1" x14ac:dyDescent="0.3">
      <c r="A205" s="570" t="str">
        <f ca="1">Проект!$A$1214</f>
        <v>Прибыль (убыток) от операционной деятельности</v>
      </c>
      <c r="B205" s="563"/>
      <c r="C205" s="539" t="str">
        <f ca="1">Проект!$C$1214</f>
        <v>тыс. EUR</v>
      </c>
      <c r="D205" s="563"/>
      <c r="E205" s="563"/>
      <c r="F205" s="574">
        <f ca="1">Проект!$F$1214</f>
        <v>0</v>
      </c>
      <c r="G205" s="574">
        <f ca="1">Проект!$G$1214</f>
        <v>0</v>
      </c>
      <c r="H205" s="574">
        <f ca="1">Проект!$H$1214</f>
        <v>0</v>
      </c>
      <c r="I205" s="574">
        <f ca="1">Проект!$I$1214</f>
        <v>0</v>
      </c>
      <c r="J205" s="574">
        <f ca="1">Проект!$J$1214</f>
        <v>-309.35251270876392</v>
      </c>
      <c r="K205" s="574">
        <f ca="1">Проект!$K$1214</f>
        <v>-542.72200914744883</v>
      </c>
      <c r="L205" s="574">
        <f ca="1">Проект!$L$1214</f>
        <v>36.808723789765239</v>
      </c>
      <c r="M205" s="574">
        <f ca="1">Проект!$M$1214</f>
        <v>515.87606298127139</v>
      </c>
      <c r="N205" s="574">
        <f ca="1">Проект!$N$1214</f>
        <v>1055.7734838408458</v>
      </c>
      <c r="O205" s="574">
        <f ca="1">Проект!$O$1214</f>
        <v>1414.1014526877718</v>
      </c>
      <c r="P205" s="574">
        <f ca="1">Проект!$P$1214</f>
        <v>1414.1014526877718</v>
      </c>
      <c r="Q205" s="574">
        <f ca="1">Проект!$Q$1214</f>
        <v>1414.1014526877718</v>
      </c>
      <c r="R205" s="574">
        <f ca="1">Проект!$R$1214</f>
        <v>1414.1014526877718</v>
      </c>
      <c r="S205" s="574">
        <f ca="1">Проект!$S$1214</f>
        <v>1414.1014526877718</v>
      </c>
      <c r="T205" s="574">
        <f ca="1">Проект!$T$1214</f>
        <v>1414.1014526877718</v>
      </c>
      <c r="U205" s="574">
        <f ca="1">Проект!$U$1214</f>
        <v>1414.1014526877718</v>
      </c>
      <c r="V205" s="574">
        <f ca="1">Проект!$V$1214</f>
        <v>1414.1014526877718</v>
      </c>
      <c r="W205" s="574">
        <f ca="1">Проект!$W$1214</f>
        <v>1414.1014526877718</v>
      </c>
      <c r="X205" s="574">
        <f ca="1">Проект!$X$1214</f>
        <v>1414.1014526877718</v>
      </c>
      <c r="Y205" s="574">
        <f ca="1">Проект!$Y$1214</f>
        <v>1414.1014526877718</v>
      </c>
      <c r="Z205" s="574">
        <f ca="1">Проект!$Z$1214</f>
        <v>1414.1014526877718</v>
      </c>
      <c r="AA205" s="574">
        <f ca="1">Проект!$AA$1214</f>
        <v>1414.1014526877718</v>
      </c>
      <c r="AB205" s="574">
        <f ca="1">Проект!$AB$1214</f>
        <v>1414.1014526877718</v>
      </c>
      <c r="AC205" s="574">
        <f ca="1">Проект!$AC$1214</f>
        <v>1414.1014526877718</v>
      </c>
      <c r="AD205" s="571"/>
      <c r="AE205" s="575">
        <f ca="1">Проект!$AE$1214</f>
        <v>21967.90553907225</v>
      </c>
    </row>
    <row r="206" spans="1:31" ht="11.25" customHeight="1" x14ac:dyDescent="0.3">
      <c r="A206" s="563" t="str">
        <f ca="1">Проект!$A$1215</f>
        <v>Прибыль / убыток от реализации внеоборотных активов</v>
      </c>
      <c r="B206" s="563"/>
      <c r="C206" s="539" t="str">
        <f ca="1">Проект!$C$1215</f>
        <v>тыс. EUR</v>
      </c>
      <c r="D206" s="563"/>
      <c r="E206" s="563"/>
      <c r="F206" s="551">
        <f>Проект!$F$1215</f>
        <v>0</v>
      </c>
      <c r="G206" s="551">
        <f>Проект!$G$1215</f>
        <v>0</v>
      </c>
      <c r="H206" s="551">
        <f>Проект!$H$1215</f>
        <v>0</v>
      </c>
      <c r="I206" s="551">
        <f>Проект!$I$1215</f>
        <v>0</v>
      </c>
      <c r="J206" s="551">
        <f>Проект!$J$1215</f>
        <v>0</v>
      </c>
      <c r="K206" s="551">
        <f>Проект!$K$1215</f>
        <v>0</v>
      </c>
      <c r="L206" s="551">
        <f>Проект!$L$1215</f>
        <v>0</v>
      </c>
      <c r="M206" s="551">
        <f>Проект!$M$1215</f>
        <v>0</v>
      </c>
      <c r="N206" s="551">
        <f>Проект!$N$1215</f>
        <v>0</v>
      </c>
      <c r="O206" s="551">
        <f>Проект!$O$1215</f>
        <v>0</v>
      </c>
      <c r="P206" s="551">
        <f>Проект!$P$1215</f>
        <v>0</v>
      </c>
      <c r="Q206" s="551">
        <f>Проект!$Q$1215</f>
        <v>0</v>
      </c>
      <c r="R206" s="551">
        <f>Проект!$R$1215</f>
        <v>0</v>
      </c>
      <c r="S206" s="551">
        <f>Проект!$S$1215</f>
        <v>0</v>
      </c>
      <c r="T206" s="551">
        <f>Проект!$T$1215</f>
        <v>0</v>
      </c>
      <c r="U206" s="551">
        <f>Проект!$U$1215</f>
        <v>0</v>
      </c>
      <c r="V206" s="551">
        <f>Проект!$V$1215</f>
        <v>0</v>
      </c>
      <c r="W206" s="551">
        <f>Проект!$W$1215</f>
        <v>0</v>
      </c>
      <c r="X206" s="551">
        <f>Проект!$X$1215</f>
        <v>0</v>
      </c>
      <c r="Y206" s="551">
        <f>Проект!$Y$1215</f>
        <v>0</v>
      </c>
      <c r="Z206" s="551">
        <f>Проект!$Z$1215</f>
        <v>0</v>
      </c>
      <c r="AA206" s="551">
        <f>Проект!$AA$1215</f>
        <v>0</v>
      </c>
      <c r="AB206" s="551">
        <f>Проект!$AB$1215</f>
        <v>0</v>
      </c>
      <c r="AC206" s="551">
        <f>Проект!$AC$1215</f>
        <v>0</v>
      </c>
      <c r="AD206" s="571"/>
      <c r="AE206" s="572">
        <f>Проект!$AE$1215</f>
        <v>0</v>
      </c>
    </row>
    <row r="207" spans="1:31" ht="11.25" customHeight="1" x14ac:dyDescent="0.3">
      <c r="A207" s="563" t="str">
        <f ca="1">Проект!$A$1216</f>
        <v>Прибыль / убыток от строительной деятельности</v>
      </c>
      <c r="B207" s="563"/>
      <c r="C207" s="539" t="str">
        <f ca="1">Проект!$C$1216</f>
        <v>тыс. EUR</v>
      </c>
      <c r="D207" s="563"/>
      <c r="E207" s="563"/>
      <c r="F207" s="551">
        <f>Проект!$F$1216</f>
        <v>0</v>
      </c>
      <c r="G207" s="551">
        <f>Проект!$G$1216</f>
        <v>0</v>
      </c>
      <c r="H207" s="551">
        <f>Проект!$H$1216</f>
        <v>0</v>
      </c>
      <c r="I207" s="551">
        <f>Проект!$I$1216</f>
        <v>0</v>
      </c>
      <c r="J207" s="551">
        <f>Проект!$J$1216</f>
        <v>0</v>
      </c>
      <c r="K207" s="551">
        <f>Проект!$K$1216</f>
        <v>0</v>
      </c>
      <c r="L207" s="551">
        <f>Проект!$L$1216</f>
        <v>0</v>
      </c>
      <c r="M207" s="551">
        <f>Проект!$M$1216</f>
        <v>0</v>
      </c>
      <c r="N207" s="551">
        <f>Проект!$N$1216</f>
        <v>0</v>
      </c>
      <c r="O207" s="551">
        <f>Проект!$O$1216</f>
        <v>0</v>
      </c>
      <c r="P207" s="551">
        <f>Проект!$P$1216</f>
        <v>0</v>
      </c>
      <c r="Q207" s="551">
        <f>Проект!$Q$1216</f>
        <v>0</v>
      </c>
      <c r="R207" s="551">
        <f>Проект!$R$1216</f>
        <v>0</v>
      </c>
      <c r="S207" s="551">
        <f>Проект!$S$1216</f>
        <v>0</v>
      </c>
      <c r="T207" s="551">
        <f>Проект!$T$1216</f>
        <v>0</v>
      </c>
      <c r="U207" s="551">
        <f>Проект!$U$1216</f>
        <v>0</v>
      </c>
      <c r="V207" s="551">
        <f>Проект!$V$1216</f>
        <v>0</v>
      </c>
      <c r="W207" s="551">
        <f>Проект!$W$1216</f>
        <v>0</v>
      </c>
      <c r="X207" s="551">
        <f>Проект!$X$1216</f>
        <v>0</v>
      </c>
      <c r="Y207" s="551">
        <f>Проект!$Y$1216</f>
        <v>0</v>
      </c>
      <c r="Z207" s="551">
        <f>Проект!$Z$1216</f>
        <v>0</v>
      </c>
      <c r="AA207" s="551">
        <f>Проект!$AA$1216</f>
        <v>0</v>
      </c>
      <c r="AB207" s="551">
        <f>Проект!$AB$1216</f>
        <v>0</v>
      </c>
      <c r="AC207" s="551">
        <f>Проект!$AC$1216</f>
        <v>0</v>
      </c>
      <c r="AD207" s="571"/>
      <c r="AE207" s="572">
        <f>Проект!$AE$1216</f>
        <v>0</v>
      </c>
    </row>
    <row r="208" spans="1:31" ht="11.25" customHeight="1" x14ac:dyDescent="0.3">
      <c r="A208" s="563" t="str">
        <f ca="1">Проект!$A$1217</f>
        <v>Курсовые разницы</v>
      </c>
      <c r="B208" s="563"/>
      <c r="C208" s="539" t="str">
        <f ca="1">Проект!$C$1217</f>
        <v>тыс. EUR</v>
      </c>
      <c r="D208" s="563"/>
      <c r="E208" s="563"/>
      <c r="F208" s="551">
        <f>Проект!$F$1217</f>
        <v>0</v>
      </c>
      <c r="G208" s="551">
        <f>Проект!$G$1217</f>
        <v>0</v>
      </c>
      <c r="H208" s="551">
        <f>Проект!$H$1217</f>
        <v>0</v>
      </c>
      <c r="I208" s="551">
        <f>Проект!$I$1217</f>
        <v>0</v>
      </c>
      <c r="J208" s="551">
        <f>Проект!$J$1217</f>
        <v>0</v>
      </c>
      <c r="K208" s="551">
        <f>Проект!$K$1217</f>
        <v>0</v>
      </c>
      <c r="L208" s="551">
        <f>Проект!$L$1217</f>
        <v>0</v>
      </c>
      <c r="M208" s="551">
        <f>Проект!$M$1217</f>
        <v>0</v>
      </c>
      <c r="N208" s="551">
        <f>Проект!$N$1217</f>
        <v>0</v>
      </c>
      <c r="O208" s="551">
        <f>Проект!$O$1217</f>
        <v>0</v>
      </c>
      <c r="P208" s="551">
        <f>Проект!$P$1217</f>
        <v>0</v>
      </c>
      <c r="Q208" s="551">
        <f>Проект!$Q$1217</f>
        <v>0</v>
      </c>
      <c r="R208" s="551">
        <f>Проект!$R$1217</f>
        <v>0</v>
      </c>
      <c r="S208" s="551">
        <f>Проект!$S$1217</f>
        <v>0</v>
      </c>
      <c r="T208" s="551">
        <f>Проект!$T$1217</f>
        <v>0</v>
      </c>
      <c r="U208" s="551">
        <f>Проект!$U$1217</f>
        <v>0</v>
      </c>
      <c r="V208" s="551">
        <f>Проект!$V$1217</f>
        <v>0</v>
      </c>
      <c r="W208" s="551">
        <f>Проект!$W$1217</f>
        <v>0</v>
      </c>
      <c r="X208" s="551">
        <f>Проект!$X$1217</f>
        <v>0</v>
      </c>
      <c r="Y208" s="551">
        <f>Проект!$Y$1217</f>
        <v>0</v>
      </c>
      <c r="Z208" s="551">
        <f>Проект!$Z$1217</f>
        <v>0</v>
      </c>
      <c r="AA208" s="551">
        <f>Проект!$AA$1217</f>
        <v>0</v>
      </c>
      <c r="AB208" s="551">
        <f>Проект!$AB$1217</f>
        <v>0</v>
      </c>
      <c r="AC208" s="551">
        <f>Проект!$AC$1217</f>
        <v>0</v>
      </c>
      <c r="AD208" s="571"/>
      <c r="AE208" s="572">
        <f>Проект!$AE$1217</f>
        <v>0</v>
      </c>
    </row>
    <row r="209" spans="1:31" ht="11.25" customHeight="1" x14ac:dyDescent="0.3">
      <c r="A209" s="563" t="str">
        <f ca="1">Проект!$A$1218</f>
        <v>Прочие доходы</v>
      </c>
      <c r="B209" s="563"/>
      <c r="C209" s="539" t="str">
        <f ca="1">Проект!$C$1218</f>
        <v>тыс. EUR</v>
      </c>
      <c r="D209" s="563"/>
      <c r="E209" s="563"/>
      <c r="F209" s="571">
        <f ca="1">Проект!$F$1218</f>
        <v>0</v>
      </c>
      <c r="G209" s="571">
        <f ca="1">Проект!$G$1218</f>
        <v>0</v>
      </c>
      <c r="H209" s="571">
        <f ca="1">Проект!$H$1218</f>
        <v>0</v>
      </c>
      <c r="I209" s="571">
        <f ca="1">Проект!$I$1218</f>
        <v>0</v>
      </c>
      <c r="J209" s="571">
        <f ca="1">Проект!$J$1218</f>
        <v>0</v>
      </c>
      <c r="K209" s="571">
        <f ca="1">Проект!$K$1218</f>
        <v>0</v>
      </c>
      <c r="L209" s="571">
        <f ca="1">Проект!$L$1218</f>
        <v>0</v>
      </c>
      <c r="M209" s="571">
        <f ca="1">Проект!$M$1218</f>
        <v>0</v>
      </c>
      <c r="N209" s="571">
        <f ca="1">Проект!$N$1218</f>
        <v>0</v>
      </c>
      <c r="O209" s="571">
        <f ca="1">Проект!$O$1218</f>
        <v>0</v>
      </c>
      <c r="P209" s="571">
        <f ca="1">Проект!$P$1218</f>
        <v>0</v>
      </c>
      <c r="Q209" s="571">
        <f ca="1">Проект!$Q$1218</f>
        <v>0</v>
      </c>
      <c r="R209" s="571">
        <f ca="1">Проект!$R$1218</f>
        <v>0</v>
      </c>
      <c r="S209" s="571">
        <f ca="1">Проект!$S$1218</f>
        <v>0</v>
      </c>
      <c r="T209" s="571">
        <f ca="1">Проект!$T$1218</f>
        <v>0</v>
      </c>
      <c r="U209" s="571">
        <f ca="1">Проект!$U$1218</f>
        <v>0</v>
      </c>
      <c r="V209" s="571">
        <f ca="1">Проект!$V$1218</f>
        <v>0</v>
      </c>
      <c r="W209" s="571">
        <f ca="1">Проект!$W$1218</f>
        <v>0</v>
      </c>
      <c r="X209" s="571">
        <f ca="1">Проект!$X$1218</f>
        <v>0</v>
      </c>
      <c r="Y209" s="571">
        <f ca="1">Проект!$Y$1218</f>
        <v>0</v>
      </c>
      <c r="Z209" s="571">
        <f ca="1">Проект!$Z$1218</f>
        <v>0</v>
      </c>
      <c r="AA209" s="571">
        <f ca="1">Проект!$AA$1218</f>
        <v>0</v>
      </c>
      <c r="AB209" s="571">
        <f ca="1">Проект!$AB$1218</f>
        <v>0</v>
      </c>
      <c r="AC209" s="571">
        <f ca="1">Проект!$AC$1218</f>
        <v>0</v>
      </c>
      <c r="AD209" s="571"/>
      <c r="AE209" s="572">
        <f ca="1">Проект!$AE$1218</f>
        <v>0</v>
      </c>
    </row>
    <row r="210" spans="1:31" ht="11.25" customHeight="1" x14ac:dyDescent="0.3">
      <c r="A210" s="563" t="str">
        <f ca="1">Проект!$A$1219</f>
        <v>Прочие расходы</v>
      </c>
      <c r="B210" s="563"/>
      <c r="C210" s="539" t="str">
        <f ca="1">Проект!$C$1219</f>
        <v>тыс. EUR</v>
      </c>
      <c r="D210" s="563"/>
      <c r="E210" s="563"/>
      <c r="F210" s="571">
        <f>Проект!$F$1219</f>
        <v>0</v>
      </c>
      <c r="G210" s="571">
        <f>Проект!$G$1219</f>
        <v>0</v>
      </c>
      <c r="H210" s="571">
        <f>Проект!$H$1219</f>
        <v>0</v>
      </c>
      <c r="I210" s="571">
        <f>Проект!$I$1219</f>
        <v>0</v>
      </c>
      <c r="J210" s="571">
        <f>Проект!$J$1219</f>
        <v>0</v>
      </c>
      <c r="K210" s="571">
        <f>Проект!$K$1219</f>
        <v>0</v>
      </c>
      <c r="L210" s="571">
        <f>Проект!$L$1219</f>
        <v>0</v>
      </c>
      <c r="M210" s="571">
        <f>Проект!$M$1219</f>
        <v>0</v>
      </c>
      <c r="N210" s="571">
        <f>Проект!$N$1219</f>
        <v>0</v>
      </c>
      <c r="O210" s="571">
        <f>Проект!$O$1219</f>
        <v>0</v>
      </c>
      <c r="P210" s="571">
        <f>Проект!$P$1219</f>
        <v>0</v>
      </c>
      <c r="Q210" s="571">
        <f>Проект!$Q$1219</f>
        <v>0</v>
      </c>
      <c r="R210" s="571">
        <f>Проект!$R$1219</f>
        <v>0</v>
      </c>
      <c r="S210" s="571">
        <f>Проект!$S$1219</f>
        <v>0</v>
      </c>
      <c r="T210" s="571">
        <f>Проект!$T$1219</f>
        <v>0</v>
      </c>
      <c r="U210" s="571">
        <f>Проект!$U$1219</f>
        <v>0</v>
      </c>
      <c r="V210" s="571">
        <f>Проект!$V$1219</f>
        <v>0</v>
      </c>
      <c r="W210" s="571">
        <f>Проект!$W$1219</f>
        <v>0</v>
      </c>
      <c r="X210" s="571">
        <f>Проект!$X$1219</f>
        <v>0</v>
      </c>
      <c r="Y210" s="571">
        <f>Проект!$Y$1219</f>
        <v>0</v>
      </c>
      <c r="Z210" s="571">
        <f>Проект!$Z$1219</f>
        <v>0</v>
      </c>
      <c r="AA210" s="571">
        <f>Проект!$AA$1219</f>
        <v>0</v>
      </c>
      <c r="AB210" s="571">
        <f>Проект!$AB$1219</f>
        <v>0</v>
      </c>
      <c r="AC210" s="571">
        <f>Проект!$AC$1219</f>
        <v>0</v>
      </c>
      <c r="AD210" s="571"/>
      <c r="AE210" s="572">
        <f>Проект!$AE$1219</f>
        <v>0</v>
      </c>
    </row>
    <row r="211" spans="1:31" ht="11.25" customHeight="1" x14ac:dyDescent="0.3">
      <c r="A211" s="570" t="str">
        <f ca="1">Проект!$A$1220</f>
        <v>Прибыль до налогообложения</v>
      </c>
      <c r="B211" s="563"/>
      <c r="C211" s="539" t="str">
        <f ca="1">Проект!$C$1220</f>
        <v>тыс. EUR</v>
      </c>
      <c r="D211" s="563"/>
      <c r="E211" s="563"/>
      <c r="F211" s="574">
        <f ca="1">Проект!$F$1220</f>
        <v>0</v>
      </c>
      <c r="G211" s="574">
        <f ca="1">Проект!$G$1220</f>
        <v>0</v>
      </c>
      <c r="H211" s="574">
        <f ca="1">Проект!$H$1220</f>
        <v>0</v>
      </c>
      <c r="I211" s="574">
        <f ca="1">Проект!$I$1220</f>
        <v>0</v>
      </c>
      <c r="J211" s="574">
        <f ca="1">Проект!$J$1220</f>
        <v>-309.35251270876392</v>
      </c>
      <c r="K211" s="574">
        <f ca="1">Проект!$K$1220</f>
        <v>-542.72200914744883</v>
      </c>
      <c r="L211" s="574">
        <f ca="1">Проект!$L$1220</f>
        <v>36.808723789765239</v>
      </c>
      <c r="M211" s="574">
        <f ca="1">Проект!$M$1220</f>
        <v>515.87606298127139</v>
      </c>
      <c r="N211" s="574">
        <f ca="1">Проект!$N$1220</f>
        <v>1055.7734838408458</v>
      </c>
      <c r="O211" s="574">
        <f ca="1">Проект!$O$1220</f>
        <v>1414.1014526877718</v>
      </c>
      <c r="P211" s="574">
        <f ca="1">Проект!$P$1220</f>
        <v>1414.1014526877718</v>
      </c>
      <c r="Q211" s="574">
        <f ca="1">Проект!$Q$1220</f>
        <v>1414.1014526877718</v>
      </c>
      <c r="R211" s="574">
        <f ca="1">Проект!$R$1220</f>
        <v>1414.1014526877718</v>
      </c>
      <c r="S211" s="574">
        <f ca="1">Проект!$S$1220</f>
        <v>1414.1014526877718</v>
      </c>
      <c r="T211" s="574">
        <f ca="1">Проект!$T$1220</f>
        <v>1414.1014526877718</v>
      </c>
      <c r="U211" s="574">
        <f ca="1">Проект!$U$1220</f>
        <v>1414.1014526877718</v>
      </c>
      <c r="V211" s="574">
        <f ca="1">Проект!$V$1220</f>
        <v>1414.1014526877718</v>
      </c>
      <c r="W211" s="574">
        <f ca="1">Проект!$W$1220</f>
        <v>1414.1014526877718</v>
      </c>
      <c r="X211" s="574">
        <f ca="1">Проект!$X$1220</f>
        <v>1414.1014526877718</v>
      </c>
      <c r="Y211" s="574">
        <f ca="1">Проект!$Y$1220</f>
        <v>1414.1014526877718</v>
      </c>
      <c r="Z211" s="574">
        <f ca="1">Проект!$Z$1220</f>
        <v>1414.1014526877718</v>
      </c>
      <c r="AA211" s="574">
        <f ca="1">Проект!$AA$1220</f>
        <v>1414.1014526877718</v>
      </c>
      <c r="AB211" s="574">
        <f ca="1">Проект!$AB$1220</f>
        <v>1414.1014526877718</v>
      </c>
      <c r="AC211" s="574">
        <f ca="1">Проект!$AC$1220</f>
        <v>1414.1014526877718</v>
      </c>
      <c r="AD211" s="571"/>
      <c r="AE211" s="575">
        <f ca="1">Проект!$AE$1220</f>
        <v>21967.90553907225</v>
      </c>
    </row>
    <row r="212" spans="1:31" ht="11.25" customHeight="1" x14ac:dyDescent="0.3">
      <c r="A212" s="563" t="str">
        <f ca="1">Проект!$A$1221</f>
        <v>Налог на прибыль</v>
      </c>
      <c r="B212" s="563"/>
      <c r="C212" s="539" t="str">
        <f ca="1">Проект!$C$1221</f>
        <v>тыс. EUR</v>
      </c>
      <c r="D212" s="563"/>
      <c r="E212" s="563"/>
      <c r="F212" s="551">
        <f ca="1">Проект!$F$1221</f>
        <v>0</v>
      </c>
      <c r="G212" s="551">
        <f ca="1">Проект!$G$1221</f>
        <v>0</v>
      </c>
      <c r="H212" s="551">
        <f ca="1">Проект!$H$1221</f>
        <v>0</v>
      </c>
      <c r="I212" s="551">
        <f ca="1">Проект!$I$1221</f>
        <v>0</v>
      </c>
      <c r="J212" s="551">
        <f ca="1">Проект!$J$1221</f>
        <v>0</v>
      </c>
      <c r="K212" s="551">
        <f ca="1">Проект!$K$1221</f>
        <v>0</v>
      </c>
      <c r="L212" s="551">
        <f ca="1">Проект!$L$1221</f>
        <v>0</v>
      </c>
      <c r="M212" s="551">
        <f ca="1">Проект!$M$1221</f>
        <v>0</v>
      </c>
      <c r="N212" s="551">
        <f ca="1">Проект!$N$1221</f>
        <v>143.71291226357724</v>
      </c>
      <c r="O212" s="551">
        <f ca="1">Проект!$O$1221</f>
        <v>268.67927601067663</v>
      </c>
      <c r="P212" s="551">
        <f ca="1">Проект!$P$1221</f>
        <v>268.67927601067663</v>
      </c>
      <c r="Q212" s="551">
        <f ca="1">Проект!$Q$1221</f>
        <v>268.67927601067663</v>
      </c>
      <c r="R212" s="551">
        <f ca="1">Проект!$R$1221</f>
        <v>268.67927601067663</v>
      </c>
      <c r="S212" s="551">
        <f ca="1">Проект!$S$1221</f>
        <v>268.67927601067663</v>
      </c>
      <c r="T212" s="551">
        <f ca="1">Проект!$T$1221</f>
        <v>268.67927601067663</v>
      </c>
      <c r="U212" s="551">
        <f ca="1">Проект!$U$1221</f>
        <v>268.67927601067663</v>
      </c>
      <c r="V212" s="551">
        <f ca="1">Проект!$V$1221</f>
        <v>268.67927601067663</v>
      </c>
      <c r="W212" s="551">
        <f ca="1">Проект!$W$1221</f>
        <v>268.67927601067663</v>
      </c>
      <c r="X212" s="551">
        <f ca="1">Проект!$X$1221</f>
        <v>268.67927601067663</v>
      </c>
      <c r="Y212" s="551">
        <f ca="1">Проект!$Y$1221</f>
        <v>268.67927601067663</v>
      </c>
      <c r="Z212" s="551">
        <f ca="1">Проект!$Z$1221</f>
        <v>268.67927601067663</v>
      </c>
      <c r="AA212" s="551">
        <f ca="1">Проект!$AA$1221</f>
        <v>268.67927601067663</v>
      </c>
      <c r="AB212" s="551">
        <f ca="1">Проект!$AB$1221</f>
        <v>268.67927601067663</v>
      </c>
      <c r="AC212" s="551">
        <f ca="1">Проект!$AC$1221</f>
        <v>268.67927601067663</v>
      </c>
      <c r="AD212" s="571"/>
      <c r="AE212" s="572">
        <f ca="1">Проект!$AE$1221</f>
        <v>4173.9020524237249</v>
      </c>
    </row>
    <row r="213" spans="1:31" ht="11.25" customHeight="1" x14ac:dyDescent="0.3">
      <c r="A213" s="570" t="str">
        <f ca="1">Проект!$A$1222</f>
        <v>Чистая прибыль (убыток)</v>
      </c>
      <c r="B213" s="563"/>
      <c r="C213" s="539" t="str">
        <f ca="1">Проект!$C$1222</f>
        <v>тыс. EUR</v>
      </c>
      <c r="D213" s="563"/>
      <c r="E213" s="563"/>
      <c r="F213" s="574">
        <f ca="1">Проект!$F$1222</f>
        <v>0</v>
      </c>
      <c r="G213" s="574">
        <f ca="1">Проект!$G$1222</f>
        <v>0</v>
      </c>
      <c r="H213" s="574">
        <f ca="1">Проект!$H$1222</f>
        <v>0</v>
      </c>
      <c r="I213" s="574">
        <f ca="1">Проект!$I$1222</f>
        <v>0</v>
      </c>
      <c r="J213" s="574">
        <f ca="1">Проект!$J$1222</f>
        <v>-309.35251270876392</v>
      </c>
      <c r="K213" s="574">
        <f ca="1">Проект!$K$1222</f>
        <v>-542.72200914744883</v>
      </c>
      <c r="L213" s="574">
        <f ca="1">Проект!$L$1222</f>
        <v>36.808723789765239</v>
      </c>
      <c r="M213" s="574">
        <f ca="1">Проект!$M$1222</f>
        <v>515.87606298127139</v>
      </c>
      <c r="N213" s="574">
        <f ca="1">Проект!$N$1222</f>
        <v>912.06057157726855</v>
      </c>
      <c r="O213" s="574">
        <f ca="1">Проект!$O$1222</f>
        <v>1145.4221766770952</v>
      </c>
      <c r="P213" s="574">
        <f ca="1">Проект!$P$1222</f>
        <v>1145.4221766770952</v>
      </c>
      <c r="Q213" s="574">
        <f ca="1">Проект!$Q$1222</f>
        <v>1145.4221766770952</v>
      </c>
      <c r="R213" s="574">
        <f ca="1">Проект!$R$1222</f>
        <v>1145.4221766770952</v>
      </c>
      <c r="S213" s="574">
        <f ca="1">Проект!$S$1222</f>
        <v>1145.4221766770952</v>
      </c>
      <c r="T213" s="574">
        <f ca="1">Проект!$T$1222</f>
        <v>1145.4221766770952</v>
      </c>
      <c r="U213" s="574">
        <f ca="1">Проект!$U$1222</f>
        <v>1145.4221766770952</v>
      </c>
      <c r="V213" s="574">
        <f ca="1">Проект!$V$1222</f>
        <v>1145.4221766770952</v>
      </c>
      <c r="W213" s="574">
        <f ca="1">Проект!$W$1222</f>
        <v>1145.4221766770952</v>
      </c>
      <c r="X213" s="574">
        <f ca="1">Проект!$X$1222</f>
        <v>1145.4221766770952</v>
      </c>
      <c r="Y213" s="574">
        <f ca="1">Проект!$Y$1222</f>
        <v>1145.4221766770952</v>
      </c>
      <c r="Z213" s="574">
        <f ca="1">Проект!$Z$1222</f>
        <v>1145.4221766770952</v>
      </c>
      <c r="AA213" s="574">
        <f ca="1">Проект!$AA$1222</f>
        <v>1145.4221766770952</v>
      </c>
      <c r="AB213" s="574">
        <f ca="1">Проект!$AB$1222</f>
        <v>1145.4221766770952</v>
      </c>
      <c r="AC213" s="574">
        <f ca="1">Проект!$AC$1222</f>
        <v>1145.4221766770952</v>
      </c>
      <c r="AD213" s="571"/>
      <c r="AE213" s="575">
        <f ca="1">Проект!$AE$1222</f>
        <v>17794.003486648522</v>
      </c>
    </row>
    <row r="214" spans="1:31" ht="11.25" customHeight="1" x14ac:dyDescent="0.3">
      <c r="A214" s="544"/>
      <c r="B214" s="544"/>
      <c r="C214" s="544"/>
      <c r="D214" s="544"/>
      <c r="E214" s="544"/>
      <c r="F214" s="544"/>
      <c r="G214" s="544"/>
      <c r="H214" s="544"/>
      <c r="I214" s="544"/>
      <c r="J214" s="544"/>
      <c r="K214" s="544"/>
      <c r="L214" s="544"/>
      <c r="M214" s="544"/>
      <c r="N214" s="544"/>
      <c r="O214" s="544"/>
      <c r="P214" s="544"/>
      <c r="Q214" s="544"/>
      <c r="R214" s="544"/>
      <c r="S214" s="544"/>
      <c r="T214" s="544"/>
      <c r="U214" s="544"/>
      <c r="V214" s="544"/>
      <c r="W214" s="544"/>
      <c r="X214" s="544"/>
      <c r="Y214" s="544"/>
      <c r="Z214" s="544"/>
      <c r="AA214" s="544"/>
      <c r="AB214" s="544"/>
      <c r="AC214" s="544"/>
      <c r="AD214" s="544"/>
      <c r="AE214" s="548"/>
    </row>
    <row r="217" spans="1:31" x14ac:dyDescent="0.3">
      <c r="A217" s="599" t="str">
        <f ca="1">Language!A$735 &amp; ", " &amp; Проект!CUR_Report</f>
        <v>График: Выручка, тыс. EUR</v>
      </c>
      <c r="B217" s="600"/>
      <c r="C217" s="600"/>
      <c r="D217" s="600"/>
      <c r="E217" s="600"/>
      <c r="F217" s="600"/>
      <c r="G217" s="600"/>
      <c r="H217" s="600"/>
    </row>
    <row r="218" spans="1:31" x14ac:dyDescent="0.3">
      <c r="A218" s="600"/>
      <c r="B218" s="600"/>
      <c r="C218" s="600"/>
      <c r="D218" s="600"/>
      <c r="E218" s="600"/>
      <c r="F218" s="600"/>
      <c r="G218" s="600"/>
      <c r="H218" s="600"/>
    </row>
    <row r="219" spans="1:31" x14ac:dyDescent="0.3">
      <c r="A219" s="600"/>
      <c r="B219" s="600"/>
      <c r="C219" s="600"/>
      <c r="D219" s="600"/>
      <c r="E219" s="600"/>
      <c r="F219" s="600"/>
      <c r="G219" s="600"/>
      <c r="H219" s="600"/>
    </row>
    <row r="220" spans="1:31" x14ac:dyDescent="0.3">
      <c r="A220" s="600"/>
      <c r="B220" s="600"/>
      <c r="C220" s="600"/>
      <c r="D220" s="600"/>
      <c r="E220" s="600"/>
      <c r="F220" s="600"/>
      <c r="G220" s="600"/>
      <c r="H220" s="600"/>
    </row>
    <row r="221" spans="1:31" x14ac:dyDescent="0.3">
      <c r="A221" s="600"/>
      <c r="B221" s="600"/>
      <c r="C221" s="600"/>
      <c r="D221" s="600"/>
      <c r="E221" s="600"/>
      <c r="F221" s="600"/>
      <c r="G221" s="600"/>
      <c r="H221" s="600"/>
    </row>
    <row r="222" spans="1:31" x14ac:dyDescent="0.3">
      <c r="A222" s="600"/>
      <c r="B222" s="600"/>
      <c r="C222" s="600"/>
      <c r="D222" s="600"/>
      <c r="E222" s="600"/>
      <c r="F222" s="600"/>
      <c r="G222" s="600"/>
      <c r="H222" s="600"/>
    </row>
    <row r="223" spans="1:31" x14ac:dyDescent="0.3">
      <c r="A223" s="600"/>
      <c r="B223" s="600"/>
      <c r="C223" s="600"/>
      <c r="D223" s="600"/>
      <c r="E223" s="600"/>
      <c r="F223" s="600"/>
      <c r="G223" s="600"/>
      <c r="H223" s="600"/>
    </row>
    <row r="224" spans="1:31" x14ac:dyDescent="0.3">
      <c r="A224" s="600"/>
      <c r="B224" s="600"/>
      <c r="C224" s="600"/>
      <c r="D224" s="600"/>
      <c r="E224" s="600"/>
      <c r="F224" s="600"/>
      <c r="G224" s="600"/>
      <c r="H224" s="600"/>
    </row>
    <row r="225" spans="1:8" x14ac:dyDescent="0.3">
      <c r="A225" s="600"/>
      <c r="B225" s="600"/>
      <c r="C225" s="600"/>
      <c r="D225" s="600"/>
      <c r="E225" s="600"/>
      <c r="F225" s="600"/>
      <c r="G225" s="600"/>
      <c r="H225" s="600"/>
    </row>
    <row r="226" spans="1:8" x14ac:dyDescent="0.3">
      <c r="A226" s="600"/>
      <c r="B226" s="600"/>
      <c r="C226" s="600"/>
      <c r="D226" s="600"/>
      <c r="E226" s="600"/>
      <c r="F226" s="600"/>
      <c r="G226" s="600"/>
      <c r="H226" s="600"/>
    </row>
    <row r="227" spans="1:8" x14ac:dyDescent="0.3">
      <c r="A227" s="600"/>
      <c r="B227" s="600"/>
      <c r="C227" s="600"/>
      <c r="D227" s="600"/>
      <c r="E227" s="600"/>
      <c r="F227" s="600"/>
      <c r="G227" s="600"/>
      <c r="H227" s="600"/>
    </row>
    <row r="228" spans="1:8" x14ac:dyDescent="0.3">
      <c r="A228" s="600"/>
      <c r="B228" s="600"/>
      <c r="C228" s="600"/>
      <c r="D228" s="600"/>
      <c r="E228" s="600"/>
      <c r="F228" s="600"/>
      <c r="G228" s="600"/>
      <c r="H228" s="600"/>
    </row>
    <row r="229" spans="1:8" x14ac:dyDescent="0.3">
      <c r="A229" s="600"/>
      <c r="B229" s="600"/>
      <c r="C229" s="600"/>
      <c r="D229" s="600"/>
      <c r="E229" s="600"/>
      <c r="F229" s="600"/>
      <c r="G229" s="600"/>
      <c r="H229" s="600"/>
    </row>
    <row r="230" spans="1:8" x14ac:dyDescent="0.3">
      <c r="A230" s="600"/>
      <c r="B230" s="600"/>
      <c r="C230" s="600"/>
      <c r="D230" s="600"/>
      <c r="E230" s="600"/>
      <c r="F230" s="600"/>
      <c r="G230" s="600"/>
      <c r="H230" s="600"/>
    </row>
    <row r="231" spans="1:8" x14ac:dyDescent="0.3">
      <c r="A231" s="600"/>
      <c r="B231" s="600"/>
      <c r="C231" s="600"/>
      <c r="D231" s="600"/>
      <c r="E231" s="600"/>
      <c r="F231" s="600"/>
      <c r="G231" s="600"/>
      <c r="H231" s="600"/>
    </row>
    <row r="232" spans="1:8" x14ac:dyDescent="0.3">
      <c r="A232" s="600"/>
      <c r="B232" s="600"/>
      <c r="C232" s="600"/>
      <c r="D232" s="600"/>
      <c r="E232" s="600"/>
      <c r="F232" s="600"/>
      <c r="G232" s="600"/>
      <c r="H232" s="600"/>
    </row>
    <row r="233" spans="1:8" x14ac:dyDescent="0.3">
      <c r="A233" s="600"/>
      <c r="B233" s="600"/>
      <c r="C233" s="600"/>
      <c r="D233" s="600"/>
      <c r="E233" s="600"/>
      <c r="F233" s="600"/>
      <c r="G233" s="600"/>
      <c r="H233" s="600"/>
    </row>
    <row r="234" spans="1:8" x14ac:dyDescent="0.3">
      <c r="A234" s="600"/>
      <c r="B234" s="600"/>
      <c r="C234" s="600"/>
      <c r="D234" s="600"/>
      <c r="E234" s="600"/>
      <c r="F234" s="600"/>
      <c r="G234" s="600"/>
      <c r="H234" s="600"/>
    </row>
    <row r="235" spans="1:8" x14ac:dyDescent="0.3">
      <c r="A235" s="600"/>
      <c r="B235" s="600"/>
      <c r="C235" s="600"/>
      <c r="D235" s="600"/>
      <c r="E235" s="600"/>
      <c r="F235" s="600"/>
      <c r="G235" s="600"/>
      <c r="H235" s="600"/>
    </row>
    <row r="236" spans="1:8" x14ac:dyDescent="0.3">
      <c r="A236" s="600"/>
      <c r="B236" s="600"/>
      <c r="C236" s="600"/>
      <c r="D236" s="600"/>
      <c r="E236" s="600"/>
      <c r="F236" s="600"/>
      <c r="G236" s="600"/>
      <c r="H236" s="600"/>
    </row>
    <row r="237" spans="1:8" x14ac:dyDescent="0.3">
      <c r="A237" s="600"/>
      <c r="B237" s="600"/>
      <c r="C237" s="600"/>
      <c r="D237" s="600"/>
      <c r="E237" s="600"/>
      <c r="F237" s="600"/>
      <c r="G237" s="600"/>
      <c r="H237" s="600"/>
    </row>
    <row r="238" spans="1:8" x14ac:dyDescent="0.3">
      <c r="A238" s="600"/>
      <c r="B238" s="600"/>
      <c r="C238" s="600"/>
      <c r="D238" s="600"/>
      <c r="E238" s="600"/>
      <c r="F238" s="600"/>
      <c r="G238" s="600"/>
      <c r="H238" s="600"/>
    </row>
    <row r="239" spans="1:8" x14ac:dyDescent="0.3">
      <c r="A239" s="600"/>
      <c r="B239" s="600"/>
      <c r="C239" s="600"/>
      <c r="D239" s="600"/>
      <c r="E239" s="600"/>
      <c r="F239" s="600"/>
      <c r="G239" s="600"/>
      <c r="H239" s="600"/>
    </row>
    <row r="240" spans="1:8" x14ac:dyDescent="0.3">
      <c r="A240" s="600"/>
      <c r="B240" s="600"/>
      <c r="C240" s="600"/>
      <c r="D240" s="600"/>
      <c r="E240" s="600"/>
      <c r="F240" s="600"/>
      <c r="G240" s="600"/>
      <c r="H240" s="600"/>
    </row>
    <row r="243" spans="1:8" x14ac:dyDescent="0.3">
      <c r="A243" s="599" t="str">
        <f ca="1">Language!A$736 &amp; ", " &amp; Проект!CUR_Report</f>
        <v>График: Чистая прибыль, тыс. EUR</v>
      </c>
      <c r="B243" s="600"/>
      <c r="C243" s="600"/>
      <c r="D243" s="600"/>
      <c r="E243" s="600"/>
      <c r="F243" s="600"/>
      <c r="G243" s="600"/>
      <c r="H243" s="600"/>
    </row>
    <row r="244" spans="1:8" x14ac:dyDescent="0.3">
      <c r="A244" s="600"/>
      <c r="B244" s="600"/>
      <c r="C244" s="600"/>
      <c r="D244" s="600"/>
      <c r="E244" s="600"/>
      <c r="F244" s="600"/>
      <c r="G244" s="600"/>
      <c r="H244" s="600"/>
    </row>
    <row r="245" spans="1:8" x14ac:dyDescent="0.3">
      <c r="A245" s="600"/>
      <c r="B245" s="600"/>
      <c r="C245" s="600"/>
      <c r="D245" s="600"/>
      <c r="E245" s="600"/>
      <c r="F245" s="600"/>
      <c r="G245" s="600"/>
      <c r="H245" s="600"/>
    </row>
    <row r="246" spans="1:8" x14ac:dyDescent="0.3">
      <c r="A246" s="600"/>
      <c r="B246" s="600"/>
      <c r="C246" s="600"/>
      <c r="D246" s="600"/>
      <c r="E246" s="600"/>
      <c r="F246" s="600"/>
      <c r="G246" s="600"/>
      <c r="H246" s="600"/>
    </row>
    <row r="247" spans="1:8" x14ac:dyDescent="0.3">
      <c r="A247" s="600"/>
      <c r="B247" s="600"/>
      <c r="C247" s="600"/>
      <c r="D247" s="600"/>
      <c r="E247" s="600"/>
      <c r="F247" s="600"/>
      <c r="G247" s="600"/>
      <c r="H247" s="600"/>
    </row>
    <row r="248" spans="1:8" x14ac:dyDescent="0.3">
      <c r="A248" s="600"/>
      <c r="B248" s="600"/>
      <c r="C248" s="600"/>
      <c r="D248" s="600"/>
      <c r="E248" s="600"/>
      <c r="F248" s="600"/>
      <c r="G248" s="600"/>
      <c r="H248" s="600"/>
    </row>
    <row r="249" spans="1:8" x14ac:dyDescent="0.3">
      <c r="A249" s="600"/>
      <c r="B249" s="600"/>
      <c r="C249" s="600"/>
      <c r="D249" s="600"/>
      <c r="E249" s="600"/>
      <c r="F249" s="600"/>
      <c r="G249" s="600"/>
      <c r="H249" s="600"/>
    </row>
    <row r="250" spans="1:8" x14ac:dyDescent="0.3">
      <c r="A250" s="600"/>
      <c r="B250" s="600"/>
      <c r="C250" s="600"/>
      <c r="D250" s="600"/>
      <c r="E250" s="600"/>
      <c r="F250" s="600"/>
      <c r="G250" s="600"/>
      <c r="H250" s="600"/>
    </row>
    <row r="251" spans="1:8" x14ac:dyDescent="0.3">
      <c r="A251" s="600"/>
      <c r="B251" s="600"/>
      <c r="C251" s="600"/>
      <c r="D251" s="600"/>
      <c r="E251" s="600"/>
      <c r="F251" s="600"/>
      <c r="G251" s="600"/>
      <c r="H251" s="600"/>
    </row>
    <row r="252" spans="1:8" x14ac:dyDescent="0.3">
      <c r="A252" s="600"/>
      <c r="B252" s="600"/>
      <c r="C252" s="600"/>
      <c r="D252" s="600"/>
      <c r="E252" s="600"/>
      <c r="F252" s="600"/>
      <c r="G252" s="600"/>
      <c r="H252" s="600"/>
    </row>
    <row r="253" spans="1:8" x14ac:dyDescent="0.3">
      <c r="A253" s="600"/>
      <c r="B253" s="600"/>
      <c r="C253" s="600"/>
      <c r="D253" s="600"/>
      <c r="E253" s="600"/>
      <c r="F253" s="600"/>
      <c r="G253" s="600"/>
      <c r="H253" s="600"/>
    </row>
    <row r="254" spans="1:8" x14ac:dyDescent="0.3">
      <c r="A254" s="600"/>
      <c r="B254" s="600"/>
      <c r="C254" s="600"/>
      <c r="D254" s="600"/>
      <c r="E254" s="600"/>
      <c r="F254" s="600"/>
      <c r="G254" s="600"/>
      <c r="H254" s="600"/>
    </row>
    <row r="255" spans="1:8" x14ac:dyDescent="0.3">
      <c r="A255" s="600"/>
      <c r="B255" s="600"/>
      <c r="C255" s="600"/>
      <c r="D255" s="600"/>
      <c r="E255" s="600"/>
      <c r="F255" s="600"/>
      <c r="G255" s="600"/>
      <c r="H255" s="600"/>
    </row>
    <row r="256" spans="1:8" x14ac:dyDescent="0.3">
      <c r="A256" s="600"/>
      <c r="B256" s="600"/>
      <c r="C256" s="600"/>
      <c r="D256" s="600"/>
      <c r="E256" s="600"/>
      <c r="F256" s="600"/>
      <c r="G256" s="600"/>
      <c r="H256" s="600"/>
    </row>
    <row r="257" spans="1:31" x14ac:dyDescent="0.3">
      <c r="A257" s="600"/>
      <c r="B257" s="600"/>
      <c r="C257" s="600"/>
      <c r="D257" s="600"/>
      <c r="E257" s="600"/>
      <c r="F257" s="600"/>
      <c r="G257" s="600"/>
      <c r="H257" s="600"/>
    </row>
    <row r="258" spans="1:31" x14ac:dyDescent="0.3">
      <c r="A258" s="600"/>
      <c r="B258" s="600"/>
      <c r="C258" s="600"/>
      <c r="D258" s="600"/>
      <c r="E258" s="600"/>
      <c r="F258" s="600"/>
      <c r="G258" s="600"/>
      <c r="H258" s="600"/>
    </row>
    <row r="259" spans="1:31" x14ac:dyDescent="0.3">
      <c r="A259" s="600"/>
      <c r="B259" s="600"/>
      <c r="C259" s="600"/>
      <c r="D259" s="600"/>
      <c r="E259" s="600"/>
      <c r="F259" s="600"/>
      <c r="G259" s="600"/>
      <c r="H259" s="600"/>
    </row>
    <row r="260" spans="1:31" x14ac:dyDescent="0.3">
      <c r="A260" s="600"/>
      <c r="B260" s="600"/>
      <c r="C260" s="600"/>
      <c r="D260" s="600"/>
      <c r="E260" s="600"/>
      <c r="F260" s="600"/>
      <c r="G260" s="600"/>
      <c r="H260" s="600"/>
    </row>
    <row r="261" spans="1:31" x14ac:dyDescent="0.3">
      <c r="A261" s="600"/>
      <c r="B261" s="600"/>
      <c r="C261" s="600"/>
      <c r="D261" s="600"/>
      <c r="E261" s="600"/>
      <c r="F261" s="600"/>
      <c r="G261" s="600"/>
      <c r="H261" s="600"/>
    </row>
    <row r="262" spans="1:31" x14ac:dyDescent="0.3">
      <c r="A262" s="600"/>
      <c r="B262" s="600"/>
      <c r="C262" s="600"/>
      <c r="D262" s="600"/>
      <c r="E262" s="600"/>
      <c r="F262" s="600"/>
      <c r="G262" s="600"/>
      <c r="H262" s="600"/>
    </row>
    <row r="263" spans="1:31" x14ac:dyDescent="0.3">
      <c r="A263" s="600"/>
      <c r="B263" s="600"/>
      <c r="C263" s="600"/>
      <c r="D263" s="600"/>
      <c r="E263" s="600"/>
      <c r="F263" s="600"/>
      <c r="G263" s="600"/>
      <c r="H263" s="600"/>
    </row>
    <row r="264" spans="1:31" x14ac:dyDescent="0.3">
      <c r="A264" s="600"/>
      <c r="B264" s="600"/>
      <c r="C264" s="600"/>
      <c r="D264" s="600"/>
      <c r="E264" s="600"/>
      <c r="F264" s="600"/>
      <c r="G264" s="600"/>
      <c r="H264" s="600"/>
    </row>
    <row r="265" spans="1:31" x14ac:dyDescent="0.3">
      <c r="A265" s="600"/>
      <c r="B265" s="600"/>
      <c r="C265" s="600"/>
      <c r="D265" s="600"/>
      <c r="E265" s="600"/>
      <c r="F265" s="600"/>
      <c r="G265" s="600"/>
      <c r="H265" s="600"/>
    </row>
    <row r="266" spans="1:31" x14ac:dyDescent="0.3">
      <c r="A266" s="600"/>
      <c r="B266" s="600"/>
      <c r="C266" s="600"/>
      <c r="D266" s="600"/>
      <c r="E266" s="600"/>
      <c r="F266" s="600"/>
      <c r="G266" s="600"/>
      <c r="H266" s="600"/>
    </row>
    <row r="269" spans="1:31" ht="15.95" customHeight="1" thickBot="1" x14ac:dyDescent="0.25">
      <c r="A269" s="528" t="str">
        <f ca="1">Проект!$A$1275</f>
        <v xml:space="preserve">         ПРИЛОЖЕНИЕ К ОТЧЕТУ О ПРИБЫЛЯХ И УБЫТКАХ</v>
      </c>
      <c r="B269" s="528"/>
      <c r="C269" s="528"/>
      <c r="D269" s="528"/>
      <c r="E269" s="528"/>
      <c r="F269" s="529" t="str">
        <f ca="1">Проект!$F$1275</f>
        <v>1 кв. 2016</v>
      </c>
      <c r="G269" s="529" t="str">
        <f ca="1">Проект!$G$1275</f>
        <v>2 кв. 2016</v>
      </c>
      <c r="H269" s="529" t="str">
        <f ca="1">Проект!$H$1275</f>
        <v>3 кв. 2016</v>
      </c>
      <c r="I269" s="529" t="str">
        <f ca="1">Проект!$I$1275</f>
        <v>4 кв. 2016</v>
      </c>
      <c r="J269" s="529" t="str">
        <f ca="1">Проект!$J$1275</f>
        <v>1 кв. 2017</v>
      </c>
      <c r="K269" s="529" t="str">
        <f ca="1">Проект!$K$1275</f>
        <v>2 кв. 2017</v>
      </c>
      <c r="L269" s="529" t="str">
        <f ca="1">Проект!$L$1275</f>
        <v>3 кв. 2017</v>
      </c>
      <c r="M269" s="529" t="str">
        <f ca="1">Проект!$M$1275</f>
        <v>4 кв. 2017</v>
      </c>
      <c r="N269" s="529" t="str">
        <f ca="1">Проект!$N$1275</f>
        <v>1 кв. 2018</v>
      </c>
      <c r="O269" s="529" t="str">
        <f ca="1">Проект!$O$1275</f>
        <v>2 кв. 2018</v>
      </c>
      <c r="P269" s="529" t="str">
        <f ca="1">Проект!$P$1275</f>
        <v>3 кв. 2018</v>
      </c>
      <c r="Q269" s="529" t="str">
        <f ca="1">Проект!$Q$1275</f>
        <v>4 кв. 2018</v>
      </c>
      <c r="R269" s="529" t="str">
        <f ca="1">Проект!$R$1275</f>
        <v>1 кв. 2019</v>
      </c>
      <c r="S269" s="529" t="str">
        <f ca="1">Проект!$S$1275</f>
        <v>2 кв. 2019</v>
      </c>
      <c r="T269" s="529" t="str">
        <f ca="1">Проект!$T$1275</f>
        <v>3 кв. 2019</v>
      </c>
      <c r="U269" s="529" t="str">
        <f ca="1">Проект!$U$1275</f>
        <v>4 кв. 2019</v>
      </c>
      <c r="V269" s="529" t="str">
        <f ca="1">Проект!$V$1275</f>
        <v>1 кв. 2020</v>
      </c>
      <c r="W269" s="529" t="str">
        <f ca="1">Проект!$W$1275</f>
        <v>2 кв. 2020</v>
      </c>
      <c r="X269" s="529" t="str">
        <f ca="1">Проект!$X$1275</f>
        <v>3 кв. 2020</v>
      </c>
      <c r="Y269" s="529" t="str">
        <f ca="1">Проект!$Y$1275</f>
        <v>4 кв. 2020</v>
      </c>
      <c r="Z269" s="529" t="str">
        <f ca="1">Проект!$Z$1275</f>
        <v>1 кв. 2021</v>
      </c>
      <c r="AA269" s="529" t="str">
        <f ca="1">Проект!$AA$1275</f>
        <v>2 кв. 2021</v>
      </c>
      <c r="AB269" s="529" t="str">
        <f ca="1">Проект!$AB$1275</f>
        <v>3 кв. 2021</v>
      </c>
      <c r="AC269" s="529" t="str">
        <f ca="1">Проект!$AC$1275</f>
        <v>4 кв. 2021</v>
      </c>
      <c r="AD269" s="528"/>
      <c r="AE269" s="530" t="str">
        <f ca="1">Проект!$AE$1275</f>
        <v>ИТОГО</v>
      </c>
    </row>
    <row r="270" spans="1:31" ht="12" customHeight="1" thickTop="1" x14ac:dyDescent="0.3">
      <c r="A270" s="531"/>
      <c r="B270" s="584" t="str">
        <f ca="1">Проект!$B$1276</f>
        <v>Валюта</v>
      </c>
      <c r="C270" s="539"/>
      <c r="D270" s="531"/>
      <c r="E270" s="531"/>
      <c r="F270" s="531"/>
      <c r="G270" s="531"/>
      <c r="H270" s="531"/>
      <c r="I270" s="531"/>
      <c r="J270" s="531"/>
      <c r="K270" s="531"/>
      <c r="L270" s="531"/>
      <c r="M270" s="531"/>
      <c r="N270" s="531"/>
      <c r="O270" s="531"/>
      <c r="P270" s="531"/>
      <c r="Q270" s="531"/>
      <c r="R270" s="531"/>
      <c r="S270" s="531"/>
      <c r="T270" s="531"/>
      <c r="U270" s="531"/>
      <c r="V270" s="531"/>
      <c r="W270" s="531"/>
      <c r="X270" s="531"/>
      <c r="Y270" s="531"/>
      <c r="Z270" s="531"/>
      <c r="AA270" s="531"/>
      <c r="AB270" s="531"/>
      <c r="AC270" s="531"/>
      <c r="AD270" s="531"/>
      <c r="AE270" s="535"/>
    </row>
    <row r="271" spans="1:31" ht="11.25" customHeight="1" x14ac:dyDescent="0.3">
      <c r="A271" s="563" t="str">
        <f ca="1">Проект!$A$1277</f>
        <v>Прочие доходы (без НДС)</v>
      </c>
      <c r="B271" s="537">
        <f>Проект!$B$1277</f>
        <v>1</v>
      </c>
      <c r="C271" s="562" t="str">
        <f ca="1">Проект!$C$1277</f>
        <v>тыс. EUR</v>
      </c>
      <c r="D271" s="563"/>
      <c r="E271" s="563"/>
      <c r="F271" s="596">
        <f>Проект!$F$1277</f>
        <v>0</v>
      </c>
      <c r="G271" s="596">
        <f>Проект!$G$1277</f>
        <v>0</v>
      </c>
      <c r="H271" s="596">
        <f>Проект!$H$1277</f>
        <v>0</v>
      </c>
      <c r="I271" s="596">
        <f>Проект!$I$1277</f>
        <v>0</v>
      </c>
      <c r="J271" s="596">
        <f>Проект!$J$1277</f>
        <v>0</v>
      </c>
      <c r="K271" s="596">
        <f>Проект!$K$1277</f>
        <v>0</v>
      </c>
      <c r="L271" s="596">
        <f>Проект!$L$1277</f>
        <v>0</v>
      </c>
      <c r="M271" s="596">
        <f>Проект!$M$1277</f>
        <v>0</v>
      </c>
      <c r="N271" s="596">
        <f>Проект!$N$1277</f>
        <v>0</v>
      </c>
      <c r="O271" s="596">
        <f>Проект!$O$1277</f>
        <v>0</v>
      </c>
      <c r="P271" s="596">
        <f>Проект!$P$1277</f>
        <v>0</v>
      </c>
      <c r="Q271" s="596">
        <f>Проект!$Q$1277</f>
        <v>0</v>
      </c>
      <c r="R271" s="596">
        <f>Проект!$R$1277</f>
        <v>0</v>
      </c>
      <c r="S271" s="596">
        <f>Проект!$S$1277</f>
        <v>0</v>
      </c>
      <c r="T271" s="596">
        <f>Проект!$T$1277</f>
        <v>0</v>
      </c>
      <c r="U271" s="596">
        <f>Проект!$U$1277</f>
        <v>0</v>
      </c>
      <c r="V271" s="596">
        <f>Проект!$V$1277</f>
        <v>0</v>
      </c>
      <c r="W271" s="596">
        <f>Проект!$W$1277</f>
        <v>0</v>
      </c>
      <c r="X271" s="596">
        <f>Проект!$X$1277</f>
        <v>0</v>
      </c>
      <c r="Y271" s="596">
        <f>Проект!$Y$1277</f>
        <v>0</v>
      </c>
      <c r="Z271" s="596">
        <f>Проект!$Z$1277</f>
        <v>0</v>
      </c>
      <c r="AA271" s="596">
        <f>Проект!$AA$1277</f>
        <v>0</v>
      </c>
      <c r="AB271" s="596">
        <f>Проект!$AB$1277</f>
        <v>0</v>
      </c>
      <c r="AC271" s="596">
        <f>Проект!$AC$1277</f>
        <v>0</v>
      </c>
      <c r="AD271" s="571"/>
      <c r="AE271" s="572">
        <f>Проект!$AE$1277</f>
        <v>0</v>
      </c>
    </row>
    <row r="272" spans="1:31" hidden="1" x14ac:dyDescent="0.3">
      <c r="A272" s="563" t="str">
        <f ca="1">Проект!$A$1278</f>
        <v xml:space="preserve">   НДС</v>
      </c>
      <c r="B272" s="592">
        <f>Проект!$B$1278</f>
        <v>0.23</v>
      </c>
      <c r="C272" s="539" t="str">
        <f ca="1">Проект!$C$1278</f>
        <v>тыс. EUR</v>
      </c>
      <c r="D272" s="563"/>
      <c r="E272" s="563"/>
      <c r="F272" s="571">
        <f>Проект!$F$1278</f>
        <v>0</v>
      </c>
      <c r="G272" s="571">
        <f>Проект!$G$1278</f>
        <v>0</v>
      </c>
      <c r="H272" s="571">
        <f>Проект!$H$1278</f>
        <v>0</v>
      </c>
      <c r="I272" s="571">
        <f>Проект!$I$1278</f>
        <v>0</v>
      </c>
      <c r="J272" s="571">
        <f>Проект!$J$1278</f>
        <v>0</v>
      </c>
      <c r="K272" s="571">
        <f>Проект!$K$1278</f>
        <v>0</v>
      </c>
      <c r="L272" s="571">
        <f>Проект!$L$1278</f>
        <v>0</v>
      </c>
      <c r="M272" s="571">
        <f>Проект!$M$1278</f>
        <v>0</v>
      </c>
      <c r="N272" s="571">
        <f>Проект!$N$1278</f>
        <v>0</v>
      </c>
      <c r="O272" s="571">
        <f>Проект!$O$1278</f>
        <v>0</v>
      </c>
      <c r="P272" s="571">
        <f>Проект!$P$1278</f>
        <v>0</v>
      </c>
      <c r="Q272" s="571">
        <f>Проект!$Q$1278</f>
        <v>0</v>
      </c>
      <c r="R272" s="571">
        <f>Проект!$R$1278</f>
        <v>0</v>
      </c>
      <c r="S272" s="571">
        <f>Проект!$S$1278</f>
        <v>0</v>
      </c>
      <c r="T272" s="571">
        <f>Проект!$T$1278</f>
        <v>0</v>
      </c>
      <c r="U272" s="571">
        <f>Проект!$U$1278</f>
        <v>0</v>
      </c>
      <c r="V272" s="571">
        <f>Проект!$V$1278</f>
        <v>0</v>
      </c>
      <c r="W272" s="571">
        <f>Проект!$W$1278</f>
        <v>0</v>
      </c>
      <c r="X272" s="571">
        <f>Проект!$X$1278</f>
        <v>0</v>
      </c>
      <c r="Y272" s="571">
        <f>Проект!$Y$1278</f>
        <v>0</v>
      </c>
      <c r="Z272" s="571">
        <f>Проект!$Z$1278</f>
        <v>0</v>
      </c>
      <c r="AA272" s="571">
        <f>Проект!$AA$1278</f>
        <v>0</v>
      </c>
      <c r="AB272" s="571">
        <f>Проект!$AB$1278</f>
        <v>0</v>
      </c>
      <c r="AC272" s="571">
        <f>Проект!$AC$1278</f>
        <v>0</v>
      </c>
      <c r="AD272" s="571"/>
      <c r="AE272" s="572">
        <f>Проект!$AE$1278</f>
        <v>0</v>
      </c>
    </row>
    <row r="273" spans="1:31" ht="11.25" customHeight="1" x14ac:dyDescent="0.3">
      <c r="A273" s="563" t="str">
        <f ca="1">Проект!$A$1279</f>
        <v>Прочие расходы (без НДС)</v>
      </c>
      <c r="B273" s="537">
        <f>Проект!$B$1279</f>
        <v>1</v>
      </c>
      <c r="C273" s="562" t="str">
        <f ca="1">Проект!$C$1279</f>
        <v>тыс. EUR</v>
      </c>
      <c r="D273" s="563"/>
      <c r="E273" s="563"/>
      <c r="F273" s="596">
        <f>Проект!$F$1279</f>
        <v>0</v>
      </c>
      <c r="G273" s="596">
        <f>Проект!$G$1279</f>
        <v>0</v>
      </c>
      <c r="H273" s="596">
        <f>Проект!$H$1279</f>
        <v>0</v>
      </c>
      <c r="I273" s="596">
        <f>Проект!$I$1279</f>
        <v>0</v>
      </c>
      <c r="J273" s="596">
        <f>Проект!$J$1279</f>
        <v>0</v>
      </c>
      <c r="K273" s="596">
        <f>Проект!$K$1279</f>
        <v>0</v>
      </c>
      <c r="L273" s="596">
        <f>Проект!$L$1279</f>
        <v>0</v>
      </c>
      <c r="M273" s="596">
        <f>Проект!$M$1279</f>
        <v>0</v>
      </c>
      <c r="N273" s="596">
        <f>Проект!$N$1279</f>
        <v>0</v>
      </c>
      <c r="O273" s="596">
        <f>Проект!$O$1279</f>
        <v>0</v>
      </c>
      <c r="P273" s="596">
        <f>Проект!$P$1279</f>
        <v>0</v>
      </c>
      <c r="Q273" s="596">
        <f>Проект!$Q$1279</f>
        <v>0</v>
      </c>
      <c r="R273" s="596">
        <f>Проект!$R$1279</f>
        <v>0</v>
      </c>
      <c r="S273" s="596">
        <f>Проект!$S$1279</f>
        <v>0</v>
      </c>
      <c r="T273" s="596">
        <f>Проект!$T$1279</f>
        <v>0</v>
      </c>
      <c r="U273" s="596">
        <f>Проект!$U$1279</f>
        <v>0</v>
      </c>
      <c r="V273" s="596">
        <f>Проект!$V$1279</f>
        <v>0</v>
      </c>
      <c r="W273" s="596">
        <f>Проект!$W$1279</f>
        <v>0</v>
      </c>
      <c r="X273" s="596">
        <f>Проект!$X$1279</f>
        <v>0</v>
      </c>
      <c r="Y273" s="596">
        <f>Проект!$Y$1279</f>
        <v>0</v>
      </c>
      <c r="Z273" s="596">
        <f>Проект!$Z$1279</f>
        <v>0</v>
      </c>
      <c r="AA273" s="596">
        <f>Проект!$AA$1279</f>
        <v>0</v>
      </c>
      <c r="AB273" s="596">
        <f>Проект!$AB$1279</f>
        <v>0</v>
      </c>
      <c r="AC273" s="596">
        <f>Проект!$AC$1279</f>
        <v>0</v>
      </c>
      <c r="AD273" s="571"/>
      <c r="AE273" s="572">
        <f>Проект!$AE$1279</f>
        <v>0</v>
      </c>
    </row>
    <row r="274" spans="1:31" hidden="1" x14ac:dyDescent="0.3">
      <c r="A274" s="563" t="str">
        <f ca="1">Проект!$A$1280</f>
        <v xml:space="preserve">   НДС</v>
      </c>
      <c r="B274" s="592">
        <f>Проект!$B$1280</f>
        <v>0.23</v>
      </c>
      <c r="C274" s="539" t="str">
        <f ca="1">Проект!$C$1280</f>
        <v>тыс. EUR</v>
      </c>
      <c r="D274" s="563"/>
      <c r="E274" s="563"/>
      <c r="F274" s="571">
        <f>Проект!$F$1280</f>
        <v>0</v>
      </c>
      <c r="G274" s="571">
        <f>Проект!$G$1280</f>
        <v>0</v>
      </c>
      <c r="H274" s="571">
        <f>Проект!$H$1280</f>
        <v>0</v>
      </c>
      <c r="I274" s="571">
        <f>Проект!$I$1280</f>
        <v>0</v>
      </c>
      <c r="J274" s="571">
        <f>Проект!$J$1280</f>
        <v>0</v>
      </c>
      <c r="K274" s="571">
        <f>Проект!$K$1280</f>
        <v>0</v>
      </c>
      <c r="L274" s="571">
        <f>Проект!$L$1280</f>
        <v>0</v>
      </c>
      <c r="M274" s="571">
        <f>Проект!$M$1280</f>
        <v>0</v>
      </c>
      <c r="N274" s="571">
        <f>Проект!$N$1280</f>
        <v>0</v>
      </c>
      <c r="O274" s="571">
        <f>Проект!$O$1280</f>
        <v>0</v>
      </c>
      <c r="P274" s="571">
        <f>Проект!$P$1280</f>
        <v>0</v>
      </c>
      <c r="Q274" s="571">
        <f>Проект!$Q$1280</f>
        <v>0</v>
      </c>
      <c r="R274" s="571">
        <f>Проект!$R$1280</f>
        <v>0</v>
      </c>
      <c r="S274" s="571">
        <f>Проект!$S$1280</f>
        <v>0</v>
      </c>
      <c r="T274" s="571">
        <f>Проект!$T$1280</f>
        <v>0</v>
      </c>
      <c r="U274" s="571">
        <f>Проект!$U$1280</f>
        <v>0</v>
      </c>
      <c r="V274" s="571">
        <f>Проект!$V$1280</f>
        <v>0</v>
      </c>
      <c r="W274" s="571">
        <f>Проект!$W$1280</f>
        <v>0</v>
      </c>
      <c r="X274" s="571">
        <f>Проект!$X$1280</f>
        <v>0</v>
      </c>
      <c r="Y274" s="571">
        <f>Проект!$Y$1280</f>
        <v>0</v>
      </c>
      <c r="Z274" s="571">
        <f>Проект!$Z$1280</f>
        <v>0</v>
      </c>
      <c r="AA274" s="571">
        <f>Проект!$AA$1280</f>
        <v>0</v>
      </c>
      <c r="AB274" s="571">
        <f>Проект!$AB$1280</f>
        <v>0</v>
      </c>
      <c r="AC274" s="571">
        <f>Проект!$AC$1280</f>
        <v>0</v>
      </c>
      <c r="AD274" s="571"/>
      <c r="AE274" s="572">
        <f>Проект!$AE$1280</f>
        <v>0</v>
      </c>
    </row>
    <row r="275" spans="1:31" ht="11.25" customHeight="1" x14ac:dyDescent="0.3">
      <c r="A275" s="531"/>
      <c r="B275" s="531"/>
      <c r="C275" s="531"/>
      <c r="D275" s="531"/>
      <c r="E275" s="531"/>
      <c r="F275" s="531"/>
      <c r="G275" s="531"/>
      <c r="H275" s="531"/>
      <c r="I275" s="531"/>
      <c r="J275" s="531"/>
      <c r="K275" s="531"/>
      <c r="L275" s="531"/>
      <c r="M275" s="531"/>
      <c r="N275" s="531"/>
      <c r="O275" s="531"/>
      <c r="P275" s="531"/>
      <c r="Q275" s="531"/>
      <c r="R275" s="531"/>
      <c r="S275" s="531"/>
      <c r="T275" s="531"/>
      <c r="U275" s="531"/>
      <c r="V275" s="531"/>
      <c r="W275" s="531"/>
      <c r="X275" s="531"/>
      <c r="Y275" s="531"/>
      <c r="Z275" s="531"/>
      <c r="AA275" s="531"/>
      <c r="AB275" s="531"/>
      <c r="AC275" s="531"/>
      <c r="AD275" s="531"/>
      <c r="AE275" s="535"/>
    </row>
    <row r="276" spans="1:31" ht="11.25" customHeight="1" x14ac:dyDescent="0.3">
      <c r="A276" s="563" t="str">
        <f ca="1">Проект!$A$1282</f>
        <v>Курсовые разницы</v>
      </c>
      <c r="B276" s="563"/>
      <c r="C276" s="539" t="str">
        <f ca="1">Проект!$C$1282</f>
        <v>тыс. EUR</v>
      </c>
      <c r="D276" s="563"/>
      <c r="E276" s="563"/>
      <c r="F276" s="551">
        <f>Проект!$F$1282</f>
        <v>0</v>
      </c>
      <c r="G276" s="551">
        <f>Проект!$G$1282</f>
        <v>0</v>
      </c>
      <c r="H276" s="551">
        <f>Проект!$H$1282</f>
        <v>0</v>
      </c>
      <c r="I276" s="551">
        <f>Проект!$I$1282</f>
        <v>0</v>
      </c>
      <c r="J276" s="551">
        <f>Проект!$J$1282</f>
        <v>0</v>
      </c>
      <c r="K276" s="551">
        <f>Проект!$K$1282</f>
        <v>0</v>
      </c>
      <c r="L276" s="551">
        <f>Проект!$L$1282</f>
        <v>0</v>
      </c>
      <c r="M276" s="551">
        <f>Проект!$M$1282</f>
        <v>0</v>
      </c>
      <c r="N276" s="551">
        <f>Проект!$N$1282</f>
        <v>0</v>
      </c>
      <c r="O276" s="551">
        <f>Проект!$O$1282</f>
        <v>0</v>
      </c>
      <c r="P276" s="551">
        <f>Проект!$P$1282</f>
        <v>0</v>
      </c>
      <c r="Q276" s="551">
        <f>Проект!$Q$1282</f>
        <v>0</v>
      </c>
      <c r="R276" s="551">
        <f>Проект!$R$1282</f>
        <v>0</v>
      </c>
      <c r="S276" s="551">
        <f>Проект!$S$1282</f>
        <v>0</v>
      </c>
      <c r="T276" s="551">
        <f>Проект!$T$1282</f>
        <v>0</v>
      </c>
      <c r="U276" s="551">
        <f>Проект!$U$1282</f>
        <v>0</v>
      </c>
      <c r="V276" s="551">
        <f>Проект!$V$1282</f>
        <v>0</v>
      </c>
      <c r="W276" s="551">
        <f>Проект!$W$1282</f>
        <v>0</v>
      </c>
      <c r="X276" s="551">
        <f>Проект!$X$1282</f>
        <v>0</v>
      </c>
      <c r="Y276" s="551">
        <f>Проект!$Y$1282</f>
        <v>0</v>
      </c>
      <c r="Z276" s="551">
        <f>Проект!$Z$1282</f>
        <v>0</v>
      </c>
      <c r="AA276" s="551">
        <f>Проект!$AA$1282</f>
        <v>0</v>
      </c>
      <c r="AB276" s="551">
        <f>Проект!$AB$1282</f>
        <v>0</v>
      </c>
      <c r="AC276" s="551">
        <f>Проект!$AC$1282</f>
        <v>0</v>
      </c>
      <c r="AD276" s="571"/>
      <c r="AE276" s="572">
        <f>Проект!$AE$1282</f>
        <v>0</v>
      </c>
    </row>
    <row r="277" spans="1:31" ht="11.25" customHeight="1" x14ac:dyDescent="0.3">
      <c r="A277" s="563" t="str">
        <f ca="1">Проект!$A$1283</f>
        <v>Дивиденды</v>
      </c>
      <c r="B277" s="601">
        <f>Проект!$B$1283</f>
        <v>0</v>
      </c>
      <c r="C277" s="539" t="str">
        <f ca="1">Проект!$C$1283</f>
        <v>тыс. EUR</v>
      </c>
      <c r="D277" s="563"/>
      <c r="E277" s="563"/>
      <c r="F277" s="551">
        <f ca="1">Проект!$F$1283</f>
        <v>0</v>
      </c>
      <c r="G277" s="551">
        <f ca="1">Проект!$G$1283</f>
        <v>0</v>
      </c>
      <c r="H277" s="551">
        <f ca="1">Проект!$H$1283</f>
        <v>0</v>
      </c>
      <c r="I277" s="551">
        <f ca="1">Проект!$I$1283</f>
        <v>0</v>
      </c>
      <c r="J277" s="551">
        <f ca="1">Проект!$J$1283</f>
        <v>0</v>
      </c>
      <c r="K277" s="551">
        <f ca="1">Проект!$K$1283</f>
        <v>0</v>
      </c>
      <c r="L277" s="551">
        <f ca="1">Проект!$L$1283</f>
        <v>0</v>
      </c>
      <c r="M277" s="551">
        <f ca="1">Проект!$M$1283</f>
        <v>0</v>
      </c>
      <c r="N277" s="551">
        <f ca="1">Проект!$N$1283</f>
        <v>0</v>
      </c>
      <c r="O277" s="551">
        <f ca="1">Проект!$O$1283</f>
        <v>0</v>
      </c>
      <c r="P277" s="551">
        <f ca="1">Проект!$P$1283</f>
        <v>0</v>
      </c>
      <c r="Q277" s="551">
        <f ca="1">Проект!$Q$1283</f>
        <v>0</v>
      </c>
      <c r="R277" s="551">
        <f ca="1">Проект!$R$1283</f>
        <v>0</v>
      </c>
      <c r="S277" s="551">
        <f ca="1">Проект!$S$1283</f>
        <v>0</v>
      </c>
      <c r="T277" s="551">
        <f ca="1">Проект!$T$1283</f>
        <v>0</v>
      </c>
      <c r="U277" s="551">
        <f ca="1">Проект!$U$1283</f>
        <v>0</v>
      </c>
      <c r="V277" s="551">
        <f ca="1">Проект!$V$1283</f>
        <v>0</v>
      </c>
      <c r="W277" s="551">
        <f ca="1">Проект!$W$1283</f>
        <v>0</v>
      </c>
      <c r="X277" s="551">
        <f ca="1">Проект!$X$1283</f>
        <v>0</v>
      </c>
      <c r="Y277" s="551">
        <f ca="1">Проект!$Y$1283</f>
        <v>0</v>
      </c>
      <c r="Z277" s="551">
        <f ca="1">Проект!$Z$1283</f>
        <v>0</v>
      </c>
      <c r="AA277" s="551">
        <f ca="1">Проект!$AA$1283</f>
        <v>0</v>
      </c>
      <c r="AB277" s="551">
        <f ca="1">Проект!$AB$1283</f>
        <v>0</v>
      </c>
      <c r="AC277" s="551">
        <f ca="1">Проект!$AC$1283</f>
        <v>0</v>
      </c>
      <c r="AD277" s="571"/>
      <c r="AE277" s="572">
        <f ca="1">Проект!$AE$1283</f>
        <v>0</v>
      </c>
    </row>
    <row r="278" spans="1:31" ht="11.25" customHeight="1" x14ac:dyDescent="0.3">
      <c r="A278" s="563"/>
      <c r="B278" s="602"/>
      <c r="C278" s="539"/>
      <c r="D278" s="563"/>
      <c r="E278" s="563"/>
      <c r="F278" s="551"/>
      <c r="G278" s="551"/>
      <c r="H278" s="551"/>
      <c r="I278" s="551"/>
      <c r="J278" s="551"/>
      <c r="K278" s="551"/>
      <c r="L278" s="551"/>
      <c r="M278" s="551"/>
      <c r="N278" s="551"/>
      <c r="O278" s="551"/>
      <c r="P278" s="551"/>
      <c r="Q278" s="551"/>
      <c r="R278" s="551"/>
      <c r="S278" s="551"/>
      <c r="T278" s="551"/>
      <c r="U278" s="551"/>
      <c r="V278" s="551"/>
      <c r="W278" s="551"/>
      <c r="X278" s="551"/>
      <c r="Y278" s="551"/>
      <c r="Z278" s="551"/>
      <c r="AA278" s="551"/>
      <c r="AB278" s="551"/>
      <c r="AC278" s="551"/>
      <c r="AD278" s="571"/>
      <c r="AE278" s="572"/>
    </row>
    <row r="279" spans="1:31" ht="11.25" customHeight="1" x14ac:dyDescent="0.3">
      <c r="A279" s="598" t="str">
        <f ca="1">Проект!$A$1285</f>
        <v>Прибыль до налога, процентов и амортизации (EBITDA)</v>
      </c>
      <c r="B279" s="563"/>
      <c r="C279" s="539" t="str">
        <f ca="1">Проект!$C$1285</f>
        <v>тыс. EUR</v>
      </c>
      <c r="D279" s="563"/>
      <c r="E279" s="563"/>
      <c r="F279" s="603">
        <f ca="1">Проект!$F$1285</f>
        <v>0</v>
      </c>
      <c r="G279" s="603">
        <f ca="1">Проект!$G$1285</f>
        <v>0</v>
      </c>
      <c r="H279" s="603">
        <f ca="1">Проект!$H$1285</f>
        <v>0</v>
      </c>
      <c r="I279" s="603">
        <f ca="1">Проект!$I$1285</f>
        <v>0</v>
      </c>
      <c r="J279" s="603">
        <f ca="1">Проект!$J$1285</f>
        <v>0</v>
      </c>
      <c r="K279" s="603">
        <f ca="1">Проект!$K$1285</f>
        <v>-233.36949643868491</v>
      </c>
      <c r="L279" s="603">
        <f ca="1">Проект!$L$1285</f>
        <v>346.16123649852915</v>
      </c>
      <c r="M279" s="603">
        <f ca="1">Проект!$M$1285</f>
        <v>825.22857569003531</v>
      </c>
      <c r="N279" s="603">
        <f ca="1">Проект!$N$1285</f>
        <v>1365.1259965496097</v>
      </c>
      <c r="O279" s="603">
        <f ca="1">Проект!$O$1285</f>
        <v>1723.4539653965358</v>
      </c>
      <c r="P279" s="603">
        <f ca="1">Проект!$P$1285</f>
        <v>1723.4539653965358</v>
      </c>
      <c r="Q279" s="603">
        <f ca="1">Проект!$Q$1285</f>
        <v>1723.4539653965358</v>
      </c>
      <c r="R279" s="603">
        <f ca="1">Проект!$R$1285</f>
        <v>1723.4539653965358</v>
      </c>
      <c r="S279" s="603">
        <f ca="1">Проект!$S$1285</f>
        <v>1723.4539653965358</v>
      </c>
      <c r="T279" s="603">
        <f ca="1">Проект!$T$1285</f>
        <v>1723.4539653965358</v>
      </c>
      <c r="U279" s="603">
        <f ca="1">Проект!$U$1285</f>
        <v>1723.4539653965358</v>
      </c>
      <c r="V279" s="603">
        <f ca="1">Проект!$V$1285</f>
        <v>1723.4539653965358</v>
      </c>
      <c r="W279" s="603">
        <f ca="1">Проект!$W$1285</f>
        <v>1723.4539653965358</v>
      </c>
      <c r="X279" s="603">
        <f ca="1">Проект!$X$1285</f>
        <v>1723.4539653965358</v>
      </c>
      <c r="Y279" s="603">
        <f ca="1">Проект!$Y$1285</f>
        <v>1723.4539653965358</v>
      </c>
      <c r="Z279" s="603">
        <f ca="1">Проект!$Z$1285</f>
        <v>1723.4539653965358</v>
      </c>
      <c r="AA279" s="603">
        <f ca="1">Проект!$AA$1285</f>
        <v>1723.4539653965358</v>
      </c>
      <c r="AB279" s="603">
        <f ca="1">Проект!$AB$1285</f>
        <v>1723.4539653965358</v>
      </c>
      <c r="AC279" s="603">
        <f ca="1">Проект!$AC$1285</f>
        <v>1723.4539653965358</v>
      </c>
      <c r="AD279" s="571"/>
      <c r="AE279" s="572">
        <f ca="1">Проект!$AE$1285</f>
        <v>28154.955793247536</v>
      </c>
    </row>
    <row r="280" spans="1:31" ht="11.25" customHeight="1" x14ac:dyDescent="0.3">
      <c r="A280" s="598" t="str">
        <f ca="1">Проект!$A$1286</f>
        <v>Прибыль до процентов и налога (EBIT)</v>
      </c>
      <c r="B280" s="563"/>
      <c r="C280" s="539" t="str">
        <f ca="1">Проект!$C$1286</f>
        <v>тыс. EUR</v>
      </c>
      <c r="D280" s="563"/>
      <c r="E280" s="563"/>
      <c r="F280" s="603">
        <f ca="1">Проект!$F$1286</f>
        <v>0</v>
      </c>
      <c r="G280" s="603">
        <f ca="1">Проект!$G$1286</f>
        <v>0</v>
      </c>
      <c r="H280" s="603">
        <f ca="1">Проект!$H$1286</f>
        <v>0</v>
      </c>
      <c r="I280" s="603">
        <f ca="1">Проект!$I$1286</f>
        <v>0</v>
      </c>
      <c r="J280" s="603">
        <f ca="1">Проект!$J$1286</f>
        <v>-309.35251270876392</v>
      </c>
      <c r="K280" s="603">
        <f ca="1">Проект!$K$1286</f>
        <v>-542.72200914744883</v>
      </c>
      <c r="L280" s="603">
        <f ca="1">Проект!$L$1286</f>
        <v>36.808723789765224</v>
      </c>
      <c r="M280" s="603">
        <f ca="1">Проект!$M$1286</f>
        <v>515.87606298127139</v>
      </c>
      <c r="N280" s="603">
        <f ca="1">Проект!$N$1286</f>
        <v>1055.7734838408458</v>
      </c>
      <c r="O280" s="603">
        <f ca="1">Проект!$O$1286</f>
        <v>1414.1014526877718</v>
      </c>
      <c r="P280" s="603">
        <f ca="1">Проект!$P$1286</f>
        <v>1414.1014526877718</v>
      </c>
      <c r="Q280" s="603">
        <f ca="1">Проект!$Q$1286</f>
        <v>1414.1014526877718</v>
      </c>
      <c r="R280" s="603">
        <f ca="1">Проект!$R$1286</f>
        <v>1414.1014526877718</v>
      </c>
      <c r="S280" s="603">
        <f ca="1">Проект!$S$1286</f>
        <v>1414.1014526877718</v>
      </c>
      <c r="T280" s="603">
        <f ca="1">Проект!$T$1286</f>
        <v>1414.1014526877718</v>
      </c>
      <c r="U280" s="603">
        <f ca="1">Проект!$U$1286</f>
        <v>1414.1014526877718</v>
      </c>
      <c r="V280" s="603">
        <f ca="1">Проект!$V$1286</f>
        <v>1414.1014526877718</v>
      </c>
      <c r="W280" s="603">
        <f ca="1">Проект!$W$1286</f>
        <v>1414.1014526877718</v>
      </c>
      <c r="X280" s="603">
        <f ca="1">Проект!$X$1286</f>
        <v>1414.1014526877718</v>
      </c>
      <c r="Y280" s="603">
        <f ca="1">Проект!$Y$1286</f>
        <v>1414.1014526877718</v>
      </c>
      <c r="Z280" s="603">
        <f ca="1">Проект!$Z$1286</f>
        <v>1414.1014526877718</v>
      </c>
      <c r="AA280" s="603">
        <f ca="1">Проект!$AA$1286</f>
        <v>1414.1014526877718</v>
      </c>
      <c r="AB280" s="603">
        <f ca="1">Проект!$AB$1286</f>
        <v>1414.1014526877718</v>
      </c>
      <c r="AC280" s="603">
        <f ca="1">Проект!$AC$1286</f>
        <v>1414.1014526877718</v>
      </c>
      <c r="AD280" s="571"/>
      <c r="AE280" s="572">
        <f ca="1">Проект!$AE$1286</f>
        <v>21967.90553907225</v>
      </c>
    </row>
    <row r="281" spans="1:31" ht="11.25" customHeight="1" x14ac:dyDescent="0.3">
      <c r="A281" s="598" t="str">
        <f ca="1">Проект!$A$1287</f>
        <v>Посленалоговая операционная прибыль (NOPLAT)</v>
      </c>
      <c r="B281" s="563"/>
      <c r="C281" s="539" t="str">
        <f ca="1">Проект!$C$1287</f>
        <v>тыс. EUR</v>
      </c>
      <c r="D281" s="563"/>
      <c r="E281" s="563"/>
      <c r="F281" s="603">
        <f ca="1">Проект!$F$1287</f>
        <v>0</v>
      </c>
      <c r="G281" s="603">
        <f ca="1">Проект!$G$1287</f>
        <v>0</v>
      </c>
      <c r="H281" s="603">
        <f ca="1">Проект!$H$1287</f>
        <v>0</v>
      </c>
      <c r="I281" s="603">
        <f ca="1">Проект!$I$1287</f>
        <v>0</v>
      </c>
      <c r="J281" s="603">
        <f ca="1">Проект!$J$1287</f>
        <v>-250.57553529409878</v>
      </c>
      <c r="K281" s="603">
        <f ca="1">Проект!$K$1287</f>
        <v>-439.60482740943354</v>
      </c>
      <c r="L281" s="603">
        <f ca="1">Проект!$L$1287</f>
        <v>29.815066269709831</v>
      </c>
      <c r="M281" s="603">
        <f ca="1">Проект!$M$1287</f>
        <v>417.85961101482985</v>
      </c>
      <c r="N281" s="603">
        <f ca="1">Проект!$N$1287</f>
        <v>855.17652191108505</v>
      </c>
      <c r="O281" s="603">
        <f ca="1">Проект!$O$1287</f>
        <v>1145.4221766770952</v>
      </c>
      <c r="P281" s="603">
        <f ca="1">Проект!$P$1287</f>
        <v>1145.4221766770952</v>
      </c>
      <c r="Q281" s="603">
        <f ca="1">Проект!$Q$1287</f>
        <v>1145.4221766770952</v>
      </c>
      <c r="R281" s="603">
        <f ca="1">Проект!$R$1287</f>
        <v>1145.4221766770952</v>
      </c>
      <c r="S281" s="603">
        <f ca="1">Проект!$S$1287</f>
        <v>1145.4221766770952</v>
      </c>
      <c r="T281" s="603">
        <f ca="1">Проект!$T$1287</f>
        <v>1145.4221766770952</v>
      </c>
      <c r="U281" s="603">
        <f ca="1">Проект!$U$1287</f>
        <v>1145.4221766770952</v>
      </c>
      <c r="V281" s="603">
        <f ca="1">Проект!$V$1287</f>
        <v>1145.4221766770952</v>
      </c>
      <c r="W281" s="603">
        <f ca="1">Проект!$W$1287</f>
        <v>1145.4221766770952</v>
      </c>
      <c r="X281" s="603">
        <f ca="1">Проект!$X$1287</f>
        <v>1145.4221766770952</v>
      </c>
      <c r="Y281" s="603">
        <f ca="1">Проект!$Y$1287</f>
        <v>1145.4221766770952</v>
      </c>
      <c r="Z281" s="603">
        <f ca="1">Проект!$Z$1287</f>
        <v>1145.4221766770952</v>
      </c>
      <c r="AA281" s="603">
        <f ca="1">Проект!$AA$1287</f>
        <v>1145.4221766770952</v>
      </c>
      <c r="AB281" s="603">
        <f ca="1">Проект!$AB$1287</f>
        <v>1145.4221766770952</v>
      </c>
      <c r="AC281" s="603">
        <f ca="1">Проект!$AC$1287</f>
        <v>1145.4221766770952</v>
      </c>
      <c r="AD281" s="571"/>
      <c r="AE281" s="572">
        <f ca="1">Проект!$AE$1287</f>
        <v>17794.003486648522</v>
      </c>
    </row>
    <row r="282" spans="1:31" hidden="1" x14ac:dyDescent="0.3">
      <c r="A282" s="563"/>
      <c r="B282" s="602"/>
      <c r="C282" s="539"/>
      <c r="D282" s="563"/>
      <c r="E282" s="563"/>
      <c r="F282" s="551"/>
      <c r="G282" s="551"/>
      <c r="H282" s="551"/>
      <c r="I282" s="551"/>
      <c r="J282" s="551"/>
      <c r="K282" s="551"/>
      <c r="L282" s="551"/>
      <c r="M282" s="551"/>
      <c r="N282" s="551"/>
      <c r="O282" s="551"/>
      <c r="P282" s="551"/>
      <c r="Q282" s="551"/>
      <c r="R282" s="551"/>
      <c r="S282" s="551"/>
      <c r="T282" s="551"/>
      <c r="U282" s="551"/>
      <c r="V282" s="551"/>
      <c r="W282" s="551"/>
      <c r="X282" s="551"/>
      <c r="Y282" s="551"/>
      <c r="Z282" s="551"/>
      <c r="AA282" s="551"/>
      <c r="AB282" s="551"/>
      <c r="AC282" s="551"/>
      <c r="AD282" s="571"/>
      <c r="AE282" s="572"/>
    </row>
    <row r="283" spans="1:31" hidden="1" x14ac:dyDescent="0.3">
      <c r="A283" s="598" t="str">
        <f ca="1">Проект!$A$1289</f>
        <v>Нераспределенная прибыль (за период)</v>
      </c>
      <c r="B283" s="563"/>
      <c r="C283" s="539" t="str">
        <f ca="1">Проект!$C$1289</f>
        <v>тыс. EUR</v>
      </c>
      <c r="D283" s="563"/>
      <c r="E283" s="563"/>
      <c r="F283" s="603">
        <f ca="1">Проект!$F$1289</f>
        <v>0</v>
      </c>
      <c r="G283" s="603">
        <f ca="1">Проект!$G$1289</f>
        <v>0</v>
      </c>
      <c r="H283" s="603">
        <f ca="1">Проект!$H$1289</f>
        <v>0</v>
      </c>
      <c r="I283" s="603">
        <f ca="1">Проект!$I$1289</f>
        <v>0</v>
      </c>
      <c r="J283" s="603">
        <f ca="1">Проект!$J$1289</f>
        <v>-309.35251270876392</v>
      </c>
      <c r="K283" s="603">
        <f ca="1">Проект!$K$1289</f>
        <v>-542.72200914744883</v>
      </c>
      <c r="L283" s="603">
        <f ca="1">Проект!$L$1289</f>
        <v>36.808723789765239</v>
      </c>
      <c r="M283" s="603">
        <f ca="1">Проект!$M$1289</f>
        <v>515.87606298127139</v>
      </c>
      <c r="N283" s="603">
        <f ca="1">Проект!$N$1289</f>
        <v>912.06057157726855</v>
      </c>
      <c r="O283" s="603">
        <f ca="1">Проект!$O$1289</f>
        <v>1145.4221766770952</v>
      </c>
      <c r="P283" s="603">
        <f ca="1">Проект!$P$1289</f>
        <v>1145.4221766770952</v>
      </c>
      <c r="Q283" s="603">
        <f ca="1">Проект!$Q$1289</f>
        <v>1145.4221766770952</v>
      </c>
      <c r="R283" s="603">
        <f ca="1">Проект!$R$1289</f>
        <v>1145.4221766770952</v>
      </c>
      <c r="S283" s="603">
        <f ca="1">Проект!$S$1289</f>
        <v>1145.4221766770952</v>
      </c>
      <c r="T283" s="603">
        <f ca="1">Проект!$T$1289</f>
        <v>1145.4221766770952</v>
      </c>
      <c r="U283" s="603">
        <f ca="1">Проект!$U$1289</f>
        <v>1145.4221766770952</v>
      </c>
      <c r="V283" s="603">
        <f ca="1">Проект!$V$1289</f>
        <v>1145.4221766770952</v>
      </c>
      <c r="W283" s="603">
        <f ca="1">Проект!$W$1289</f>
        <v>1145.4221766770952</v>
      </c>
      <c r="X283" s="603">
        <f ca="1">Проект!$X$1289</f>
        <v>1145.4221766770952</v>
      </c>
      <c r="Y283" s="603">
        <f ca="1">Проект!$Y$1289</f>
        <v>1145.4221766770952</v>
      </c>
      <c r="Z283" s="603">
        <f ca="1">Проект!$Z$1289</f>
        <v>1145.4221766770952</v>
      </c>
      <c r="AA283" s="603">
        <f ca="1">Проект!$AA$1289</f>
        <v>1145.4221766770952</v>
      </c>
      <c r="AB283" s="603">
        <f ca="1">Проект!$AB$1289</f>
        <v>1145.4221766770952</v>
      </c>
      <c r="AC283" s="603">
        <f ca="1">Проект!$AC$1289</f>
        <v>1145.4221766770952</v>
      </c>
      <c r="AD283" s="603"/>
      <c r="AE283" s="572">
        <f ca="1">Проект!$AE$1289</f>
        <v>17794.003486648522</v>
      </c>
    </row>
    <row r="284" spans="1:31" hidden="1" x14ac:dyDescent="0.3">
      <c r="A284" s="598" t="str">
        <f ca="1">Проект!$A$1290</f>
        <v>Нераспределенная прибыль (на начало периода, нарастающим итогом)</v>
      </c>
      <c r="B284" s="563"/>
      <c r="C284" s="539" t="str">
        <f ca="1">Проект!$C$1290</f>
        <v>тыс. EUR</v>
      </c>
      <c r="D284" s="554" t="str">
        <f>Проект!$D$1290</f>
        <v>int_start</v>
      </c>
      <c r="E284" s="563"/>
      <c r="F284" s="603">
        <f>Проект!$F$1290</f>
        <v>0</v>
      </c>
      <c r="G284" s="603">
        <f ca="1">Проект!$G$1290</f>
        <v>0</v>
      </c>
      <c r="H284" s="603">
        <f ca="1">Проект!$H$1290</f>
        <v>0</v>
      </c>
      <c r="I284" s="603">
        <f ca="1">Проект!$I$1290</f>
        <v>0</v>
      </c>
      <c r="J284" s="603">
        <f ca="1">Проект!$J$1290</f>
        <v>0</v>
      </c>
      <c r="K284" s="603">
        <f ca="1">Проект!$K$1290</f>
        <v>-309.35251270876392</v>
      </c>
      <c r="L284" s="603">
        <f ca="1">Проект!$L$1290</f>
        <v>-852.07452185621275</v>
      </c>
      <c r="M284" s="603">
        <f ca="1">Проект!$M$1290</f>
        <v>-815.26579806644747</v>
      </c>
      <c r="N284" s="603">
        <f ca="1">Проект!$N$1290</f>
        <v>-299.38973508517608</v>
      </c>
      <c r="O284" s="603">
        <f ca="1">Проект!$O$1290</f>
        <v>612.67083649209246</v>
      </c>
      <c r="P284" s="603">
        <f ca="1">Проект!$P$1290</f>
        <v>1758.0930131691875</v>
      </c>
      <c r="Q284" s="603">
        <f ca="1">Проект!$Q$1290</f>
        <v>2903.5151898462827</v>
      </c>
      <c r="R284" s="603">
        <f ca="1">Проект!$R$1290</f>
        <v>4048.9373665233779</v>
      </c>
      <c r="S284" s="603">
        <f ca="1">Проект!$S$1290</f>
        <v>5194.3595432004731</v>
      </c>
      <c r="T284" s="603">
        <f ca="1">Проект!$T$1290</f>
        <v>6339.7817198775683</v>
      </c>
      <c r="U284" s="603">
        <f ca="1">Проект!$U$1290</f>
        <v>7485.2038965546635</v>
      </c>
      <c r="V284" s="603">
        <f ca="1">Проект!$V$1290</f>
        <v>8630.6260732317587</v>
      </c>
      <c r="W284" s="603">
        <f ca="1">Проект!$W$1290</f>
        <v>9776.0482499088539</v>
      </c>
      <c r="X284" s="603">
        <f ca="1">Проект!$X$1290</f>
        <v>10921.470426585949</v>
      </c>
      <c r="Y284" s="603">
        <f ca="1">Проект!$Y$1290</f>
        <v>12066.892603263044</v>
      </c>
      <c r="Z284" s="603">
        <f ca="1">Проект!$Z$1290</f>
        <v>13212.314779940139</v>
      </c>
      <c r="AA284" s="603">
        <f ca="1">Проект!$AA$1290</f>
        <v>14357.736956617235</v>
      </c>
      <c r="AB284" s="603">
        <f ca="1">Проект!$AB$1290</f>
        <v>15503.15913329433</v>
      </c>
      <c r="AC284" s="603">
        <f ca="1">Проект!$AC$1290</f>
        <v>16648.581309971425</v>
      </c>
      <c r="AD284" s="603"/>
      <c r="AE284" s="572"/>
    </row>
    <row r="285" spans="1:31" hidden="1" x14ac:dyDescent="0.3">
      <c r="A285" s="598" t="str">
        <f ca="1">Проект!$A$1291</f>
        <v>Нераспределенная прибыль (на конец периода, нарастающим итогом)</v>
      </c>
      <c r="B285" s="563"/>
      <c r="C285" s="539" t="str">
        <f ca="1">Проект!$C$1291</f>
        <v>тыс. EUR</v>
      </c>
      <c r="D285" s="554" t="str">
        <f>Проект!$D$1291</f>
        <v>int_end</v>
      </c>
      <c r="E285" s="563">
        <f>Проект!$E$1291</f>
        <v>0</v>
      </c>
      <c r="F285" s="603">
        <f ca="1">Проект!$F$1291</f>
        <v>0</v>
      </c>
      <c r="G285" s="603">
        <f ca="1">Проект!$G$1291</f>
        <v>0</v>
      </c>
      <c r="H285" s="603">
        <f ca="1">Проект!$H$1291</f>
        <v>0</v>
      </c>
      <c r="I285" s="603">
        <f ca="1">Проект!$I$1291</f>
        <v>0</v>
      </c>
      <c r="J285" s="603">
        <f ca="1">Проект!$J$1291</f>
        <v>-309.35251270876392</v>
      </c>
      <c r="K285" s="603">
        <f ca="1">Проект!$K$1291</f>
        <v>-852.07452185621275</v>
      </c>
      <c r="L285" s="603">
        <f ca="1">Проект!$L$1291</f>
        <v>-815.26579806644747</v>
      </c>
      <c r="M285" s="603">
        <f ca="1">Проект!$M$1291</f>
        <v>-299.38973508517608</v>
      </c>
      <c r="N285" s="603">
        <f ca="1">Проект!$N$1291</f>
        <v>612.67083649209246</v>
      </c>
      <c r="O285" s="603">
        <f ca="1">Проект!$O$1291</f>
        <v>1758.0930131691875</v>
      </c>
      <c r="P285" s="603">
        <f ca="1">Проект!$P$1291</f>
        <v>2903.5151898462827</v>
      </c>
      <c r="Q285" s="603">
        <f ca="1">Проект!$Q$1291</f>
        <v>4048.9373665233779</v>
      </c>
      <c r="R285" s="603">
        <f ca="1">Проект!$R$1291</f>
        <v>5194.3595432004731</v>
      </c>
      <c r="S285" s="603">
        <f ca="1">Проект!$S$1291</f>
        <v>6339.7817198775683</v>
      </c>
      <c r="T285" s="603">
        <f ca="1">Проект!$T$1291</f>
        <v>7485.2038965546635</v>
      </c>
      <c r="U285" s="603">
        <f ca="1">Проект!$U$1291</f>
        <v>8630.6260732317587</v>
      </c>
      <c r="V285" s="603">
        <f ca="1">Проект!$V$1291</f>
        <v>9776.0482499088539</v>
      </c>
      <c r="W285" s="603">
        <f ca="1">Проект!$W$1291</f>
        <v>10921.470426585949</v>
      </c>
      <c r="X285" s="603">
        <f ca="1">Проект!$X$1291</f>
        <v>12066.892603263044</v>
      </c>
      <c r="Y285" s="603">
        <f ca="1">Проект!$Y$1291</f>
        <v>13212.314779940139</v>
      </c>
      <c r="Z285" s="603">
        <f ca="1">Проект!$Z$1291</f>
        <v>14357.736956617235</v>
      </c>
      <c r="AA285" s="603">
        <f ca="1">Проект!$AA$1291</f>
        <v>15503.15913329433</v>
      </c>
      <c r="AB285" s="603">
        <f ca="1">Проект!$AB$1291</f>
        <v>16648.581309971425</v>
      </c>
      <c r="AC285" s="603">
        <f ca="1">Проект!$AC$1291</f>
        <v>17794.003486648522</v>
      </c>
      <c r="AD285" s="603"/>
      <c r="AE285" s="572"/>
    </row>
    <row r="286" spans="1:31" ht="11.25" customHeight="1" x14ac:dyDescent="0.3">
      <c r="A286" s="544"/>
      <c r="B286" s="544"/>
      <c r="C286" s="544"/>
      <c r="D286" s="544"/>
      <c r="E286" s="544"/>
      <c r="F286" s="544"/>
      <c r="G286" s="544"/>
      <c r="H286" s="544"/>
      <c r="I286" s="544"/>
      <c r="J286" s="544"/>
      <c r="K286" s="544"/>
      <c r="L286" s="544"/>
      <c r="M286" s="544"/>
      <c r="N286" s="544"/>
      <c r="O286" s="544"/>
      <c r="P286" s="544"/>
      <c r="Q286" s="544"/>
      <c r="R286" s="544"/>
      <c r="S286" s="544"/>
      <c r="T286" s="544"/>
      <c r="U286" s="544"/>
      <c r="V286" s="544"/>
      <c r="W286" s="544"/>
      <c r="X286" s="544"/>
      <c r="Y286" s="544"/>
      <c r="Z286" s="544"/>
      <c r="AA286" s="544"/>
      <c r="AB286" s="544"/>
      <c r="AC286" s="544"/>
      <c r="AD286" s="544"/>
      <c r="AE286" s="548"/>
    </row>
    <row r="289" spans="1:8" x14ac:dyDescent="0.3">
      <c r="A289" s="599" t="str">
        <f ca="1">Language!A$1015 &amp; ", " &amp; Проект!CUR_Report</f>
        <v>График: EBITDA, тыс. EUR</v>
      </c>
      <c r="B289" s="600"/>
      <c r="C289" s="600"/>
      <c r="D289" s="600"/>
      <c r="E289" s="600"/>
      <c r="F289" s="600"/>
      <c r="G289" s="600"/>
      <c r="H289" s="600"/>
    </row>
    <row r="290" spans="1:8" x14ac:dyDescent="0.3">
      <c r="A290" s="600"/>
      <c r="B290" s="600"/>
      <c r="C290" s="600"/>
      <c r="D290" s="600"/>
      <c r="E290" s="600"/>
      <c r="F290" s="600"/>
      <c r="G290" s="600"/>
      <c r="H290" s="600"/>
    </row>
    <row r="291" spans="1:8" x14ac:dyDescent="0.3">
      <c r="A291" s="600"/>
      <c r="B291" s="600"/>
      <c r="C291" s="600"/>
      <c r="D291" s="600"/>
      <c r="E291" s="600"/>
      <c r="F291" s="600"/>
      <c r="G291" s="600"/>
      <c r="H291" s="600"/>
    </row>
    <row r="292" spans="1:8" x14ac:dyDescent="0.3">
      <c r="A292" s="600"/>
      <c r="B292" s="600"/>
      <c r="C292" s="600"/>
      <c r="D292" s="600"/>
      <c r="E292" s="600"/>
      <c r="F292" s="600"/>
      <c r="G292" s="600"/>
      <c r="H292" s="600"/>
    </row>
    <row r="293" spans="1:8" x14ac:dyDescent="0.3">
      <c r="A293" s="600"/>
      <c r="B293" s="600"/>
      <c r="C293" s="600"/>
      <c r="D293" s="600"/>
      <c r="E293" s="600"/>
      <c r="F293" s="600"/>
      <c r="G293" s="600"/>
      <c r="H293" s="600"/>
    </row>
    <row r="294" spans="1:8" x14ac:dyDescent="0.3">
      <c r="A294" s="600"/>
      <c r="B294" s="600"/>
      <c r="C294" s="600"/>
      <c r="D294" s="600"/>
      <c r="E294" s="600"/>
      <c r="F294" s="600"/>
      <c r="G294" s="600"/>
      <c r="H294" s="600"/>
    </row>
    <row r="295" spans="1:8" x14ac:dyDescent="0.3">
      <c r="A295" s="600"/>
      <c r="B295" s="600"/>
      <c r="C295" s="600"/>
      <c r="D295" s="600"/>
      <c r="E295" s="600"/>
      <c r="F295" s="600"/>
      <c r="G295" s="600"/>
      <c r="H295" s="600"/>
    </row>
    <row r="296" spans="1:8" x14ac:dyDescent="0.3">
      <c r="A296" s="600"/>
      <c r="B296" s="600"/>
      <c r="C296" s="600"/>
      <c r="D296" s="600"/>
      <c r="E296" s="600"/>
      <c r="F296" s="600"/>
      <c r="G296" s="600"/>
      <c r="H296" s="600"/>
    </row>
    <row r="297" spans="1:8" x14ac:dyDescent="0.3">
      <c r="A297" s="600"/>
      <c r="B297" s="600"/>
      <c r="C297" s="600"/>
      <c r="D297" s="600"/>
      <c r="E297" s="600"/>
      <c r="F297" s="600"/>
      <c r="G297" s="600"/>
      <c r="H297" s="600"/>
    </row>
    <row r="298" spans="1:8" x14ac:dyDescent="0.3">
      <c r="A298" s="600"/>
      <c r="B298" s="600"/>
      <c r="C298" s="600"/>
      <c r="D298" s="600"/>
      <c r="E298" s="600"/>
      <c r="F298" s="600"/>
      <c r="G298" s="600"/>
      <c r="H298" s="600"/>
    </row>
    <row r="299" spans="1:8" x14ac:dyDescent="0.3">
      <c r="A299" s="600"/>
      <c r="B299" s="600"/>
      <c r="C299" s="600"/>
      <c r="D299" s="600"/>
      <c r="E299" s="600"/>
      <c r="F299" s="600"/>
      <c r="G299" s="600"/>
      <c r="H299" s="600"/>
    </row>
    <row r="300" spans="1:8" x14ac:dyDescent="0.3">
      <c r="A300" s="600"/>
      <c r="B300" s="600"/>
      <c r="C300" s="600"/>
      <c r="D300" s="600"/>
      <c r="E300" s="600"/>
      <c r="F300" s="600"/>
      <c r="G300" s="600"/>
      <c r="H300" s="600"/>
    </row>
    <row r="301" spans="1:8" x14ac:dyDescent="0.3">
      <c r="A301" s="600"/>
      <c r="B301" s="600"/>
      <c r="C301" s="600"/>
      <c r="D301" s="600"/>
      <c r="E301" s="600"/>
      <c r="F301" s="600"/>
      <c r="G301" s="600"/>
      <c r="H301" s="600"/>
    </row>
    <row r="302" spans="1:8" x14ac:dyDescent="0.3">
      <c r="A302" s="600"/>
      <c r="B302" s="600"/>
      <c r="C302" s="600"/>
      <c r="D302" s="600"/>
      <c r="E302" s="600"/>
      <c r="F302" s="600"/>
      <c r="G302" s="600"/>
      <c r="H302" s="600"/>
    </row>
    <row r="303" spans="1:8" x14ac:dyDescent="0.3">
      <c r="A303" s="600"/>
      <c r="B303" s="600"/>
      <c r="C303" s="600"/>
      <c r="D303" s="600"/>
      <c r="E303" s="600"/>
      <c r="F303" s="600"/>
      <c r="G303" s="600"/>
      <c r="H303" s="600"/>
    </row>
    <row r="304" spans="1:8" x14ac:dyDescent="0.3">
      <c r="A304" s="600"/>
      <c r="B304" s="600"/>
      <c r="C304" s="600"/>
      <c r="D304" s="600"/>
      <c r="E304" s="600"/>
      <c r="F304" s="600"/>
      <c r="G304" s="600"/>
      <c r="H304" s="600"/>
    </row>
    <row r="305" spans="1:31" x14ac:dyDescent="0.3">
      <c r="A305" s="600"/>
      <c r="B305" s="600"/>
      <c r="C305" s="600"/>
      <c r="D305" s="600"/>
      <c r="E305" s="600"/>
      <c r="F305" s="600"/>
      <c r="G305" s="600"/>
      <c r="H305" s="600"/>
    </row>
    <row r="306" spans="1:31" x14ac:dyDescent="0.3">
      <c r="A306" s="600"/>
      <c r="B306" s="600"/>
      <c r="C306" s="600"/>
      <c r="D306" s="600"/>
      <c r="E306" s="600"/>
      <c r="F306" s="600"/>
      <c r="G306" s="600"/>
      <c r="H306" s="600"/>
    </row>
    <row r="307" spans="1:31" x14ac:dyDescent="0.3">
      <c r="A307" s="600"/>
      <c r="B307" s="600"/>
      <c r="C307" s="600"/>
      <c r="D307" s="600"/>
      <c r="E307" s="600"/>
      <c r="F307" s="600"/>
      <c r="G307" s="600"/>
      <c r="H307" s="600"/>
    </row>
    <row r="308" spans="1:31" x14ac:dyDescent="0.3">
      <c r="A308" s="600"/>
      <c r="B308" s="600"/>
      <c r="C308" s="600"/>
      <c r="D308" s="600"/>
      <c r="E308" s="600"/>
      <c r="F308" s="600"/>
      <c r="G308" s="600"/>
      <c r="H308" s="600"/>
    </row>
    <row r="309" spans="1:31" x14ac:dyDescent="0.3">
      <c r="A309" s="600"/>
      <c r="B309" s="600"/>
      <c r="C309" s="600"/>
      <c r="D309" s="600"/>
      <c r="E309" s="600"/>
      <c r="F309" s="600"/>
      <c r="G309" s="600"/>
      <c r="H309" s="600"/>
    </row>
    <row r="310" spans="1:31" x14ac:dyDescent="0.3">
      <c r="A310" s="600"/>
      <c r="B310" s="600"/>
      <c r="C310" s="600"/>
      <c r="D310" s="600"/>
      <c r="E310" s="600"/>
      <c r="F310" s="600"/>
      <c r="G310" s="600"/>
      <c r="H310" s="600"/>
    </row>
    <row r="311" spans="1:31" x14ac:dyDescent="0.3">
      <c r="A311" s="600"/>
      <c r="B311" s="600"/>
      <c r="C311" s="600"/>
      <c r="D311" s="600"/>
      <c r="E311" s="600"/>
      <c r="F311" s="600"/>
      <c r="G311" s="600"/>
      <c r="H311" s="600"/>
    </row>
    <row r="312" spans="1:31" x14ac:dyDescent="0.3">
      <c r="A312" s="600"/>
      <c r="B312" s="600"/>
      <c r="C312" s="600"/>
      <c r="D312" s="600"/>
      <c r="E312" s="600"/>
      <c r="F312" s="600"/>
      <c r="G312" s="600"/>
      <c r="H312" s="600"/>
    </row>
    <row r="315" spans="1:31" ht="15.95" customHeight="1" thickBot="1" x14ac:dyDescent="0.25">
      <c r="A315" s="528" t="str">
        <f ca="1">Проект!$A$1319</f>
        <v xml:space="preserve">         ОТЧЕТ О ДВИЖЕНИИ ДЕНЕЖНЫХ СРЕДСТВ</v>
      </c>
      <c r="B315" s="528"/>
      <c r="C315" s="528"/>
      <c r="D315" s="528"/>
      <c r="E315" s="528"/>
      <c r="F315" s="529" t="str">
        <f ca="1">Проект!$F$1319</f>
        <v>1 кв. 2016</v>
      </c>
      <c r="G315" s="529" t="str">
        <f ca="1">Проект!$G$1319</f>
        <v>2 кв. 2016</v>
      </c>
      <c r="H315" s="529" t="str">
        <f ca="1">Проект!$H$1319</f>
        <v>3 кв. 2016</v>
      </c>
      <c r="I315" s="529" t="str">
        <f ca="1">Проект!$I$1319</f>
        <v>4 кв. 2016</v>
      </c>
      <c r="J315" s="529" t="str">
        <f ca="1">Проект!$J$1319</f>
        <v>1 кв. 2017</v>
      </c>
      <c r="K315" s="529" t="str">
        <f ca="1">Проект!$K$1319</f>
        <v>2 кв. 2017</v>
      </c>
      <c r="L315" s="529" t="str">
        <f ca="1">Проект!$L$1319</f>
        <v>3 кв. 2017</v>
      </c>
      <c r="M315" s="529" t="str">
        <f ca="1">Проект!$M$1319</f>
        <v>4 кв. 2017</v>
      </c>
      <c r="N315" s="529" t="str">
        <f ca="1">Проект!$N$1319</f>
        <v>1 кв. 2018</v>
      </c>
      <c r="O315" s="529" t="str">
        <f ca="1">Проект!$O$1319</f>
        <v>2 кв. 2018</v>
      </c>
      <c r="P315" s="529" t="str">
        <f ca="1">Проект!$P$1319</f>
        <v>3 кв. 2018</v>
      </c>
      <c r="Q315" s="529" t="str">
        <f ca="1">Проект!$Q$1319</f>
        <v>4 кв. 2018</v>
      </c>
      <c r="R315" s="529" t="str">
        <f ca="1">Проект!$R$1319</f>
        <v>1 кв. 2019</v>
      </c>
      <c r="S315" s="529" t="str">
        <f ca="1">Проект!$S$1319</f>
        <v>2 кв. 2019</v>
      </c>
      <c r="T315" s="529" t="str">
        <f ca="1">Проект!$T$1319</f>
        <v>3 кв. 2019</v>
      </c>
      <c r="U315" s="529" t="str">
        <f ca="1">Проект!$U$1319</f>
        <v>4 кв. 2019</v>
      </c>
      <c r="V315" s="529" t="str">
        <f ca="1">Проект!$V$1319</f>
        <v>1 кв. 2020</v>
      </c>
      <c r="W315" s="529" t="str">
        <f ca="1">Проект!$W$1319</f>
        <v>2 кв. 2020</v>
      </c>
      <c r="X315" s="529" t="str">
        <f ca="1">Проект!$X$1319</f>
        <v>3 кв. 2020</v>
      </c>
      <c r="Y315" s="529" t="str">
        <f ca="1">Проект!$Y$1319</f>
        <v>4 кв. 2020</v>
      </c>
      <c r="Z315" s="529" t="str">
        <f ca="1">Проект!$Z$1319</f>
        <v>1 кв. 2021</v>
      </c>
      <c r="AA315" s="529" t="str">
        <f ca="1">Проект!$AA$1319</f>
        <v>2 кв. 2021</v>
      </c>
      <c r="AB315" s="529" t="str">
        <f ca="1">Проект!$AB$1319</f>
        <v>3 кв. 2021</v>
      </c>
      <c r="AC315" s="529" t="str">
        <f ca="1">Проект!$AC$1319</f>
        <v>4 кв. 2021</v>
      </c>
      <c r="AD315" s="528"/>
      <c r="AE315" s="530" t="str">
        <f ca="1">Проект!$AE$1319</f>
        <v>ИТОГО</v>
      </c>
    </row>
    <row r="316" spans="1:31" ht="12" customHeight="1" thickTop="1" x14ac:dyDescent="0.3">
      <c r="A316" s="563"/>
      <c r="B316" s="563"/>
      <c r="C316" s="563"/>
      <c r="D316" s="563"/>
      <c r="E316" s="563"/>
      <c r="F316" s="563"/>
      <c r="G316" s="563"/>
      <c r="H316" s="563"/>
      <c r="I316" s="563"/>
      <c r="J316" s="563"/>
      <c r="K316" s="563"/>
      <c r="L316" s="563"/>
      <c r="M316" s="563"/>
      <c r="N316" s="563"/>
      <c r="O316" s="563"/>
      <c r="P316" s="563"/>
      <c r="Q316" s="563"/>
      <c r="R316" s="563"/>
      <c r="S316" s="563"/>
      <c r="T316" s="563"/>
      <c r="U316" s="563"/>
      <c r="V316" s="563"/>
      <c r="W316" s="563"/>
      <c r="X316" s="563"/>
      <c r="Y316" s="563"/>
      <c r="Z316" s="563"/>
      <c r="AA316" s="563"/>
      <c r="AB316" s="563"/>
      <c r="AC316" s="563"/>
      <c r="AD316" s="563"/>
      <c r="AE316" s="569"/>
    </row>
    <row r="317" spans="1:31" ht="11.25" customHeight="1" x14ac:dyDescent="0.3">
      <c r="A317" s="563" t="str">
        <f ca="1">Проект!$A$1321</f>
        <v>Поступления от продаж</v>
      </c>
      <c r="B317" s="563"/>
      <c r="C317" s="539" t="str">
        <f ca="1">Проект!$C$1321</f>
        <v>тыс. EUR</v>
      </c>
      <c r="D317" s="563"/>
      <c r="E317" s="563"/>
      <c r="F317" s="551">
        <f>Проект!$F$1321</f>
        <v>0</v>
      </c>
      <c r="G317" s="551">
        <f>Проект!$G$1321</f>
        <v>0</v>
      </c>
      <c r="H317" s="551">
        <f>Проект!$H$1321</f>
        <v>0</v>
      </c>
      <c r="I317" s="551">
        <f>Проект!$I$1321</f>
        <v>0</v>
      </c>
      <c r="J317" s="551">
        <f>Проект!$J$1321</f>
        <v>0</v>
      </c>
      <c r="K317" s="551">
        <f>Проект!$K$1321</f>
        <v>714.56092469127964</v>
      </c>
      <c r="L317" s="551">
        <f>Проект!$L$1321</f>
        <v>2731.2132863136535</v>
      </c>
      <c r="M317" s="551">
        <f>Проект!$M$1321</f>
        <v>4381.7008046824012</v>
      </c>
      <c r="N317" s="551">
        <f>Проект!$N$1321</f>
        <v>6249.0205978072227</v>
      </c>
      <c r="O317" s="551">
        <f>Проект!$O$1321</f>
        <v>7525.4219523772372</v>
      </c>
      <c r="P317" s="551">
        <f>Проект!$P$1321</f>
        <v>7525.4219523772372</v>
      </c>
      <c r="Q317" s="551">
        <f>Проект!$Q$1321</f>
        <v>7525.4219523772372</v>
      </c>
      <c r="R317" s="551">
        <f>Проект!$R$1321</f>
        <v>7525.4219523772372</v>
      </c>
      <c r="S317" s="551">
        <f>Проект!$S$1321</f>
        <v>7525.4219523772372</v>
      </c>
      <c r="T317" s="551">
        <f>Проект!$T$1321</f>
        <v>7525.4219523772372</v>
      </c>
      <c r="U317" s="551">
        <f>Проект!$U$1321</f>
        <v>7525.4219523772372</v>
      </c>
      <c r="V317" s="551">
        <f>Проект!$V$1321</f>
        <v>7525.4219523772372</v>
      </c>
      <c r="W317" s="551">
        <f>Проект!$W$1321</f>
        <v>7525.4219523772372</v>
      </c>
      <c r="X317" s="551">
        <f>Проект!$X$1321</f>
        <v>7525.4219523772372</v>
      </c>
      <c r="Y317" s="551">
        <f>Проект!$Y$1321</f>
        <v>7525.4219523772372</v>
      </c>
      <c r="Z317" s="551">
        <f>Проект!$Z$1321</f>
        <v>7525.4219523772372</v>
      </c>
      <c r="AA317" s="551">
        <f>Проект!$AA$1321</f>
        <v>7525.4219523772372</v>
      </c>
      <c r="AB317" s="551">
        <f>Проект!$AB$1321</f>
        <v>7525.4219523772372</v>
      </c>
      <c r="AC317" s="551">
        <f>Проект!$AC$1321</f>
        <v>7525.4219523772372</v>
      </c>
      <c r="AD317" s="563"/>
      <c r="AE317" s="572">
        <f>Проект!$AE$1321</f>
        <v>126957.82489915307</v>
      </c>
    </row>
    <row r="318" spans="1:31" ht="11.25" customHeight="1" x14ac:dyDescent="0.3">
      <c r="A318" s="563" t="str">
        <f ca="1">Проект!$A$1322</f>
        <v>Затраты на материалы и комплектующие</v>
      </c>
      <c r="B318" s="563"/>
      <c r="C318" s="539" t="str">
        <f ca="1">Проект!$C$1322</f>
        <v>тыс. EUR</v>
      </c>
      <c r="D318" s="563"/>
      <c r="E318" s="563"/>
      <c r="F318" s="551">
        <f ca="1">Проект!$F$1322</f>
        <v>0</v>
      </c>
      <c r="G318" s="551">
        <f ca="1">Проект!$G$1322</f>
        <v>0</v>
      </c>
      <c r="H318" s="551">
        <f ca="1">Проект!$H$1322</f>
        <v>0</v>
      </c>
      <c r="I318" s="551">
        <f ca="1">Проект!$I$1322</f>
        <v>0</v>
      </c>
      <c r="J318" s="551">
        <f ca="1">Проект!$J$1322</f>
        <v>0</v>
      </c>
      <c r="K318" s="551">
        <f ca="1">Проект!$K$1322</f>
        <v>-581.99128181252672</v>
      </c>
      <c r="L318" s="551">
        <f ca="1">Проект!$L$1322</f>
        <v>-2271.9144207061654</v>
      </c>
      <c r="M318" s="551">
        <f ca="1">Проект!$M$1322</f>
        <v>-3649.3970405799773</v>
      </c>
      <c r="N318" s="551">
        <f ca="1">Проект!$N$1322</f>
        <v>-5210.3239219243878</v>
      </c>
      <c r="O318" s="551">
        <f ca="1">Проект!$O$1322</f>
        <v>-6289.8939644094735</v>
      </c>
      <c r="P318" s="551">
        <f ca="1">Проект!$P$1322</f>
        <v>-6289.8939644094735</v>
      </c>
      <c r="Q318" s="551">
        <f ca="1">Проект!$Q$1322</f>
        <v>-6289.8939644094735</v>
      </c>
      <c r="R318" s="551">
        <f ca="1">Проект!$R$1322</f>
        <v>-6289.8939644094735</v>
      </c>
      <c r="S318" s="551">
        <f ca="1">Проект!$S$1322</f>
        <v>-6289.8939644094735</v>
      </c>
      <c r="T318" s="551">
        <f ca="1">Проект!$T$1322</f>
        <v>-6289.8939644094735</v>
      </c>
      <c r="U318" s="551">
        <f ca="1">Проект!$U$1322</f>
        <v>-6289.8939644094735</v>
      </c>
      <c r="V318" s="551">
        <f ca="1">Проект!$V$1322</f>
        <v>-6289.8939644094735</v>
      </c>
      <c r="W318" s="551">
        <f ca="1">Проект!$W$1322</f>
        <v>-6289.8939644094735</v>
      </c>
      <c r="X318" s="551">
        <f ca="1">Проект!$X$1322</f>
        <v>-6289.8939644094735</v>
      </c>
      <c r="Y318" s="551">
        <f ca="1">Проект!$Y$1322</f>
        <v>-6289.8939644094735</v>
      </c>
      <c r="Z318" s="551">
        <f ca="1">Проект!$Z$1322</f>
        <v>-6289.8939644094735</v>
      </c>
      <c r="AA318" s="551">
        <f ca="1">Проект!$AA$1322</f>
        <v>-6289.8939644094735</v>
      </c>
      <c r="AB318" s="551">
        <f ca="1">Проект!$AB$1322</f>
        <v>-6289.8939644094735</v>
      </c>
      <c r="AC318" s="551">
        <f ca="1">Проект!$AC$1322</f>
        <v>-6289.8939644094735</v>
      </c>
      <c r="AD318" s="563"/>
      <c r="AE318" s="572">
        <f ca="1">Проект!$AE$1322</f>
        <v>-106062.03613116518</v>
      </c>
    </row>
    <row r="319" spans="1:31" ht="11.25" customHeight="1" x14ac:dyDescent="0.3">
      <c r="A319" s="563" t="str">
        <f ca="1">Проект!$A$1323</f>
        <v>Прочие переменные затраты</v>
      </c>
      <c r="B319" s="563"/>
      <c r="C319" s="539" t="str">
        <f ca="1">Проект!$C$1323</f>
        <v>тыс. EUR</v>
      </c>
      <c r="D319" s="563"/>
      <c r="E319" s="563"/>
      <c r="F319" s="551">
        <f ca="1">Проект!$F$1323</f>
        <v>0</v>
      </c>
      <c r="G319" s="551">
        <f ca="1">Проект!$G$1323</f>
        <v>0</v>
      </c>
      <c r="H319" s="551">
        <f ca="1">Проект!$H$1323</f>
        <v>0</v>
      </c>
      <c r="I319" s="551">
        <f ca="1">Проект!$I$1323</f>
        <v>0</v>
      </c>
      <c r="J319" s="551">
        <f ca="1">Проект!$J$1323</f>
        <v>0</v>
      </c>
      <c r="K319" s="551">
        <f ca="1">Проект!$K$1323</f>
        <v>0</v>
      </c>
      <c r="L319" s="551">
        <f ca="1">Проект!$L$1323</f>
        <v>0</v>
      </c>
      <c r="M319" s="551">
        <f ca="1">Проект!$M$1323</f>
        <v>0</v>
      </c>
      <c r="N319" s="551">
        <f ca="1">Проект!$N$1323</f>
        <v>0</v>
      </c>
      <c r="O319" s="551">
        <f ca="1">Проект!$O$1323</f>
        <v>0</v>
      </c>
      <c r="P319" s="551">
        <f ca="1">Проект!$P$1323</f>
        <v>0</v>
      </c>
      <c r="Q319" s="551">
        <f ca="1">Проект!$Q$1323</f>
        <v>0</v>
      </c>
      <c r="R319" s="551">
        <f ca="1">Проект!$R$1323</f>
        <v>0</v>
      </c>
      <c r="S319" s="551">
        <f ca="1">Проект!$S$1323</f>
        <v>0</v>
      </c>
      <c r="T319" s="551">
        <f ca="1">Проект!$T$1323</f>
        <v>0</v>
      </c>
      <c r="U319" s="551">
        <f ca="1">Проект!$U$1323</f>
        <v>0</v>
      </c>
      <c r="V319" s="551">
        <f ca="1">Проект!$V$1323</f>
        <v>0</v>
      </c>
      <c r="W319" s="551">
        <f ca="1">Проект!$W$1323</f>
        <v>0</v>
      </c>
      <c r="X319" s="551">
        <f ca="1">Проект!$X$1323</f>
        <v>0</v>
      </c>
      <c r="Y319" s="551">
        <f ca="1">Проект!$Y$1323</f>
        <v>0</v>
      </c>
      <c r="Z319" s="551">
        <f ca="1">Проект!$Z$1323</f>
        <v>0</v>
      </c>
      <c r="AA319" s="551">
        <f ca="1">Проект!$AA$1323</f>
        <v>0</v>
      </c>
      <c r="AB319" s="551">
        <f ca="1">Проект!$AB$1323</f>
        <v>0</v>
      </c>
      <c r="AC319" s="551">
        <f ca="1">Проект!$AC$1323</f>
        <v>0</v>
      </c>
      <c r="AD319" s="563"/>
      <c r="AE319" s="572">
        <f ca="1">Проект!$AE$1323</f>
        <v>0</v>
      </c>
    </row>
    <row r="320" spans="1:31" ht="11.25" customHeight="1" x14ac:dyDescent="0.3">
      <c r="A320" s="563" t="str">
        <f ca="1">Проект!$A$1324</f>
        <v>Зарплата</v>
      </c>
      <c r="B320" s="563"/>
      <c r="C320" s="539" t="str">
        <f ca="1">Проект!$C$1324</f>
        <v>тыс. EUR</v>
      </c>
      <c r="D320" s="563"/>
      <c r="E320" s="563"/>
      <c r="F320" s="551">
        <f>Проект!$F$1324</f>
        <v>0</v>
      </c>
      <c r="G320" s="551">
        <f>Проект!$G$1324</f>
        <v>0</v>
      </c>
      <c r="H320" s="551">
        <f>Проект!$H$1324</f>
        <v>0</v>
      </c>
      <c r="I320" s="551">
        <f>Проект!$I$1324</f>
        <v>0</v>
      </c>
      <c r="J320" s="551">
        <f>Проект!$J$1324</f>
        <v>0</v>
      </c>
      <c r="K320" s="551">
        <f>Проект!$K$1324</f>
        <v>-366.15</v>
      </c>
      <c r="L320" s="551">
        <f>Проект!$L$1324</f>
        <v>-366.15</v>
      </c>
      <c r="M320" s="551">
        <f>Проект!$M$1324</f>
        <v>-366.15</v>
      </c>
      <c r="N320" s="551">
        <f>Проект!$N$1324</f>
        <v>-366.15</v>
      </c>
      <c r="O320" s="551">
        <f>Проект!$O$1324</f>
        <v>-366.15</v>
      </c>
      <c r="P320" s="551">
        <f>Проект!$P$1324</f>
        <v>-366.15</v>
      </c>
      <c r="Q320" s="551">
        <f>Проект!$Q$1324</f>
        <v>-366.15</v>
      </c>
      <c r="R320" s="551">
        <f>Проект!$R$1324</f>
        <v>-366.15</v>
      </c>
      <c r="S320" s="551">
        <f>Проект!$S$1324</f>
        <v>-366.15</v>
      </c>
      <c r="T320" s="551">
        <f>Проект!$T$1324</f>
        <v>-366.15</v>
      </c>
      <c r="U320" s="551">
        <f>Проект!$U$1324</f>
        <v>-366.15</v>
      </c>
      <c r="V320" s="551">
        <f>Проект!$V$1324</f>
        <v>-366.15</v>
      </c>
      <c r="W320" s="551">
        <f>Проект!$W$1324</f>
        <v>-366.15</v>
      </c>
      <c r="X320" s="551">
        <f>Проект!$X$1324</f>
        <v>-366.15</v>
      </c>
      <c r="Y320" s="551">
        <f>Проект!$Y$1324</f>
        <v>-366.15</v>
      </c>
      <c r="Z320" s="551">
        <f>Проект!$Z$1324</f>
        <v>-366.15</v>
      </c>
      <c r="AA320" s="551">
        <f>Проект!$AA$1324</f>
        <v>-366.15</v>
      </c>
      <c r="AB320" s="551">
        <f>Проект!$AB$1324</f>
        <v>-366.15</v>
      </c>
      <c r="AC320" s="551">
        <f>Проект!$AC$1324</f>
        <v>-366.15</v>
      </c>
      <c r="AD320" s="563"/>
      <c r="AE320" s="572">
        <f>Проект!$AE$1324</f>
        <v>-6956.8499999999976</v>
      </c>
    </row>
    <row r="321" spans="1:31" ht="11.25" customHeight="1" x14ac:dyDescent="0.3">
      <c r="A321" s="563" t="str">
        <f ca="1">Проект!$A$1325</f>
        <v>Общие затраты</v>
      </c>
      <c r="B321" s="563"/>
      <c r="C321" s="539" t="str">
        <f ca="1">Проект!$C$1325</f>
        <v>тыс. EUR</v>
      </c>
      <c r="D321" s="563"/>
      <c r="E321" s="563"/>
      <c r="F321" s="551">
        <f ca="1">Проект!$F$1325</f>
        <v>0</v>
      </c>
      <c r="G321" s="551">
        <f ca="1">Проект!$G$1325</f>
        <v>0</v>
      </c>
      <c r="H321" s="551">
        <f ca="1">Проект!$H$1325</f>
        <v>0</v>
      </c>
      <c r="I321" s="551">
        <f ca="1">Проект!$I$1325</f>
        <v>0</v>
      </c>
      <c r="J321" s="551">
        <f ca="1">Проект!$J$1325</f>
        <v>0</v>
      </c>
      <c r="K321" s="551">
        <f ca="1">Проект!$K$1325</f>
        <v>-26.771598963376231</v>
      </c>
      <c r="L321" s="551">
        <f ca="1">Проект!$L$1325</f>
        <v>-104.50806335248362</v>
      </c>
      <c r="M321" s="551">
        <f ca="1">Проект!$M$1325</f>
        <v>-167.87226386667896</v>
      </c>
      <c r="N321" s="551">
        <f ca="1">Проект!$N$1325</f>
        <v>-239.67490040852189</v>
      </c>
      <c r="O321" s="551">
        <f ca="1">Проект!$O$1325</f>
        <v>-289.33512236283576</v>
      </c>
      <c r="P321" s="551">
        <f ca="1">Проект!$P$1325</f>
        <v>-289.33512236283576</v>
      </c>
      <c r="Q321" s="551">
        <f ca="1">Проект!$Q$1325</f>
        <v>-289.33512236283576</v>
      </c>
      <c r="R321" s="551">
        <f ca="1">Проект!$R$1325</f>
        <v>-289.33512236283576</v>
      </c>
      <c r="S321" s="551">
        <f ca="1">Проект!$S$1325</f>
        <v>-289.33512236283576</v>
      </c>
      <c r="T321" s="551">
        <f ca="1">Проект!$T$1325</f>
        <v>-289.33512236283576</v>
      </c>
      <c r="U321" s="551">
        <f ca="1">Проект!$U$1325</f>
        <v>-289.33512236283576</v>
      </c>
      <c r="V321" s="551">
        <f ca="1">Проект!$V$1325</f>
        <v>-289.33512236283576</v>
      </c>
      <c r="W321" s="551">
        <f ca="1">Проект!$W$1325</f>
        <v>-289.33512236283576</v>
      </c>
      <c r="X321" s="551">
        <f ca="1">Проект!$X$1325</f>
        <v>-289.33512236283576</v>
      </c>
      <c r="Y321" s="551">
        <f ca="1">Проект!$Y$1325</f>
        <v>-289.33512236283576</v>
      </c>
      <c r="Z321" s="551">
        <f ca="1">Проект!$Z$1325</f>
        <v>-289.33512236283576</v>
      </c>
      <c r="AA321" s="551">
        <f ca="1">Проект!$AA$1325</f>
        <v>-289.33512236283576</v>
      </c>
      <c r="AB321" s="551">
        <f ca="1">Проект!$AB$1325</f>
        <v>-289.33512236283576</v>
      </c>
      <c r="AC321" s="551">
        <f ca="1">Проект!$AC$1325</f>
        <v>-289.33512236283576</v>
      </c>
      <c r="AD321" s="563"/>
      <c r="AE321" s="572">
        <f ca="1">Проект!$AE$1325</f>
        <v>-4878.8536620335972</v>
      </c>
    </row>
    <row r="322" spans="1:31" ht="11.25" customHeight="1" x14ac:dyDescent="0.3">
      <c r="A322" s="563" t="str">
        <f ca="1">Проект!$A$1326</f>
        <v>Налоги</v>
      </c>
      <c r="B322" s="563"/>
      <c r="C322" s="539" t="str">
        <f ca="1">Проект!$C$1326</f>
        <v>тыс. EUR</v>
      </c>
      <c r="D322" s="563"/>
      <c r="E322" s="563"/>
      <c r="F322" s="551">
        <f ca="1">Проект!$F$1326</f>
        <v>0</v>
      </c>
      <c r="G322" s="551">
        <f ca="1">Проект!$G$1326</f>
        <v>0</v>
      </c>
      <c r="H322" s="551">
        <f ca="1">Проект!$H$1326</f>
        <v>0</v>
      </c>
      <c r="I322" s="551">
        <f ca="1">Проект!$I$1326</f>
        <v>0</v>
      </c>
      <c r="J322" s="551">
        <f ca="1">Проект!$J$1326</f>
        <v>0</v>
      </c>
      <c r="K322" s="551">
        <f ca="1">Проект!$K$1326</f>
        <v>2989.0006576008236</v>
      </c>
      <c r="L322" s="551">
        <f ca="1">Проект!$L$1326</f>
        <v>26.982459645938377</v>
      </c>
      <c r="M322" s="551">
        <f ca="1">Проект!$M$1326</f>
        <v>464.71153767040261</v>
      </c>
      <c r="N322" s="551">
        <f ca="1">Проект!$N$1326</f>
        <v>483.23416319071345</v>
      </c>
      <c r="O322" s="551">
        <f ca="1">Проект!$O$1326</f>
        <v>663.57494506462081</v>
      </c>
      <c r="P322" s="551">
        <f ca="1">Проект!$P$1326</f>
        <v>874.73182378093111</v>
      </c>
      <c r="Q322" s="551">
        <f ca="1">Проект!$Q$1326</f>
        <v>874.73182378093111</v>
      </c>
      <c r="R322" s="551">
        <f ca="1">Проект!$R$1326</f>
        <v>874.73182378093111</v>
      </c>
      <c r="S322" s="551">
        <f ca="1">Проект!$S$1326</f>
        <v>874.73182378093111</v>
      </c>
      <c r="T322" s="551">
        <f ca="1">Проект!$T$1326</f>
        <v>874.73182378093111</v>
      </c>
      <c r="U322" s="551">
        <f ca="1">Проект!$U$1326</f>
        <v>874.73182378093111</v>
      </c>
      <c r="V322" s="551">
        <f ca="1">Проект!$V$1326</f>
        <v>874.73182378093111</v>
      </c>
      <c r="W322" s="551">
        <f ca="1">Проект!$W$1326</f>
        <v>874.73182378093111</v>
      </c>
      <c r="X322" s="551">
        <f ca="1">Проект!$X$1326</f>
        <v>874.73182378093111</v>
      </c>
      <c r="Y322" s="551">
        <f ca="1">Проект!$Y$1326</f>
        <v>874.73182378093111</v>
      </c>
      <c r="Z322" s="551">
        <f ca="1">Проект!$Z$1326</f>
        <v>874.73182378093111</v>
      </c>
      <c r="AA322" s="551">
        <f ca="1">Проект!$AA$1326</f>
        <v>874.73182378093111</v>
      </c>
      <c r="AB322" s="551">
        <f ca="1">Проект!$AB$1326</f>
        <v>874.73182378093111</v>
      </c>
      <c r="AC322" s="551">
        <f ca="1">Проект!$AC$1326</f>
        <v>874.73182378093111</v>
      </c>
      <c r="AD322" s="563"/>
      <c r="AE322" s="572">
        <f ca="1">Проект!$AE$1326</f>
        <v>16873.749296105529</v>
      </c>
    </row>
    <row r="323" spans="1:31" ht="11.25" customHeight="1" x14ac:dyDescent="0.3">
      <c r="A323" s="563" t="str">
        <f ca="1">Проект!$A$1327</f>
        <v>Выплата процентов по кредитам</v>
      </c>
      <c r="B323" s="563"/>
      <c r="C323" s="539" t="str">
        <f ca="1">Проект!$C$1327</f>
        <v>тыс. EUR</v>
      </c>
      <c r="D323" s="563"/>
      <c r="E323" s="563"/>
      <c r="F323" s="551">
        <f>Проект!$F$1327</f>
        <v>0</v>
      </c>
      <c r="G323" s="551">
        <f>Проект!$G$1327</f>
        <v>0</v>
      </c>
      <c r="H323" s="551">
        <f>Проект!$H$1327</f>
        <v>0</v>
      </c>
      <c r="I323" s="551">
        <f>Проект!$I$1327</f>
        <v>0</v>
      </c>
      <c r="J323" s="551">
        <f>Проект!$J$1327</f>
        <v>0</v>
      </c>
      <c r="K323" s="551">
        <f>Проект!$K$1327</f>
        <v>0</v>
      </c>
      <c r="L323" s="551">
        <f>Проект!$L$1327</f>
        <v>0</v>
      </c>
      <c r="M323" s="551">
        <f>Проект!$M$1327</f>
        <v>0</v>
      </c>
      <c r="N323" s="551">
        <f>Проект!$N$1327</f>
        <v>0</v>
      </c>
      <c r="O323" s="551">
        <f>Проект!$O$1327</f>
        <v>0</v>
      </c>
      <c r="P323" s="551">
        <f>Проект!$P$1327</f>
        <v>0</v>
      </c>
      <c r="Q323" s="551">
        <f>Проект!$Q$1327</f>
        <v>0</v>
      </c>
      <c r="R323" s="551">
        <f>Проект!$R$1327</f>
        <v>0</v>
      </c>
      <c r="S323" s="551">
        <f>Проект!$S$1327</f>
        <v>0</v>
      </c>
      <c r="T323" s="551">
        <f>Проект!$T$1327</f>
        <v>0</v>
      </c>
      <c r="U323" s="551">
        <f>Проект!$U$1327</f>
        <v>0</v>
      </c>
      <c r="V323" s="551">
        <f>Проект!$V$1327</f>
        <v>0</v>
      </c>
      <c r="W323" s="551">
        <f>Проект!$W$1327</f>
        <v>0</v>
      </c>
      <c r="X323" s="551">
        <f>Проект!$X$1327</f>
        <v>0</v>
      </c>
      <c r="Y323" s="551">
        <f>Проект!$Y$1327</f>
        <v>0</v>
      </c>
      <c r="Z323" s="551">
        <f>Проект!$Z$1327</f>
        <v>0</v>
      </c>
      <c r="AA323" s="551">
        <f>Проект!$AA$1327</f>
        <v>0</v>
      </c>
      <c r="AB323" s="551">
        <f>Проект!$AB$1327</f>
        <v>0</v>
      </c>
      <c r="AC323" s="551">
        <f>Проект!$AC$1327</f>
        <v>0</v>
      </c>
      <c r="AD323" s="563"/>
      <c r="AE323" s="572">
        <f>Проект!$AE$1327</f>
        <v>0</v>
      </c>
    </row>
    <row r="324" spans="1:31" ht="11.25" customHeight="1" x14ac:dyDescent="0.3">
      <c r="A324" s="563" t="str">
        <f ca="1">Проект!$A$1328</f>
        <v>Прочие поступления</v>
      </c>
      <c r="B324" s="563"/>
      <c r="C324" s="539" t="str">
        <f ca="1">Проект!$C$1328</f>
        <v>тыс. EUR</v>
      </c>
      <c r="D324" s="563"/>
      <c r="E324" s="563"/>
      <c r="F324" s="571">
        <f ca="1">Проект!$F$1328</f>
        <v>0</v>
      </c>
      <c r="G324" s="571">
        <f ca="1">Проект!$G$1328</f>
        <v>0</v>
      </c>
      <c r="H324" s="571">
        <f ca="1">Проект!$H$1328</f>
        <v>0</v>
      </c>
      <c r="I324" s="571">
        <f ca="1">Проект!$I$1328</f>
        <v>0</v>
      </c>
      <c r="J324" s="571">
        <f ca="1">Проект!$J$1328</f>
        <v>0</v>
      </c>
      <c r="K324" s="571">
        <f ca="1">Проект!$K$1328</f>
        <v>0</v>
      </c>
      <c r="L324" s="571">
        <f ca="1">Проект!$L$1328</f>
        <v>0</v>
      </c>
      <c r="M324" s="571">
        <f ca="1">Проект!$M$1328</f>
        <v>0</v>
      </c>
      <c r="N324" s="571">
        <f ca="1">Проект!$N$1328</f>
        <v>0</v>
      </c>
      <c r="O324" s="571">
        <f ca="1">Проект!$O$1328</f>
        <v>0</v>
      </c>
      <c r="P324" s="571">
        <f ca="1">Проект!$P$1328</f>
        <v>0</v>
      </c>
      <c r="Q324" s="571">
        <f ca="1">Проект!$Q$1328</f>
        <v>0</v>
      </c>
      <c r="R324" s="571">
        <f ca="1">Проект!$R$1328</f>
        <v>0</v>
      </c>
      <c r="S324" s="571">
        <f ca="1">Проект!$S$1328</f>
        <v>0</v>
      </c>
      <c r="T324" s="571">
        <f ca="1">Проект!$T$1328</f>
        <v>0</v>
      </c>
      <c r="U324" s="571">
        <f ca="1">Проект!$U$1328</f>
        <v>0</v>
      </c>
      <c r="V324" s="571">
        <f ca="1">Проект!$V$1328</f>
        <v>0</v>
      </c>
      <c r="W324" s="571">
        <f ca="1">Проект!$W$1328</f>
        <v>0</v>
      </c>
      <c r="X324" s="571">
        <f ca="1">Проект!$X$1328</f>
        <v>0</v>
      </c>
      <c r="Y324" s="571">
        <f ca="1">Проект!$Y$1328</f>
        <v>0</v>
      </c>
      <c r="Z324" s="571">
        <f ca="1">Проект!$Z$1328</f>
        <v>0</v>
      </c>
      <c r="AA324" s="571">
        <f ca="1">Проект!$AA$1328</f>
        <v>0</v>
      </c>
      <c r="AB324" s="571">
        <f ca="1">Проект!$AB$1328</f>
        <v>0</v>
      </c>
      <c r="AC324" s="571">
        <f ca="1">Проект!$AC$1328</f>
        <v>0</v>
      </c>
      <c r="AD324" s="563"/>
      <c r="AE324" s="572">
        <f ca="1">Проект!$AE$1328</f>
        <v>0</v>
      </c>
    </row>
    <row r="325" spans="1:31" ht="11.25" customHeight="1" x14ac:dyDescent="0.3">
      <c r="A325" s="563" t="str">
        <f ca="1">Проект!$A$1329</f>
        <v>Прочие затраты</v>
      </c>
      <c r="B325" s="563"/>
      <c r="C325" s="539" t="str">
        <f ca="1">Проект!$C$1329</f>
        <v>тыс. EUR</v>
      </c>
      <c r="D325" s="563"/>
      <c r="E325" s="563"/>
      <c r="F325" s="571">
        <f>Проект!$F$1329</f>
        <v>0</v>
      </c>
      <c r="G325" s="571">
        <f>Проект!$G$1329</f>
        <v>0</v>
      </c>
      <c r="H325" s="571">
        <f>Проект!$H$1329</f>
        <v>0</v>
      </c>
      <c r="I325" s="571">
        <f>Проект!$I$1329</f>
        <v>0</v>
      </c>
      <c r="J325" s="571">
        <f>Проект!$J$1329</f>
        <v>0</v>
      </c>
      <c r="K325" s="571">
        <f>Проект!$K$1329</f>
        <v>0</v>
      </c>
      <c r="L325" s="571">
        <f>Проект!$L$1329</f>
        <v>0</v>
      </c>
      <c r="M325" s="571">
        <f>Проект!$M$1329</f>
        <v>0</v>
      </c>
      <c r="N325" s="571">
        <f>Проект!$N$1329</f>
        <v>0</v>
      </c>
      <c r="O325" s="571">
        <f>Проект!$O$1329</f>
        <v>0</v>
      </c>
      <c r="P325" s="571">
        <f>Проект!$P$1329</f>
        <v>0</v>
      </c>
      <c r="Q325" s="571">
        <f>Проект!$Q$1329</f>
        <v>0</v>
      </c>
      <c r="R325" s="571">
        <f>Проект!$R$1329</f>
        <v>0</v>
      </c>
      <c r="S325" s="571">
        <f>Проект!$S$1329</f>
        <v>0</v>
      </c>
      <c r="T325" s="571">
        <f>Проект!$T$1329</f>
        <v>0</v>
      </c>
      <c r="U325" s="571">
        <f>Проект!$U$1329</f>
        <v>0</v>
      </c>
      <c r="V325" s="571">
        <f>Проект!$V$1329</f>
        <v>0</v>
      </c>
      <c r="W325" s="571">
        <f>Проект!$W$1329</f>
        <v>0</v>
      </c>
      <c r="X325" s="571">
        <f>Проект!$X$1329</f>
        <v>0</v>
      </c>
      <c r="Y325" s="571">
        <f>Проект!$Y$1329</f>
        <v>0</v>
      </c>
      <c r="Z325" s="571">
        <f>Проект!$Z$1329</f>
        <v>0</v>
      </c>
      <c r="AA325" s="571">
        <f>Проект!$AA$1329</f>
        <v>0</v>
      </c>
      <c r="AB325" s="571">
        <f>Проект!$AB$1329</f>
        <v>0</v>
      </c>
      <c r="AC325" s="571">
        <f>Проект!$AC$1329</f>
        <v>0</v>
      </c>
      <c r="AD325" s="563"/>
      <c r="AE325" s="572">
        <f>Проект!$AE$1329</f>
        <v>0</v>
      </c>
    </row>
    <row r="326" spans="1:31" ht="11.25" customHeight="1" x14ac:dyDescent="0.3">
      <c r="A326" s="563"/>
      <c r="B326" s="563"/>
      <c r="C326" s="563"/>
      <c r="D326" s="563"/>
      <c r="E326" s="563"/>
      <c r="F326" s="563"/>
      <c r="G326" s="563"/>
      <c r="H326" s="563"/>
      <c r="I326" s="563"/>
      <c r="J326" s="563"/>
      <c r="K326" s="563"/>
      <c r="L326" s="563"/>
      <c r="M326" s="563"/>
      <c r="N326" s="563"/>
      <c r="O326" s="563"/>
      <c r="P326" s="563"/>
      <c r="Q326" s="563"/>
      <c r="R326" s="563"/>
      <c r="S326" s="563"/>
      <c r="T326" s="563"/>
      <c r="U326" s="563"/>
      <c r="V326" s="563"/>
      <c r="W326" s="563"/>
      <c r="X326" s="563"/>
      <c r="Y326" s="563"/>
      <c r="Z326" s="563"/>
      <c r="AA326" s="563"/>
      <c r="AB326" s="563"/>
      <c r="AC326" s="563"/>
      <c r="AD326" s="563"/>
      <c r="AE326" s="575"/>
    </row>
    <row r="327" spans="1:31" ht="11.25" customHeight="1" x14ac:dyDescent="0.3">
      <c r="A327" s="570" t="str">
        <f ca="1">Проект!$A$1331</f>
        <v>Денежные потоки от операционной деятельности</v>
      </c>
      <c r="B327" s="563"/>
      <c r="C327" s="539" t="str">
        <f ca="1">Проект!$C$1331</f>
        <v>тыс. EUR</v>
      </c>
      <c r="D327" s="563"/>
      <c r="E327" s="563"/>
      <c r="F327" s="574">
        <f ca="1">Проект!$F$1331</f>
        <v>0</v>
      </c>
      <c r="G327" s="574">
        <f ca="1">Проект!$G$1331</f>
        <v>0</v>
      </c>
      <c r="H327" s="574">
        <f ca="1">Проект!$H$1331</f>
        <v>0</v>
      </c>
      <c r="I327" s="574">
        <f ca="1">Проект!$I$1331</f>
        <v>0</v>
      </c>
      <c r="J327" s="574">
        <f ca="1">Проект!$J$1331</f>
        <v>0</v>
      </c>
      <c r="K327" s="574">
        <f ca="1">Проект!$K$1331</f>
        <v>2728.6487015162002</v>
      </c>
      <c r="L327" s="574">
        <f ca="1">Проект!$L$1331</f>
        <v>15.623261900942879</v>
      </c>
      <c r="M327" s="574">
        <f ca="1">Проект!$M$1331</f>
        <v>662.99303790614749</v>
      </c>
      <c r="N327" s="574">
        <f ca="1">Проект!$N$1331</f>
        <v>916.10593866502631</v>
      </c>
      <c r="O327" s="574">
        <f ca="1">Проект!$O$1331</f>
        <v>1243.6178106695488</v>
      </c>
      <c r="P327" s="574">
        <f ca="1">Проект!$P$1331</f>
        <v>1454.7746893858591</v>
      </c>
      <c r="Q327" s="574">
        <f ca="1">Проект!$Q$1331</f>
        <v>1454.7746893858591</v>
      </c>
      <c r="R327" s="574">
        <f ca="1">Проект!$R$1331</f>
        <v>1454.7746893858591</v>
      </c>
      <c r="S327" s="574">
        <f ca="1">Проект!$S$1331</f>
        <v>1454.7746893858591</v>
      </c>
      <c r="T327" s="574">
        <f ca="1">Проект!$T$1331</f>
        <v>1454.7746893858591</v>
      </c>
      <c r="U327" s="574">
        <f ca="1">Проект!$U$1331</f>
        <v>1454.7746893858591</v>
      </c>
      <c r="V327" s="574">
        <f ca="1">Проект!$V$1331</f>
        <v>1454.7746893858591</v>
      </c>
      <c r="W327" s="574">
        <f ca="1">Проект!$W$1331</f>
        <v>1454.7746893858591</v>
      </c>
      <c r="X327" s="574">
        <f ca="1">Проект!$X$1331</f>
        <v>1454.7746893858591</v>
      </c>
      <c r="Y327" s="574">
        <f ca="1">Проект!$Y$1331</f>
        <v>1454.7746893858591</v>
      </c>
      <c r="Z327" s="574">
        <f ca="1">Проект!$Z$1331</f>
        <v>1454.7746893858591</v>
      </c>
      <c r="AA327" s="574">
        <f ca="1">Проект!$AA$1331</f>
        <v>1454.7746893858591</v>
      </c>
      <c r="AB327" s="574">
        <f ca="1">Проект!$AB$1331</f>
        <v>1454.7746893858591</v>
      </c>
      <c r="AC327" s="574">
        <f ca="1">Проект!$AC$1331</f>
        <v>1454.7746893858591</v>
      </c>
      <c r="AD327" s="563"/>
      <c r="AE327" s="575">
        <f ca="1">Проект!$AE$1331</f>
        <v>25933.834402059896</v>
      </c>
    </row>
    <row r="328" spans="1:31" ht="11.25" customHeight="1" x14ac:dyDescent="0.3">
      <c r="A328" s="563"/>
      <c r="B328" s="563"/>
      <c r="C328" s="563"/>
      <c r="D328" s="563"/>
      <c r="E328" s="563"/>
      <c r="F328" s="563"/>
      <c r="G328" s="563"/>
      <c r="H328" s="563"/>
      <c r="I328" s="563"/>
      <c r="J328" s="563"/>
      <c r="K328" s="563"/>
      <c r="L328" s="563"/>
      <c r="M328" s="563"/>
      <c r="N328" s="563"/>
      <c r="O328" s="563"/>
      <c r="P328" s="563"/>
      <c r="Q328" s="563"/>
      <c r="R328" s="563"/>
      <c r="S328" s="563"/>
      <c r="T328" s="563"/>
      <c r="U328" s="563"/>
      <c r="V328" s="563"/>
      <c r="W328" s="563"/>
      <c r="X328" s="563"/>
      <c r="Y328" s="563"/>
      <c r="Z328" s="563"/>
      <c r="AA328" s="563"/>
      <c r="AB328" s="563"/>
      <c r="AC328" s="563"/>
      <c r="AD328" s="563"/>
      <c r="AE328" s="575"/>
    </row>
    <row r="329" spans="1:31" ht="11.25" customHeight="1" x14ac:dyDescent="0.3">
      <c r="A329" s="563" t="str">
        <f ca="1">Проект!$A$1333</f>
        <v>Инвестиции в земельные участки</v>
      </c>
      <c r="B329" s="563"/>
      <c r="C329" s="539" t="str">
        <f ca="1">Проект!$C$1333</f>
        <v>тыс. EUR</v>
      </c>
      <c r="D329" s="563"/>
      <c r="E329" s="563"/>
      <c r="F329" s="551">
        <f>Проект!$F$1333</f>
        <v>0</v>
      </c>
      <c r="G329" s="551">
        <f>Проект!$G$1333</f>
        <v>0</v>
      </c>
      <c r="H329" s="551">
        <f>Проект!$H$1333</f>
        <v>-200</v>
      </c>
      <c r="I329" s="551">
        <f>Проект!$I$1333</f>
        <v>0</v>
      </c>
      <c r="J329" s="551">
        <f>Проект!$J$1333</f>
        <v>0</v>
      </c>
      <c r="K329" s="551">
        <f>Проект!$K$1333</f>
        <v>0</v>
      </c>
      <c r="L329" s="551">
        <f>Проект!$L$1333</f>
        <v>0</v>
      </c>
      <c r="M329" s="551">
        <f>Проект!$M$1333</f>
        <v>0</v>
      </c>
      <c r="N329" s="551">
        <f>Проект!$N$1333</f>
        <v>0</v>
      </c>
      <c r="O329" s="551">
        <f>Проект!$O$1333</f>
        <v>0</v>
      </c>
      <c r="P329" s="551">
        <f>Проект!$P$1333</f>
        <v>0</v>
      </c>
      <c r="Q329" s="551">
        <f>Проект!$Q$1333</f>
        <v>0</v>
      </c>
      <c r="R329" s="551">
        <f>Проект!$R$1333</f>
        <v>0</v>
      </c>
      <c r="S329" s="551">
        <f>Проект!$S$1333</f>
        <v>0</v>
      </c>
      <c r="T329" s="551">
        <f>Проект!$T$1333</f>
        <v>0</v>
      </c>
      <c r="U329" s="551">
        <f>Проект!$U$1333</f>
        <v>0</v>
      </c>
      <c r="V329" s="551">
        <f>Проект!$V$1333</f>
        <v>0</v>
      </c>
      <c r="W329" s="551">
        <f>Проект!$W$1333</f>
        <v>0</v>
      </c>
      <c r="X329" s="551">
        <f>Проект!$X$1333</f>
        <v>0</v>
      </c>
      <c r="Y329" s="551">
        <f>Проект!$Y$1333</f>
        <v>0</v>
      </c>
      <c r="Z329" s="551">
        <f>Проект!$Z$1333</f>
        <v>0</v>
      </c>
      <c r="AA329" s="551">
        <f>Проект!$AA$1333</f>
        <v>0</v>
      </c>
      <c r="AB329" s="551">
        <f>Проект!$AB$1333</f>
        <v>0</v>
      </c>
      <c r="AC329" s="551">
        <f>Проект!$AC$1333</f>
        <v>0</v>
      </c>
      <c r="AD329" s="563"/>
      <c r="AE329" s="572">
        <f>Проект!$AE$1333</f>
        <v>-200</v>
      </c>
    </row>
    <row r="330" spans="1:31" ht="11.25" customHeight="1" x14ac:dyDescent="0.3">
      <c r="A330" s="563" t="str">
        <f ca="1">Проект!$A$1334</f>
        <v>Инвестиции в здания и сооружения</v>
      </c>
      <c r="B330" s="563"/>
      <c r="C330" s="539" t="str">
        <f ca="1">Проект!$C$1334</f>
        <v>тыс. EUR</v>
      </c>
      <c r="D330" s="563"/>
      <c r="E330" s="563"/>
      <c r="F330" s="551">
        <f>Проект!$F$1334</f>
        <v>0</v>
      </c>
      <c r="G330" s="551">
        <f>Проект!$G$1334</f>
        <v>0</v>
      </c>
      <c r="H330" s="551">
        <f>Проект!$H$1334</f>
        <v>-1519.56</v>
      </c>
      <c r="I330" s="551">
        <f>Проект!$I$1334</f>
        <v>-1519.56</v>
      </c>
      <c r="J330" s="551">
        <f>Проект!$J$1334</f>
        <v>0</v>
      </c>
      <c r="K330" s="551">
        <f>Проект!$K$1334</f>
        <v>0</v>
      </c>
      <c r="L330" s="551">
        <f>Проект!$L$1334</f>
        <v>0</v>
      </c>
      <c r="M330" s="551">
        <f>Проект!$M$1334</f>
        <v>0</v>
      </c>
      <c r="N330" s="551">
        <f>Проект!$N$1334</f>
        <v>0</v>
      </c>
      <c r="O330" s="551">
        <f>Проект!$O$1334</f>
        <v>0</v>
      </c>
      <c r="P330" s="551">
        <f>Проект!$P$1334</f>
        <v>0</v>
      </c>
      <c r="Q330" s="551">
        <f>Проект!$Q$1334</f>
        <v>0</v>
      </c>
      <c r="R330" s="551">
        <f>Проект!$R$1334</f>
        <v>0</v>
      </c>
      <c r="S330" s="551">
        <f>Проект!$S$1334</f>
        <v>0</v>
      </c>
      <c r="T330" s="551">
        <f>Проект!$T$1334</f>
        <v>0</v>
      </c>
      <c r="U330" s="551">
        <f>Проект!$U$1334</f>
        <v>0</v>
      </c>
      <c r="V330" s="551">
        <f>Проект!$V$1334</f>
        <v>0</v>
      </c>
      <c r="W330" s="551">
        <f>Проект!$W$1334</f>
        <v>0</v>
      </c>
      <c r="X330" s="551">
        <f>Проект!$X$1334</f>
        <v>0</v>
      </c>
      <c r="Y330" s="551">
        <f>Проект!$Y$1334</f>
        <v>0</v>
      </c>
      <c r="Z330" s="551">
        <f>Проект!$Z$1334</f>
        <v>0</v>
      </c>
      <c r="AA330" s="551">
        <f>Проект!$AA$1334</f>
        <v>0</v>
      </c>
      <c r="AB330" s="551">
        <f>Проект!$AB$1334</f>
        <v>0</v>
      </c>
      <c r="AC330" s="551">
        <f>Проект!$AC$1334</f>
        <v>0</v>
      </c>
      <c r="AD330" s="563"/>
      <c r="AE330" s="572">
        <f>Проект!$AE$1334</f>
        <v>-3039.12</v>
      </c>
    </row>
    <row r="331" spans="1:31" ht="11.25" customHeight="1" x14ac:dyDescent="0.3">
      <c r="A331" s="563" t="str">
        <f ca="1">Проект!$A$1335</f>
        <v>Инвестиции в оборудование и прочие активы</v>
      </c>
      <c r="B331" s="563"/>
      <c r="C331" s="539" t="str">
        <f ca="1">Проект!$C$1335</f>
        <v>тыс. EUR</v>
      </c>
      <c r="D331" s="563"/>
      <c r="E331" s="563"/>
      <c r="F331" s="551">
        <f>Проект!$F$1335</f>
        <v>0</v>
      </c>
      <c r="G331" s="551">
        <f>Проект!$G$1335</f>
        <v>0</v>
      </c>
      <c r="H331" s="551">
        <f>Проект!$H$1335</f>
        <v>-3875.8255543220339</v>
      </c>
      <c r="I331" s="551">
        <f>Проект!$I$1335</f>
        <v>0</v>
      </c>
      <c r="J331" s="551">
        <f>Проект!$J$1335</f>
        <v>-6850.2918126355935</v>
      </c>
      <c r="K331" s="551">
        <f>Проект!$K$1335</f>
        <v>-2583.8837028813559</v>
      </c>
      <c r="L331" s="551">
        <f>Проект!$L$1335</f>
        <v>0</v>
      </c>
      <c r="M331" s="551">
        <f>Проект!$M$1335</f>
        <v>0</v>
      </c>
      <c r="N331" s="551">
        <f>Проект!$N$1335</f>
        <v>0</v>
      </c>
      <c r="O331" s="551">
        <f>Проект!$O$1335</f>
        <v>0</v>
      </c>
      <c r="P331" s="551">
        <f>Проект!$P$1335</f>
        <v>0</v>
      </c>
      <c r="Q331" s="551">
        <f>Проект!$Q$1335</f>
        <v>0</v>
      </c>
      <c r="R331" s="551">
        <f>Проект!$R$1335</f>
        <v>0</v>
      </c>
      <c r="S331" s="551">
        <f>Проект!$S$1335</f>
        <v>0</v>
      </c>
      <c r="T331" s="551">
        <f>Проект!$T$1335</f>
        <v>0</v>
      </c>
      <c r="U331" s="551">
        <f>Проект!$U$1335</f>
        <v>0</v>
      </c>
      <c r="V331" s="551">
        <f>Проект!$V$1335</f>
        <v>0</v>
      </c>
      <c r="W331" s="551">
        <f>Проект!$W$1335</f>
        <v>0</v>
      </c>
      <c r="X331" s="551">
        <f>Проект!$X$1335</f>
        <v>0</v>
      </c>
      <c r="Y331" s="551">
        <f>Проект!$Y$1335</f>
        <v>0</v>
      </c>
      <c r="Z331" s="551">
        <f>Проект!$Z$1335</f>
        <v>0</v>
      </c>
      <c r="AA331" s="551">
        <f>Проект!$AA$1335</f>
        <v>0</v>
      </c>
      <c r="AB331" s="551">
        <f>Проект!$AB$1335</f>
        <v>0</v>
      </c>
      <c r="AC331" s="551">
        <f>Проект!$AC$1335</f>
        <v>0</v>
      </c>
      <c r="AD331" s="563"/>
      <c r="AE331" s="572">
        <f>Проект!$AE$1335</f>
        <v>-13310.001069838983</v>
      </c>
    </row>
    <row r="332" spans="1:31" ht="11.25" customHeight="1" x14ac:dyDescent="0.3">
      <c r="A332" s="563" t="str">
        <f ca="1">Проект!$A$1336</f>
        <v>Инвестиции в нематериальные активы</v>
      </c>
      <c r="B332" s="563"/>
      <c r="C332" s="539" t="str">
        <f ca="1">Проект!$C$1336</f>
        <v>тыс. EUR</v>
      </c>
      <c r="D332" s="563"/>
      <c r="E332" s="563"/>
      <c r="F332" s="551">
        <f>Проект!$F$1336</f>
        <v>0</v>
      </c>
      <c r="G332" s="551">
        <f>Проект!$G$1336</f>
        <v>0</v>
      </c>
      <c r="H332" s="551">
        <f>Проект!$H$1336</f>
        <v>-100</v>
      </c>
      <c r="I332" s="551">
        <f>Проект!$I$1336</f>
        <v>0</v>
      </c>
      <c r="J332" s="551">
        <f>Проект!$J$1336</f>
        <v>0</v>
      </c>
      <c r="K332" s="551">
        <f>Проект!$K$1336</f>
        <v>0</v>
      </c>
      <c r="L332" s="551">
        <f>Проект!$L$1336</f>
        <v>0</v>
      </c>
      <c r="M332" s="551">
        <f>Проект!$M$1336</f>
        <v>0</v>
      </c>
      <c r="N332" s="551">
        <f>Проект!$N$1336</f>
        <v>0</v>
      </c>
      <c r="O332" s="551">
        <f>Проект!$O$1336</f>
        <v>0</v>
      </c>
      <c r="P332" s="551">
        <f>Проект!$P$1336</f>
        <v>0</v>
      </c>
      <c r="Q332" s="551">
        <f>Проект!$Q$1336</f>
        <v>0</v>
      </c>
      <c r="R332" s="551">
        <f>Проект!$R$1336</f>
        <v>0</v>
      </c>
      <c r="S332" s="551">
        <f>Проект!$S$1336</f>
        <v>0</v>
      </c>
      <c r="T332" s="551">
        <f>Проект!$T$1336</f>
        <v>0</v>
      </c>
      <c r="U332" s="551">
        <f>Проект!$U$1336</f>
        <v>0</v>
      </c>
      <c r="V332" s="551">
        <f>Проект!$V$1336</f>
        <v>0</v>
      </c>
      <c r="W332" s="551">
        <f>Проект!$W$1336</f>
        <v>0</v>
      </c>
      <c r="X332" s="551">
        <f>Проект!$X$1336</f>
        <v>0</v>
      </c>
      <c r="Y332" s="551">
        <f>Проект!$Y$1336</f>
        <v>0</v>
      </c>
      <c r="Z332" s="551">
        <f>Проект!$Z$1336</f>
        <v>0</v>
      </c>
      <c r="AA332" s="551">
        <f>Проект!$AA$1336</f>
        <v>0</v>
      </c>
      <c r="AB332" s="551">
        <f>Проект!$AB$1336</f>
        <v>0</v>
      </c>
      <c r="AC332" s="551">
        <f>Проект!$AC$1336</f>
        <v>0</v>
      </c>
      <c r="AD332" s="563"/>
      <c r="AE332" s="572">
        <f>Проект!$AE$1336</f>
        <v>-100</v>
      </c>
    </row>
    <row r="333" spans="1:31" ht="11.25" customHeight="1" x14ac:dyDescent="0.3">
      <c r="A333" s="563" t="str">
        <f ca="1">Проект!$A$1337</f>
        <v>Инвестиции в финансовые активы</v>
      </c>
      <c r="B333" s="563"/>
      <c r="C333" s="539" t="str">
        <f ca="1">Проект!$C$1337</f>
        <v>тыс. EUR</v>
      </c>
      <c r="D333" s="563"/>
      <c r="E333" s="563"/>
      <c r="F333" s="551">
        <f>Проект!$F$1337</f>
        <v>0</v>
      </c>
      <c r="G333" s="551">
        <f>Проект!$G$1337</f>
        <v>0</v>
      </c>
      <c r="H333" s="551">
        <f>Проект!$H$1337</f>
        <v>0</v>
      </c>
      <c r="I333" s="551">
        <f>Проект!$I$1337</f>
        <v>0</v>
      </c>
      <c r="J333" s="551">
        <f>Проект!$J$1337</f>
        <v>0</v>
      </c>
      <c r="K333" s="551">
        <f>Проект!$K$1337</f>
        <v>0</v>
      </c>
      <c r="L333" s="551">
        <f>Проект!$L$1337</f>
        <v>0</v>
      </c>
      <c r="M333" s="551">
        <f>Проект!$M$1337</f>
        <v>0</v>
      </c>
      <c r="N333" s="551">
        <f>Проект!$N$1337</f>
        <v>0</v>
      </c>
      <c r="O333" s="551">
        <f>Проект!$O$1337</f>
        <v>0</v>
      </c>
      <c r="P333" s="551">
        <f>Проект!$P$1337</f>
        <v>0</v>
      </c>
      <c r="Q333" s="551">
        <f>Проект!$Q$1337</f>
        <v>0</v>
      </c>
      <c r="R333" s="551">
        <f>Проект!$R$1337</f>
        <v>0</v>
      </c>
      <c r="S333" s="551">
        <f>Проект!$S$1337</f>
        <v>0</v>
      </c>
      <c r="T333" s="551">
        <f>Проект!$T$1337</f>
        <v>0</v>
      </c>
      <c r="U333" s="551">
        <f>Проект!$U$1337</f>
        <v>0</v>
      </c>
      <c r="V333" s="551">
        <f>Проект!$V$1337</f>
        <v>0</v>
      </c>
      <c r="W333" s="551">
        <f>Проект!$W$1337</f>
        <v>0</v>
      </c>
      <c r="X333" s="551">
        <f>Проект!$X$1337</f>
        <v>0</v>
      </c>
      <c r="Y333" s="551">
        <f>Проект!$Y$1337</f>
        <v>0</v>
      </c>
      <c r="Z333" s="551">
        <f>Проект!$Z$1337</f>
        <v>0</v>
      </c>
      <c r="AA333" s="551">
        <f>Проект!$AA$1337</f>
        <v>0</v>
      </c>
      <c r="AB333" s="551">
        <f>Проект!$AB$1337</f>
        <v>0</v>
      </c>
      <c r="AC333" s="551">
        <f>Проект!$AC$1337</f>
        <v>0</v>
      </c>
      <c r="AD333" s="563"/>
      <c r="AE333" s="572">
        <f>Проект!$AE$1337</f>
        <v>0</v>
      </c>
    </row>
    <row r="334" spans="1:31" ht="11.25" customHeight="1" x14ac:dyDescent="0.3">
      <c r="A334" s="563" t="str">
        <f ca="1">Проект!$A$1338</f>
        <v>Оплата расходов будущих периодов</v>
      </c>
      <c r="B334" s="563"/>
      <c r="C334" s="539" t="str">
        <f ca="1">Проект!$C$1338</f>
        <v>тыс. EUR</v>
      </c>
      <c r="D334" s="563"/>
      <c r="E334" s="563"/>
      <c r="F334" s="551">
        <f>Проект!$F$1338</f>
        <v>0</v>
      </c>
      <c r="G334" s="551">
        <f>Проект!$G$1338</f>
        <v>0</v>
      </c>
      <c r="H334" s="551">
        <f>Проект!$H$1338</f>
        <v>0</v>
      </c>
      <c r="I334" s="551">
        <f>Проект!$I$1338</f>
        <v>0</v>
      </c>
      <c r="J334" s="551">
        <f ca="1">Проект!$J$1338</f>
        <v>-174.59738454375801</v>
      </c>
      <c r="K334" s="551">
        <f>Проект!$K$1338</f>
        <v>-398.64199465215285</v>
      </c>
      <c r="L334" s="551">
        <f>Проект!$L$1338</f>
        <v>0</v>
      </c>
      <c r="M334" s="551">
        <f>Проект!$M$1338</f>
        <v>0</v>
      </c>
      <c r="N334" s="551">
        <f>Проект!$N$1338</f>
        <v>0</v>
      </c>
      <c r="O334" s="551">
        <f>Проект!$O$1338</f>
        <v>0</v>
      </c>
      <c r="P334" s="551">
        <f>Проект!$P$1338</f>
        <v>0</v>
      </c>
      <c r="Q334" s="551">
        <f>Проект!$Q$1338</f>
        <v>0</v>
      </c>
      <c r="R334" s="551">
        <f>Проект!$R$1338</f>
        <v>0</v>
      </c>
      <c r="S334" s="551">
        <f>Проект!$S$1338</f>
        <v>0</v>
      </c>
      <c r="T334" s="551">
        <f>Проект!$T$1338</f>
        <v>0</v>
      </c>
      <c r="U334" s="551">
        <f>Проект!$U$1338</f>
        <v>0</v>
      </c>
      <c r="V334" s="551">
        <f>Проект!$V$1338</f>
        <v>0</v>
      </c>
      <c r="W334" s="551">
        <f>Проект!$W$1338</f>
        <v>0</v>
      </c>
      <c r="X334" s="551">
        <f>Проект!$X$1338</f>
        <v>0</v>
      </c>
      <c r="Y334" s="551">
        <f>Проект!$Y$1338</f>
        <v>0</v>
      </c>
      <c r="Z334" s="551">
        <f>Проект!$Z$1338</f>
        <v>0</v>
      </c>
      <c r="AA334" s="551">
        <f>Проект!$AA$1338</f>
        <v>0</v>
      </c>
      <c r="AB334" s="551">
        <f>Проект!$AB$1338</f>
        <v>0</v>
      </c>
      <c r="AC334" s="551">
        <f>Проект!$AC$1338</f>
        <v>0</v>
      </c>
      <c r="AD334" s="563"/>
      <c r="AE334" s="572">
        <f ca="1">Проект!$AE$1338</f>
        <v>-573.23937919591083</v>
      </c>
    </row>
    <row r="335" spans="1:31" ht="11.25" customHeight="1" x14ac:dyDescent="0.3">
      <c r="A335" s="563" t="str">
        <f ca="1">Проект!$A$1339</f>
        <v>Прирост чистого оборотного капитала</v>
      </c>
      <c r="B335" s="563"/>
      <c r="C335" s="539" t="str">
        <f ca="1">Проект!$C$1339</f>
        <v>тыс. EUR</v>
      </c>
      <c r="D335" s="563"/>
      <c r="E335" s="563"/>
      <c r="F335" s="551">
        <f ca="1">Проект!$F$1339</f>
        <v>0</v>
      </c>
      <c r="G335" s="551">
        <f ca="1">Проект!$G$1339</f>
        <v>0</v>
      </c>
      <c r="H335" s="551">
        <f ca="1">Проект!$H$1339</f>
        <v>0</v>
      </c>
      <c r="I335" s="551">
        <f ca="1">Проект!$I$1339</f>
        <v>0</v>
      </c>
      <c r="J335" s="551">
        <f ca="1">Проект!$J$1339</f>
        <v>0</v>
      </c>
      <c r="K335" s="551">
        <f ca="1">Проект!$K$1339</f>
        <v>98.76332976744186</v>
      </c>
      <c r="L335" s="551">
        <f ca="1">Проект!$L$1339</f>
        <v>-5.6843418860808015E-14</v>
      </c>
      <c r="M335" s="551">
        <f ca="1">Проект!$M$1339</f>
        <v>0</v>
      </c>
      <c r="N335" s="551">
        <f ca="1">Проект!$N$1339</f>
        <v>47.90430408785906</v>
      </c>
      <c r="O335" s="551">
        <f ca="1">Проект!$O$1339</f>
        <v>41.655454582366474</v>
      </c>
      <c r="P335" s="551">
        <f ca="1">Проект!$P$1339</f>
        <v>0</v>
      </c>
      <c r="Q335" s="551">
        <f ca="1">Проект!$Q$1339</f>
        <v>0</v>
      </c>
      <c r="R335" s="551">
        <f ca="1">Проект!$R$1339</f>
        <v>0</v>
      </c>
      <c r="S335" s="551">
        <f ca="1">Проект!$S$1339</f>
        <v>0</v>
      </c>
      <c r="T335" s="551">
        <f ca="1">Проект!$T$1339</f>
        <v>0</v>
      </c>
      <c r="U335" s="551">
        <f ca="1">Проект!$U$1339</f>
        <v>0</v>
      </c>
      <c r="V335" s="551">
        <f ca="1">Проект!$V$1339</f>
        <v>0</v>
      </c>
      <c r="W335" s="551">
        <f ca="1">Проект!$W$1339</f>
        <v>0</v>
      </c>
      <c r="X335" s="551">
        <f ca="1">Проект!$X$1339</f>
        <v>0</v>
      </c>
      <c r="Y335" s="551">
        <f ca="1">Проект!$Y$1339</f>
        <v>0</v>
      </c>
      <c r="Z335" s="551">
        <f ca="1">Проект!$Z$1339</f>
        <v>0</v>
      </c>
      <c r="AA335" s="551">
        <f ca="1">Проект!$AA$1339</f>
        <v>0</v>
      </c>
      <c r="AB335" s="551">
        <f ca="1">Проект!$AB$1339</f>
        <v>0</v>
      </c>
      <c r="AC335" s="551">
        <f ca="1">Проект!$AC$1339</f>
        <v>0</v>
      </c>
      <c r="AD335" s="563"/>
      <c r="AE335" s="572">
        <f ca="1">Проект!$AE$1339</f>
        <v>188.32308843766734</v>
      </c>
    </row>
    <row r="336" spans="1:31" ht="11.25" customHeight="1" x14ac:dyDescent="0.3">
      <c r="A336" s="563" t="str">
        <f ca="1">Проект!$A$1340</f>
        <v>Выручка от реализации активов</v>
      </c>
      <c r="B336" s="563"/>
      <c r="C336" s="539" t="str">
        <f ca="1">Проект!$C$1340</f>
        <v>тыс. EUR</v>
      </c>
      <c r="D336" s="563"/>
      <c r="E336" s="563"/>
      <c r="F336" s="551">
        <f>Проект!$F$1340</f>
        <v>0</v>
      </c>
      <c r="G336" s="551">
        <f>Проект!$G$1340</f>
        <v>0</v>
      </c>
      <c r="H336" s="551">
        <f>Проект!$H$1340</f>
        <v>0</v>
      </c>
      <c r="I336" s="551">
        <f>Проект!$I$1340</f>
        <v>0</v>
      </c>
      <c r="J336" s="551">
        <f>Проект!$J$1340</f>
        <v>0</v>
      </c>
      <c r="K336" s="551">
        <f>Проект!$K$1340</f>
        <v>0</v>
      </c>
      <c r="L336" s="551">
        <f>Проект!$L$1340</f>
        <v>0</v>
      </c>
      <c r="M336" s="551">
        <f>Проект!$M$1340</f>
        <v>0</v>
      </c>
      <c r="N336" s="551">
        <f>Проект!$N$1340</f>
        <v>0</v>
      </c>
      <c r="O336" s="551">
        <f>Проект!$O$1340</f>
        <v>0</v>
      </c>
      <c r="P336" s="551">
        <f>Проект!$P$1340</f>
        <v>0</v>
      </c>
      <c r="Q336" s="551">
        <f>Проект!$Q$1340</f>
        <v>0</v>
      </c>
      <c r="R336" s="551">
        <f>Проект!$R$1340</f>
        <v>0</v>
      </c>
      <c r="S336" s="551">
        <f>Проект!$S$1340</f>
        <v>0</v>
      </c>
      <c r="T336" s="551">
        <f>Проект!$T$1340</f>
        <v>0</v>
      </c>
      <c r="U336" s="551">
        <f>Проект!$U$1340</f>
        <v>0</v>
      </c>
      <c r="V336" s="551">
        <f>Проект!$V$1340</f>
        <v>0</v>
      </c>
      <c r="W336" s="551">
        <f>Проект!$W$1340</f>
        <v>0</v>
      </c>
      <c r="X336" s="551">
        <f>Проект!$X$1340</f>
        <v>0</v>
      </c>
      <c r="Y336" s="551">
        <f>Проект!$Y$1340</f>
        <v>0</v>
      </c>
      <c r="Z336" s="551">
        <f>Проект!$Z$1340</f>
        <v>0</v>
      </c>
      <c r="AA336" s="551">
        <f>Проект!$AA$1340</f>
        <v>0</v>
      </c>
      <c r="AB336" s="551">
        <f>Проект!$AB$1340</f>
        <v>0</v>
      </c>
      <c r="AC336" s="551">
        <f>Проект!$AC$1340</f>
        <v>0</v>
      </c>
      <c r="AD336" s="563"/>
      <c r="AE336" s="572">
        <f>Проект!$AE$1340</f>
        <v>0</v>
      </c>
    </row>
    <row r="337" spans="1:31" ht="11.25" customHeight="1" x14ac:dyDescent="0.3">
      <c r="A337" s="563"/>
      <c r="B337" s="563"/>
      <c r="C337" s="563"/>
      <c r="D337" s="563"/>
      <c r="E337" s="563"/>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569"/>
    </row>
    <row r="338" spans="1:31" ht="11.25" customHeight="1" x14ac:dyDescent="0.3">
      <c r="A338" s="570" t="str">
        <f ca="1">Проект!$A$1342</f>
        <v>Денежные потоки от инвестиционной деятельности</v>
      </c>
      <c r="B338" s="563"/>
      <c r="C338" s="539" t="str">
        <f ca="1">Проект!$C$1342</f>
        <v>тыс. EUR</v>
      </c>
      <c r="D338" s="563"/>
      <c r="E338" s="563"/>
      <c r="F338" s="574">
        <f ca="1">Проект!$F$1342</f>
        <v>0</v>
      </c>
      <c r="G338" s="574">
        <f ca="1">Проект!$G$1342</f>
        <v>0</v>
      </c>
      <c r="H338" s="574">
        <f ca="1">Проект!$H$1342</f>
        <v>-5695.3855543220343</v>
      </c>
      <c r="I338" s="574">
        <f ca="1">Проект!$I$1342</f>
        <v>-1519.56</v>
      </c>
      <c r="J338" s="574">
        <f ca="1">Проект!$J$1342</f>
        <v>-7024.8891971793519</v>
      </c>
      <c r="K338" s="574">
        <f ca="1">Проект!$K$1342</f>
        <v>-2883.7623677660667</v>
      </c>
      <c r="L338" s="574">
        <f ca="1">Проект!$L$1342</f>
        <v>-5.6843418860808015E-14</v>
      </c>
      <c r="M338" s="574">
        <f ca="1">Проект!$M$1342</f>
        <v>0</v>
      </c>
      <c r="N338" s="574">
        <f ca="1">Проект!$N$1342</f>
        <v>47.90430408785906</v>
      </c>
      <c r="O338" s="574">
        <f ca="1">Проект!$O$1342</f>
        <v>41.655454582366474</v>
      </c>
      <c r="P338" s="574">
        <f ca="1">Проект!$P$1342</f>
        <v>0</v>
      </c>
      <c r="Q338" s="574">
        <f ca="1">Проект!$Q$1342</f>
        <v>0</v>
      </c>
      <c r="R338" s="574">
        <f ca="1">Проект!$R$1342</f>
        <v>0</v>
      </c>
      <c r="S338" s="574">
        <f ca="1">Проект!$S$1342</f>
        <v>0</v>
      </c>
      <c r="T338" s="574">
        <f ca="1">Проект!$T$1342</f>
        <v>0</v>
      </c>
      <c r="U338" s="574">
        <f ca="1">Проект!$U$1342</f>
        <v>0</v>
      </c>
      <c r="V338" s="574">
        <f ca="1">Проект!$V$1342</f>
        <v>0</v>
      </c>
      <c r="W338" s="574">
        <f ca="1">Проект!$W$1342</f>
        <v>0</v>
      </c>
      <c r="X338" s="574">
        <f ca="1">Проект!$X$1342</f>
        <v>0</v>
      </c>
      <c r="Y338" s="574">
        <f ca="1">Проект!$Y$1342</f>
        <v>0</v>
      </c>
      <c r="Z338" s="574">
        <f ca="1">Проект!$Z$1342</f>
        <v>0</v>
      </c>
      <c r="AA338" s="574">
        <f ca="1">Проект!$AA$1342</f>
        <v>0</v>
      </c>
      <c r="AB338" s="574">
        <f ca="1">Проект!$AB$1342</f>
        <v>0</v>
      </c>
      <c r="AC338" s="574">
        <f ca="1">Проект!$AC$1342</f>
        <v>0</v>
      </c>
      <c r="AD338" s="563"/>
      <c r="AE338" s="575">
        <f ca="1">Проект!$AE$1342</f>
        <v>-17034.037360597224</v>
      </c>
    </row>
    <row r="339" spans="1:31" ht="11.25" customHeight="1" x14ac:dyDescent="0.3">
      <c r="A339" s="563"/>
      <c r="B339" s="563"/>
      <c r="C339" s="563"/>
      <c r="D339" s="563"/>
      <c r="E339" s="563"/>
      <c r="F339" s="563"/>
      <c r="G339" s="563"/>
      <c r="H339" s="563"/>
      <c r="I339" s="563"/>
      <c r="J339" s="563"/>
      <c r="K339" s="563"/>
      <c r="L339" s="563"/>
      <c r="M339" s="563"/>
      <c r="N339" s="563"/>
      <c r="O339" s="563"/>
      <c r="P339" s="563"/>
      <c r="Q339" s="563"/>
      <c r="R339" s="563"/>
      <c r="S339" s="563"/>
      <c r="T339" s="563"/>
      <c r="U339" s="563"/>
      <c r="V339" s="563"/>
      <c r="W339" s="563"/>
      <c r="X339" s="563"/>
      <c r="Y339" s="563"/>
      <c r="Z339" s="563"/>
      <c r="AA339" s="563"/>
      <c r="AB339" s="563"/>
      <c r="AC339" s="563"/>
      <c r="AD339" s="563"/>
      <c r="AE339" s="569"/>
    </row>
    <row r="340" spans="1:31" ht="11.25" customHeight="1" x14ac:dyDescent="0.3">
      <c r="A340" s="563" t="str">
        <f ca="1">Проект!$A$1344</f>
        <v>Поступления собственного капитала</v>
      </c>
      <c r="B340" s="563"/>
      <c r="C340" s="539" t="str">
        <f ca="1">Проект!$C$1344</f>
        <v>тыс. EUR</v>
      </c>
      <c r="D340" s="563"/>
      <c r="E340" s="563"/>
      <c r="F340" s="551">
        <f>Проект!$F$1344</f>
        <v>0</v>
      </c>
      <c r="G340" s="551">
        <f>Проект!$G$1344</f>
        <v>0</v>
      </c>
      <c r="H340" s="551">
        <f>Проект!$H$1344</f>
        <v>0</v>
      </c>
      <c r="I340" s="551">
        <f>Проект!$I$1344</f>
        <v>0</v>
      </c>
      <c r="J340" s="551">
        <f>Проект!$J$1344</f>
        <v>0</v>
      </c>
      <c r="K340" s="551">
        <f>Проект!$K$1344</f>
        <v>0</v>
      </c>
      <c r="L340" s="551">
        <f>Проект!$L$1344</f>
        <v>0</v>
      </c>
      <c r="M340" s="551">
        <f>Проект!$M$1344</f>
        <v>0</v>
      </c>
      <c r="N340" s="551">
        <f>Проект!$N$1344</f>
        <v>0</v>
      </c>
      <c r="O340" s="551">
        <f>Проект!$O$1344</f>
        <v>0</v>
      </c>
      <c r="P340" s="551">
        <f>Проект!$P$1344</f>
        <v>0</v>
      </c>
      <c r="Q340" s="551">
        <f>Проект!$Q$1344</f>
        <v>0</v>
      </c>
      <c r="R340" s="551">
        <f>Проект!$R$1344</f>
        <v>0</v>
      </c>
      <c r="S340" s="551">
        <f>Проект!$S$1344</f>
        <v>0</v>
      </c>
      <c r="T340" s="551">
        <f>Проект!$T$1344</f>
        <v>0</v>
      </c>
      <c r="U340" s="551">
        <f>Проект!$U$1344</f>
        <v>0</v>
      </c>
      <c r="V340" s="551">
        <f>Проект!$V$1344</f>
        <v>0</v>
      </c>
      <c r="W340" s="551">
        <f>Проект!$W$1344</f>
        <v>0</v>
      </c>
      <c r="X340" s="551">
        <f>Проект!$X$1344</f>
        <v>0</v>
      </c>
      <c r="Y340" s="551">
        <f>Проект!$Y$1344</f>
        <v>0</v>
      </c>
      <c r="Z340" s="551">
        <f>Проект!$Z$1344</f>
        <v>0</v>
      </c>
      <c r="AA340" s="551">
        <f>Проект!$AA$1344</f>
        <v>0</v>
      </c>
      <c r="AB340" s="551">
        <f>Проект!$AB$1344</f>
        <v>0</v>
      </c>
      <c r="AC340" s="551">
        <f>Проект!$AC$1344</f>
        <v>0</v>
      </c>
      <c r="AD340" s="563"/>
      <c r="AE340" s="572">
        <f>Проект!$AE$1344</f>
        <v>0</v>
      </c>
    </row>
    <row r="341" spans="1:31" ht="11.25" customHeight="1" x14ac:dyDescent="0.3">
      <c r="A341" s="563" t="str">
        <f ca="1">Проект!$A$1345</f>
        <v>Целевое финансирование</v>
      </c>
      <c r="B341" s="563"/>
      <c r="C341" s="539" t="str">
        <f ca="1">Проект!$C$1345</f>
        <v>тыс. EUR</v>
      </c>
      <c r="D341" s="563"/>
      <c r="E341" s="563"/>
      <c r="F341" s="551">
        <f>Проект!$F$1345</f>
        <v>0</v>
      </c>
      <c r="G341" s="551">
        <f>Проект!$G$1345</f>
        <v>0</v>
      </c>
      <c r="H341" s="551">
        <f>Проект!$H$1345</f>
        <v>5695.3855543220343</v>
      </c>
      <c r="I341" s="551">
        <f>Проект!$I$1345</f>
        <v>1519.56</v>
      </c>
      <c r="J341" s="551">
        <f ca="1">Проект!$J$1345</f>
        <v>7024.8891971793519</v>
      </c>
      <c r="K341" s="551">
        <f>Проект!$K$1345</f>
        <v>2982.5256975335087</v>
      </c>
      <c r="L341" s="551">
        <f>Проект!$L$1345</f>
        <v>0</v>
      </c>
      <c r="M341" s="551">
        <f>Проект!$M$1345</f>
        <v>0</v>
      </c>
      <c r="N341" s="551">
        <f>Проект!$N$1345</f>
        <v>0</v>
      </c>
      <c r="O341" s="551">
        <f>Проект!$O$1345</f>
        <v>0</v>
      </c>
      <c r="P341" s="551">
        <f>Проект!$P$1345</f>
        <v>0</v>
      </c>
      <c r="Q341" s="551">
        <f>Проект!$Q$1345</f>
        <v>0</v>
      </c>
      <c r="R341" s="551">
        <f>Проект!$R$1345</f>
        <v>0</v>
      </c>
      <c r="S341" s="551">
        <f>Проект!$S$1345</f>
        <v>0</v>
      </c>
      <c r="T341" s="551">
        <f>Проект!$T$1345</f>
        <v>0</v>
      </c>
      <c r="U341" s="551">
        <f>Проект!$U$1345</f>
        <v>0</v>
      </c>
      <c r="V341" s="551">
        <f>Проект!$V$1345</f>
        <v>0</v>
      </c>
      <c r="W341" s="551">
        <f>Проект!$W$1345</f>
        <v>0</v>
      </c>
      <c r="X341" s="551">
        <f>Проект!$X$1345</f>
        <v>0</v>
      </c>
      <c r="Y341" s="551">
        <f>Проект!$Y$1345</f>
        <v>0</v>
      </c>
      <c r="Z341" s="551">
        <f>Проект!$Z$1345</f>
        <v>0</v>
      </c>
      <c r="AA341" s="551">
        <f>Проект!$AA$1345</f>
        <v>0</v>
      </c>
      <c r="AB341" s="551">
        <f>Проект!$AB$1345</f>
        <v>0</v>
      </c>
      <c r="AC341" s="551">
        <f>Проект!$AC$1345</f>
        <v>0</v>
      </c>
      <c r="AD341" s="563"/>
      <c r="AE341" s="572">
        <f ca="1">Проект!$AE$1345</f>
        <v>17222.360449034895</v>
      </c>
    </row>
    <row r="342" spans="1:31" ht="11.25" customHeight="1" x14ac:dyDescent="0.3">
      <c r="A342" s="563" t="str">
        <f ca="1">Проект!$A$1346</f>
        <v>Средства от инвесторов строительства</v>
      </c>
      <c r="B342" s="563"/>
      <c r="C342" s="539" t="str">
        <f ca="1">Проект!$C$1346</f>
        <v>тыс. EUR</v>
      </c>
      <c r="D342" s="563"/>
      <c r="E342" s="563"/>
      <c r="F342" s="551">
        <f>Проект!$F$1346</f>
        <v>0</v>
      </c>
      <c r="G342" s="551">
        <f>Проект!$G$1346</f>
        <v>0</v>
      </c>
      <c r="H342" s="551">
        <f>Проект!$H$1346</f>
        <v>0</v>
      </c>
      <c r="I342" s="551">
        <f>Проект!$I$1346</f>
        <v>0</v>
      </c>
      <c r="J342" s="551">
        <f>Проект!$J$1346</f>
        <v>0</v>
      </c>
      <c r="K342" s="551">
        <f>Проект!$K$1346</f>
        <v>0</v>
      </c>
      <c r="L342" s="551">
        <f>Проект!$L$1346</f>
        <v>0</v>
      </c>
      <c r="M342" s="551">
        <f>Проект!$M$1346</f>
        <v>0</v>
      </c>
      <c r="N342" s="551">
        <f>Проект!$N$1346</f>
        <v>0</v>
      </c>
      <c r="O342" s="551">
        <f>Проект!$O$1346</f>
        <v>0</v>
      </c>
      <c r="P342" s="551">
        <f>Проект!$P$1346</f>
        <v>0</v>
      </c>
      <c r="Q342" s="551">
        <f>Проект!$Q$1346</f>
        <v>0</v>
      </c>
      <c r="R342" s="551">
        <f>Проект!$R$1346</f>
        <v>0</v>
      </c>
      <c r="S342" s="551">
        <f>Проект!$S$1346</f>
        <v>0</v>
      </c>
      <c r="T342" s="551">
        <f>Проект!$T$1346</f>
        <v>0</v>
      </c>
      <c r="U342" s="551">
        <f>Проект!$U$1346</f>
        <v>0</v>
      </c>
      <c r="V342" s="551">
        <f>Проект!$V$1346</f>
        <v>0</v>
      </c>
      <c r="W342" s="551">
        <f>Проект!$W$1346</f>
        <v>0</v>
      </c>
      <c r="X342" s="551">
        <f>Проект!$X$1346</f>
        <v>0</v>
      </c>
      <c r="Y342" s="551">
        <f>Проект!$Y$1346</f>
        <v>0</v>
      </c>
      <c r="Z342" s="551">
        <f>Проект!$Z$1346</f>
        <v>0</v>
      </c>
      <c r="AA342" s="551">
        <f>Проект!$AA$1346</f>
        <v>0</v>
      </c>
      <c r="AB342" s="551">
        <f>Проект!$AB$1346</f>
        <v>0</v>
      </c>
      <c r="AC342" s="551">
        <f>Проект!$AC$1346</f>
        <v>0</v>
      </c>
      <c r="AD342" s="563"/>
      <c r="AE342" s="572"/>
    </row>
    <row r="343" spans="1:31" ht="11.25" customHeight="1" x14ac:dyDescent="0.3">
      <c r="A343" s="563" t="str">
        <f ca="1">Проект!$A$1347</f>
        <v>Поступления кредитов</v>
      </c>
      <c r="B343" s="563"/>
      <c r="C343" s="539" t="str">
        <f ca="1">Проект!$C$1347</f>
        <v>тыс. EUR</v>
      </c>
      <c r="D343" s="563"/>
      <c r="E343" s="563"/>
      <c r="F343" s="551">
        <f>Проект!$F$1347</f>
        <v>0</v>
      </c>
      <c r="G343" s="551">
        <f>Проект!$G$1347</f>
        <v>0</v>
      </c>
      <c r="H343" s="551">
        <f>Проект!$H$1347</f>
        <v>0</v>
      </c>
      <c r="I343" s="551">
        <f>Проект!$I$1347</f>
        <v>0</v>
      </c>
      <c r="J343" s="551">
        <f>Проект!$J$1347</f>
        <v>0</v>
      </c>
      <c r="K343" s="551">
        <f>Проект!$K$1347</f>
        <v>0</v>
      </c>
      <c r="L343" s="551">
        <f>Проект!$L$1347</f>
        <v>0</v>
      </c>
      <c r="M343" s="551">
        <f>Проект!$M$1347</f>
        <v>0</v>
      </c>
      <c r="N343" s="551">
        <f>Проект!$N$1347</f>
        <v>0</v>
      </c>
      <c r="O343" s="551">
        <f>Проект!$O$1347</f>
        <v>0</v>
      </c>
      <c r="P343" s="551">
        <f>Проект!$P$1347</f>
        <v>0</v>
      </c>
      <c r="Q343" s="551">
        <f>Проект!$Q$1347</f>
        <v>0</v>
      </c>
      <c r="R343" s="551">
        <f>Проект!$R$1347</f>
        <v>0</v>
      </c>
      <c r="S343" s="551">
        <f>Проект!$S$1347</f>
        <v>0</v>
      </c>
      <c r="T343" s="551">
        <f>Проект!$T$1347</f>
        <v>0</v>
      </c>
      <c r="U343" s="551">
        <f>Проект!$U$1347</f>
        <v>0</v>
      </c>
      <c r="V343" s="551">
        <f>Проект!$V$1347</f>
        <v>0</v>
      </c>
      <c r="W343" s="551">
        <f>Проект!$W$1347</f>
        <v>0</v>
      </c>
      <c r="X343" s="551">
        <f>Проект!$X$1347</f>
        <v>0</v>
      </c>
      <c r="Y343" s="551">
        <f>Проект!$Y$1347</f>
        <v>0</v>
      </c>
      <c r="Z343" s="551">
        <f>Проект!$Z$1347</f>
        <v>0</v>
      </c>
      <c r="AA343" s="551">
        <f>Проект!$AA$1347</f>
        <v>0</v>
      </c>
      <c r="AB343" s="551">
        <f>Проект!$AB$1347</f>
        <v>0</v>
      </c>
      <c r="AC343" s="551">
        <f>Проект!$AC$1347</f>
        <v>0</v>
      </c>
      <c r="AD343" s="563"/>
      <c r="AE343" s="572">
        <f>Проект!$AE$1347</f>
        <v>0</v>
      </c>
    </row>
    <row r="344" spans="1:31" ht="11.25" customHeight="1" x14ac:dyDescent="0.3">
      <c r="A344" s="563" t="str">
        <f ca="1">Проект!$A$1348</f>
        <v>Возврат кредитов</v>
      </c>
      <c r="B344" s="563"/>
      <c r="C344" s="539" t="str">
        <f ca="1">Проект!$C$1348</f>
        <v>тыс. EUR</v>
      </c>
      <c r="D344" s="563"/>
      <c r="E344" s="563"/>
      <c r="F344" s="551">
        <f>Проект!$F$1348</f>
        <v>0</v>
      </c>
      <c r="G344" s="551">
        <f>Проект!$G$1348</f>
        <v>0</v>
      </c>
      <c r="H344" s="551">
        <f>Проект!$H$1348</f>
        <v>0</v>
      </c>
      <c r="I344" s="551">
        <f>Проект!$I$1348</f>
        <v>0</v>
      </c>
      <c r="J344" s="551">
        <f>Проект!$J$1348</f>
        <v>0</v>
      </c>
      <c r="K344" s="551">
        <f>Проект!$K$1348</f>
        <v>0</v>
      </c>
      <c r="L344" s="551">
        <f>Проект!$L$1348</f>
        <v>0</v>
      </c>
      <c r="M344" s="551">
        <f>Проект!$M$1348</f>
        <v>0</v>
      </c>
      <c r="N344" s="551">
        <f>Проект!$N$1348</f>
        <v>0</v>
      </c>
      <c r="O344" s="551">
        <f>Проект!$O$1348</f>
        <v>0</v>
      </c>
      <c r="P344" s="551">
        <f>Проект!$P$1348</f>
        <v>0</v>
      </c>
      <c r="Q344" s="551">
        <f>Проект!$Q$1348</f>
        <v>0</v>
      </c>
      <c r="R344" s="551">
        <f>Проект!$R$1348</f>
        <v>0</v>
      </c>
      <c r="S344" s="551">
        <f>Проект!$S$1348</f>
        <v>0</v>
      </c>
      <c r="T344" s="551">
        <f>Проект!$T$1348</f>
        <v>0</v>
      </c>
      <c r="U344" s="551">
        <f>Проект!$U$1348</f>
        <v>0</v>
      </c>
      <c r="V344" s="551">
        <f>Проект!$V$1348</f>
        <v>0</v>
      </c>
      <c r="W344" s="551">
        <f>Проект!$W$1348</f>
        <v>0</v>
      </c>
      <c r="X344" s="551">
        <f>Проект!$X$1348</f>
        <v>0</v>
      </c>
      <c r="Y344" s="551">
        <f>Проект!$Y$1348</f>
        <v>0</v>
      </c>
      <c r="Z344" s="551">
        <f>Проект!$Z$1348</f>
        <v>0</v>
      </c>
      <c r="AA344" s="551">
        <f>Проект!$AA$1348</f>
        <v>0</v>
      </c>
      <c r="AB344" s="551">
        <f>Проект!$AB$1348</f>
        <v>0</v>
      </c>
      <c r="AC344" s="551">
        <f>Проект!$AC$1348</f>
        <v>0</v>
      </c>
      <c r="AD344" s="563"/>
      <c r="AE344" s="572">
        <f>Проект!$AE$1348</f>
        <v>0</v>
      </c>
    </row>
    <row r="345" spans="1:31" ht="11.25" customHeight="1" x14ac:dyDescent="0.3">
      <c r="A345" s="563" t="str">
        <f ca="1">Проект!$A$1349</f>
        <v>Лизинговые платежи</v>
      </c>
      <c r="B345" s="563"/>
      <c r="C345" s="539" t="str">
        <f ca="1">Проект!$C$1349</f>
        <v>тыс. EUR</v>
      </c>
      <c r="D345" s="563"/>
      <c r="E345" s="563"/>
      <c r="F345" s="551">
        <f ca="1">Проект!$F$1349</f>
        <v>0</v>
      </c>
      <c r="G345" s="551">
        <f ca="1">Проект!$G$1349</f>
        <v>0</v>
      </c>
      <c r="H345" s="551">
        <f ca="1">Проект!$H$1349</f>
        <v>0</v>
      </c>
      <c r="I345" s="551">
        <f ca="1">Проект!$I$1349</f>
        <v>0</v>
      </c>
      <c r="J345" s="551">
        <f ca="1">Проект!$J$1349</f>
        <v>0</v>
      </c>
      <c r="K345" s="551">
        <f ca="1">Проект!$K$1349</f>
        <v>0</v>
      </c>
      <c r="L345" s="551">
        <f ca="1">Проект!$L$1349</f>
        <v>0</v>
      </c>
      <c r="M345" s="551">
        <f ca="1">Проект!$M$1349</f>
        <v>0</v>
      </c>
      <c r="N345" s="551">
        <f ca="1">Проект!$N$1349</f>
        <v>0</v>
      </c>
      <c r="O345" s="551">
        <f ca="1">Проект!$O$1349</f>
        <v>0</v>
      </c>
      <c r="P345" s="551">
        <f ca="1">Проект!$P$1349</f>
        <v>0</v>
      </c>
      <c r="Q345" s="551">
        <f ca="1">Проект!$Q$1349</f>
        <v>0</v>
      </c>
      <c r="R345" s="551">
        <f ca="1">Проект!$R$1349</f>
        <v>0</v>
      </c>
      <c r="S345" s="551">
        <f ca="1">Проект!$S$1349</f>
        <v>0</v>
      </c>
      <c r="T345" s="551">
        <f ca="1">Проект!$T$1349</f>
        <v>0</v>
      </c>
      <c r="U345" s="551">
        <f ca="1">Проект!$U$1349</f>
        <v>0</v>
      </c>
      <c r="V345" s="551">
        <f ca="1">Проект!$V$1349</f>
        <v>0</v>
      </c>
      <c r="W345" s="551">
        <f ca="1">Проект!$W$1349</f>
        <v>0</v>
      </c>
      <c r="X345" s="551">
        <f ca="1">Проект!$X$1349</f>
        <v>0</v>
      </c>
      <c r="Y345" s="551">
        <f ca="1">Проект!$Y$1349</f>
        <v>0</v>
      </c>
      <c r="Z345" s="551">
        <f ca="1">Проект!$Z$1349</f>
        <v>0</v>
      </c>
      <c r="AA345" s="551">
        <f ca="1">Проект!$AA$1349</f>
        <v>0</v>
      </c>
      <c r="AB345" s="551">
        <f ca="1">Проект!$AB$1349</f>
        <v>0</v>
      </c>
      <c r="AC345" s="551">
        <f ca="1">Проект!$AC$1349</f>
        <v>0</v>
      </c>
      <c r="AD345" s="563"/>
      <c r="AE345" s="572">
        <f ca="1">Проект!$AE$1349</f>
        <v>0</v>
      </c>
    </row>
    <row r="346" spans="1:31" ht="11.25" customHeight="1" x14ac:dyDescent="0.3">
      <c r="A346" s="563" t="str">
        <f ca="1">Проект!$A$1350</f>
        <v>Выплата дивидендов</v>
      </c>
      <c r="B346" s="563"/>
      <c r="C346" s="539" t="str">
        <f ca="1">Проект!$C$1350</f>
        <v>тыс. EUR</v>
      </c>
      <c r="D346" s="563"/>
      <c r="E346" s="563"/>
      <c r="F346" s="571">
        <f ca="1">Проект!$F$1350</f>
        <v>0</v>
      </c>
      <c r="G346" s="571">
        <f ca="1">Проект!$G$1350</f>
        <v>0</v>
      </c>
      <c r="H346" s="571">
        <f ca="1">Проект!$H$1350</f>
        <v>0</v>
      </c>
      <c r="I346" s="571">
        <f ca="1">Проект!$I$1350</f>
        <v>0</v>
      </c>
      <c r="J346" s="571">
        <f ca="1">Проект!$J$1350</f>
        <v>0</v>
      </c>
      <c r="K346" s="571">
        <f ca="1">Проект!$K$1350</f>
        <v>0</v>
      </c>
      <c r="L346" s="571">
        <f ca="1">Проект!$L$1350</f>
        <v>0</v>
      </c>
      <c r="M346" s="571">
        <f ca="1">Проект!$M$1350</f>
        <v>0</v>
      </c>
      <c r="N346" s="571">
        <f ca="1">Проект!$N$1350</f>
        <v>0</v>
      </c>
      <c r="O346" s="571">
        <f ca="1">Проект!$O$1350</f>
        <v>0</v>
      </c>
      <c r="P346" s="571">
        <f ca="1">Проект!$P$1350</f>
        <v>0</v>
      </c>
      <c r="Q346" s="571">
        <f ca="1">Проект!$Q$1350</f>
        <v>0</v>
      </c>
      <c r="R346" s="571">
        <f ca="1">Проект!$R$1350</f>
        <v>0</v>
      </c>
      <c r="S346" s="571">
        <f ca="1">Проект!$S$1350</f>
        <v>0</v>
      </c>
      <c r="T346" s="571">
        <f ca="1">Проект!$T$1350</f>
        <v>0</v>
      </c>
      <c r="U346" s="571">
        <f ca="1">Проект!$U$1350</f>
        <v>0</v>
      </c>
      <c r="V346" s="571">
        <f ca="1">Проект!$V$1350</f>
        <v>0</v>
      </c>
      <c r="W346" s="571">
        <f ca="1">Проект!$W$1350</f>
        <v>0</v>
      </c>
      <c r="X346" s="571">
        <f ca="1">Проект!$X$1350</f>
        <v>0</v>
      </c>
      <c r="Y346" s="571">
        <f ca="1">Проект!$Y$1350</f>
        <v>0</v>
      </c>
      <c r="Z346" s="571">
        <f ca="1">Проект!$Z$1350</f>
        <v>0</v>
      </c>
      <c r="AA346" s="571">
        <f ca="1">Проект!$AA$1350</f>
        <v>0</v>
      </c>
      <c r="AB346" s="571">
        <f ca="1">Проект!$AB$1350</f>
        <v>0</v>
      </c>
      <c r="AC346" s="571">
        <f ca="1">Проект!$AC$1350</f>
        <v>0</v>
      </c>
      <c r="AD346" s="563"/>
      <c r="AE346" s="572">
        <f ca="1">Проект!$AE$1350</f>
        <v>0</v>
      </c>
    </row>
    <row r="347" spans="1:31" ht="11.25" customHeight="1" x14ac:dyDescent="0.3">
      <c r="A347" s="563"/>
      <c r="B347" s="563"/>
      <c r="C347" s="563"/>
      <c r="D347" s="563"/>
      <c r="E347" s="563"/>
      <c r="F347" s="563"/>
      <c r="G347" s="563"/>
      <c r="H347" s="563"/>
      <c r="I347" s="563"/>
      <c r="J347" s="563"/>
      <c r="K347" s="563"/>
      <c r="L347" s="563"/>
      <c r="M347" s="563"/>
      <c r="N347" s="563"/>
      <c r="O347" s="563"/>
      <c r="P347" s="563"/>
      <c r="Q347" s="563"/>
      <c r="R347" s="563"/>
      <c r="S347" s="563"/>
      <c r="T347" s="563"/>
      <c r="U347" s="563"/>
      <c r="V347" s="563"/>
      <c r="W347" s="563"/>
      <c r="X347" s="563"/>
      <c r="Y347" s="563"/>
      <c r="Z347" s="563"/>
      <c r="AA347" s="563"/>
      <c r="AB347" s="563"/>
      <c r="AC347" s="563"/>
      <c r="AD347" s="563"/>
      <c r="AE347" s="569"/>
    </row>
    <row r="348" spans="1:31" ht="11.25" customHeight="1" x14ac:dyDescent="0.3">
      <c r="A348" s="570" t="str">
        <f ca="1">Проект!$A$1352</f>
        <v>Денежные потоки от финансовой деятельности</v>
      </c>
      <c r="B348" s="563"/>
      <c r="C348" s="539" t="str">
        <f ca="1">Проект!$C$1352</f>
        <v>тыс. EUR</v>
      </c>
      <c r="D348" s="563"/>
      <c r="E348" s="563"/>
      <c r="F348" s="574">
        <f ca="1">Проект!$F$1352</f>
        <v>0</v>
      </c>
      <c r="G348" s="574">
        <f ca="1">Проект!$G$1352</f>
        <v>0</v>
      </c>
      <c r="H348" s="574">
        <f ca="1">Проект!$H$1352</f>
        <v>5695.3855543220343</v>
      </c>
      <c r="I348" s="574">
        <f ca="1">Проект!$I$1352</f>
        <v>1519.56</v>
      </c>
      <c r="J348" s="574">
        <f ca="1">Проект!$J$1352</f>
        <v>7024.8891971793519</v>
      </c>
      <c r="K348" s="574">
        <f ca="1">Проект!$K$1352</f>
        <v>2982.5256975335087</v>
      </c>
      <c r="L348" s="574">
        <f ca="1">Проект!$L$1352</f>
        <v>0</v>
      </c>
      <c r="M348" s="574">
        <f ca="1">Проект!$M$1352</f>
        <v>0</v>
      </c>
      <c r="N348" s="574">
        <f ca="1">Проект!$N$1352</f>
        <v>0</v>
      </c>
      <c r="O348" s="574">
        <f ca="1">Проект!$O$1352</f>
        <v>0</v>
      </c>
      <c r="P348" s="574">
        <f ca="1">Проект!$P$1352</f>
        <v>0</v>
      </c>
      <c r="Q348" s="574">
        <f ca="1">Проект!$Q$1352</f>
        <v>0</v>
      </c>
      <c r="R348" s="574">
        <f ca="1">Проект!$R$1352</f>
        <v>0</v>
      </c>
      <c r="S348" s="574">
        <f ca="1">Проект!$S$1352</f>
        <v>0</v>
      </c>
      <c r="T348" s="574">
        <f ca="1">Проект!$T$1352</f>
        <v>0</v>
      </c>
      <c r="U348" s="574">
        <f ca="1">Проект!$U$1352</f>
        <v>0</v>
      </c>
      <c r="V348" s="574">
        <f ca="1">Проект!$V$1352</f>
        <v>0</v>
      </c>
      <c r="W348" s="574">
        <f ca="1">Проект!$W$1352</f>
        <v>0</v>
      </c>
      <c r="X348" s="574">
        <f ca="1">Проект!$X$1352</f>
        <v>0</v>
      </c>
      <c r="Y348" s="574">
        <f ca="1">Проект!$Y$1352</f>
        <v>0</v>
      </c>
      <c r="Z348" s="574">
        <f ca="1">Проект!$Z$1352</f>
        <v>0</v>
      </c>
      <c r="AA348" s="574">
        <f ca="1">Проект!$AA$1352</f>
        <v>0</v>
      </c>
      <c r="AB348" s="574">
        <f ca="1">Проект!$AB$1352</f>
        <v>0</v>
      </c>
      <c r="AC348" s="574">
        <f ca="1">Проект!$AC$1352</f>
        <v>0</v>
      </c>
      <c r="AD348" s="563"/>
      <c r="AE348" s="575">
        <f ca="1">Проект!$AE$1352</f>
        <v>17222.360449034895</v>
      </c>
    </row>
    <row r="349" spans="1:31" ht="11.25" customHeight="1" x14ac:dyDescent="0.3">
      <c r="A349" s="563"/>
      <c r="B349" s="563"/>
      <c r="C349" s="563"/>
      <c r="D349" s="563"/>
      <c r="E349" s="563"/>
      <c r="F349" s="563"/>
      <c r="G349" s="563"/>
      <c r="H349" s="563"/>
      <c r="I349" s="563"/>
      <c r="J349" s="563"/>
      <c r="K349" s="563"/>
      <c r="L349" s="563"/>
      <c r="M349" s="563"/>
      <c r="N349" s="563"/>
      <c r="O349" s="563"/>
      <c r="P349" s="563"/>
      <c r="Q349" s="563"/>
      <c r="R349" s="563"/>
      <c r="S349" s="563"/>
      <c r="T349" s="563"/>
      <c r="U349" s="563"/>
      <c r="V349" s="563"/>
      <c r="W349" s="563"/>
      <c r="X349" s="563"/>
      <c r="Y349" s="563"/>
      <c r="Z349" s="563"/>
      <c r="AA349" s="563"/>
      <c r="AB349" s="563"/>
      <c r="AC349" s="563"/>
      <c r="AD349" s="563"/>
      <c r="AE349" s="569"/>
    </row>
    <row r="350" spans="1:31" ht="11.25" customHeight="1" x14ac:dyDescent="0.3">
      <c r="A350" s="598" t="str">
        <f ca="1">Проект!$A$1354</f>
        <v>Суммарный денежный поток за период</v>
      </c>
      <c r="B350" s="563"/>
      <c r="C350" s="539" t="str">
        <f ca="1">Проект!$C$1354</f>
        <v>тыс. EUR</v>
      </c>
      <c r="D350" s="563"/>
      <c r="E350" s="563"/>
      <c r="F350" s="603">
        <f ca="1">Проект!$F$1354</f>
        <v>0</v>
      </c>
      <c r="G350" s="603">
        <f ca="1">Проект!$G$1354</f>
        <v>0</v>
      </c>
      <c r="H350" s="603">
        <f ca="1">Проект!$H$1354</f>
        <v>0</v>
      </c>
      <c r="I350" s="603">
        <f ca="1">Проект!$I$1354</f>
        <v>0</v>
      </c>
      <c r="J350" s="603">
        <f ca="1">Проект!$J$1354</f>
        <v>0</v>
      </c>
      <c r="K350" s="603">
        <f ca="1">Проект!$K$1354</f>
        <v>2827.4120312836421</v>
      </c>
      <c r="L350" s="603">
        <f ca="1">Проект!$L$1354</f>
        <v>15.623261900942822</v>
      </c>
      <c r="M350" s="603">
        <f ca="1">Проект!$M$1354</f>
        <v>662.99303790614749</v>
      </c>
      <c r="N350" s="603">
        <f ca="1">Проект!$N$1354</f>
        <v>964.01024275288535</v>
      </c>
      <c r="O350" s="603">
        <f ca="1">Проект!$O$1354</f>
        <v>1285.2732652519153</v>
      </c>
      <c r="P350" s="603">
        <f ca="1">Проект!$P$1354</f>
        <v>1454.7746893858591</v>
      </c>
      <c r="Q350" s="603">
        <f ca="1">Проект!$Q$1354</f>
        <v>1454.7746893858591</v>
      </c>
      <c r="R350" s="603">
        <f ca="1">Проект!$R$1354</f>
        <v>1454.7746893858591</v>
      </c>
      <c r="S350" s="603">
        <f ca="1">Проект!$S$1354</f>
        <v>1454.7746893858591</v>
      </c>
      <c r="T350" s="603">
        <f ca="1">Проект!$T$1354</f>
        <v>1454.7746893858591</v>
      </c>
      <c r="U350" s="603">
        <f ca="1">Проект!$U$1354</f>
        <v>1454.7746893858591</v>
      </c>
      <c r="V350" s="603">
        <f ca="1">Проект!$V$1354</f>
        <v>1454.7746893858591</v>
      </c>
      <c r="W350" s="603">
        <f ca="1">Проект!$W$1354</f>
        <v>1454.7746893858591</v>
      </c>
      <c r="X350" s="603">
        <f ca="1">Проект!$X$1354</f>
        <v>1454.7746893858591</v>
      </c>
      <c r="Y350" s="603">
        <f ca="1">Проект!$Y$1354</f>
        <v>1454.7746893858591</v>
      </c>
      <c r="Z350" s="603">
        <f ca="1">Проект!$Z$1354</f>
        <v>1454.7746893858591</v>
      </c>
      <c r="AA350" s="603">
        <f ca="1">Проект!$AA$1354</f>
        <v>1454.7746893858591</v>
      </c>
      <c r="AB350" s="603">
        <f ca="1">Проект!$AB$1354</f>
        <v>1454.7746893858591</v>
      </c>
      <c r="AC350" s="603">
        <f ca="1">Проект!$AC$1354</f>
        <v>1454.7746893858591</v>
      </c>
      <c r="AD350" s="598"/>
      <c r="AE350" s="572">
        <f ca="1">Проект!$AE$1354</f>
        <v>26122.157490497564</v>
      </c>
    </row>
    <row r="351" spans="1:31" ht="11.25" customHeight="1" x14ac:dyDescent="0.3">
      <c r="A351" s="598" t="str">
        <f ca="1">Проект!$A$1355</f>
        <v>Денежные средства на начало периода</v>
      </c>
      <c r="B351" s="563"/>
      <c r="C351" s="539" t="str">
        <f ca="1">Проект!$C$1355</f>
        <v>тыс. EUR</v>
      </c>
      <c r="D351" s="554" t="str">
        <f>Проект!$D$1355</f>
        <v>int_start</v>
      </c>
      <c r="E351" s="563"/>
      <c r="F351" s="603">
        <f>Проект!$F$1355</f>
        <v>0</v>
      </c>
      <c r="G351" s="603">
        <f ca="1">Проект!$G$1355</f>
        <v>0</v>
      </c>
      <c r="H351" s="603">
        <f ca="1">Проект!$H$1355</f>
        <v>0</v>
      </c>
      <c r="I351" s="603">
        <f ca="1">Проект!$I$1355</f>
        <v>0</v>
      </c>
      <c r="J351" s="603">
        <f ca="1">Проект!$J$1355</f>
        <v>0</v>
      </c>
      <c r="K351" s="603">
        <f ca="1">Проект!$K$1355</f>
        <v>0</v>
      </c>
      <c r="L351" s="603">
        <f ca="1">Проект!$L$1355</f>
        <v>2827.4120312836421</v>
      </c>
      <c r="M351" s="603">
        <f ca="1">Проект!$M$1355</f>
        <v>2843.035293184585</v>
      </c>
      <c r="N351" s="603">
        <f ca="1">Проект!$N$1355</f>
        <v>3506.0283310907325</v>
      </c>
      <c r="O351" s="603">
        <f ca="1">Проект!$O$1355</f>
        <v>4470.038573843618</v>
      </c>
      <c r="P351" s="603">
        <f ca="1">Проект!$P$1355</f>
        <v>5755.3118390955333</v>
      </c>
      <c r="Q351" s="603">
        <f ca="1">Проект!$Q$1355</f>
        <v>7210.0865284813926</v>
      </c>
      <c r="R351" s="603">
        <f ca="1">Проект!$R$1355</f>
        <v>8664.861217867252</v>
      </c>
      <c r="S351" s="603">
        <f ca="1">Проект!$S$1355</f>
        <v>10119.63590725311</v>
      </c>
      <c r="T351" s="603">
        <f ca="1">Проект!$T$1355</f>
        <v>11574.410596638969</v>
      </c>
      <c r="U351" s="603">
        <f ca="1">Проект!$U$1355</f>
        <v>13029.185286024827</v>
      </c>
      <c r="V351" s="603">
        <f ca="1">Проект!$V$1355</f>
        <v>14483.959975410686</v>
      </c>
      <c r="W351" s="603">
        <f ca="1">Проект!$W$1355</f>
        <v>15938.734664796544</v>
      </c>
      <c r="X351" s="603">
        <f ca="1">Проект!$X$1355</f>
        <v>17393.509354182403</v>
      </c>
      <c r="Y351" s="603">
        <f ca="1">Проект!$Y$1355</f>
        <v>18848.284043568263</v>
      </c>
      <c r="Z351" s="603">
        <f ca="1">Проект!$Z$1355</f>
        <v>20303.058732954123</v>
      </c>
      <c r="AA351" s="603">
        <f ca="1">Проект!$AA$1355</f>
        <v>21757.833422339983</v>
      </c>
      <c r="AB351" s="603">
        <f ca="1">Проект!$AB$1355</f>
        <v>23212.608111725844</v>
      </c>
      <c r="AC351" s="603">
        <f ca="1">Проект!$AC$1355</f>
        <v>24667.382801111704</v>
      </c>
      <c r="AD351" s="570"/>
      <c r="AE351" s="604"/>
    </row>
    <row r="352" spans="1:31" ht="11.25" customHeight="1" x14ac:dyDescent="0.3">
      <c r="A352" s="570" t="str">
        <f ca="1">Проект!$A$1356</f>
        <v>Денежные средства на конец периода</v>
      </c>
      <c r="B352" s="570"/>
      <c r="C352" s="539" t="str">
        <f ca="1">Проект!$C$1356</f>
        <v>тыс. EUR</v>
      </c>
      <c r="D352" s="554" t="str">
        <f>Проект!$D$1356</f>
        <v>int_end</v>
      </c>
      <c r="E352" s="563">
        <f>Проект!$E$1356</f>
        <v>0</v>
      </c>
      <c r="F352" s="574">
        <f ca="1">Проект!$F$1356</f>
        <v>0</v>
      </c>
      <c r="G352" s="574">
        <f ca="1">Проект!$G$1356</f>
        <v>0</v>
      </c>
      <c r="H352" s="574">
        <f ca="1">Проект!$H$1356</f>
        <v>0</v>
      </c>
      <c r="I352" s="574">
        <f ca="1">Проект!$I$1356</f>
        <v>0</v>
      </c>
      <c r="J352" s="574">
        <f ca="1">Проект!$J$1356</f>
        <v>0</v>
      </c>
      <c r="K352" s="574">
        <f ca="1">Проект!$K$1356</f>
        <v>2827.4120312836421</v>
      </c>
      <c r="L352" s="574">
        <f ca="1">Проект!$L$1356</f>
        <v>2843.035293184585</v>
      </c>
      <c r="M352" s="574">
        <f ca="1">Проект!$M$1356</f>
        <v>3506.0283310907325</v>
      </c>
      <c r="N352" s="574">
        <f ca="1">Проект!$N$1356</f>
        <v>4470.038573843618</v>
      </c>
      <c r="O352" s="574">
        <f ca="1">Проект!$O$1356</f>
        <v>5755.3118390955333</v>
      </c>
      <c r="P352" s="574">
        <f ca="1">Проект!$P$1356</f>
        <v>7210.0865284813926</v>
      </c>
      <c r="Q352" s="574">
        <f ca="1">Проект!$Q$1356</f>
        <v>8664.861217867252</v>
      </c>
      <c r="R352" s="574">
        <f ca="1">Проект!$R$1356</f>
        <v>10119.63590725311</v>
      </c>
      <c r="S352" s="574">
        <f ca="1">Проект!$S$1356</f>
        <v>11574.410596638969</v>
      </c>
      <c r="T352" s="574">
        <f ca="1">Проект!$T$1356</f>
        <v>13029.185286024827</v>
      </c>
      <c r="U352" s="574">
        <f ca="1">Проект!$U$1356</f>
        <v>14483.959975410686</v>
      </c>
      <c r="V352" s="574">
        <f ca="1">Проект!$V$1356</f>
        <v>15938.734664796544</v>
      </c>
      <c r="W352" s="574">
        <f ca="1">Проект!$W$1356</f>
        <v>17393.509354182403</v>
      </c>
      <c r="X352" s="574">
        <f ca="1">Проект!$X$1356</f>
        <v>18848.284043568263</v>
      </c>
      <c r="Y352" s="574">
        <f ca="1">Проект!$Y$1356</f>
        <v>20303.058732954123</v>
      </c>
      <c r="Z352" s="574">
        <f ca="1">Проект!$Z$1356</f>
        <v>21757.833422339983</v>
      </c>
      <c r="AA352" s="574">
        <f ca="1">Проект!$AA$1356</f>
        <v>23212.608111725844</v>
      </c>
      <c r="AB352" s="574">
        <f ca="1">Проект!$AB$1356</f>
        <v>24667.382801111704</v>
      </c>
      <c r="AC352" s="574">
        <f ca="1">Проект!$AC$1356</f>
        <v>26122.157490497564</v>
      </c>
      <c r="AD352" s="570"/>
      <c r="AE352" s="604"/>
    </row>
    <row r="353" spans="1:31" ht="11.25" customHeight="1" x14ac:dyDescent="0.3">
      <c r="A353" s="544"/>
      <c r="B353" s="544"/>
      <c r="C353" s="544"/>
      <c r="D353" s="544"/>
      <c r="E353" s="544"/>
      <c r="F353" s="544"/>
      <c r="G353" s="544"/>
      <c r="H353" s="544"/>
      <c r="I353" s="544"/>
      <c r="J353" s="544"/>
      <c r="K353" s="544"/>
      <c r="L353" s="544"/>
      <c r="M353" s="544"/>
      <c r="N353" s="544"/>
      <c r="O353" s="544"/>
      <c r="P353" s="544"/>
      <c r="Q353" s="544"/>
      <c r="R353" s="544"/>
      <c r="S353" s="544"/>
      <c r="T353" s="544"/>
      <c r="U353" s="544"/>
      <c r="V353" s="544"/>
      <c r="W353" s="544"/>
      <c r="X353" s="544"/>
      <c r="Y353" s="544"/>
      <c r="Z353" s="544"/>
      <c r="AA353" s="544"/>
      <c r="AB353" s="544"/>
      <c r="AC353" s="544"/>
      <c r="AD353" s="544"/>
      <c r="AE353" s="548"/>
    </row>
    <row r="356" spans="1:31" x14ac:dyDescent="0.3">
      <c r="A356" s="599" t="str">
        <f ca="1">Language!A$768 &amp; ", " &amp; Проект!CUR_Report</f>
        <v>График: Движение денежных средств, тыс. EUR</v>
      </c>
      <c r="B356" s="600"/>
      <c r="C356" s="600"/>
      <c r="D356" s="600"/>
      <c r="E356" s="600"/>
      <c r="F356" s="600"/>
      <c r="G356" s="600"/>
      <c r="H356" s="600"/>
    </row>
    <row r="382" spans="1:1" x14ac:dyDescent="0.3">
      <c r="A382" s="605" t="str">
        <f ca="1">Language!A$769 &amp; ", " &amp; Проект!CUR_Report</f>
        <v>График: Остаток денежных средств, тыс. EUR</v>
      </c>
    </row>
    <row r="408" spans="1:1" x14ac:dyDescent="0.3">
      <c r="A408" s="605" t="str">
        <f ca="1">Language!A$1014 &amp; ", " &amp; Проект!CUR_Report</f>
        <v>График: Поступления от продаж, тыс. EUR</v>
      </c>
    </row>
    <row r="434" spans="1:31" ht="15.95" customHeight="1" thickBot="1" x14ac:dyDescent="0.25">
      <c r="A434" s="528" t="str">
        <f ca="1">Проект!$A$1554</f>
        <v xml:space="preserve">         ПОКАЗАТЕЛИ ФИНАНСОВОЙ СОСТОЯТЕЛЬНОСТИ</v>
      </c>
      <c r="B434" s="528"/>
      <c r="C434" s="528"/>
      <c r="D434" s="528"/>
      <c r="E434" s="528"/>
      <c r="F434" s="529" t="str">
        <f ca="1">Проект!$F$1554</f>
        <v>1 кв. 2016</v>
      </c>
      <c r="G434" s="529" t="str">
        <f ca="1">Проект!$G$1554</f>
        <v>2 кв. 2016</v>
      </c>
      <c r="H434" s="529" t="str">
        <f ca="1">Проект!$H$1554</f>
        <v>3 кв. 2016</v>
      </c>
      <c r="I434" s="529" t="str">
        <f ca="1">Проект!$I$1554</f>
        <v>4 кв. 2016</v>
      </c>
      <c r="J434" s="529" t="str">
        <f ca="1">Проект!$J$1554</f>
        <v>1 кв. 2017</v>
      </c>
      <c r="K434" s="529" t="str">
        <f ca="1">Проект!$K$1554</f>
        <v>2 кв. 2017</v>
      </c>
      <c r="L434" s="529" t="str">
        <f ca="1">Проект!$L$1554</f>
        <v>3 кв. 2017</v>
      </c>
      <c r="M434" s="529" t="str">
        <f ca="1">Проект!$M$1554</f>
        <v>4 кв. 2017</v>
      </c>
      <c r="N434" s="529" t="str">
        <f ca="1">Проект!$N$1554</f>
        <v>1 кв. 2018</v>
      </c>
      <c r="O434" s="529" t="str">
        <f ca="1">Проект!$O$1554</f>
        <v>2 кв. 2018</v>
      </c>
      <c r="P434" s="529" t="str">
        <f ca="1">Проект!$P$1554</f>
        <v>3 кв. 2018</v>
      </c>
      <c r="Q434" s="529" t="str">
        <f ca="1">Проект!$Q$1554</f>
        <v>4 кв. 2018</v>
      </c>
      <c r="R434" s="529" t="str">
        <f ca="1">Проект!$R$1554</f>
        <v>1 кв. 2019</v>
      </c>
      <c r="S434" s="529" t="str">
        <f ca="1">Проект!$S$1554</f>
        <v>2 кв. 2019</v>
      </c>
      <c r="T434" s="529" t="str">
        <f ca="1">Проект!$T$1554</f>
        <v>3 кв. 2019</v>
      </c>
      <c r="U434" s="529" t="str">
        <f ca="1">Проект!$U$1554</f>
        <v>4 кв. 2019</v>
      </c>
      <c r="V434" s="529" t="str">
        <f ca="1">Проект!$V$1554</f>
        <v>1 кв. 2020</v>
      </c>
      <c r="W434" s="529" t="str">
        <f ca="1">Проект!$W$1554</f>
        <v>2 кв. 2020</v>
      </c>
      <c r="X434" s="529" t="str">
        <f ca="1">Проект!$X$1554</f>
        <v>3 кв. 2020</v>
      </c>
      <c r="Y434" s="529" t="str">
        <f ca="1">Проект!$Y$1554</f>
        <v>4 кв. 2020</v>
      </c>
      <c r="Z434" s="529" t="str">
        <f ca="1">Проект!$Z$1554</f>
        <v>1 кв. 2021</v>
      </c>
      <c r="AA434" s="529" t="str">
        <f ca="1">Проект!$AA$1554</f>
        <v>2 кв. 2021</v>
      </c>
      <c r="AB434" s="529" t="str">
        <f ca="1">Проект!$AB$1554</f>
        <v>3 кв. 2021</v>
      </c>
      <c r="AC434" s="529" t="str">
        <f ca="1">Проект!$AC$1554</f>
        <v>4 кв. 2021</v>
      </c>
      <c r="AD434" s="528"/>
      <c r="AE434" s="606"/>
    </row>
    <row r="435" spans="1:31" ht="12" customHeight="1" thickTop="1" x14ac:dyDescent="0.3">
      <c r="A435" s="563"/>
      <c r="B435" s="563"/>
      <c r="C435" s="563"/>
      <c r="D435" s="563"/>
      <c r="E435" s="563"/>
      <c r="F435" s="563"/>
      <c r="G435" s="563"/>
      <c r="H435" s="563"/>
      <c r="I435" s="563"/>
      <c r="J435" s="563"/>
      <c r="K435" s="563"/>
      <c r="L435" s="563"/>
      <c r="M435" s="563"/>
      <c r="N435" s="563"/>
      <c r="O435" s="563"/>
      <c r="P435" s="563"/>
      <c r="Q435" s="563"/>
      <c r="R435" s="563"/>
      <c r="S435" s="563"/>
      <c r="T435" s="563"/>
      <c r="U435" s="563"/>
      <c r="V435" s="563"/>
      <c r="W435" s="563"/>
      <c r="X435" s="563"/>
      <c r="Y435" s="563"/>
      <c r="Z435" s="563"/>
      <c r="AA435" s="563"/>
      <c r="AB435" s="563"/>
      <c r="AC435" s="563"/>
      <c r="AD435" s="563"/>
      <c r="AE435" s="569"/>
    </row>
    <row r="436" spans="1:31" ht="11.25" customHeight="1" x14ac:dyDescent="0.3">
      <c r="A436" s="563" t="str">
        <f ca="1">Проект!$A$1556</f>
        <v>Рентабельность активов</v>
      </c>
      <c r="B436" s="563"/>
      <c r="C436" s="562" t="str">
        <f>Проект!$C$1556</f>
        <v>%</v>
      </c>
      <c r="D436" s="554" t="str">
        <f>Проект!$D$1556</f>
        <v>int_avg</v>
      </c>
      <c r="E436" s="563"/>
      <c r="F436" s="607" t="str">
        <f ca="1">Проект!$F$1556</f>
        <v>-</v>
      </c>
      <c r="G436" s="607" t="str">
        <f ca="1">Проект!$G$1556</f>
        <v>-</v>
      </c>
      <c r="H436" s="607">
        <f ca="1">Проект!$H$1556</f>
        <v>0</v>
      </c>
      <c r="I436" s="607">
        <f ca="1">Проект!$I$1556</f>
        <v>0</v>
      </c>
      <c r="J436" s="607">
        <f ca="1">Проект!$J$1556</f>
        <v>-0.10646152162064888</v>
      </c>
      <c r="K436" s="607">
        <f ca="1">Проект!$K$1556</f>
        <v>-0.13359208250427435</v>
      </c>
      <c r="L436" s="607">
        <f ca="1">Проект!$L$1556</f>
        <v>8.9301173221077966E-3</v>
      </c>
      <c r="M436" s="607">
        <f ca="1">Проект!$M$1556</f>
        <v>0.12309289915124753</v>
      </c>
      <c r="N436" s="607">
        <f ca="1">Проект!$N$1556</f>
        <v>0.2084505419885555</v>
      </c>
      <c r="O436" s="607">
        <f ca="1">Проект!$O$1556</f>
        <v>0.24665572371504377</v>
      </c>
      <c r="P436" s="607">
        <f ca="1">Проект!$P$1556</f>
        <v>0.23208426793843373</v>
      </c>
      <c r="Q436" s="607">
        <f ca="1">Проект!$Q$1556</f>
        <v>0.21935694399723132</v>
      </c>
      <c r="R436" s="607">
        <f ca="1">Проект!$R$1556</f>
        <v>0.20795296241462075</v>
      </c>
      <c r="S436" s="607">
        <f ca="1">Проект!$S$1556</f>
        <v>0.19767612829521039</v>
      </c>
      <c r="T436" s="607">
        <f ca="1">Проект!$T$1556</f>
        <v>0.1883672034273802</v>
      </c>
      <c r="U436" s="607">
        <f ca="1">Проект!$U$1556</f>
        <v>0.17989559585247208</v>
      </c>
      <c r="V436" s="607">
        <f ca="1">Проект!$V$1556</f>
        <v>0.17215319543480906</v>
      </c>
      <c r="W436" s="607">
        <f ca="1">Проект!$W$1556</f>
        <v>0.165049735588022</v>
      </c>
      <c r="X436" s="607">
        <f ca="1">Проект!$X$1556</f>
        <v>0.15850925781535261</v>
      </c>
      <c r="Y436" s="607">
        <f ca="1">Проект!$Y$1556</f>
        <v>0.15246738481339775</v>
      </c>
      <c r="Z436" s="607">
        <f ca="1">Проект!$Z$1556</f>
        <v>0.14686919432143766</v>
      </c>
      <c r="AA436" s="607">
        <f ca="1">Проект!$AA$1556</f>
        <v>0.14166754478058258</v>
      </c>
      <c r="AB436" s="607">
        <f ca="1">Проект!$AB$1556</f>
        <v>0.13682174462227417</v>
      </c>
      <c r="AC436" s="607">
        <f ca="1">Проект!$AC$1556</f>
        <v>0.13014428174206347</v>
      </c>
      <c r="AD436" s="563"/>
      <c r="AE436" s="569"/>
    </row>
    <row r="437" spans="1:31" ht="11.25" customHeight="1" x14ac:dyDescent="0.3">
      <c r="A437" s="563" t="str">
        <f ca="1">Проект!$A$1557</f>
        <v>Рентабельность собственного капитала</v>
      </c>
      <c r="B437" s="563"/>
      <c r="C437" s="562" t="str">
        <f>Проект!$C$1557</f>
        <v>%</v>
      </c>
      <c r="D437" s="554" t="str">
        <f>Проект!$D$1557</f>
        <v>int_avg</v>
      </c>
      <c r="E437" s="563"/>
      <c r="F437" s="607" t="str">
        <f ca="1">Проект!$F$1557</f>
        <v>-</v>
      </c>
      <c r="G437" s="607" t="str">
        <f ca="1">Проект!$G$1557</f>
        <v>-</v>
      </c>
      <c r="H437" s="607">
        <f ca="1">Проект!$H$1557</f>
        <v>0</v>
      </c>
      <c r="I437" s="607">
        <f ca="1">Проект!$I$1557</f>
        <v>0</v>
      </c>
      <c r="J437" s="607">
        <f ca="1">Проект!$J$1557</f>
        <v>-0.11703807205432649</v>
      </c>
      <c r="K437" s="607">
        <f ca="1">Проект!$K$1557</f>
        <v>-0.14328930703662948</v>
      </c>
      <c r="L437" s="607">
        <f ca="1">Проект!$L$1557</f>
        <v>8.9839329782943865E-3</v>
      </c>
      <c r="M437" s="607">
        <f ca="1">Проект!$M$1557</f>
        <v>0.12382239454573912</v>
      </c>
      <c r="N437" s="607">
        <f ca="1">Проект!$N$1557</f>
        <v>0.20992243952135103</v>
      </c>
      <c r="O437" s="607">
        <f ca="1">Проект!$O$1557</f>
        <v>0.24890008854172424</v>
      </c>
      <c r="P437" s="607">
        <f ca="1">Проект!$P$1557</f>
        <v>0.23431954939392316</v>
      </c>
      <c r="Q437" s="607">
        <f ca="1">Проект!$Q$1557</f>
        <v>0.22135273132842542</v>
      </c>
      <c r="R437" s="607">
        <f ca="1">Проект!$R$1557</f>
        <v>0.20974578095374422</v>
      </c>
      <c r="S437" s="607">
        <f ca="1">Проект!$S$1557</f>
        <v>0.19929543670090691</v>
      </c>
      <c r="T437" s="607">
        <f ca="1">Проект!$T$1557</f>
        <v>0.18983702357220136</v>
      </c>
      <c r="U437" s="607">
        <f ca="1">Проект!$U$1557</f>
        <v>0.18123571156030188</v>
      </c>
      <c r="V437" s="607">
        <f ca="1">Проект!$V$1557</f>
        <v>0.17338004749095631</v>
      </c>
      <c r="W437" s="607">
        <f ca="1">Проект!$W$1557</f>
        <v>0.16617709915510112</v>
      </c>
      <c r="X437" s="607">
        <f ca="1">Проект!$X$1557</f>
        <v>0.15954876156253825</v>
      </c>
      <c r="Y437" s="607">
        <f ca="1">Проект!$Y$1557</f>
        <v>0.15342891328683797</v>
      </c>
      <c r="Z437" s="607">
        <f ca="1">Проект!$Z$1557</f>
        <v>0.14776120308308943</v>
      </c>
      <c r="AA437" s="607">
        <f ca="1">Проект!$AA$1557</f>
        <v>0.14249730960717455</v>
      </c>
      <c r="AB437" s="607">
        <f ca="1">Проект!$AB$1557</f>
        <v>0.13759556031739442</v>
      </c>
      <c r="AC437" s="607">
        <f ca="1">Проект!$AC$1557</f>
        <v>0.13084421658181969</v>
      </c>
      <c r="AD437" s="563"/>
      <c r="AE437" s="569"/>
    </row>
    <row r="438" spans="1:31" ht="11.25" customHeight="1" x14ac:dyDescent="0.3">
      <c r="A438" s="563" t="str">
        <f ca="1">Проект!$A$1558</f>
        <v>Рентабельность внеоборотных активов</v>
      </c>
      <c r="B438" s="563"/>
      <c r="C438" s="562" t="str">
        <f>Проект!$C$1558</f>
        <v>%</v>
      </c>
      <c r="D438" s="554" t="str">
        <f>Проект!$D$1558</f>
        <v>int_avg</v>
      </c>
      <c r="E438" s="563"/>
      <c r="F438" s="607" t="str">
        <f ca="1">Проект!$F$1558</f>
        <v>-</v>
      </c>
      <c r="G438" s="607" t="str">
        <f ca="1">Проект!$G$1558</f>
        <v>-</v>
      </c>
      <c r="H438" s="607">
        <f ca="1">Проект!$H$1558</f>
        <v>0</v>
      </c>
      <c r="I438" s="607">
        <f ca="1">Проект!$I$1558</f>
        <v>0</v>
      </c>
      <c r="J438" s="607">
        <f ca="1">Проект!$J$1558</f>
        <v>-0.12911796510331525</v>
      </c>
      <c r="K438" s="607">
        <f ca="1">Проект!$K$1558</f>
        <v>-0.16559983427273942</v>
      </c>
      <c r="L438" s="607">
        <f ca="1">Проект!$L$1558</f>
        <v>1.1502826941248386E-2</v>
      </c>
      <c r="M438" s="607">
        <f ca="1">Проект!$M$1558</f>
        <v>0.16520542884120915</v>
      </c>
      <c r="N438" s="607">
        <f ca="1">Проект!$N$1558</f>
        <v>0.29949819567213376</v>
      </c>
      <c r="O438" s="607">
        <f ca="1">Проект!$O$1558</f>
        <v>0.38592942911914718</v>
      </c>
      <c r="P438" s="607">
        <f ca="1">Проект!$P$1558</f>
        <v>0.39625491820401343</v>
      </c>
      <c r="Q438" s="607">
        <f ca="1">Проект!$Q$1558</f>
        <v>0.40714811019866265</v>
      </c>
      <c r="R438" s="607">
        <f ca="1">Проект!$R$1558</f>
        <v>0.41865714763805562</v>
      </c>
      <c r="S438" s="607">
        <f ca="1">Проект!$S$1558</f>
        <v>0.43083577487229635</v>
      </c>
      <c r="T438" s="607">
        <f ca="1">Проект!$T$1558</f>
        <v>0.44374417725511439</v>
      </c>
      <c r="U438" s="607">
        <f ca="1">Проект!$U$1558</f>
        <v>0.45744997585098351</v>
      </c>
      <c r="V438" s="607">
        <f ca="1">Проект!$V$1558</f>
        <v>0.4720294123567349</v>
      </c>
      <c r="W438" s="607">
        <f ca="1">Проект!$W$1558</f>
        <v>0.48756876807110894</v>
      </c>
      <c r="X438" s="607">
        <f ca="1">Проект!$X$1558</f>
        <v>0.50416607268274449</v>
      </c>
      <c r="Y438" s="607">
        <f ca="1">Проект!$Y$1558</f>
        <v>0.52193317437018583</v>
      </c>
      <c r="Z438" s="607">
        <f ca="1">Проект!$Z$1558</f>
        <v>0.54099826359952485</v>
      </c>
      <c r="AA438" s="607">
        <f ca="1">Проект!$AA$1558</f>
        <v>0.56150897102601327</v>
      </c>
      <c r="AB438" s="607">
        <f ca="1">Проект!$AB$1558</f>
        <v>0.5836361978645247</v>
      </c>
      <c r="AC438" s="607">
        <f ca="1">Проект!$AC$1558</f>
        <v>0.62030231754473186</v>
      </c>
      <c r="AD438" s="563"/>
      <c r="AE438" s="569"/>
    </row>
    <row r="439" spans="1:31" ht="11.25" customHeight="1" x14ac:dyDescent="0.3">
      <c r="A439" s="563" t="str">
        <f ca="1">Проект!$A$1559</f>
        <v>Прямые расходы к выручке от реализации</v>
      </c>
      <c r="B439" s="563"/>
      <c r="C439" s="562" t="str">
        <f>Проект!$C$1559</f>
        <v>%</v>
      </c>
      <c r="D439" s="554" t="str">
        <f>Проект!$D$1559</f>
        <v>int_avg</v>
      </c>
      <c r="E439" s="563"/>
      <c r="F439" s="607" t="str">
        <f>Проект!$F$1559</f>
        <v>-</v>
      </c>
      <c r="G439" s="607" t="str">
        <f>Проект!$G$1559</f>
        <v>-</v>
      </c>
      <c r="H439" s="607" t="str">
        <f>Проект!$H$1559</f>
        <v>-</v>
      </c>
      <c r="I439" s="607" t="str">
        <f>Проект!$I$1559</f>
        <v>-</v>
      </c>
      <c r="J439" s="607" t="str">
        <f>Проект!$J$1559</f>
        <v>-</v>
      </c>
      <c r="K439" s="607">
        <f ca="1">Проект!$K$1559</f>
        <v>1.556699623953508</v>
      </c>
      <c r="L439" s="607">
        <f ca="1">Проект!$L$1559</f>
        <v>0.91836867024595492</v>
      </c>
      <c r="M439" s="607">
        <f ca="1">Проект!$M$1559</f>
        <v>0.83211609339478443</v>
      </c>
      <c r="N439" s="607">
        <f ca="1">Проект!$N$1559</f>
        <v>0.78979332259911694</v>
      </c>
      <c r="O439" s="607">
        <f ca="1">Проект!$O$1559</f>
        <v>0.77433228154985068</v>
      </c>
      <c r="P439" s="607">
        <f ca="1">Проект!$P$1559</f>
        <v>0.77433228154985068</v>
      </c>
      <c r="Q439" s="607">
        <f ca="1">Проект!$Q$1559</f>
        <v>0.77433228154985068</v>
      </c>
      <c r="R439" s="607">
        <f ca="1">Проект!$R$1559</f>
        <v>0.77433228154985068</v>
      </c>
      <c r="S439" s="607">
        <f ca="1">Проект!$S$1559</f>
        <v>0.77433228154985068</v>
      </c>
      <c r="T439" s="607">
        <f ca="1">Проект!$T$1559</f>
        <v>0.77433228154985068</v>
      </c>
      <c r="U439" s="607">
        <f ca="1">Проект!$U$1559</f>
        <v>0.77433228154985068</v>
      </c>
      <c r="V439" s="607">
        <f ca="1">Проект!$V$1559</f>
        <v>0.77433228154985068</v>
      </c>
      <c r="W439" s="607">
        <f ca="1">Проект!$W$1559</f>
        <v>0.77433228154985068</v>
      </c>
      <c r="X439" s="607">
        <f ca="1">Проект!$X$1559</f>
        <v>0.77433228154985068</v>
      </c>
      <c r="Y439" s="607">
        <f ca="1">Проект!$Y$1559</f>
        <v>0.77433228154985068</v>
      </c>
      <c r="Z439" s="607">
        <f ca="1">Проект!$Z$1559</f>
        <v>0.77433228154985068</v>
      </c>
      <c r="AA439" s="607">
        <f ca="1">Проект!$AA$1559</f>
        <v>0.77433228154985068</v>
      </c>
      <c r="AB439" s="607">
        <f ca="1">Проект!$AB$1559</f>
        <v>0.77433228154985068</v>
      </c>
      <c r="AC439" s="607">
        <f ca="1">Проект!$AC$1559</f>
        <v>0.77433228154985068</v>
      </c>
      <c r="AD439" s="563"/>
      <c r="AE439" s="569"/>
    </row>
    <row r="440" spans="1:31" ht="11.25" customHeight="1" x14ac:dyDescent="0.3">
      <c r="A440" s="563" t="str">
        <f ca="1">Проект!$A$1560</f>
        <v>Прибыльность продаж</v>
      </c>
      <c r="B440" s="563"/>
      <c r="C440" s="562" t="str">
        <f>Проект!$C$1560</f>
        <v>%</v>
      </c>
      <c r="D440" s="554" t="str">
        <f>Проект!$D$1560</f>
        <v>int_avg</v>
      </c>
      <c r="E440" s="563"/>
      <c r="F440" s="607" t="str">
        <f>Проект!$F$1560</f>
        <v>-</v>
      </c>
      <c r="G440" s="607" t="str">
        <f>Проект!$G$1560</f>
        <v>-</v>
      </c>
      <c r="H440" s="607" t="str">
        <f>Проект!$H$1560</f>
        <v>-</v>
      </c>
      <c r="I440" s="607" t="str">
        <f>Проект!$I$1560</f>
        <v>-</v>
      </c>
      <c r="J440" s="607" t="str">
        <f>Проект!$J$1560</f>
        <v>-</v>
      </c>
      <c r="K440" s="607">
        <f ca="1">Проект!$K$1560</f>
        <v>-0.75951817457962389</v>
      </c>
      <c r="L440" s="607">
        <f ca="1">Проект!$L$1560</f>
        <v>1.3477059435166394E-2</v>
      </c>
      <c r="M440" s="607">
        <f ca="1">Проект!$M$1560</f>
        <v>0.11773420550074816</v>
      </c>
      <c r="N440" s="607">
        <f ca="1">Проект!$N$1560</f>
        <v>0.14595256285397906</v>
      </c>
      <c r="O440" s="607">
        <f ca="1">Проект!$O$1560</f>
        <v>0.15220703688452486</v>
      </c>
      <c r="P440" s="607">
        <f ca="1">Проект!$P$1560</f>
        <v>0.15220703688452486</v>
      </c>
      <c r="Q440" s="607">
        <f ca="1">Проект!$Q$1560</f>
        <v>0.15220703688452486</v>
      </c>
      <c r="R440" s="607">
        <f ca="1">Проект!$R$1560</f>
        <v>0.15220703688452486</v>
      </c>
      <c r="S440" s="607">
        <f ca="1">Проект!$S$1560</f>
        <v>0.15220703688452486</v>
      </c>
      <c r="T440" s="607">
        <f ca="1">Проект!$T$1560</f>
        <v>0.15220703688452486</v>
      </c>
      <c r="U440" s="607">
        <f ca="1">Проект!$U$1560</f>
        <v>0.15220703688452486</v>
      </c>
      <c r="V440" s="607">
        <f ca="1">Проект!$V$1560</f>
        <v>0.15220703688452486</v>
      </c>
      <c r="W440" s="607">
        <f ca="1">Проект!$W$1560</f>
        <v>0.15220703688452486</v>
      </c>
      <c r="X440" s="607">
        <f ca="1">Проект!$X$1560</f>
        <v>0.15220703688452486</v>
      </c>
      <c r="Y440" s="607">
        <f ca="1">Проект!$Y$1560</f>
        <v>0.15220703688452486</v>
      </c>
      <c r="Z440" s="607">
        <f ca="1">Проект!$Z$1560</f>
        <v>0.15220703688452486</v>
      </c>
      <c r="AA440" s="607">
        <f ca="1">Проект!$AA$1560</f>
        <v>0.15220703688452486</v>
      </c>
      <c r="AB440" s="607">
        <f ca="1">Проект!$AB$1560</f>
        <v>0.15220703688452486</v>
      </c>
      <c r="AC440" s="607">
        <f ca="1">Проект!$AC$1560</f>
        <v>0.15220703688452486</v>
      </c>
      <c r="AD440" s="563"/>
      <c r="AE440" s="569"/>
    </row>
    <row r="441" spans="1:31" ht="11.25" customHeight="1" x14ac:dyDescent="0.3">
      <c r="A441" s="563"/>
      <c r="B441" s="563"/>
      <c r="C441" s="563"/>
      <c r="D441" s="563"/>
      <c r="E441" s="563"/>
      <c r="F441" s="563"/>
      <c r="G441" s="563"/>
      <c r="H441" s="563"/>
      <c r="I441" s="563"/>
      <c r="J441" s="563"/>
      <c r="K441" s="563"/>
      <c r="L441" s="563"/>
      <c r="M441" s="563"/>
      <c r="N441" s="563"/>
      <c r="O441" s="563"/>
      <c r="P441" s="563"/>
      <c r="Q441" s="563"/>
      <c r="R441" s="563"/>
      <c r="S441" s="563"/>
      <c r="T441" s="563"/>
      <c r="U441" s="563"/>
      <c r="V441" s="563"/>
      <c r="W441" s="563"/>
      <c r="X441" s="563"/>
      <c r="Y441" s="563"/>
      <c r="Z441" s="563"/>
      <c r="AA441" s="563"/>
      <c r="AB441" s="563"/>
      <c r="AC441" s="563"/>
      <c r="AD441" s="563"/>
      <c r="AE441" s="569"/>
    </row>
    <row r="442" spans="1:31" ht="11.25" customHeight="1" x14ac:dyDescent="0.3">
      <c r="A442" s="608" t="str">
        <f ca="1">Проект!$A$1562</f>
        <v>Доля постоянных  затрат</v>
      </c>
      <c r="B442" s="563"/>
      <c r="C442" s="562" t="str">
        <f>Проект!$C$1562</f>
        <v>%</v>
      </c>
      <c r="D442" s="554" t="str">
        <f>Проект!$D$1562</f>
        <v>int_avg</v>
      </c>
      <c r="E442" s="563"/>
      <c r="F442" s="609">
        <f ca="1">Проект!$F$1562</f>
        <v>0</v>
      </c>
      <c r="G442" s="609">
        <f ca="1">Проект!$G$1562</f>
        <v>0</v>
      </c>
      <c r="H442" s="609">
        <f ca="1">Проект!$H$1562</f>
        <v>0</v>
      </c>
      <c r="I442" s="609">
        <f ca="1">Проект!$I$1562</f>
        <v>0</v>
      </c>
      <c r="J442" s="609">
        <f ca="1">Проект!$J$1562</f>
        <v>1</v>
      </c>
      <c r="K442" s="609">
        <f ca="1">Проект!$K$1562</f>
        <v>0.61967427131554198</v>
      </c>
      <c r="L442" s="609">
        <f ca="1">Проект!$L$1562</f>
        <v>0.31110351263506747</v>
      </c>
      <c r="M442" s="609">
        <f ca="1">Проект!$M$1562</f>
        <v>0.22988204136424598</v>
      </c>
      <c r="N442" s="609">
        <f ca="1">Проект!$N$1562</f>
        <v>0.18224278861632501</v>
      </c>
      <c r="O442" s="609">
        <f ca="1">Проект!$O$1562</f>
        <v>0.1614269138910023</v>
      </c>
      <c r="P442" s="609">
        <f ca="1">Проект!$P$1562</f>
        <v>0.1614269138910023</v>
      </c>
      <c r="Q442" s="609">
        <f ca="1">Проект!$Q$1562</f>
        <v>0.1614269138910023</v>
      </c>
      <c r="R442" s="609">
        <f ca="1">Проект!$R$1562</f>
        <v>0.1614269138910023</v>
      </c>
      <c r="S442" s="609">
        <f ca="1">Проект!$S$1562</f>
        <v>0.1614269138910023</v>
      </c>
      <c r="T442" s="609">
        <f ca="1">Проект!$T$1562</f>
        <v>0.1614269138910023</v>
      </c>
      <c r="U442" s="609">
        <f ca="1">Проект!$U$1562</f>
        <v>0.1614269138910023</v>
      </c>
      <c r="V442" s="609">
        <f ca="1">Проект!$V$1562</f>
        <v>0.1614269138910023</v>
      </c>
      <c r="W442" s="609">
        <f ca="1">Проект!$W$1562</f>
        <v>0.1614269138910023</v>
      </c>
      <c r="X442" s="609">
        <f ca="1">Проект!$X$1562</f>
        <v>0.1614269138910023</v>
      </c>
      <c r="Y442" s="609">
        <f ca="1">Проект!$Y$1562</f>
        <v>0.1614269138910023</v>
      </c>
      <c r="Z442" s="609">
        <f ca="1">Проект!$Z$1562</f>
        <v>0.1614269138910023</v>
      </c>
      <c r="AA442" s="609">
        <f ca="1">Проект!$AA$1562</f>
        <v>0.1614269138910023</v>
      </c>
      <c r="AB442" s="609">
        <f ca="1">Проект!$AB$1562</f>
        <v>0.1614269138910023</v>
      </c>
      <c r="AC442" s="609">
        <f ca="1">Проект!$AC$1562</f>
        <v>0.1614269138910023</v>
      </c>
      <c r="AD442" s="563"/>
      <c r="AE442" s="569"/>
    </row>
    <row r="443" spans="1:31" ht="11.25" customHeight="1" x14ac:dyDescent="0.3">
      <c r="A443" s="608" t="str">
        <f ca="1">Проект!$A$1563</f>
        <v>Точка безубыточности</v>
      </c>
      <c r="B443" s="563"/>
      <c r="C443" s="539" t="str">
        <f ca="1">Проект!$C$1563</f>
        <v>тыс. EUR</v>
      </c>
      <c r="D443" s="554" t="str">
        <f>Проект!$D$1563</f>
        <v>int_avg</v>
      </c>
      <c r="E443" s="563"/>
      <c r="F443" s="610" t="str">
        <f ca="1">Проект!$F$1563</f>
        <v>-</v>
      </c>
      <c r="G443" s="610" t="str">
        <f ca="1">Проект!$G$1563</f>
        <v>-</v>
      </c>
      <c r="H443" s="610" t="str">
        <f ca="1">Проект!$H$1563</f>
        <v>-</v>
      </c>
      <c r="I443" s="610" t="str">
        <f ca="1">Проект!$I$1563</f>
        <v>-</v>
      </c>
      <c r="J443" s="610" t="str">
        <f ca="1">Проект!$J$1563</f>
        <v>-</v>
      </c>
      <c r="K443" s="610">
        <f ca="1">Проект!$K$1563</f>
        <v>2282.054519404157</v>
      </c>
      <c r="L443" s="610">
        <f ca="1">Проект!$L$1563</f>
        <v>2576.7843881609483</v>
      </c>
      <c r="M443" s="610">
        <f ca="1">Проект!$M$1563</f>
        <v>2743.0813189971382</v>
      </c>
      <c r="N443" s="610">
        <f ca="1">Проект!$N$1563</f>
        <v>2930.6032268751514</v>
      </c>
      <c r="O443" s="610">
        <f ca="1">Проект!$O$1563</f>
        <v>3071.7307605891556</v>
      </c>
      <c r="P443" s="610">
        <f ca="1">Проект!$P$1563</f>
        <v>3071.7307605891556</v>
      </c>
      <c r="Q443" s="610">
        <f ca="1">Проект!$Q$1563</f>
        <v>3071.7307605891556</v>
      </c>
      <c r="R443" s="610">
        <f ca="1">Проект!$R$1563</f>
        <v>3071.7307605891556</v>
      </c>
      <c r="S443" s="610">
        <f ca="1">Проект!$S$1563</f>
        <v>3071.7307605891556</v>
      </c>
      <c r="T443" s="610">
        <f ca="1">Проект!$T$1563</f>
        <v>3071.7307605891556</v>
      </c>
      <c r="U443" s="610">
        <f ca="1">Проект!$U$1563</f>
        <v>3071.7307605891556</v>
      </c>
      <c r="V443" s="610">
        <f ca="1">Проект!$V$1563</f>
        <v>3071.7307605891556</v>
      </c>
      <c r="W443" s="610">
        <f ca="1">Проект!$W$1563</f>
        <v>3071.7307605891556</v>
      </c>
      <c r="X443" s="610">
        <f ca="1">Проект!$X$1563</f>
        <v>3071.7307605891556</v>
      </c>
      <c r="Y443" s="610">
        <f ca="1">Проект!$Y$1563</f>
        <v>3071.7307605891556</v>
      </c>
      <c r="Z443" s="610">
        <f ca="1">Проект!$Z$1563</f>
        <v>3071.7307605891556</v>
      </c>
      <c r="AA443" s="610">
        <f ca="1">Проект!$AA$1563</f>
        <v>3071.7307605891556</v>
      </c>
      <c r="AB443" s="610">
        <f ca="1">Проект!$AB$1563</f>
        <v>3071.7307605891556</v>
      </c>
      <c r="AC443" s="610">
        <f ca="1">Проект!$AC$1563</f>
        <v>3071.7307605891556</v>
      </c>
      <c r="AD443" s="563"/>
      <c r="AE443" s="569"/>
    </row>
    <row r="444" spans="1:31" ht="11.25" customHeight="1" x14ac:dyDescent="0.3">
      <c r="A444" s="608" t="str">
        <f ca="1">Проект!$A$1564</f>
        <v>"Запас прочности"</v>
      </c>
      <c r="B444" s="563"/>
      <c r="C444" s="562" t="str">
        <f>Проект!$C$1564</f>
        <v>%</v>
      </c>
      <c r="D444" s="554" t="str">
        <f>Проект!$D$1564</f>
        <v>int_avg</v>
      </c>
      <c r="E444" s="563"/>
      <c r="F444" s="607" t="str">
        <f ca="1">Проект!$F$1564</f>
        <v>-</v>
      </c>
      <c r="G444" s="607" t="str">
        <f ca="1">Проект!$G$1564</f>
        <v>-</v>
      </c>
      <c r="H444" s="607" t="str">
        <f ca="1">Проект!$H$1564</f>
        <v>-</v>
      </c>
      <c r="I444" s="607" t="str">
        <f ca="1">Проект!$I$1564</f>
        <v>-</v>
      </c>
      <c r="J444" s="607" t="str">
        <f ca="1">Проект!$J$1564</f>
        <v>-</v>
      </c>
      <c r="K444" s="607">
        <f ca="1">Проект!$K$1564</f>
        <v>-2.1936458327750019</v>
      </c>
      <c r="L444" s="607">
        <f ca="1">Проект!$L$1564</f>
        <v>5.654223305318621E-2</v>
      </c>
      <c r="M444" s="607">
        <f ca="1">Проект!$M$1564</f>
        <v>0.3739688214070187</v>
      </c>
      <c r="N444" s="607">
        <f ca="1">Проект!$N$1564</f>
        <v>0.53102999405962936</v>
      </c>
      <c r="O444" s="607">
        <f ca="1">Проект!$O$1564</f>
        <v>0.59181946473860991</v>
      </c>
      <c r="P444" s="607">
        <f ca="1">Проект!$P$1564</f>
        <v>0.59181946473860991</v>
      </c>
      <c r="Q444" s="607">
        <f ca="1">Проект!$Q$1564</f>
        <v>0.59181946473860991</v>
      </c>
      <c r="R444" s="607">
        <f ca="1">Проект!$R$1564</f>
        <v>0.59181946473860991</v>
      </c>
      <c r="S444" s="607">
        <f ca="1">Проект!$S$1564</f>
        <v>0.59181946473860991</v>
      </c>
      <c r="T444" s="607">
        <f ca="1">Проект!$T$1564</f>
        <v>0.59181946473860991</v>
      </c>
      <c r="U444" s="607">
        <f ca="1">Проект!$U$1564</f>
        <v>0.59181946473860991</v>
      </c>
      <c r="V444" s="607">
        <f ca="1">Проект!$V$1564</f>
        <v>0.59181946473860991</v>
      </c>
      <c r="W444" s="607">
        <f ca="1">Проект!$W$1564</f>
        <v>0.59181946473860991</v>
      </c>
      <c r="X444" s="607">
        <f ca="1">Проект!$X$1564</f>
        <v>0.59181946473860991</v>
      </c>
      <c r="Y444" s="607">
        <f ca="1">Проект!$Y$1564</f>
        <v>0.59181946473860991</v>
      </c>
      <c r="Z444" s="607">
        <f ca="1">Проект!$Z$1564</f>
        <v>0.59181946473860991</v>
      </c>
      <c r="AA444" s="607">
        <f ca="1">Проект!$AA$1564</f>
        <v>0.59181946473860991</v>
      </c>
      <c r="AB444" s="607">
        <f ca="1">Проект!$AB$1564</f>
        <v>0.59181946473860991</v>
      </c>
      <c r="AC444" s="607">
        <f ca="1">Проект!$AC$1564</f>
        <v>0.59181946473860991</v>
      </c>
      <c r="AD444" s="563"/>
      <c r="AE444" s="569"/>
    </row>
    <row r="445" spans="1:31" ht="11.25" customHeight="1" x14ac:dyDescent="0.3">
      <c r="A445" s="563"/>
      <c r="B445" s="563"/>
      <c r="C445" s="563"/>
      <c r="D445" s="563"/>
      <c r="E445" s="563"/>
      <c r="F445" s="563"/>
      <c r="G445" s="563"/>
      <c r="H445" s="563"/>
      <c r="I445" s="563"/>
      <c r="J445" s="563"/>
      <c r="K445" s="563"/>
      <c r="L445" s="563"/>
      <c r="M445" s="563"/>
      <c r="N445" s="563"/>
      <c r="O445" s="563"/>
      <c r="P445" s="563"/>
      <c r="Q445" s="563"/>
      <c r="R445" s="563"/>
      <c r="S445" s="563"/>
      <c r="T445" s="563"/>
      <c r="U445" s="563"/>
      <c r="V445" s="563"/>
      <c r="W445" s="563"/>
      <c r="X445" s="563"/>
      <c r="Y445" s="563"/>
      <c r="Z445" s="563"/>
      <c r="AA445" s="563"/>
      <c r="AB445" s="563"/>
      <c r="AC445" s="563"/>
      <c r="AD445" s="563"/>
      <c r="AE445" s="569"/>
    </row>
    <row r="446" spans="1:31" ht="11.25" customHeight="1" x14ac:dyDescent="0.3">
      <c r="A446" s="563" t="str">
        <f ca="1">Проект!$A$1566</f>
        <v>Рентабельность по EBITDA</v>
      </c>
      <c r="B446" s="563"/>
      <c r="C446" s="562" t="str">
        <f>Проект!$C$1566</f>
        <v>%</v>
      </c>
      <c r="D446" s="554" t="str">
        <f>Проект!$D$1566</f>
        <v>int_avg</v>
      </c>
      <c r="E446" s="563"/>
      <c r="F446" s="594" t="str">
        <f ca="1">Проект!$F$1566</f>
        <v>-</v>
      </c>
      <c r="G446" s="594" t="str">
        <f ca="1">Проект!$G$1566</f>
        <v>-</v>
      </c>
      <c r="H446" s="594" t="str">
        <f ca="1">Проект!$H$1566</f>
        <v>-</v>
      </c>
      <c r="I446" s="594" t="str">
        <f ca="1">Проект!$I$1566</f>
        <v>-</v>
      </c>
      <c r="J446" s="594">
        <f ca="1">Проект!$J$1566</f>
        <v>0</v>
      </c>
      <c r="K446" s="594">
        <f ca="1">Проект!$K$1566</f>
        <v>-0.18561414472251095</v>
      </c>
      <c r="L446" s="594">
        <f ca="1">Проект!$L$1566</f>
        <v>0.12847411309839638</v>
      </c>
      <c r="M446" s="594">
        <f ca="1">Проект!$M$1566</f>
        <v>0.2134676636496716</v>
      </c>
      <c r="N446" s="594">
        <f ca="1">Проект!$N$1566</f>
        <v>0.26286559576152846</v>
      </c>
      <c r="O446" s="594">
        <f ca="1">Проект!$O$1566</f>
        <v>0.28201007711575748</v>
      </c>
      <c r="P446" s="594">
        <f ca="1">Проект!$P$1566</f>
        <v>0.28201007711575748</v>
      </c>
      <c r="Q446" s="594">
        <f ca="1">Проект!$Q$1566</f>
        <v>0.28201007711575748</v>
      </c>
      <c r="R446" s="594">
        <f ca="1">Проект!$R$1566</f>
        <v>0.28201007711575748</v>
      </c>
      <c r="S446" s="594">
        <f ca="1">Проект!$S$1566</f>
        <v>0.28201007711575748</v>
      </c>
      <c r="T446" s="594">
        <f ca="1">Проект!$T$1566</f>
        <v>0.28201007711575748</v>
      </c>
      <c r="U446" s="594">
        <f ca="1">Проект!$U$1566</f>
        <v>0.28201007711575748</v>
      </c>
      <c r="V446" s="594">
        <f ca="1">Проект!$V$1566</f>
        <v>0.28201007711575748</v>
      </c>
      <c r="W446" s="594">
        <f ca="1">Проект!$W$1566</f>
        <v>0.28201007711575748</v>
      </c>
      <c r="X446" s="594">
        <f ca="1">Проект!$X$1566</f>
        <v>0.28201007711575748</v>
      </c>
      <c r="Y446" s="594">
        <f ca="1">Проект!$Y$1566</f>
        <v>0.28201007711575748</v>
      </c>
      <c r="Z446" s="594">
        <f ca="1">Проект!$Z$1566</f>
        <v>0.28201007711575748</v>
      </c>
      <c r="AA446" s="594">
        <f ca="1">Проект!$AA$1566</f>
        <v>0.28201007711575748</v>
      </c>
      <c r="AB446" s="594">
        <f ca="1">Проект!$AB$1566</f>
        <v>0.28201007711575748</v>
      </c>
      <c r="AC446" s="594">
        <f ca="1">Проект!$AC$1566</f>
        <v>0.28201007711575748</v>
      </c>
      <c r="AD446" s="563"/>
      <c r="AE446" s="569"/>
    </row>
    <row r="447" spans="1:31" ht="11.25" customHeight="1" x14ac:dyDescent="0.3">
      <c r="A447" s="563" t="str">
        <f ca="1">Проект!$A$1567</f>
        <v>Рентабельность по EBIT</v>
      </c>
      <c r="B447" s="563"/>
      <c r="C447" s="562" t="str">
        <f>Проект!$C$1567</f>
        <v>%</v>
      </c>
      <c r="D447" s="554" t="str">
        <f>Проект!$D$1567</f>
        <v>int_avg</v>
      </c>
      <c r="E447" s="563"/>
      <c r="F447" s="594" t="str">
        <f ca="1">Проект!$F$1567</f>
        <v>-</v>
      </c>
      <c r="G447" s="594" t="str">
        <f ca="1">Проект!$G$1567</f>
        <v>-</v>
      </c>
      <c r="H447" s="594" t="str">
        <f ca="1">Проект!$H$1567</f>
        <v>-</v>
      </c>
      <c r="I447" s="594" t="str">
        <f ca="1">Проект!$I$1567</f>
        <v>-</v>
      </c>
      <c r="J447" s="594">
        <f ca="1">Проект!$J$1567</f>
        <v>-1</v>
      </c>
      <c r="K447" s="594">
        <f ca="1">Проект!$K$1567</f>
        <v>-0.43166259124381284</v>
      </c>
      <c r="L447" s="594">
        <f ca="1">Проект!$L$1567</f>
        <v>1.3661171860281427E-2</v>
      </c>
      <c r="M447" s="594">
        <f ca="1">Проект!$M$1567</f>
        <v>0.13344527945523565</v>
      </c>
      <c r="N447" s="594">
        <f ca="1">Проект!$N$1567</f>
        <v>0.20329737073391294</v>
      </c>
      <c r="O447" s="594">
        <f ca="1">Проект!$O$1567</f>
        <v>0.2313904912628337</v>
      </c>
      <c r="P447" s="594">
        <f ca="1">Проект!$P$1567</f>
        <v>0.2313904912628337</v>
      </c>
      <c r="Q447" s="594">
        <f ca="1">Проект!$Q$1567</f>
        <v>0.2313904912628337</v>
      </c>
      <c r="R447" s="594">
        <f ca="1">Проект!$R$1567</f>
        <v>0.2313904912628337</v>
      </c>
      <c r="S447" s="594">
        <f ca="1">Проект!$S$1567</f>
        <v>0.2313904912628337</v>
      </c>
      <c r="T447" s="594">
        <f ca="1">Проект!$T$1567</f>
        <v>0.2313904912628337</v>
      </c>
      <c r="U447" s="594">
        <f ca="1">Проект!$U$1567</f>
        <v>0.2313904912628337</v>
      </c>
      <c r="V447" s="594">
        <f ca="1">Проект!$V$1567</f>
        <v>0.2313904912628337</v>
      </c>
      <c r="W447" s="594">
        <f ca="1">Проект!$W$1567</f>
        <v>0.2313904912628337</v>
      </c>
      <c r="X447" s="594">
        <f ca="1">Проект!$X$1567</f>
        <v>0.2313904912628337</v>
      </c>
      <c r="Y447" s="594">
        <f ca="1">Проект!$Y$1567</f>
        <v>0.2313904912628337</v>
      </c>
      <c r="Z447" s="594">
        <f ca="1">Проект!$Z$1567</f>
        <v>0.2313904912628337</v>
      </c>
      <c r="AA447" s="594">
        <f ca="1">Проект!$AA$1567</f>
        <v>0.2313904912628337</v>
      </c>
      <c r="AB447" s="594">
        <f ca="1">Проект!$AB$1567</f>
        <v>0.2313904912628337</v>
      </c>
      <c r="AC447" s="594">
        <f ca="1">Проект!$AC$1567</f>
        <v>0.2313904912628337</v>
      </c>
      <c r="AD447" s="563"/>
      <c r="AE447" s="569"/>
    </row>
    <row r="448" spans="1:31" ht="11.25" customHeight="1" x14ac:dyDescent="0.3">
      <c r="A448" s="563" t="str">
        <f ca="1">Проект!$A$1568</f>
        <v xml:space="preserve">Рентабельность по чистой прибыли </v>
      </c>
      <c r="B448" s="563"/>
      <c r="C448" s="562" t="str">
        <f>Проект!$C$1568</f>
        <v>%</v>
      </c>
      <c r="D448" s="554" t="str">
        <f>Проект!$D$1568</f>
        <v>int_avg</v>
      </c>
      <c r="E448" s="563"/>
      <c r="F448" s="594" t="str">
        <f ca="1">Проект!$F$1568</f>
        <v>-</v>
      </c>
      <c r="G448" s="594" t="str">
        <f ca="1">Проект!$G$1568</f>
        <v>-</v>
      </c>
      <c r="H448" s="594" t="str">
        <f ca="1">Проект!$H$1568</f>
        <v>-</v>
      </c>
      <c r="I448" s="594" t="str">
        <f ca="1">Проект!$I$1568</f>
        <v>-</v>
      </c>
      <c r="J448" s="594">
        <f ca="1">Проект!$J$1568</f>
        <v>-1</v>
      </c>
      <c r="K448" s="594">
        <f ca="1">Проект!$K$1568</f>
        <v>-0.43166259124381284</v>
      </c>
      <c r="L448" s="594">
        <f ca="1">Проект!$L$1568</f>
        <v>1.3661171860281433E-2</v>
      </c>
      <c r="M448" s="594">
        <f ca="1">Проект!$M$1568</f>
        <v>0.13344527945523565</v>
      </c>
      <c r="N448" s="594">
        <f ca="1">Проект!$N$1568</f>
        <v>0.17562433513406922</v>
      </c>
      <c r="O448" s="594">
        <f ca="1">Проект!$O$1568</f>
        <v>0.18742629792289531</v>
      </c>
      <c r="P448" s="594">
        <f ca="1">Проект!$P$1568</f>
        <v>0.18742629792289531</v>
      </c>
      <c r="Q448" s="594">
        <f ca="1">Проект!$Q$1568</f>
        <v>0.18742629792289531</v>
      </c>
      <c r="R448" s="594">
        <f ca="1">Проект!$R$1568</f>
        <v>0.18742629792289531</v>
      </c>
      <c r="S448" s="594">
        <f ca="1">Проект!$S$1568</f>
        <v>0.18742629792289531</v>
      </c>
      <c r="T448" s="594">
        <f ca="1">Проект!$T$1568</f>
        <v>0.18742629792289531</v>
      </c>
      <c r="U448" s="594">
        <f ca="1">Проект!$U$1568</f>
        <v>0.18742629792289531</v>
      </c>
      <c r="V448" s="594">
        <f ca="1">Проект!$V$1568</f>
        <v>0.18742629792289531</v>
      </c>
      <c r="W448" s="594">
        <f ca="1">Проект!$W$1568</f>
        <v>0.18742629792289531</v>
      </c>
      <c r="X448" s="594">
        <f ca="1">Проект!$X$1568</f>
        <v>0.18742629792289531</v>
      </c>
      <c r="Y448" s="594">
        <f ca="1">Проект!$Y$1568</f>
        <v>0.18742629792289531</v>
      </c>
      <c r="Z448" s="594">
        <f ca="1">Проект!$Z$1568</f>
        <v>0.18742629792289531</v>
      </c>
      <c r="AA448" s="594">
        <f ca="1">Проект!$AA$1568</f>
        <v>0.18742629792289531</v>
      </c>
      <c r="AB448" s="594">
        <f ca="1">Проект!$AB$1568</f>
        <v>0.18742629792289531</v>
      </c>
      <c r="AC448" s="594">
        <f ca="1">Проект!$AC$1568</f>
        <v>0.18742629792289531</v>
      </c>
      <c r="AD448" s="563"/>
      <c r="AE448" s="569"/>
    </row>
    <row r="449" spans="1:31" ht="11.25" customHeight="1" x14ac:dyDescent="0.3">
      <c r="A449" s="563"/>
      <c r="B449" s="563"/>
      <c r="C449" s="563"/>
      <c r="D449" s="563"/>
      <c r="E449" s="563"/>
      <c r="F449" s="563"/>
      <c r="G449" s="563"/>
      <c r="H449" s="563"/>
      <c r="I449" s="563"/>
      <c r="J449" s="563"/>
      <c r="K449" s="563"/>
      <c r="L449" s="563"/>
      <c r="M449" s="563"/>
      <c r="N449" s="563"/>
      <c r="O449" s="563"/>
      <c r="P449" s="563"/>
      <c r="Q449" s="563"/>
      <c r="R449" s="563"/>
      <c r="S449" s="563"/>
      <c r="T449" s="563"/>
      <c r="U449" s="563"/>
      <c r="V449" s="563"/>
      <c r="W449" s="563"/>
      <c r="X449" s="563"/>
      <c r="Y449" s="563"/>
      <c r="Z449" s="563"/>
      <c r="AA449" s="563"/>
      <c r="AB449" s="563"/>
      <c r="AC449" s="563"/>
      <c r="AD449" s="563"/>
      <c r="AE449" s="569"/>
    </row>
    <row r="450" spans="1:31" ht="11.25" customHeight="1" x14ac:dyDescent="0.3">
      <c r="A450" s="563" t="str">
        <f ca="1">Проект!$A$1570</f>
        <v>Эффективная ставка налога на прибыль</v>
      </c>
      <c r="B450" s="611"/>
      <c r="C450" s="539" t="str">
        <f>Проект!$C$1570</f>
        <v>%</v>
      </c>
      <c r="D450" s="554" t="str">
        <f>Проект!$D$1570</f>
        <v>int_avg</v>
      </c>
      <c r="E450" s="563"/>
      <c r="F450" s="612">
        <f ca="1">Проект!$F$1570</f>
        <v>0</v>
      </c>
      <c r="G450" s="612">
        <f ca="1">Проект!$G$1570</f>
        <v>0</v>
      </c>
      <c r="H450" s="612">
        <f ca="1">Проект!$H$1570</f>
        <v>0</v>
      </c>
      <c r="I450" s="612">
        <f ca="1">Проект!$I$1570</f>
        <v>0</v>
      </c>
      <c r="J450" s="612">
        <f ca="1">Проект!$J$1570</f>
        <v>0</v>
      </c>
      <c r="K450" s="612">
        <f ca="1">Проект!$K$1570</f>
        <v>0</v>
      </c>
      <c r="L450" s="612">
        <f ca="1">Проект!$L$1570</f>
        <v>0</v>
      </c>
      <c r="M450" s="612">
        <f ca="1">Проект!$M$1570</f>
        <v>0</v>
      </c>
      <c r="N450" s="612">
        <f ca="1">Проект!$N$1570</f>
        <v>0.13612097146137597</v>
      </c>
      <c r="O450" s="612">
        <f ca="1">Проект!$O$1570</f>
        <v>0.19</v>
      </c>
      <c r="P450" s="612">
        <f ca="1">Проект!$P$1570</f>
        <v>0.19</v>
      </c>
      <c r="Q450" s="612">
        <f ca="1">Проект!$Q$1570</f>
        <v>0.19</v>
      </c>
      <c r="R450" s="612">
        <f ca="1">Проект!$R$1570</f>
        <v>0.19</v>
      </c>
      <c r="S450" s="612">
        <f ca="1">Проект!$S$1570</f>
        <v>0.19</v>
      </c>
      <c r="T450" s="612">
        <f ca="1">Проект!$T$1570</f>
        <v>0.19</v>
      </c>
      <c r="U450" s="612">
        <f ca="1">Проект!$U$1570</f>
        <v>0.19</v>
      </c>
      <c r="V450" s="612">
        <f ca="1">Проект!$V$1570</f>
        <v>0.19</v>
      </c>
      <c r="W450" s="612">
        <f ca="1">Проект!$W$1570</f>
        <v>0.19</v>
      </c>
      <c r="X450" s="612">
        <f ca="1">Проект!$X$1570</f>
        <v>0.19</v>
      </c>
      <c r="Y450" s="612">
        <f ca="1">Проект!$Y$1570</f>
        <v>0.19</v>
      </c>
      <c r="Z450" s="612">
        <f ca="1">Проект!$Z$1570</f>
        <v>0.19</v>
      </c>
      <c r="AA450" s="612">
        <f ca="1">Проект!$AA$1570</f>
        <v>0.19</v>
      </c>
      <c r="AB450" s="612">
        <f ca="1">Проект!$AB$1570</f>
        <v>0.19</v>
      </c>
      <c r="AC450" s="612">
        <f ca="1">Проект!$AC$1570</f>
        <v>0.19</v>
      </c>
      <c r="AD450" s="563"/>
      <c r="AE450" s="569"/>
    </row>
    <row r="451" spans="1:31" ht="11.25" customHeight="1" x14ac:dyDescent="0.3">
      <c r="A451" s="563"/>
      <c r="B451" s="563"/>
      <c r="C451" s="563"/>
      <c r="D451" s="563"/>
      <c r="E451" s="563"/>
      <c r="F451" s="563"/>
      <c r="G451" s="563"/>
      <c r="H451" s="563"/>
      <c r="I451" s="563"/>
      <c r="J451" s="563"/>
      <c r="K451" s="563"/>
      <c r="L451" s="563"/>
      <c r="M451" s="563"/>
      <c r="N451" s="563"/>
      <c r="O451" s="563"/>
      <c r="P451" s="563"/>
      <c r="Q451" s="563"/>
      <c r="R451" s="563"/>
      <c r="S451" s="563"/>
      <c r="T451" s="563"/>
      <c r="U451" s="563"/>
      <c r="V451" s="563"/>
      <c r="W451" s="563"/>
      <c r="X451" s="563"/>
      <c r="Y451" s="563"/>
      <c r="Z451" s="563"/>
      <c r="AA451" s="563"/>
      <c r="AB451" s="563"/>
      <c r="AC451" s="563"/>
      <c r="AD451" s="563"/>
      <c r="AE451" s="569"/>
    </row>
    <row r="452" spans="1:31" ht="11.25" customHeight="1" x14ac:dyDescent="0.3">
      <c r="A452" s="563" t="str">
        <f ca="1">Проект!$A$1572</f>
        <v>Коэффициент общей ликвидности</v>
      </c>
      <c r="B452" s="563"/>
      <c r="C452" s="539" t="str">
        <f ca="1">Проект!$C$1572</f>
        <v>разы</v>
      </c>
      <c r="D452" s="554" t="str">
        <f>Проект!$D$1572</f>
        <v>int_avg</v>
      </c>
      <c r="E452" s="563"/>
      <c r="F452" s="613" t="str">
        <f ca="1">Проект!$F$1572</f>
        <v>-</v>
      </c>
      <c r="G452" s="613" t="str">
        <f ca="1">Проект!$G$1572</f>
        <v>-</v>
      </c>
      <c r="H452" s="613" t="str">
        <f ca="1">Проект!$H$1572</f>
        <v>-</v>
      </c>
      <c r="I452" s="613" t="str">
        <f ca="1">Проект!$I$1572</f>
        <v>-</v>
      </c>
      <c r="J452" s="613">
        <f ca="1">Проект!$J$1572</f>
        <v>1.3173036284850805</v>
      </c>
      <c r="K452" s="613">
        <f ca="1">Проект!$K$1572</f>
        <v>35.584919303232248</v>
      </c>
      <c r="L452" s="613">
        <f ca="1">Проект!$L$1572</f>
        <v>39.089876429664045</v>
      </c>
      <c r="M452" s="613">
        <f ca="1">Проект!$M$1572</f>
        <v>47.445493617067534</v>
      </c>
      <c r="N452" s="613">
        <f ca="1">Проект!$N$1572</f>
        <v>40.603316245836851</v>
      </c>
      <c r="O452" s="613">
        <f ca="1">Проект!$O$1572</f>
        <v>39.568289402230988</v>
      </c>
      <c r="P452" s="613">
        <f ca="1">Проект!$P$1572</f>
        <v>47.293176995434536</v>
      </c>
      <c r="Q452" s="613">
        <f ca="1">Проект!$Q$1572</f>
        <v>55.018064588637806</v>
      </c>
      <c r="R452" s="613">
        <f ca="1">Проект!$R$1572</f>
        <v>62.742952181841083</v>
      </c>
      <c r="S452" s="613">
        <f ca="1">Проект!$S$1572</f>
        <v>70.467839775044339</v>
      </c>
      <c r="T452" s="613">
        <f ca="1">Проект!$T$1572</f>
        <v>78.192727368247617</v>
      </c>
      <c r="U452" s="613">
        <f ca="1">Проект!$U$1572</f>
        <v>85.917614961450866</v>
      </c>
      <c r="V452" s="613">
        <f ca="1">Проект!$V$1572</f>
        <v>93.642502554654143</v>
      </c>
      <c r="W452" s="613">
        <f ca="1">Проект!$W$1572</f>
        <v>101.36739014785741</v>
      </c>
      <c r="X452" s="613">
        <f ca="1">Проект!$X$1572</f>
        <v>109.09227774106068</v>
      </c>
      <c r="Y452" s="613">
        <f ca="1">Проект!$Y$1572</f>
        <v>116.81716533426396</v>
      </c>
      <c r="Z452" s="613">
        <f ca="1">Проект!$Z$1572</f>
        <v>124.54205292746724</v>
      </c>
      <c r="AA452" s="613">
        <f ca="1">Проект!$AA$1572</f>
        <v>132.26694052067052</v>
      </c>
      <c r="AB452" s="613">
        <f ca="1">Проект!$AB$1572</f>
        <v>139.99182811387379</v>
      </c>
      <c r="AC452" s="613">
        <f ca="1">Проект!$AC$1572</f>
        <v>147.71671570707707</v>
      </c>
      <c r="AD452" s="563"/>
      <c r="AE452" s="569"/>
    </row>
    <row r="453" spans="1:31" ht="11.25" customHeight="1" x14ac:dyDescent="0.3">
      <c r="A453" s="563" t="str">
        <f ca="1">Проект!$A$1573</f>
        <v>Чистый оборотный капитал</v>
      </c>
      <c r="B453" s="563"/>
      <c r="C453" s="539" t="str">
        <f ca="1">Проект!$C$1573</f>
        <v>тыс. EUR</v>
      </c>
      <c r="D453" s="554" t="str">
        <f>Проект!$D$1573</f>
        <v>int_avg</v>
      </c>
      <c r="E453" s="563"/>
      <c r="F453" s="614">
        <f ca="1">Проект!$F$1573</f>
        <v>0</v>
      </c>
      <c r="G453" s="614">
        <f ca="1">Проект!$G$1573</f>
        <v>0</v>
      </c>
      <c r="H453" s="614">
        <f ca="1">Проект!$H$1573</f>
        <v>1027.5924207268845</v>
      </c>
      <c r="I453" s="614">
        <f ca="1">Проект!$I$1573</f>
        <v>1311.7377865805431</v>
      </c>
      <c r="J453" s="614">
        <f ca="1">Проект!$J$1573</f>
        <v>666.56558903066707</v>
      </c>
      <c r="K453" s="614">
        <f ca="1">Проект!$K$1573</f>
        <v>3415.7217901254917</v>
      </c>
      <c r="L453" s="614">
        <f ca="1">Проект!$L$1573</f>
        <v>3761.8830266240211</v>
      </c>
      <c r="M453" s="614">
        <f ca="1">Проект!$M$1573</f>
        <v>4587.1116023140567</v>
      </c>
      <c r="N453" s="614">
        <f ca="1">Проект!$N$1573</f>
        <v>5808.5246866000898</v>
      </c>
      <c r="O453" s="614">
        <f ca="1">Проект!$O$1573</f>
        <v>7263.2993759859492</v>
      </c>
      <c r="P453" s="614">
        <f ca="1">Проект!$P$1573</f>
        <v>8718.0740653718076</v>
      </c>
      <c r="Q453" s="614">
        <f ca="1">Проект!$Q$1573</f>
        <v>10172.848754757666</v>
      </c>
      <c r="R453" s="614">
        <f ca="1">Проект!$R$1573</f>
        <v>11627.623444143526</v>
      </c>
      <c r="S453" s="614">
        <f ca="1">Проект!$S$1573</f>
        <v>13082.398133529383</v>
      </c>
      <c r="T453" s="614">
        <f ca="1">Проект!$T$1573</f>
        <v>14537.172822915243</v>
      </c>
      <c r="U453" s="614">
        <f ca="1">Проект!$U$1573</f>
        <v>15991.9475123011</v>
      </c>
      <c r="V453" s="614">
        <f ca="1">Проект!$V$1573</f>
        <v>17446.72220168696</v>
      </c>
      <c r="W453" s="614">
        <f ca="1">Проект!$W$1573</f>
        <v>18901.496891072817</v>
      </c>
      <c r="X453" s="614">
        <f ca="1">Проект!$X$1573</f>
        <v>20356.271580458677</v>
      </c>
      <c r="Y453" s="614">
        <f ca="1">Проект!$Y$1573</f>
        <v>21811.046269844537</v>
      </c>
      <c r="Z453" s="614">
        <f ca="1">Проект!$Z$1573</f>
        <v>23265.820959230397</v>
      </c>
      <c r="AA453" s="614">
        <f ca="1">Проект!$AA$1573</f>
        <v>24720.595648616258</v>
      </c>
      <c r="AB453" s="614">
        <f ca="1">Проект!$AB$1573</f>
        <v>26175.370338002118</v>
      </c>
      <c r="AC453" s="614">
        <f ca="1">Проект!$AC$1573</f>
        <v>27630.145027387978</v>
      </c>
      <c r="AD453" s="563"/>
      <c r="AE453" s="569"/>
    </row>
    <row r="454" spans="1:31" ht="11.25" customHeight="1" x14ac:dyDescent="0.3">
      <c r="A454" s="563"/>
      <c r="B454" s="563"/>
      <c r="C454" s="563"/>
      <c r="D454" s="563"/>
      <c r="E454" s="563"/>
      <c r="F454" s="563"/>
      <c r="G454" s="563"/>
      <c r="H454" s="563"/>
      <c r="I454" s="563"/>
      <c r="J454" s="563"/>
      <c r="K454" s="563"/>
      <c r="L454" s="563"/>
      <c r="M454" s="563"/>
      <c r="N454" s="563"/>
      <c r="O454" s="563"/>
      <c r="P454" s="563"/>
      <c r="Q454" s="563"/>
      <c r="R454" s="563"/>
      <c r="S454" s="563"/>
      <c r="T454" s="563"/>
      <c r="U454" s="563"/>
      <c r="V454" s="563"/>
      <c r="W454" s="563"/>
      <c r="X454" s="563"/>
      <c r="Y454" s="563"/>
      <c r="Z454" s="563"/>
      <c r="AA454" s="563"/>
      <c r="AB454" s="563"/>
      <c r="AC454" s="563"/>
      <c r="AD454" s="563"/>
      <c r="AE454" s="569"/>
    </row>
    <row r="455" spans="1:31" ht="11.25" customHeight="1" x14ac:dyDescent="0.3">
      <c r="A455" s="563" t="str">
        <f ca="1">Проект!$A$1575</f>
        <v>Коэффициент общей платежеспособности</v>
      </c>
      <c r="B455" s="563"/>
      <c r="C455" s="539" t="str">
        <f ca="1">Проект!$C$1575</f>
        <v>разы</v>
      </c>
      <c r="D455" s="554" t="str">
        <f>Проект!$D$1575</f>
        <v>int_avg</v>
      </c>
      <c r="E455" s="563"/>
      <c r="F455" s="613" t="str">
        <f ca="1">Проект!$F$1575</f>
        <v>-</v>
      </c>
      <c r="G455" s="613" t="str">
        <f ca="1">Проект!$G$1575</f>
        <v>-</v>
      </c>
      <c r="H455" s="613">
        <f ca="1">Проект!$H$1575</f>
        <v>1</v>
      </c>
      <c r="I455" s="613">
        <f ca="1">Проект!$I$1575</f>
        <v>1</v>
      </c>
      <c r="J455" s="613">
        <f ca="1">Проект!$J$1575</f>
        <v>0.86896062887564784</v>
      </c>
      <c r="K455" s="613">
        <f ca="1">Проект!$K$1575</f>
        <v>0.99400309463973535</v>
      </c>
      <c r="L455" s="613">
        <f ca="1">Проект!$L$1575</f>
        <v>0.99401646797865895</v>
      </c>
      <c r="M455" s="613">
        <f ca="1">Проект!$M$1575</f>
        <v>0.99419781031040755</v>
      </c>
      <c r="N455" s="613">
        <f ca="1">Проект!$N$1575</f>
        <v>0.99184350519309339</v>
      </c>
      <c r="O455" s="613">
        <f ca="1">Проект!$O$1575</f>
        <v>0.99017552904640838</v>
      </c>
      <c r="P455" s="613">
        <f ca="1">Проект!$P$1575</f>
        <v>0.99072948478226663</v>
      </c>
      <c r="Q455" s="613">
        <f ca="1">Проект!$Q$1575</f>
        <v>0.99122430497350489</v>
      </c>
      <c r="R455" s="613">
        <f ca="1">Проект!$R$1575</f>
        <v>0.99166897900766748</v>
      </c>
      <c r="S455" s="613">
        <f ca="1">Проект!$S$1575</f>
        <v>0.99207076213467493</v>
      </c>
      <c r="T455" s="613">
        <f ca="1">Проект!$T$1575</f>
        <v>0.99243557439208729</v>
      </c>
      <c r="U455" s="613">
        <f ca="1">Проект!$U$1575</f>
        <v>0.99276829425044522</v>
      </c>
      <c r="V455" s="613">
        <f ca="1">Проект!$V$1575</f>
        <v>0.99307297802801453</v>
      </c>
      <c r="W455" s="613">
        <f ca="1">Проект!$W$1575</f>
        <v>0.99335302608207732</v>
      </c>
      <c r="X455" s="613">
        <f ca="1">Проект!$X$1575</f>
        <v>0.99361131025364668</v>
      </c>
      <c r="Y455" s="613">
        <f ca="1">Проект!$Y$1575</f>
        <v>0.99385027271054038</v>
      </c>
      <c r="Z455" s="613">
        <f ca="1">Проект!$Z$1575</f>
        <v>0.99407200340751267</v>
      </c>
      <c r="AA455" s="613">
        <f ca="1">Проект!$AA$1575</f>
        <v>0.99427830137242135</v>
      </c>
      <c r="AB455" s="613">
        <f ca="1">Проект!$AB$1575</f>
        <v>0.994470723625974</v>
      </c>
      <c r="AC455" s="613">
        <f ca="1">Проект!$AC$1575</f>
        <v>0.99465062455153674</v>
      </c>
      <c r="AD455" s="563"/>
      <c r="AE455" s="569"/>
    </row>
    <row r="456" spans="1:31" ht="11.25" customHeight="1" x14ac:dyDescent="0.3">
      <c r="A456" s="563" t="str">
        <f ca="1">Проект!$A$1576</f>
        <v>Коэффициент автономии</v>
      </c>
      <c r="B456" s="563"/>
      <c r="C456" s="539" t="str">
        <f ca="1">Проект!$C$1576</f>
        <v>разы</v>
      </c>
      <c r="D456" s="554" t="str">
        <f>Проект!$D$1576</f>
        <v>int_avg</v>
      </c>
      <c r="E456" s="563"/>
      <c r="F456" s="613" t="str">
        <f ca="1">Проект!$F$1576</f>
        <v>-</v>
      </c>
      <c r="G456" s="613" t="str">
        <f ca="1">Проект!$G$1576</f>
        <v>-</v>
      </c>
      <c r="H456" s="613" t="str">
        <f ca="1">Проект!$H$1576</f>
        <v>-</v>
      </c>
      <c r="I456" s="613" t="str">
        <f ca="1">Проект!$I$1576</f>
        <v>-</v>
      </c>
      <c r="J456" s="613">
        <f ca="1">Проект!$J$1576</f>
        <v>6.6312942546941258</v>
      </c>
      <c r="K456" s="613">
        <f ca="1">Проект!$K$1576</f>
        <v>165.75267324143297</v>
      </c>
      <c r="L456" s="613">
        <f ca="1">Проект!$L$1576</f>
        <v>166.12536950305599</v>
      </c>
      <c r="M456" s="613">
        <f ca="1">Проект!$M$1576</f>
        <v>171.34872582565066</v>
      </c>
      <c r="N456" s="613">
        <f ca="1">Проект!$N$1576</f>
        <v>121.60168413927397</v>
      </c>
      <c r="O456" s="613">
        <f ca="1">Проект!$O$1576</f>
        <v>100.78665138547915</v>
      </c>
      <c r="P456" s="613">
        <f ca="1">Проект!$P$1576</f>
        <v>106.86886990780523</v>
      </c>
      <c r="Q456" s="613">
        <f ca="1">Проект!$Q$1576</f>
        <v>112.9510884301306</v>
      </c>
      <c r="R456" s="613">
        <f ca="1">Проект!$R$1576</f>
        <v>119.03330695245593</v>
      </c>
      <c r="S456" s="613">
        <f ca="1">Проект!$S$1576</f>
        <v>125.11552547478128</v>
      </c>
      <c r="T456" s="613">
        <f ca="1">Проект!$T$1576</f>
        <v>131.19774399710664</v>
      </c>
      <c r="U456" s="613">
        <f ca="1">Проект!$U$1576</f>
        <v>137.27996251943199</v>
      </c>
      <c r="V456" s="613">
        <f ca="1">Проект!$V$1576</f>
        <v>143.36218104175734</v>
      </c>
      <c r="W456" s="613">
        <f ca="1">Проект!$W$1576</f>
        <v>149.44439956408266</v>
      </c>
      <c r="X456" s="613">
        <f ca="1">Проект!$X$1576</f>
        <v>155.52661808640804</v>
      </c>
      <c r="Y456" s="613">
        <f ca="1">Проект!$Y$1576</f>
        <v>161.60883660873338</v>
      </c>
      <c r="Z456" s="613">
        <f ca="1">Проект!$Z$1576</f>
        <v>167.69105513105873</v>
      </c>
      <c r="AA456" s="613">
        <f ca="1">Проект!$AA$1576</f>
        <v>173.77327365338405</v>
      </c>
      <c r="AB456" s="613">
        <f ca="1">Проект!$AB$1576</f>
        <v>179.85549217570943</v>
      </c>
      <c r="AC456" s="613">
        <f ca="1">Проект!$AC$1576</f>
        <v>185.93771069803478</v>
      </c>
      <c r="AD456" s="563"/>
      <c r="AE456" s="569"/>
    </row>
    <row r="457" spans="1:31" ht="11.25" customHeight="1" x14ac:dyDescent="0.3">
      <c r="A457" s="563" t="str">
        <f ca="1">Проект!$A$1577</f>
        <v>Доля долгосрочных кредитов в валюте баланса</v>
      </c>
      <c r="B457" s="563"/>
      <c r="C457" s="539" t="str">
        <f>Проект!$C$1577</f>
        <v>%</v>
      </c>
      <c r="D457" s="554" t="str">
        <f>Проект!$D$1577</f>
        <v>int_avg</v>
      </c>
      <c r="E457" s="563"/>
      <c r="F457" s="594" t="str">
        <f ca="1">Проект!$F$1577</f>
        <v>-</v>
      </c>
      <c r="G457" s="594" t="str">
        <f ca="1">Проект!$G$1577</f>
        <v>-</v>
      </c>
      <c r="H457" s="594">
        <f ca="1">Проект!$H$1577</f>
        <v>0</v>
      </c>
      <c r="I457" s="594">
        <f ca="1">Проект!$I$1577</f>
        <v>0</v>
      </c>
      <c r="J457" s="594">
        <f ca="1">Проект!$J$1577</f>
        <v>0</v>
      </c>
      <c r="K457" s="594">
        <f ca="1">Проект!$K$1577</f>
        <v>0</v>
      </c>
      <c r="L457" s="594">
        <f ca="1">Проект!$L$1577</f>
        <v>0</v>
      </c>
      <c r="M457" s="594">
        <f ca="1">Проект!$M$1577</f>
        <v>0</v>
      </c>
      <c r="N457" s="594">
        <f ca="1">Проект!$N$1577</f>
        <v>0</v>
      </c>
      <c r="O457" s="594">
        <f ca="1">Проект!$O$1577</f>
        <v>0</v>
      </c>
      <c r="P457" s="594">
        <f ca="1">Проект!$P$1577</f>
        <v>0</v>
      </c>
      <c r="Q457" s="594">
        <f ca="1">Проект!$Q$1577</f>
        <v>0</v>
      </c>
      <c r="R457" s="594">
        <f ca="1">Проект!$R$1577</f>
        <v>0</v>
      </c>
      <c r="S457" s="594">
        <f ca="1">Проект!$S$1577</f>
        <v>0</v>
      </c>
      <c r="T457" s="594">
        <f ca="1">Проект!$T$1577</f>
        <v>0</v>
      </c>
      <c r="U457" s="594">
        <f ca="1">Проект!$U$1577</f>
        <v>0</v>
      </c>
      <c r="V457" s="594">
        <f ca="1">Проект!$V$1577</f>
        <v>0</v>
      </c>
      <c r="W457" s="594">
        <f ca="1">Проект!$W$1577</f>
        <v>0</v>
      </c>
      <c r="X457" s="594">
        <f ca="1">Проект!$X$1577</f>
        <v>0</v>
      </c>
      <c r="Y457" s="594">
        <f ca="1">Проект!$Y$1577</f>
        <v>0</v>
      </c>
      <c r="Z457" s="594">
        <f ca="1">Проект!$Z$1577</f>
        <v>0</v>
      </c>
      <c r="AA457" s="594">
        <f ca="1">Проект!$AA$1577</f>
        <v>0</v>
      </c>
      <c r="AB457" s="594">
        <f ca="1">Проект!$AB$1577</f>
        <v>0</v>
      </c>
      <c r="AC457" s="594">
        <f ca="1">Проект!$AC$1577</f>
        <v>0</v>
      </c>
      <c r="AD457" s="563"/>
      <c r="AE457" s="569"/>
    </row>
    <row r="458" spans="1:31" ht="11.25" customHeight="1" x14ac:dyDescent="0.3">
      <c r="A458" s="563" t="str">
        <f ca="1">Проект!$A$1578</f>
        <v>Общий коэффициент покрытия долга</v>
      </c>
      <c r="B458" s="563"/>
      <c r="C458" s="539" t="str">
        <f ca="1">Проект!$C$1578</f>
        <v>разы</v>
      </c>
      <c r="D458" s="554" t="str">
        <f>Проект!$D$1578</f>
        <v>int_avg</v>
      </c>
      <c r="E458" s="563"/>
      <c r="F458" s="613" t="str">
        <f>Проект!$F$1578</f>
        <v>-</v>
      </c>
      <c r="G458" s="613" t="str">
        <f>Проект!$G$1578</f>
        <v>-</v>
      </c>
      <c r="H458" s="613" t="str">
        <f>Проект!$H$1578</f>
        <v>-</v>
      </c>
      <c r="I458" s="613" t="str">
        <f>Проект!$I$1578</f>
        <v>-</v>
      </c>
      <c r="J458" s="613" t="str">
        <f>Проект!$J$1578</f>
        <v>-</v>
      </c>
      <c r="K458" s="613" t="str">
        <f>Проект!$K$1578</f>
        <v>-</v>
      </c>
      <c r="L458" s="613" t="str">
        <f>Проект!$L$1578</f>
        <v>-</v>
      </c>
      <c r="M458" s="613" t="str">
        <f>Проект!$M$1578</f>
        <v>-</v>
      </c>
      <c r="N458" s="613" t="str">
        <f>Проект!$N$1578</f>
        <v>-</v>
      </c>
      <c r="O458" s="613" t="str">
        <f>Проект!$O$1578</f>
        <v>-</v>
      </c>
      <c r="P458" s="613" t="str">
        <f>Проект!$P$1578</f>
        <v>-</v>
      </c>
      <c r="Q458" s="613" t="str">
        <f>Проект!$Q$1578</f>
        <v>-</v>
      </c>
      <c r="R458" s="613" t="str">
        <f>Проект!$R$1578</f>
        <v>-</v>
      </c>
      <c r="S458" s="613" t="str">
        <f>Проект!$S$1578</f>
        <v>-</v>
      </c>
      <c r="T458" s="613" t="str">
        <f>Проект!$T$1578</f>
        <v>-</v>
      </c>
      <c r="U458" s="613" t="str">
        <f>Проект!$U$1578</f>
        <v>-</v>
      </c>
      <c r="V458" s="613" t="str">
        <f>Проект!$V$1578</f>
        <v>-</v>
      </c>
      <c r="W458" s="613" t="str">
        <f>Проект!$W$1578</f>
        <v>-</v>
      </c>
      <c r="X458" s="613" t="str">
        <f>Проект!$X$1578</f>
        <v>-</v>
      </c>
      <c r="Y458" s="613" t="str">
        <f>Проект!$Y$1578</f>
        <v>-</v>
      </c>
      <c r="Z458" s="613" t="str">
        <f>Проект!$Z$1578</f>
        <v>-</v>
      </c>
      <c r="AA458" s="613" t="str">
        <f>Проект!$AA$1578</f>
        <v>-</v>
      </c>
      <c r="AB458" s="613" t="str">
        <f>Проект!$AB$1578</f>
        <v>-</v>
      </c>
      <c r="AC458" s="613" t="str">
        <f>Проект!$AC$1578</f>
        <v>-</v>
      </c>
      <c r="AD458" s="563"/>
      <c r="AE458" s="569"/>
    </row>
    <row r="459" spans="1:31" ht="11.25" customHeight="1" x14ac:dyDescent="0.3">
      <c r="A459" s="563" t="str">
        <f ca="1">Проект!$A$1579</f>
        <v>Покрытие процентов по кредитам</v>
      </c>
      <c r="B459" s="563"/>
      <c r="C459" s="539" t="str">
        <f ca="1">Проект!$C$1579</f>
        <v>разы</v>
      </c>
      <c r="D459" s="554" t="str">
        <f>Проект!$D$1579</f>
        <v>int_avg</v>
      </c>
      <c r="E459" s="563"/>
      <c r="F459" s="615" t="str">
        <f>Проект!$F$1579</f>
        <v>-</v>
      </c>
      <c r="G459" s="615" t="str">
        <f>Проект!$G$1579</f>
        <v>-</v>
      </c>
      <c r="H459" s="615" t="str">
        <f>Проект!$H$1579</f>
        <v>-</v>
      </c>
      <c r="I459" s="615" t="str">
        <f>Проект!$I$1579</f>
        <v>-</v>
      </c>
      <c r="J459" s="615" t="str">
        <f>Проект!$J$1579</f>
        <v>-</v>
      </c>
      <c r="K459" s="615" t="str">
        <f>Проект!$K$1579</f>
        <v>-</v>
      </c>
      <c r="L459" s="615" t="str">
        <f>Проект!$L$1579</f>
        <v>-</v>
      </c>
      <c r="M459" s="615" t="str">
        <f>Проект!$M$1579</f>
        <v>-</v>
      </c>
      <c r="N459" s="615" t="str">
        <f>Проект!$N$1579</f>
        <v>-</v>
      </c>
      <c r="O459" s="615" t="str">
        <f>Проект!$O$1579</f>
        <v>-</v>
      </c>
      <c r="P459" s="615" t="str">
        <f>Проект!$P$1579</f>
        <v>-</v>
      </c>
      <c r="Q459" s="615" t="str">
        <f>Проект!$Q$1579</f>
        <v>-</v>
      </c>
      <c r="R459" s="615" t="str">
        <f>Проект!$R$1579</f>
        <v>-</v>
      </c>
      <c r="S459" s="615" t="str">
        <f>Проект!$S$1579</f>
        <v>-</v>
      </c>
      <c r="T459" s="615" t="str">
        <f>Проект!$T$1579</f>
        <v>-</v>
      </c>
      <c r="U459" s="615" t="str">
        <f>Проект!$U$1579</f>
        <v>-</v>
      </c>
      <c r="V459" s="615" t="str">
        <f>Проект!$V$1579</f>
        <v>-</v>
      </c>
      <c r="W459" s="615" t="str">
        <f>Проект!$W$1579</f>
        <v>-</v>
      </c>
      <c r="X459" s="615" t="str">
        <f>Проект!$X$1579</f>
        <v>-</v>
      </c>
      <c r="Y459" s="615" t="str">
        <f>Проект!$Y$1579</f>
        <v>-</v>
      </c>
      <c r="Z459" s="615" t="str">
        <f>Проект!$Z$1579</f>
        <v>-</v>
      </c>
      <c r="AA459" s="615" t="str">
        <f>Проект!$AA$1579</f>
        <v>-</v>
      </c>
      <c r="AB459" s="615" t="str">
        <f>Проект!$AB$1579</f>
        <v>-</v>
      </c>
      <c r="AC459" s="615" t="str">
        <f>Проект!$AC$1579</f>
        <v>-</v>
      </c>
      <c r="AD459" s="563"/>
      <c r="AE459" s="569"/>
    </row>
    <row r="460" spans="1:31" ht="11.25" customHeight="1" x14ac:dyDescent="0.3">
      <c r="A460" s="544"/>
      <c r="B460" s="544"/>
      <c r="C460" s="544"/>
      <c r="D460" s="544"/>
      <c r="E460" s="544"/>
      <c r="F460" s="544"/>
      <c r="G460" s="544"/>
      <c r="H460" s="544"/>
      <c r="I460" s="544"/>
      <c r="J460" s="544"/>
      <c r="K460" s="544"/>
      <c r="L460" s="544"/>
      <c r="M460" s="544"/>
      <c r="N460" s="544"/>
      <c r="O460" s="544"/>
      <c r="P460" s="544"/>
      <c r="Q460" s="544"/>
      <c r="R460" s="544"/>
      <c r="S460" s="544"/>
      <c r="T460" s="544"/>
      <c r="U460" s="544"/>
      <c r="V460" s="544"/>
      <c r="W460" s="544"/>
      <c r="X460" s="544"/>
      <c r="Y460" s="544"/>
      <c r="Z460" s="544"/>
      <c r="AA460" s="544"/>
      <c r="AB460" s="544"/>
      <c r="AC460" s="544"/>
      <c r="AD460" s="544"/>
      <c r="AE460" s="569"/>
    </row>
    <row r="463" spans="1:31" x14ac:dyDescent="0.3">
      <c r="A463" s="599" t="str">
        <f ca="1">Language!A$829</f>
        <v>График: Рентабельность активов</v>
      </c>
      <c r="B463" s="600"/>
      <c r="C463" s="600"/>
      <c r="D463" s="600"/>
      <c r="E463" s="600"/>
      <c r="F463" s="600"/>
      <c r="G463" s="600"/>
      <c r="H463" s="600"/>
    </row>
    <row r="464" spans="1:31" x14ac:dyDescent="0.3">
      <c r="A464" s="600"/>
      <c r="B464" s="600"/>
      <c r="C464" s="600"/>
      <c r="D464" s="600"/>
      <c r="E464" s="600"/>
      <c r="F464" s="600"/>
      <c r="G464" s="600"/>
      <c r="H464" s="600"/>
    </row>
    <row r="465" spans="1:8" x14ac:dyDescent="0.3">
      <c r="A465" s="600"/>
      <c r="B465" s="600"/>
      <c r="C465" s="600"/>
      <c r="D465" s="600"/>
      <c r="E465" s="600"/>
      <c r="F465" s="600"/>
      <c r="G465" s="600"/>
      <c r="H465" s="600"/>
    </row>
    <row r="466" spans="1:8" x14ac:dyDescent="0.3">
      <c r="A466" s="600"/>
      <c r="B466" s="600"/>
      <c r="C466" s="600"/>
      <c r="D466" s="600"/>
      <c r="E466" s="600"/>
      <c r="F466" s="600"/>
      <c r="G466" s="600"/>
      <c r="H466" s="600"/>
    </row>
    <row r="467" spans="1:8" x14ac:dyDescent="0.3">
      <c r="A467" s="600"/>
      <c r="B467" s="600"/>
      <c r="C467" s="600"/>
      <c r="D467" s="600"/>
      <c r="E467" s="600"/>
      <c r="F467" s="600"/>
      <c r="G467" s="600"/>
      <c r="H467" s="600"/>
    </row>
    <row r="468" spans="1:8" x14ac:dyDescent="0.3">
      <c r="A468" s="600"/>
      <c r="B468" s="600"/>
      <c r="C468" s="600"/>
      <c r="D468" s="600"/>
      <c r="E468" s="600"/>
      <c r="F468" s="600"/>
      <c r="G468" s="600"/>
      <c r="H468" s="600"/>
    </row>
    <row r="469" spans="1:8" x14ac:dyDescent="0.3">
      <c r="A469" s="600"/>
      <c r="B469" s="600"/>
      <c r="C469" s="600"/>
      <c r="D469" s="600"/>
      <c r="E469" s="600"/>
      <c r="F469" s="600"/>
      <c r="G469" s="600"/>
      <c r="H469" s="600"/>
    </row>
    <row r="470" spans="1:8" x14ac:dyDescent="0.3">
      <c r="A470" s="600"/>
      <c r="B470" s="600"/>
      <c r="C470" s="600"/>
      <c r="D470" s="600"/>
      <c r="E470" s="600"/>
      <c r="F470" s="600"/>
      <c r="G470" s="600"/>
      <c r="H470" s="600"/>
    </row>
    <row r="471" spans="1:8" x14ac:dyDescent="0.3">
      <c r="A471" s="600"/>
      <c r="B471" s="600"/>
      <c r="C471" s="600"/>
      <c r="D471" s="600"/>
      <c r="E471" s="600"/>
      <c r="F471" s="600"/>
      <c r="G471" s="600"/>
      <c r="H471" s="600"/>
    </row>
    <row r="472" spans="1:8" x14ac:dyDescent="0.3">
      <c r="A472" s="600"/>
      <c r="B472" s="600"/>
      <c r="C472" s="600"/>
      <c r="D472" s="600"/>
      <c r="E472" s="600"/>
      <c r="F472" s="600"/>
      <c r="G472" s="600"/>
      <c r="H472" s="600"/>
    </row>
    <row r="473" spans="1:8" x14ac:dyDescent="0.3">
      <c r="A473" s="600"/>
      <c r="B473" s="600"/>
      <c r="C473" s="600"/>
      <c r="D473" s="600"/>
      <c r="E473" s="600"/>
      <c r="F473" s="600"/>
      <c r="G473" s="600"/>
      <c r="H473" s="600"/>
    </row>
    <row r="474" spans="1:8" x14ac:dyDescent="0.3">
      <c r="A474" s="600"/>
      <c r="B474" s="600"/>
      <c r="C474" s="600"/>
      <c r="D474" s="600"/>
      <c r="E474" s="600"/>
      <c r="F474" s="600"/>
      <c r="G474" s="600"/>
      <c r="H474" s="600"/>
    </row>
    <row r="475" spans="1:8" x14ac:dyDescent="0.3">
      <c r="A475" s="600"/>
      <c r="B475" s="600"/>
      <c r="C475" s="600"/>
      <c r="D475" s="600"/>
      <c r="E475" s="600"/>
      <c r="F475" s="600"/>
      <c r="G475" s="600"/>
      <c r="H475" s="600"/>
    </row>
    <row r="476" spans="1:8" x14ac:dyDescent="0.3">
      <c r="A476" s="600"/>
      <c r="B476" s="600"/>
      <c r="C476" s="600"/>
      <c r="D476" s="600"/>
      <c r="E476" s="600"/>
      <c r="F476" s="600"/>
      <c r="G476" s="600"/>
      <c r="H476" s="600"/>
    </row>
    <row r="477" spans="1:8" x14ac:dyDescent="0.3">
      <c r="A477" s="600"/>
      <c r="B477" s="600"/>
      <c r="C477" s="600"/>
      <c r="D477" s="600"/>
      <c r="E477" s="600"/>
      <c r="F477" s="600"/>
      <c r="G477" s="600"/>
      <c r="H477" s="600"/>
    </row>
    <row r="478" spans="1:8" x14ac:dyDescent="0.3">
      <c r="A478" s="600"/>
      <c r="B478" s="600"/>
      <c r="C478" s="600"/>
      <c r="D478" s="600"/>
      <c r="E478" s="600"/>
      <c r="F478" s="600"/>
      <c r="G478" s="600"/>
      <c r="H478" s="600"/>
    </row>
    <row r="479" spans="1:8" x14ac:dyDescent="0.3">
      <c r="A479" s="600"/>
      <c r="B479" s="600"/>
      <c r="C479" s="600"/>
      <c r="D479" s="600"/>
      <c r="E479" s="600"/>
      <c r="F479" s="600"/>
      <c r="G479" s="600"/>
      <c r="H479" s="600"/>
    </row>
    <row r="480" spans="1:8" x14ac:dyDescent="0.3">
      <c r="A480" s="600"/>
      <c r="B480" s="600"/>
      <c r="C480" s="600"/>
      <c r="D480" s="600"/>
      <c r="E480" s="600"/>
      <c r="F480" s="600"/>
      <c r="G480" s="600"/>
      <c r="H480" s="600"/>
    </row>
    <row r="481" spans="1:8" x14ac:dyDescent="0.3">
      <c r="A481" s="600"/>
      <c r="B481" s="600"/>
      <c r="C481" s="600"/>
      <c r="D481" s="600"/>
      <c r="E481" s="600"/>
      <c r="F481" s="600"/>
      <c r="G481" s="600"/>
      <c r="H481" s="600"/>
    </row>
    <row r="482" spans="1:8" x14ac:dyDescent="0.3">
      <c r="A482" s="600"/>
      <c r="B482" s="600"/>
      <c r="C482" s="600"/>
      <c r="D482" s="600"/>
      <c r="E482" s="600"/>
      <c r="F482" s="600"/>
      <c r="G482" s="600"/>
      <c r="H482" s="600"/>
    </row>
    <row r="483" spans="1:8" x14ac:dyDescent="0.3">
      <c r="A483" s="600"/>
      <c r="B483" s="600"/>
      <c r="C483" s="600"/>
      <c r="D483" s="600"/>
      <c r="E483" s="600"/>
      <c r="F483" s="600"/>
      <c r="G483" s="600"/>
      <c r="H483" s="600"/>
    </row>
    <row r="484" spans="1:8" x14ac:dyDescent="0.3">
      <c r="A484" s="600"/>
      <c r="B484" s="600"/>
      <c r="C484" s="600"/>
      <c r="D484" s="600"/>
      <c r="E484" s="600"/>
      <c r="F484" s="600"/>
      <c r="G484" s="600"/>
      <c r="H484" s="600"/>
    </row>
    <row r="485" spans="1:8" x14ac:dyDescent="0.3">
      <c r="A485" s="600"/>
      <c r="B485" s="600"/>
      <c r="C485" s="600"/>
      <c r="D485" s="600"/>
      <c r="E485" s="600"/>
      <c r="F485" s="600"/>
      <c r="G485" s="600"/>
      <c r="H485" s="600"/>
    </row>
    <row r="486" spans="1:8" x14ac:dyDescent="0.3">
      <c r="A486" s="600"/>
      <c r="B486" s="600"/>
      <c r="C486" s="600"/>
      <c r="D486" s="600"/>
      <c r="E486" s="600"/>
      <c r="F486" s="600"/>
      <c r="G486" s="600"/>
      <c r="H486" s="600"/>
    </row>
    <row r="489" spans="1:8" x14ac:dyDescent="0.3">
      <c r="A489" s="599" t="str">
        <f ca="1">Language!A$830</f>
        <v>График: Прибыльность продаж</v>
      </c>
      <c r="B489" s="600"/>
      <c r="C489" s="600"/>
      <c r="D489" s="600"/>
      <c r="E489" s="600"/>
      <c r="F489" s="600"/>
      <c r="G489" s="600"/>
      <c r="H489" s="600"/>
    </row>
    <row r="490" spans="1:8" x14ac:dyDescent="0.3">
      <c r="A490" s="600"/>
      <c r="B490" s="600"/>
      <c r="C490" s="600"/>
      <c r="D490" s="600"/>
      <c r="E490" s="600"/>
      <c r="F490" s="600"/>
      <c r="G490" s="600"/>
      <c r="H490" s="600"/>
    </row>
    <row r="491" spans="1:8" x14ac:dyDescent="0.3">
      <c r="A491" s="600"/>
      <c r="B491" s="600"/>
      <c r="C491" s="600"/>
      <c r="D491" s="600"/>
      <c r="E491" s="600"/>
      <c r="F491" s="600"/>
      <c r="G491" s="600"/>
      <c r="H491" s="600"/>
    </row>
    <row r="492" spans="1:8" x14ac:dyDescent="0.3">
      <c r="A492" s="600"/>
      <c r="B492" s="600"/>
      <c r="C492" s="600"/>
      <c r="D492" s="600"/>
      <c r="E492" s="600"/>
      <c r="F492" s="600"/>
      <c r="G492" s="600"/>
      <c r="H492" s="600"/>
    </row>
    <row r="493" spans="1:8" x14ac:dyDescent="0.3">
      <c r="A493" s="600"/>
      <c r="B493" s="600"/>
      <c r="C493" s="600"/>
      <c r="D493" s="600"/>
      <c r="E493" s="600"/>
      <c r="F493" s="600"/>
      <c r="G493" s="600"/>
      <c r="H493" s="600"/>
    </row>
    <row r="494" spans="1:8" x14ac:dyDescent="0.3">
      <c r="A494" s="600"/>
      <c r="B494" s="600"/>
      <c r="C494" s="600"/>
      <c r="D494" s="600"/>
      <c r="E494" s="600"/>
      <c r="F494" s="600"/>
      <c r="G494" s="600"/>
      <c r="H494" s="600"/>
    </row>
    <row r="495" spans="1:8" x14ac:dyDescent="0.3">
      <c r="A495" s="600"/>
      <c r="B495" s="600"/>
      <c r="C495" s="600"/>
      <c r="D495" s="600"/>
      <c r="E495" s="600"/>
      <c r="F495" s="600"/>
      <c r="G495" s="600"/>
      <c r="H495" s="600"/>
    </row>
    <row r="496" spans="1:8" x14ac:dyDescent="0.3">
      <c r="A496" s="600"/>
      <c r="B496" s="600"/>
      <c r="C496" s="600"/>
      <c r="D496" s="600"/>
      <c r="E496" s="600"/>
      <c r="F496" s="600"/>
      <c r="G496" s="600"/>
      <c r="H496" s="600"/>
    </row>
    <row r="497" spans="1:8" x14ac:dyDescent="0.3">
      <c r="A497" s="600"/>
      <c r="B497" s="600"/>
      <c r="C497" s="600"/>
      <c r="D497" s="600"/>
      <c r="E497" s="600"/>
      <c r="F497" s="600"/>
      <c r="G497" s="600"/>
      <c r="H497" s="600"/>
    </row>
    <row r="498" spans="1:8" x14ac:dyDescent="0.3">
      <c r="A498" s="600"/>
      <c r="B498" s="600"/>
      <c r="C498" s="600"/>
      <c r="D498" s="600"/>
      <c r="E498" s="600"/>
      <c r="F498" s="600"/>
      <c r="G498" s="600"/>
      <c r="H498" s="600"/>
    </row>
    <row r="499" spans="1:8" x14ac:dyDescent="0.3">
      <c r="A499" s="600"/>
      <c r="B499" s="600"/>
      <c r="C499" s="600"/>
      <c r="D499" s="600"/>
      <c r="E499" s="600"/>
      <c r="F499" s="600"/>
      <c r="G499" s="600"/>
      <c r="H499" s="600"/>
    </row>
    <row r="500" spans="1:8" x14ac:dyDescent="0.3">
      <c r="A500" s="600"/>
      <c r="B500" s="600"/>
      <c r="C500" s="600"/>
      <c r="D500" s="600"/>
      <c r="E500" s="600"/>
      <c r="F500" s="600"/>
      <c r="G500" s="600"/>
      <c r="H500" s="600"/>
    </row>
    <row r="501" spans="1:8" x14ac:dyDescent="0.3">
      <c r="A501" s="600"/>
      <c r="B501" s="600"/>
      <c r="C501" s="600"/>
      <c r="D501" s="600"/>
      <c r="E501" s="600"/>
      <c r="F501" s="600"/>
      <c r="G501" s="600"/>
      <c r="H501" s="600"/>
    </row>
    <row r="502" spans="1:8" x14ac:dyDescent="0.3">
      <c r="A502" s="600"/>
      <c r="B502" s="600"/>
      <c r="C502" s="600"/>
      <c r="D502" s="600"/>
      <c r="E502" s="600"/>
      <c r="F502" s="600"/>
      <c r="G502" s="600"/>
      <c r="H502" s="600"/>
    </row>
    <row r="503" spans="1:8" x14ac:dyDescent="0.3">
      <c r="A503" s="600"/>
      <c r="B503" s="600"/>
      <c r="C503" s="600"/>
      <c r="D503" s="600"/>
      <c r="E503" s="600"/>
      <c r="F503" s="600"/>
      <c r="G503" s="600"/>
      <c r="H503" s="600"/>
    </row>
    <row r="504" spans="1:8" x14ac:dyDescent="0.3">
      <c r="A504" s="600"/>
      <c r="B504" s="600"/>
      <c r="C504" s="600"/>
      <c r="D504" s="600"/>
      <c r="E504" s="600"/>
      <c r="F504" s="600"/>
      <c r="G504" s="600"/>
      <c r="H504" s="600"/>
    </row>
    <row r="505" spans="1:8" x14ac:dyDescent="0.3">
      <c r="A505" s="600"/>
      <c r="B505" s="600"/>
      <c r="C505" s="600"/>
      <c r="D505" s="600"/>
      <c r="E505" s="600"/>
      <c r="F505" s="600"/>
      <c r="G505" s="600"/>
      <c r="H505" s="600"/>
    </row>
    <row r="506" spans="1:8" x14ac:dyDescent="0.3">
      <c r="A506" s="600"/>
      <c r="B506" s="600"/>
      <c r="C506" s="600"/>
      <c r="D506" s="600"/>
      <c r="E506" s="600"/>
      <c r="F506" s="600"/>
      <c r="G506" s="600"/>
      <c r="H506" s="600"/>
    </row>
    <row r="507" spans="1:8" x14ac:dyDescent="0.3">
      <c r="A507" s="600"/>
      <c r="B507" s="600"/>
      <c r="C507" s="600"/>
      <c r="D507" s="600"/>
      <c r="E507" s="600"/>
      <c r="F507" s="600"/>
      <c r="G507" s="600"/>
      <c r="H507" s="600"/>
    </row>
    <row r="508" spans="1:8" x14ac:dyDescent="0.3">
      <c r="A508" s="600"/>
      <c r="B508" s="600"/>
      <c r="C508" s="600"/>
      <c r="D508" s="600"/>
      <c r="E508" s="600"/>
      <c r="F508" s="600"/>
      <c r="G508" s="600"/>
      <c r="H508" s="600"/>
    </row>
    <row r="509" spans="1:8" x14ac:dyDescent="0.3">
      <c r="A509" s="600"/>
      <c r="B509" s="600"/>
      <c r="C509" s="600"/>
      <c r="D509" s="600"/>
      <c r="E509" s="600"/>
      <c r="F509" s="600"/>
      <c r="G509" s="600"/>
      <c r="H509" s="600"/>
    </row>
    <row r="510" spans="1:8" x14ac:dyDescent="0.3">
      <c r="A510" s="600"/>
      <c r="B510" s="600"/>
      <c r="C510" s="600"/>
      <c r="D510" s="600"/>
      <c r="E510" s="600"/>
      <c r="F510" s="600"/>
      <c r="G510" s="600"/>
      <c r="H510" s="600"/>
    </row>
    <row r="511" spans="1:8" x14ac:dyDescent="0.3">
      <c r="A511" s="600"/>
      <c r="B511" s="600"/>
      <c r="C511" s="600"/>
      <c r="D511" s="600"/>
      <c r="E511" s="600"/>
      <c r="F511" s="600"/>
      <c r="G511" s="600"/>
      <c r="H511" s="600"/>
    </row>
    <row r="512" spans="1:8" x14ac:dyDescent="0.3">
      <c r="A512" s="600"/>
      <c r="B512" s="600"/>
      <c r="C512" s="600"/>
      <c r="D512" s="600"/>
      <c r="E512" s="600"/>
      <c r="F512" s="600"/>
      <c r="G512" s="600"/>
      <c r="H512" s="600"/>
    </row>
    <row r="515" spans="1:8" x14ac:dyDescent="0.3">
      <c r="A515" s="599" t="str">
        <f ca="1">Language!A$831</f>
        <v>График: Рентабельность по EBITDA</v>
      </c>
      <c r="B515" s="600"/>
      <c r="C515" s="600"/>
      <c r="D515" s="600"/>
      <c r="E515" s="600"/>
      <c r="F515" s="600"/>
      <c r="G515" s="600"/>
      <c r="H515" s="600"/>
    </row>
    <row r="516" spans="1:8" x14ac:dyDescent="0.3">
      <c r="A516" s="600"/>
      <c r="B516" s="600"/>
      <c r="C516" s="600"/>
      <c r="D516" s="600"/>
      <c r="E516" s="600"/>
      <c r="F516" s="600"/>
      <c r="G516" s="600"/>
      <c r="H516" s="600"/>
    </row>
    <row r="517" spans="1:8" x14ac:dyDescent="0.3">
      <c r="A517" s="600"/>
      <c r="B517" s="600"/>
      <c r="C517" s="600"/>
      <c r="D517" s="600"/>
      <c r="E517" s="600"/>
      <c r="F517" s="600"/>
      <c r="G517" s="600"/>
      <c r="H517" s="600"/>
    </row>
    <row r="518" spans="1:8" x14ac:dyDescent="0.3">
      <c r="A518" s="600"/>
      <c r="B518" s="600"/>
      <c r="C518" s="600"/>
      <c r="D518" s="600"/>
      <c r="E518" s="600"/>
      <c r="F518" s="600"/>
      <c r="G518" s="600"/>
      <c r="H518" s="600"/>
    </row>
    <row r="519" spans="1:8" x14ac:dyDescent="0.3">
      <c r="A519" s="600"/>
      <c r="B519" s="600"/>
      <c r="C519" s="600"/>
      <c r="D519" s="600"/>
      <c r="E519" s="600"/>
      <c r="F519" s="600"/>
      <c r="G519" s="600"/>
      <c r="H519" s="600"/>
    </row>
    <row r="520" spans="1:8" x14ac:dyDescent="0.3">
      <c r="A520" s="600"/>
      <c r="B520" s="600"/>
      <c r="C520" s="600"/>
      <c r="D520" s="600"/>
      <c r="E520" s="600"/>
      <c r="F520" s="600"/>
      <c r="G520" s="600"/>
      <c r="H520" s="600"/>
    </row>
    <row r="521" spans="1:8" x14ac:dyDescent="0.3">
      <c r="A521" s="600"/>
      <c r="B521" s="600"/>
      <c r="C521" s="600"/>
      <c r="D521" s="600"/>
      <c r="E521" s="600"/>
      <c r="F521" s="600"/>
      <c r="G521" s="600"/>
      <c r="H521" s="600"/>
    </row>
    <row r="522" spans="1:8" x14ac:dyDescent="0.3">
      <c r="A522" s="600"/>
      <c r="B522" s="600"/>
      <c r="C522" s="600"/>
      <c r="D522" s="600"/>
      <c r="E522" s="600"/>
      <c r="F522" s="600"/>
      <c r="G522" s="600"/>
      <c r="H522" s="600"/>
    </row>
    <row r="523" spans="1:8" x14ac:dyDescent="0.3">
      <c r="A523" s="600"/>
      <c r="B523" s="600"/>
      <c r="C523" s="600"/>
      <c r="D523" s="600"/>
      <c r="E523" s="600"/>
      <c r="F523" s="600"/>
      <c r="G523" s="600"/>
      <c r="H523" s="600"/>
    </row>
    <row r="524" spans="1:8" x14ac:dyDescent="0.3">
      <c r="A524" s="600"/>
      <c r="B524" s="600"/>
      <c r="C524" s="600"/>
      <c r="D524" s="600"/>
      <c r="E524" s="600"/>
      <c r="F524" s="600"/>
      <c r="G524" s="600"/>
      <c r="H524" s="600"/>
    </row>
    <row r="525" spans="1:8" x14ac:dyDescent="0.3">
      <c r="A525" s="600"/>
      <c r="B525" s="600"/>
      <c r="C525" s="600"/>
      <c r="D525" s="600"/>
      <c r="E525" s="600"/>
      <c r="F525" s="600"/>
      <c r="G525" s="600"/>
      <c r="H525" s="600"/>
    </row>
    <row r="526" spans="1:8" x14ac:dyDescent="0.3">
      <c r="A526" s="600"/>
      <c r="B526" s="600"/>
      <c r="C526" s="600"/>
      <c r="D526" s="600"/>
      <c r="E526" s="600"/>
      <c r="F526" s="600"/>
      <c r="G526" s="600"/>
      <c r="H526" s="600"/>
    </row>
    <row r="527" spans="1:8" x14ac:dyDescent="0.3">
      <c r="A527" s="600"/>
      <c r="B527" s="600"/>
      <c r="C527" s="600"/>
      <c r="D527" s="600"/>
      <c r="E527" s="600"/>
      <c r="F527" s="600"/>
      <c r="G527" s="600"/>
      <c r="H527" s="600"/>
    </row>
    <row r="528" spans="1:8" x14ac:dyDescent="0.3">
      <c r="A528" s="600"/>
      <c r="B528" s="600"/>
      <c r="C528" s="600"/>
      <c r="D528" s="600"/>
      <c r="E528" s="600"/>
      <c r="F528" s="600"/>
      <c r="G528" s="600"/>
      <c r="H528" s="600"/>
    </row>
    <row r="529" spans="1:31" x14ac:dyDescent="0.3">
      <c r="A529" s="600"/>
      <c r="B529" s="600"/>
      <c r="C529" s="600"/>
      <c r="D529" s="600"/>
      <c r="E529" s="600"/>
      <c r="F529" s="600"/>
      <c r="G529" s="600"/>
      <c r="H529" s="600"/>
    </row>
    <row r="530" spans="1:31" x14ac:dyDescent="0.3">
      <c r="A530" s="600"/>
      <c r="B530" s="600"/>
      <c r="C530" s="600"/>
      <c r="D530" s="600"/>
      <c r="E530" s="600"/>
      <c r="F530" s="600"/>
      <c r="G530" s="600"/>
      <c r="H530" s="600"/>
    </row>
    <row r="531" spans="1:31" x14ac:dyDescent="0.3">
      <c r="A531" s="600"/>
      <c r="B531" s="600"/>
      <c r="C531" s="600"/>
      <c r="D531" s="600"/>
      <c r="E531" s="600"/>
      <c r="F531" s="600"/>
      <c r="G531" s="600"/>
      <c r="H531" s="600"/>
    </row>
    <row r="532" spans="1:31" x14ac:dyDescent="0.3">
      <c r="A532" s="600"/>
      <c r="B532" s="600"/>
      <c r="C532" s="600"/>
      <c r="D532" s="600"/>
      <c r="E532" s="600"/>
      <c r="F532" s="600"/>
      <c r="G532" s="600"/>
      <c r="H532" s="600"/>
    </row>
    <row r="533" spans="1:31" x14ac:dyDescent="0.3">
      <c r="A533" s="600"/>
      <c r="B533" s="600"/>
      <c r="C533" s="600"/>
      <c r="D533" s="600"/>
      <c r="E533" s="600"/>
      <c r="F533" s="600"/>
      <c r="G533" s="600"/>
      <c r="H533" s="600"/>
    </row>
    <row r="534" spans="1:31" x14ac:dyDescent="0.3">
      <c r="A534" s="600"/>
      <c r="B534" s="600"/>
      <c r="C534" s="600"/>
      <c r="D534" s="600"/>
      <c r="E534" s="600"/>
      <c r="F534" s="600"/>
      <c r="G534" s="600"/>
      <c r="H534" s="600"/>
    </row>
    <row r="535" spans="1:31" x14ac:dyDescent="0.3">
      <c r="A535" s="600"/>
      <c r="B535" s="600"/>
      <c r="C535" s="600"/>
      <c r="D535" s="600"/>
      <c r="E535" s="600"/>
      <c r="F535" s="600"/>
      <c r="G535" s="600"/>
      <c r="H535" s="600"/>
    </row>
    <row r="536" spans="1:31" x14ac:dyDescent="0.3">
      <c r="A536" s="600"/>
      <c r="B536" s="600"/>
      <c r="C536" s="600"/>
      <c r="D536" s="600"/>
      <c r="E536" s="600"/>
      <c r="F536" s="600"/>
      <c r="G536" s="600"/>
      <c r="H536" s="600"/>
    </row>
    <row r="537" spans="1:31" x14ac:dyDescent="0.3">
      <c r="A537" s="600"/>
      <c r="B537" s="600"/>
      <c r="C537" s="600"/>
      <c r="D537" s="600"/>
      <c r="E537" s="600"/>
      <c r="F537" s="600"/>
      <c r="G537" s="600"/>
      <c r="H537" s="600"/>
    </row>
    <row r="538" spans="1:31" x14ac:dyDescent="0.3">
      <c r="A538" s="600"/>
      <c r="B538" s="600"/>
      <c r="C538" s="600"/>
      <c r="D538" s="600"/>
      <c r="E538" s="600"/>
      <c r="F538" s="600"/>
      <c r="G538" s="600"/>
      <c r="H538" s="600"/>
    </row>
    <row r="541" spans="1:31" ht="15.95" customHeight="1" thickBot="1" x14ac:dyDescent="0.25">
      <c r="A541" s="528" t="str">
        <f ca="1">Проект!$A$1657</f>
        <v xml:space="preserve">         АНАЛИЗ СЕБЕСТОИМОСТИ</v>
      </c>
      <c r="B541" s="528"/>
      <c r="C541" s="528"/>
      <c r="D541" s="528"/>
      <c r="E541" s="528"/>
      <c r="F541" s="529" t="str">
        <f ca="1">Проект!$F$1657</f>
        <v>1 кв. 2016</v>
      </c>
      <c r="G541" s="529" t="str">
        <f ca="1">Проект!$G$1657</f>
        <v>2 кв. 2016</v>
      </c>
      <c r="H541" s="529" t="str">
        <f ca="1">Проект!$H$1657</f>
        <v>3 кв. 2016</v>
      </c>
      <c r="I541" s="529" t="str">
        <f ca="1">Проект!$I$1657</f>
        <v>4 кв. 2016</v>
      </c>
      <c r="J541" s="529" t="str">
        <f ca="1">Проект!$J$1657</f>
        <v>1 кв. 2017</v>
      </c>
      <c r="K541" s="529" t="str">
        <f ca="1">Проект!$K$1657</f>
        <v>2 кв. 2017</v>
      </c>
      <c r="L541" s="529" t="str">
        <f ca="1">Проект!$L$1657</f>
        <v>3 кв. 2017</v>
      </c>
      <c r="M541" s="529" t="str">
        <f ca="1">Проект!$M$1657</f>
        <v>4 кв. 2017</v>
      </c>
      <c r="N541" s="529" t="str">
        <f ca="1">Проект!$N$1657</f>
        <v>1 кв. 2018</v>
      </c>
      <c r="O541" s="529" t="str">
        <f ca="1">Проект!$O$1657</f>
        <v>2 кв. 2018</v>
      </c>
      <c r="P541" s="529" t="str">
        <f ca="1">Проект!$P$1657</f>
        <v>3 кв. 2018</v>
      </c>
      <c r="Q541" s="529" t="str">
        <f ca="1">Проект!$Q$1657</f>
        <v>4 кв. 2018</v>
      </c>
      <c r="R541" s="529" t="str">
        <f ca="1">Проект!$R$1657</f>
        <v>1 кв. 2019</v>
      </c>
      <c r="S541" s="529" t="str">
        <f ca="1">Проект!$S$1657</f>
        <v>2 кв. 2019</v>
      </c>
      <c r="T541" s="529" t="str">
        <f ca="1">Проект!$T$1657</f>
        <v>3 кв. 2019</v>
      </c>
      <c r="U541" s="529" t="str">
        <f ca="1">Проект!$U$1657</f>
        <v>4 кв. 2019</v>
      </c>
      <c r="V541" s="529" t="str">
        <f ca="1">Проект!$V$1657</f>
        <v>1 кв. 2020</v>
      </c>
      <c r="W541" s="529" t="str">
        <f ca="1">Проект!$W$1657</f>
        <v>2 кв. 2020</v>
      </c>
      <c r="X541" s="529" t="str">
        <f ca="1">Проект!$X$1657</f>
        <v>3 кв. 2020</v>
      </c>
      <c r="Y541" s="529" t="str">
        <f ca="1">Проект!$Y$1657</f>
        <v>4 кв. 2020</v>
      </c>
      <c r="Z541" s="529" t="str">
        <f ca="1">Проект!$Z$1657</f>
        <v>1 кв. 2021</v>
      </c>
      <c r="AA541" s="529" t="str">
        <f ca="1">Проект!$AA$1657</f>
        <v>2 кв. 2021</v>
      </c>
      <c r="AB541" s="529" t="str">
        <f ca="1">Проект!$AB$1657</f>
        <v>3 кв. 2021</v>
      </c>
      <c r="AC541" s="529" t="str">
        <f ca="1">Проект!$AC$1657</f>
        <v>4 кв. 2021</v>
      </c>
      <c r="AD541" s="528"/>
      <c r="AE541" s="606"/>
    </row>
    <row r="542" spans="1:31" ht="12" customHeight="1" thickTop="1" x14ac:dyDescent="0.3">
      <c r="A542" s="563"/>
      <c r="B542" s="563"/>
      <c r="C542" s="563"/>
      <c r="D542" s="563"/>
      <c r="E542" s="563"/>
      <c r="F542" s="563"/>
      <c r="G542" s="563"/>
      <c r="H542" s="563"/>
      <c r="I542" s="563"/>
      <c r="J542" s="563"/>
      <c r="K542" s="563"/>
      <c r="L542" s="563"/>
      <c r="M542" s="563"/>
      <c r="N542" s="563"/>
      <c r="O542" s="563"/>
      <c r="P542" s="563"/>
      <c r="Q542" s="563"/>
      <c r="R542" s="563"/>
      <c r="S542" s="563"/>
      <c r="T542" s="563"/>
      <c r="U542" s="563"/>
      <c r="V542" s="563"/>
      <c r="W542" s="563"/>
      <c r="X542" s="563"/>
      <c r="Y542" s="563"/>
      <c r="Z542" s="563"/>
      <c r="AA542" s="563"/>
      <c r="AB542" s="563"/>
      <c r="AC542" s="563"/>
      <c r="AD542" s="563"/>
      <c r="AE542" s="569"/>
    </row>
    <row r="543" spans="1:31" ht="11.25" customHeight="1" x14ac:dyDescent="0.3">
      <c r="A543" s="604" t="str">
        <f ca="1">Проект!$A$1659</f>
        <v>База распределения постоянных расходов</v>
      </c>
      <c r="B543" s="537">
        <f>Проект!$B$1659</f>
        <v>1</v>
      </c>
      <c r="C543" s="616" t="str">
        <f ca="1">Проект!$C$1659</f>
        <v>Затраты на сырье и материалы</v>
      </c>
      <c r="D543" s="563"/>
      <c r="E543" s="563"/>
      <c r="F543" s="563"/>
      <c r="G543" s="563"/>
      <c r="H543" s="563"/>
      <c r="I543" s="563"/>
      <c r="J543" s="563"/>
      <c r="K543" s="563"/>
      <c r="L543" s="563"/>
      <c r="M543" s="563"/>
      <c r="N543" s="563"/>
      <c r="O543" s="563"/>
      <c r="P543" s="563"/>
      <c r="Q543" s="563"/>
      <c r="R543" s="563"/>
      <c r="S543" s="563"/>
      <c r="T543" s="563"/>
      <c r="U543" s="563"/>
      <c r="V543" s="563"/>
      <c r="W543" s="563"/>
      <c r="X543" s="563"/>
      <c r="Y543" s="563"/>
      <c r="Z543" s="563"/>
      <c r="AA543" s="563"/>
      <c r="AB543" s="563"/>
      <c r="AC543" s="563"/>
      <c r="AD543" s="563"/>
      <c r="AE543" s="569"/>
    </row>
    <row r="544" spans="1:31" ht="11.25" customHeight="1" x14ac:dyDescent="0.3">
      <c r="A544" s="563"/>
      <c r="B544" s="563"/>
      <c r="C544" s="563"/>
      <c r="D544" s="563">
        <f>Проект!$D$1660</f>
        <v>0</v>
      </c>
      <c r="E544" s="563">
        <f>Проект!$E$1660</f>
        <v>24</v>
      </c>
      <c r="F544" s="563"/>
      <c r="G544" s="563"/>
      <c r="H544" s="563"/>
      <c r="I544" s="563"/>
      <c r="J544" s="563"/>
      <c r="K544" s="563"/>
      <c r="L544" s="563"/>
      <c r="M544" s="563"/>
      <c r="N544" s="563"/>
      <c r="O544" s="563"/>
      <c r="P544" s="563"/>
      <c r="Q544" s="563"/>
      <c r="R544" s="563"/>
      <c r="S544" s="563"/>
      <c r="T544" s="563"/>
      <c r="U544" s="563"/>
      <c r="V544" s="563"/>
      <c r="W544" s="563"/>
      <c r="X544" s="563"/>
      <c r="Y544" s="563"/>
      <c r="Z544" s="563"/>
      <c r="AA544" s="563"/>
      <c r="AB544" s="563"/>
      <c r="AC544" s="563"/>
      <c r="AD544" s="563"/>
      <c r="AE544" s="569"/>
    </row>
    <row r="545" spans="1:31" ht="11.25" customHeight="1" x14ac:dyDescent="0.3">
      <c r="A545" s="570" t="str">
        <f>Проект!$A$1661</f>
        <v>Долота</v>
      </c>
      <c r="B545" s="563"/>
      <c r="C545" s="563"/>
      <c r="D545" s="563"/>
      <c r="E545" s="563"/>
      <c r="F545" s="571"/>
      <c r="G545" s="571"/>
      <c r="H545" s="571"/>
      <c r="I545" s="571"/>
      <c r="J545" s="571"/>
      <c r="K545" s="571"/>
      <c r="L545" s="571"/>
      <c r="M545" s="571"/>
      <c r="N545" s="571"/>
      <c r="O545" s="571"/>
      <c r="P545" s="571"/>
      <c r="Q545" s="571"/>
      <c r="R545" s="571"/>
      <c r="S545" s="571"/>
      <c r="T545" s="571"/>
      <c r="U545" s="571"/>
      <c r="V545" s="571"/>
      <c r="W545" s="571"/>
      <c r="X545" s="571"/>
      <c r="Y545" s="571"/>
      <c r="Z545" s="571"/>
      <c r="AA545" s="571"/>
      <c r="AB545" s="571"/>
      <c r="AC545" s="571"/>
      <c r="AD545" s="563"/>
      <c r="AE545" s="569"/>
    </row>
    <row r="546" spans="1:31" ht="11.25" customHeight="1" x14ac:dyDescent="0.3">
      <c r="A546" s="598" t="str">
        <f ca="1">Проект!$A$1662</f>
        <v>Цена реализации</v>
      </c>
      <c r="B546" s="563"/>
      <c r="C546" s="539" t="str">
        <f ca="1">Проект!$C$1662</f>
        <v>тыс. EUR / ед.</v>
      </c>
      <c r="D546" s="554" t="str">
        <f>Проект!$D$1662</f>
        <v>int_avg</v>
      </c>
      <c r="E546" s="563"/>
      <c r="F546" s="617">
        <f>Проект!$F$1662</f>
        <v>0</v>
      </c>
      <c r="G546" s="617">
        <f>Проект!$G$1662</f>
        <v>0</v>
      </c>
      <c r="H546" s="617">
        <f>Проект!$H$1662</f>
        <v>0</v>
      </c>
      <c r="I546" s="617">
        <f>Проект!$I$1662</f>
        <v>0</v>
      </c>
      <c r="J546" s="617">
        <f>Проект!$J$1662</f>
        <v>0</v>
      </c>
      <c r="K546" s="617">
        <f>Проект!$K$1662</f>
        <v>8.5066776748961868</v>
      </c>
      <c r="L546" s="617">
        <f>Проект!$L$1662</f>
        <v>8.5134748275305991</v>
      </c>
      <c r="M546" s="617">
        <f>Проект!$M$1662</f>
        <v>8.4676262884251177</v>
      </c>
      <c r="N546" s="617">
        <f>Проект!$N$1662</f>
        <v>8.4906447461459571</v>
      </c>
      <c r="O546" s="617">
        <f>Проект!$O$1662</f>
        <v>8.4906447461459571</v>
      </c>
      <c r="P546" s="617">
        <f>Проект!$P$1662</f>
        <v>8.4906447461459571</v>
      </c>
      <c r="Q546" s="617">
        <f>Проект!$Q$1662</f>
        <v>8.4906447461459571</v>
      </c>
      <c r="R546" s="617">
        <f>Проект!$R$1662</f>
        <v>8.4906447461459571</v>
      </c>
      <c r="S546" s="617">
        <f>Проект!$S$1662</f>
        <v>8.4906447461459571</v>
      </c>
      <c r="T546" s="617">
        <f>Проект!$T$1662</f>
        <v>8.4906447461459571</v>
      </c>
      <c r="U546" s="617">
        <f>Проект!$U$1662</f>
        <v>8.4906447461459571</v>
      </c>
      <c r="V546" s="617">
        <f>Проект!$V$1662</f>
        <v>8.4906447461459571</v>
      </c>
      <c r="W546" s="617">
        <f>Проект!$W$1662</f>
        <v>8.4906447461459571</v>
      </c>
      <c r="X546" s="617">
        <f>Проект!$X$1662</f>
        <v>8.4906447461459571</v>
      </c>
      <c r="Y546" s="617">
        <f>Проект!$Y$1662</f>
        <v>8.4906447461459571</v>
      </c>
      <c r="Z546" s="617">
        <f>Проект!$Z$1662</f>
        <v>8.4906447461459571</v>
      </c>
      <c r="AA546" s="617">
        <f>Проект!$AA$1662</f>
        <v>8.4906447461459571</v>
      </c>
      <c r="AB546" s="617">
        <f>Проект!$AB$1662</f>
        <v>8.4906447461459571</v>
      </c>
      <c r="AC546" s="617">
        <f>Проект!$AC$1662</f>
        <v>8.4906447461459571</v>
      </c>
      <c r="AD546" s="563"/>
      <c r="AE546" s="569"/>
    </row>
    <row r="547" spans="1:31" ht="11.25" customHeight="1" x14ac:dyDescent="0.3">
      <c r="A547" s="598" t="str">
        <f ca="1">Проект!$A$1663</f>
        <v>Себестоимость единицы</v>
      </c>
      <c r="B547" s="563"/>
      <c r="C547" s="539" t="str">
        <f ca="1">Проект!$C$1663</f>
        <v>тыс. EUR / ед.</v>
      </c>
      <c r="D547" s="554" t="str">
        <f>Проект!$D$1663</f>
        <v>int_avg</v>
      </c>
      <c r="E547" s="563"/>
      <c r="F547" s="618" t="str">
        <f ca="1">Проект!$F$1663</f>
        <v>-</v>
      </c>
      <c r="G547" s="618" t="str">
        <f ca="1">Проект!$G$1663</f>
        <v>-</v>
      </c>
      <c r="H547" s="618" t="str">
        <f ca="1">Проект!$H$1663</f>
        <v>-</v>
      </c>
      <c r="I547" s="618" t="str">
        <f ca="1">Проект!$I$1663</f>
        <v>-</v>
      </c>
      <c r="J547" s="618" t="str">
        <f ca="1">Проект!$J$1663</f>
        <v>-</v>
      </c>
      <c r="K547" s="618">
        <f ca="1">Проект!$K$1663</f>
        <v>14.82304699752639</v>
      </c>
      <c r="L547" s="618">
        <f ca="1">Проект!$L$1663</f>
        <v>8.1871157007050659</v>
      </c>
      <c r="M547" s="618">
        <f ca="1">Проект!$M$1663</f>
        <v>7.2789984392374256</v>
      </c>
      <c r="N547" s="618">
        <f ca="1">Проект!$N$1663</f>
        <v>6.8751859194176648</v>
      </c>
      <c r="O547" s="618">
        <f ca="1">Проект!$O$1663</f>
        <v>6.7043217716741177</v>
      </c>
      <c r="P547" s="618">
        <f ca="1">Проект!$P$1663</f>
        <v>6.7043217716741177</v>
      </c>
      <c r="Q547" s="618">
        <f ca="1">Проект!$Q$1663</f>
        <v>6.7043217716741177</v>
      </c>
      <c r="R547" s="618">
        <f ca="1">Проект!$R$1663</f>
        <v>6.7043217716741177</v>
      </c>
      <c r="S547" s="618">
        <f ca="1">Проект!$S$1663</f>
        <v>6.7043217716741177</v>
      </c>
      <c r="T547" s="618">
        <f ca="1">Проект!$T$1663</f>
        <v>6.7043217716741177</v>
      </c>
      <c r="U547" s="618">
        <f ca="1">Проект!$U$1663</f>
        <v>6.7043217716741177</v>
      </c>
      <c r="V547" s="618">
        <f ca="1">Проект!$V$1663</f>
        <v>6.7043217716741177</v>
      </c>
      <c r="W547" s="618">
        <f ca="1">Проект!$W$1663</f>
        <v>6.7043217716741177</v>
      </c>
      <c r="X547" s="618">
        <f ca="1">Проект!$X$1663</f>
        <v>6.7043217716741177</v>
      </c>
      <c r="Y547" s="618">
        <f ca="1">Проект!$Y$1663</f>
        <v>6.7043217716741177</v>
      </c>
      <c r="Z547" s="618">
        <f ca="1">Проект!$Z$1663</f>
        <v>6.7043217716741177</v>
      </c>
      <c r="AA547" s="618">
        <f ca="1">Проект!$AA$1663</f>
        <v>6.7043217716741177</v>
      </c>
      <c r="AB547" s="618">
        <f ca="1">Проект!$AB$1663</f>
        <v>6.7043217716741177</v>
      </c>
      <c r="AC547" s="618">
        <f ca="1">Проект!$AC$1663</f>
        <v>6.7043217716741177</v>
      </c>
      <c r="AD547" s="563"/>
      <c r="AE547" s="569"/>
    </row>
    <row r="548" spans="1:31" hidden="1" x14ac:dyDescent="0.3">
      <c r="A548" s="598" t="str">
        <f ca="1">Проект!$A$1664</f>
        <v xml:space="preserve">    постоянные затраты на единицу</v>
      </c>
      <c r="B548" s="563"/>
      <c r="C548" s="539" t="str">
        <f ca="1">Проект!$C$1664</f>
        <v>тыс. EUR / ед.</v>
      </c>
      <c r="D548" s="554" t="str">
        <f>Проект!$D$1664</f>
        <v>int_avg</v>
      </c>
      <c r="E548" s="563"/>
      <c r="F548" s="618" t="str">
        <f ca="1">Проект!$F$1664</f>
        <v>-</v>
      </c>
      <c r="G548" s="618" t="str">
        <f ca="1">Проект!$G$1664</f>
        <v>-</v>
      </c>
      <c r="H548" s="618" t="str">
        <f ca="1">Проект!$H$1664</f>
        <v>-</v>
      </c>
      <c r="I548" s="618" t="str">
        <f ca="1">Проект!$I$1664</f>
        <v>-</v>
      </c>
      <c r="J548" s="618" t="str">
        <f ca="1">Проект!$J$1664</f>
        <v>-</v>
      </c>
      <c r="K548" s="618">
        <f ca="1">Проект!$K$1664</f>
        <v>9.1901464766927976</v>
      </c>
      <c r="L548" s="618">
        <f ca="1">Проект!$L$1664</f>
        <v>2.5492165384283116</v>
      </c>
      <c r="M548" s="618">
        <f ca="1">Проект!$M$1664</f>
        <v>1.67481639646757</v>
      </c>
      <c r="N548" s="618">
        <f ca="1">Проект!$N$1664</f>
        <v>1.2540760507021989</v>
      </c>
      <c r="O548" s="618">
        <f ca="1">Проект!$O$1664</f>
        <v>1.0832119029586516</v>
      </c>
      <c r="P548" s="618">
        <f ca="1">Проект!$P$1664</f>
        <v>1.0832119029586516</v>
      </c>
      <c r="Q548" s="618">
        <f ca="1">Проект!$Q$1664</f>
        <v>1.0832119029586516</v>
      </c>
      <c r="R548" s="618">
        <f ca="1">Проект!$R$1664</f>
        <v>1.0832119029586516</v>
      </c>
      <c r="S548" s="618">
        <f ca="1">Проект!$S$1664</f>
        <v>1.0832119029586516</v>
      </c>
      <c r="T548" s="618">
        <f ca="1">Проект!$T$1664</f>
        <v>1.0832119029586516</v>
      </c>
      <c r="U548" s="618">
        <f ca="1">Проект!$U$1664</f>
        <v>1.0832119029586516</v>
      </c>
      <c r="V548" s="618">
        <f ca="1">Проект!$V$1664</f>
        <v>1.0832119029586516</v>
      </c>
      <c r="W548" s="618">
        <f ca="1">Проект!$W$1664</f>
        <v>1.0832119029586516</v>
      </c>
      <c r="X548" s="618">
        <f ca="1">Проект!$X$1664</f>
        <v>1.0832119029586516</v>
      </c>
      <c r="Y548" s="618">
        <f ca="1">Проект!$Y$1664</f>
        <v>1.0832119029586516</v>
      </c>
      <c r="Z548" s="618">
        <f ca="1">Проект!$Z$1664</f>
        <v>1.0832119029586516</v>
      </c>
      <c r="AA548" s="618">
        <f ca="1">Проект!$AA$1664</f>
        <v>1.0832119029586516</v>
      </c>
      <c r="AB548" s="618">
        <f ca="1">Проект!$AB$1664</f>
        <v>1.0832119029586516</v>
      </c>
      <c r="AC548" s="618">
        <f ca="1">Проект!$AC$1664</f>
        <v>1.0832119029586516</v>
      </c>
      <c r="AD548" s="563"/>
      <c r="AE548" s="569"/>
    </row>
    <row r="549" spans="1:31" hidden="1" x14ac:dyDescent="0.3">
      <c r="A549" s="598" t="str">
        <f ca="1">Проект!$A$1665</f>
        <v xml:space="preserve">    переменные затраты на единицу</v>
      </c>
      <c r="B549" s="563"/>
      <c r="C549" s="539" t="str">
        <f ca="1">Проект!$C$1665</f>
        <v>тыс. EUR / ед.</v>
      </c>
      <c r="D549" s="554" t="str">
        <f>Проект!$D$1665</f>
        <v>int_avg</v>
      </c>
      <c r="E549" s="563"/>
      <c r="F549" s="618" t="str">
        <f ca="1">Проект!$F$1665</f>
        <v>-</v>
      </c>
      <c r="G549" s="618" t="str">
        <f ca="1">Проект!$G$1665</f>
        <v>-</v>
      </c>
      <c r="H549" s="618" t="str">
        <f ca="1">Проект!$H$1665</f>
        <v>-</v>
      </c>
      <c r="I549" s="618" t="str">
        <f ca="1">Проект!$I$1665</f>
        <v>-</v>
      </c>
      <c r="J549" s="618" t="str">
        <f ca="1">Проект!$J$1665</f>
        <v>-</v>
      </c>
      <c r="K549" s="618">
        <f ca="1">Проект!$K$1665</f>
        <v>5.6329005208335916</v>
      </c>
      <c r="L549" s="618">
        <f ca="1">Проект!$L$1665</f>
        <v>5.6378991622767556</v>
      </c>
      <c r="M549" s="618">
        <f ca="1">Проект!$M$1665</f>
        <v>5.6041820427698559</v>
      </c>
      <c r="N549" s="618">
        <f ca="1">Проект!$N$1665</f>
        <v>5.6211098687154664</v>
      </c>
      <c r="O549" s="618">
        <f ca="1">Проект!$O$1665</f>
        <v>5.6211098687154664</v>
      </c>
      <c r="P549" s="618">
        <f ca="1">Проект!$P$1665</f>
        <v>5.6211098687154664</v>
      </c>
      <c r="Q549" s="618">
        <f ca="1">Проект!$Q$1665</f>
        <v>5.6211098687154664</v>
      </c>
      <c r="R549" s="618">
        <f ca="1">Проект!$R$1665</f>
        <v>5.6211098687154664</v>
      </c>
      <c r="S549" s="618">
        <f ca="1">Проект!$S$1665</f>
        <v>5.6211098687154664</v>
      </c>
      <c r="T549" s="618">
        <f ca="1">Проект!$T$1665</f>
        <v>5.6211098687154664</v>
      </c>
      <c r="U549" s="618">
        <f ca="1">Проект!$U$1665</f>
        <v>5.6211098687154664</v>
      </c>
      <c r="V549" s="618">
        <f ca="1">Проект!$V$1665</f>
        <v>5.6211098687154664</v>
      </c>
      <c r="W549" s="618">
        <f ca="1">Проект!$W$1665</f>
        <v>5.6211098687154664</v>
      </c>
      <c r="X549" s="618">
        <f ca="1">Проект!$X$1665</f>
        <v>5.6211098687154664</v>
      </c>
      <c r="Y549" s="618">
        <f ca="1">Проект!$Y$1665</f>
        <v>5.6211098687154664</v>
      </c>
      <c r="Z549" s="618">
        <f ca="1">Проект!$Z$1665</f>
        <v>5.6211098687154664</v>
      </c>
      <c r="AA549" s="618">
        <f ca="1">Проект!$AA$1665</f>
        <v>5.6211098687154664</v>
      </c>
      <c r="AB549" s="618">
        <f ca="1">Проект!$AB$1665</f>
        <v>5.6211098687154664</v>
      </c>
      <c r="AC549" s="618">
        <f ca="1">Проект!$AC$1665</f>
        <v>5.6211098687154664</v>
      </c>
      <c r="AD549" s="563"/>
      <c r="AE549" s="569"/>
    </row>
    <row r="550" spans="1:31" hidden="1" x14ac:dyDescent="0.3">
      <c r="A550" s="598" t="str">
        <f ca="1">Проект!$A$1666</f>
        <v xml:space="preserve">    Итого затраты</v>
      </c>
      <c r="B550" s="563"/>
      <c r="C550" s="539" t="str">
        <f ca="1">Проект!$C$1666</f>
        <v>тыс. EUR</v>
      </c>
      <c r="D550" s="563"/>
      <c r="E550" s="563"/>
      <c r="F550" s="619" t="str">
        <f ca="1">Проект!$F$1666</f>
        <v>-</v>
      </c>
      <c r="G550" s="619" t="str">
        <f ca="1">Проект!$G$1666</f>
        <v>-</v>
      </c>
      <c r="H550" s="619" t="str">
        <f ca="1">Проект!$H$1666</f>
        <v>-</v>
      </c>
      <c r="I550" s="619" t="str">
        <f ca="1">Проект!$I$1666</f>
        <v>-</v>
      </c>
      <c r="J550" s="619" t="str">
        <f ca="1">Проект!$J$1666</f>
        <v>-</v>
      </c>
      <c r="K550" s="619">
        <f ca="1">Проект!$K$1666</f>
        <v>1245.1359477922167</v>
      </c>
      <c r="L550" s="619">
        <f ca="1">Проект!$L$1666</f>
        <v>1113.4477352958891</v>
      </c>
      <c r="M550" s="619">
        <f ca="1">Проект!$M$1666</f>
        <v>1484.9156816044349</v>
      </c>
      <c r="N550" s="619">
        <f ca="1">Проект!$N$1666</f>
        <v>1856.3001982427695</v>
      </c>
      <c r="O550" s="619">
        <f ca="1">Проект!$O$1666</f>
        <v>1810.1668783520117</v>
      </c>
      <c r="P550" s="619">
        <f ca="1">Проект!$P$1666</f>
        <v>1810.1668783520117</v>
      </c>
      <c r="Q550" s="619">
        <f ca="1">Проект!$Q$1666</f>
        <v>1810.1668783520117</v>
      </c>
      <c r="R550" s="619">
        <f ca="1">Проект!$R$1666</f>
        <v>1810.1668783520117</v>
      </c>
      <c r="S550" s="619">
        <f ca="1">Проект!$S$1666</f>
        <v>1810.1668783520117</v>
      </c>
      <c r="T550" s="619">
        <f ca="1">Проект!$T$1666</f>
        <v>1810.1668783520117</v>
      </c>
      <c r="U550" s="619">
        <f ca="1">Проект!$U$1666</f>
        <v>1810.1668783520117</v>
      </c>
      <c r="V550" s="619">
        <f ca="1">Проект!$V$1666</f>
        <v>1810.1668783520117</v>
      </c>
      <c r="W550" s="619">
        <f ca="1">Проект!$W$1666</f>
        <v>1810.1668783520117</v>
      </c>
      <c r="X550" s="619">
        <f ca="1">Проект!$X$1666</f>
        <v>1810.1668783520117</v>
      </c>
      <c r="Y550" s="619">
        <f ca="1">Проект!$Y$1666</f>
        <v>1810.1668783520117</v>
      </c>
      <c r="Z550" s="619">
        <f ca="1">Проект!$Z$1666</f>
        <v>1810.1668783520117</v>
      </c>
      <c r="AA550" s="619">
        <f ca="1">Проект!$AA$1666</f>
        <v>1810.1668783520117</v>
      </c>
      <c r="AB550" s="619">
        <f ca="1">Проект!$AB$1666</f>
        <v>1810.1668783520117</v>
      </c>
      <c r="AC550" s="619">
        <f ca="1">Проект!$AC$1666</f>
        <v>1810.1668783520117</v>
      </c>
      <c r="AD550" s="563"/>
      <c r="AE550" s="569"/>
    </row>
    <row r="551" spans="1:31" hidden="1" x14ac:dyDescent="0.3">
      <c r="A551" s="598" t="str">
        <f ca="1">Проект!$A$1667</f>
        <v xml:space="preserve">    сырье и материалы</v>
      </c>
      <c r="B551" s="563"/>
      <c r="C551" s="539" t="str">
        <f ca="1">Проект!$C$1667</f>
        <v>тыс. EUR</v>
      </c>
      <c r="D551" s="563"/>
      <c r="E551" s="563"/>
      <c r="F551" s="571">
        <f>Проект!$F$1667</f>
        <v>0</v>
      </c>
      <c r="G551" s="571">
        <f>Проект!$G$1667</f>
        <v>0</v>
      </c>
      <c r="H551" s="571">
        <f>Проект!$H$1667</f>
        <v>0</v>
      </c>
      <c r="I551" s="571">
        <f>Проект!$I$1667</f>
        <v>0</v>
      </c>
      <c r="J551" s="571">
        <f>Проект!$J$1667</f>
        <v>0</v>
      </c>
      <c r="K551" s="571">
        <f>Проект!$K$1667</f>
        <v>473.16364375002166</v>
      </c>
      <c r="L551" s="571">
        <f>Проект!$L$1667</f>
        <v>766.75428606963874</v>
      </c>
      <c r="M551" s="571">
        <f>Проект!$M$1667</f>
        <v>1143.2531367250506</v>
      </c>
      <c r="N551" s="571">
        <f>Проект!$N$1667</f>
        <v>1517.6996645531758</v>
      </c>
      <c r="O551" s="571">
        <f>Проект!$O$1667</f>
        <v>1517.6996645531758</v>
      </c>
      <c r="P551" s="571">
        <f>Проект!$P$1667</f>
        <v>1517.6996645531758</v>
      </c>
      <c r="Q551" s="571">
        <f>Проект!$Q$1667</f>
        <v>1517.6996645531758</v>
      </c>
      <c r="R551" s="571">
        <f>Проект!$R$1667</f>
        <v>1517.6996645531758</v>
      </c>
      <c r="S551" s="571">
        <f>Проект!$S$1667</f>
        <v>1517.6996645531758</v>
      </c>
      <c r="T551" s="571">
        <f>Проект!$T$1667</f>
        <v>1517.6996645531758</v>
      </c>
      <c r="U551" s="571">
        <f>Проект!$U$1667</f>
        <v>1517.6996645531758</v>
      </c>
      <c r="V551" s="571">
        <f>Проект!$V$1667</f>
        <v>1517.6996645531758</v>
      </c>
      <c r="W551" s="571">
        <f>Проект!$W$1667</f>
        <v>1517.6996645531758</v>
      </c>
      <c r="X551" s="571">
        <f>Проект!$X$1667</f>
        <v>1517.6996645531758</v>
      </c>
      <c r="Y551" s="571">
        <f>Проект!$Y$1667</f>
        <v>1517.6996645531758</v>
      </c>
      <c r="Z551" s="571">
        <f>Проект!$Z$1667</f>
        <v>1517.6996645531758</v>
      </c>
      <c r="AA551" s="571">
        <f>Проект!$AA$1667</f>
        <v>1517.6996645531758</v>
      </c>
      <c r="AB551" s="571">
        <f>Проект!$AB$1667</f>
        <v>1517.6996645531758</v>
      </c>
      <c r="AC551" s="571">
        <f>Проект!$AC$1667</f>
        <v>1517.6996645531758</v>
      </c>
      <c r="AD551" s="563"/>
      <c r="AE551" s="569"/>
    </row>
    <row r="552" spans="1:31" hidden="1" x14ac:dyDescent="0.3">
      <c r="A552" s="598" t="str">
        <f ca="1">Проект!$A$1668</f>
        <v xml:space="preserve">    прочие переменные расходы</v>
      </c>
      <c r="B552" s="563"/>
      <c r="C552" s="539" t="str">
        <f ca="1">Проект!$C$1668</f>
        <v>тыс. EUR</v>
      </c>
      <c r="D552" s="563"/>
      <c r="E552" s="563"/>
      <c r="F552" s="571">
        <f>Проект!$F$1668</f>
        <v>0</v>
      </c>
      <c r="G552" s="571">
        <f>Проект!$G$1668</f>
        <v>0</v>
      </c>
      <c r="H552" s="571">
        <f>Проект!$H$1668</f>
        <v>0</v>
      </c>
      <c r="I552" s="571">
        <f>Проект!$I$1668</f>
        <v>0</v>
      </c>
      <c r="J552" s="571">
        <f>Проект!$J$1668</f>
        <v>0</v>
      </c>
      <c r="K552" s="571">
        <f>Проект!$K$1668</f>
        <v>0</v>
      </c>
      <c r="L552" s="571">
        <f>Проект!$L$1668</f>
        <v>0</v>
      </c>
      <c r="M552" s="571">
        <f>Проект!$M$1668</f>
        <v>0</v>
      </c>
      <c r="N552" s="571">
        <f>Проект!$N$1668</f>
        <v>0</v>
      </c>
      <c r="O552" s="571">
        <f>Проект!$O$1668</f>
        <v>0</v>
      </c>
      <c r="P552" s="571">
        <f>Проект!$P$1668</f>
        <v>0</v>
      </c>
      <c r="Q552" s="571">
        <f>Проект!$Q$1668</f>
        <v>0</v>
      </c>
      <c r="R552" s="571">
        <f>Проект!$R$1668</f>
        <v>0</v>
      </c>
      <c r="S552" s="571">
        <f>Проект!$S$1668</f>
        <v>0</v>
      </c>
      <c r="T552" s="571">
        <f>Проект!$T$1668</f>
        <v>0</v>
      </c>
      <c r="U552" s="571">
        <f>Проект!$U$1668</f>
        <v>0</v>
      </c>
      <c r="V552" s="571">
        <f>Проект!$V$1668</f>
        <v>0</v>
      </c>
      <c r="W552" s="571">
        <f>Проект!$W$1668</f>
        <v>0</v>
      </c>
      <c r="X552" s="571">
        <f>Проект!$X$1668</f>
        <v>0</v>
      </c>
      <c r="Y552" s="571">
        <f>Проект!$Y$1668</f>
        <v>0</v>
      </c>
      <c r="Z552" s="571">
        <f>Проект!$Z$1668</f>
        <v>0</v>
      </c>
      <c r="AA552" s="571">
        <f>Проект!$AA$1668</f>
        <v>0</v>
      </c>
      <c r="AB552" s="571">
        <f>Проект!$AB$1668</f>
        <v>0</v>
      </c>
      <c r="AC552" s="571">
        <f>Проект!$AC$1668</f>
        <v>0</v>
      </c>
      <c r="AD552" s="563"/>
      <c r="AE552" s="569"/>
    </row>
    <row r="553" spans="1:31" hidden="1" x14ac:dyDescent="0.3">
      <c r="A553" s="598" t="str">
        <f ca="1">Проект!$A$1669</f>
        <v xml:space="preserve">    оплата труда</v>
      </c>
      <c r="B553" s="563"/>
      <c r="C553" s="539" t="str">
        <f ca="1">Проект!$C$1669</f>
        <v>тыс. EUR</v>
      </c>
      <c r="D553" s="563"/>
      <c r="E553" s="563"/>
      <c r="F553" s="619" t="str">
        <f ca="1">Проект!$F$1669</f>
        <v>-</v>
      </c>
      <c r="G553" s="619" t="str">
        <f ca="1">Проект!$G$1669</f>
        <v>-</v>
      </c>
      <c r="H553" s="619" t="str">
        <f ca="1">Проект!$H$1669</f>
        <v>-</v>
      </c>
      <c r="I553" s="619" t="str">
        <f ca="1">Проект!$I$1669</f>
        <v>-</v>
      </c>
      <c r="J553" s="619" t="str">
        <f ca="1">Проект!$J$1669</f>
        <v>-</v>
      </c>
      <c r="K553" s="619">
        <f ca="1">Проект!$K$1669</f>
        <v>439.81937999999997</v>
      </c>
      <c r="L553" s="619">
        <f ca="1">Проект!$L$1669</f>
        <v>182.57601242136806</v>
      </c>
      <c r="M553" s="619">
        <f ca="1">Проект!$M$1669</f>
        <v>169.47309449453428</v>
      </c>
      <c r="N553" s="619">
        <f ca="1">Проект!$N$1669</f>
        <v>157.5798155077924</v>
      </c>
      <c r="O553" s="619">
        <f ca="1">Проект!$O$1669</f>
        <v>130.53350135923409</v>
      </c>
      <c r="P553" s="619">
        <f ca="1">Проект!$P$1669</f>
        <v>130.53350135923409</v>
      </c>
      <c r="Q553" s="619">
        <f ca="1">Проект!$Q$1669</f>
        <v>130.53350135923409</v>
      </c>
      <c r="R553" s="619">
        <f ca="1">Проект!$R$1669</f>
        <v>130.53350135923409</v>
      </c>
      <c r="S553" s="619">
        <f ca="1">Проект!$S$1669</f>
        <v>130.53350135923409</v>
      </c>
      <c r="T553" s="619">
        <f ca="1">Проект!$T$1669</f>
        <v>130.53350135923409</v>
      </c>
      <c r="U553" s="619">
        <f ca="1">Проект!$U$1669</f>
        <v>130.53350135923409</v>
      </c>
      <c r="V553" s="619">
        <f ca="1">Проект!$V$1669</f>
        <v>130.53350135923409</v>
      </c>
      <c r="W553" s="619">
        <f ca="1">Проект!$W$1669</f>
        <v>130.53350135923409</v>
      </c>
      <c r="X553" s="619">
        <f ca="1">Проект!$X$1669</f>
        <v>130.53350135923409</v>
      </c>
      <c r="Y553" s="619">
        <f ca="1">Проект!$Y$1669</f>
        <v>130.53350135923409</v>
      </c>
      <c r="Z553" s="619">
        <f ca="1">Проект!$Z$1669</f>
        <v>130.53350135923409</v>
      </c>
      <c r="AA553" s="619">
        <f ca="1">Проект!$AA$1669</f>
        <v>130.53350135923409</v>
      </c>
      <c r="AB553" s="619">
        <f ca="1">Проект!$AB$1669</f>
        <v>130.53350135923409</v>
      </c>
      <c r="AC553" s="619">
        <f ca="1">Проект!$AC$1669</f>
        <v>130.53350135923409</v>
      </c>
      <c r="AD553" s="563"/>
      <c r="AE553" s="569"/>
    </row>
    <row r="554" spans="1:31" hidden="1" x14ac:dyDescent="0.3">
      <c r="A554" s="598" t="str">
        <f ca="1">Проект!$A$1670</f>
        <v xml:space="preserve">    амортизация</v>
      </c>
      <c r="B554" s="563"/>
      <c r="C554" s="539" t="str">
        <f ca="1">Проект!$C$1670</f>
        <v>тыс. EUR</v>
      </c>
      <c r="D554" s="563"/>
      <c r="E554" s="563"/>
      <c r="F554" s="619" t="str">
        <f ca="1">Проект!$F$1670</f>
        <v>-</v>
      </c>
      <c r="G554" s="619" t="str">
        <f ca="1">Проект!$G$1670</f>
        <v>-</v>
      </c>
      <c r="H554" s="619" t="str">
        <f ca="1">Проект!$H$1670</f>
        <v>-</v>
      </c>
      <c r="I554" s="619" t="str">
        <f ca="1">Проект!$I$1670</f>
        <v>-</v>
      </c>
      <c r="J554" s="619" t="str">
        <f ca="1">Проект!$J$1670</f>
        <v>-</v>
      </c>
      <c r="K554" s="619">
        <f ca="1">Проект!$K$1670</f>
        <v>309.35251270876392</v>
      </c>
      <c r="L554" s="619">
        <f ca="1">Проект!$L$1670</f>
        <v>128.41714297104576</v>
      </c>
      <c r="M554" s="619">
        <f ca="1">Проект!$M$1670</f>
        <v>119.20104025069102</v>
      </c>
      <c r="N554" s="619">
        <f ca="1">Проект!$N$1670</f>
        <v>110.835752347973</v>
      </c>
      <c r="O554" s="619">
        <f ca="1">Проект!$O$1670</f>
        <v>91.812385889298284</v>
      </c>
      <c r="P554" s="619">
        <f ca="1">Проект!$P$1670</f>
        <v>91.812385889298284</v>
      </c>
      <c r="Q554" s="619">
        <f ca="1">Проект!$Q$1670</f>
        <v>91.812385889298284</v>
      </c>
      <c r="R554" s="619">
        <f ca="1">Проект!$R$1670</f>
        <v>91.812385889298284</v>
      </c>
      <c r="S554" s="619">
        <f ca="1">Проект!$S$1670</f>
        <v>91.812385889298284</v>
      </c>
      <c r="T554" s="619">
        <f ca="1">Проект!$T$1670</f>
        <v>91.812385889298284</v>
      </c>
      <c r="U554" s="619">
        <f ca="1">Проект!$U$1670</f>
        <v>91.812385889298284</v>
      </c>
      <c r="V554" s="619">
        <f ca="1">Проект!$V$1670</f>
        <v>91.812385889298284</v>
      </c>
      <c r="W554" s="619">
        <f ca="1">Проект!$W$1670</f>
        <v>91.812385889298284</v>
      </c>
      <c r="X554" s="619">
        <f ca="1">Проект!$X$1670</f>
        <v>91.812385889298284</v>
      </c>
      <c r="Y554" s="619">
        <f ca="1">Проект!$Y$1670</f>
        <v>91.812385889298284</v>
      </c>
      <c r="Z554" s="619">
        <f ca="1">Проект!$Z$1670</f>
        <v>91.812385889298284</v>
      </c>
      <c r="AA554" s="619">
        <f ca="1">Проект!$AA$1670</f>
        <v>91.812385889298284</v>
      </c>
      <c r="AB554" s="619">
        <f ca="1">Проект!$AB$1670</f>
        <v>91.812385889298284</v>
      </c>
      <c r="AC554" s="619">
        <f ca="1">Проект!$AC$1670</f>
        <v>91.812385889298284</v>
      </c>
      <c r="AD554" s="563"/>
      <c r="AE554" s="569"/>
    </row>
    <row r="555" spans="1:31" hidden="1" x14ac:dyDescent="0.3">
      <c r="A555" s="598" t="str">
        <f ca="1">Проект!$A$1671</f>
        <v xml:space="preserve">    лизинговые платежи</v>
      </c>
      <c r="B555" s="563"/>
      <c r="C555" s="539" t="str">
        <f ca="1">Проект!$C$1671</f>
        <v>тыс. EUR</v>
      </c>
      <c r="D555" s="563"/>
      <c r="E555" s="563"/>
      <c r="F555" s="619" t="str">
        <f ca="1">Проект!$F$1671</f>
        <v>-</v>
      </c>
      <c r="G555" s="619" t="str">
        <f ca="1">Проект!$G$1671</f>
        <v>-</v>
      </c>
      <c r="H555" s="619" t="str">
        <f ca="1">Проект!$H$1671</f>
        <v>-</v>
      </c>
      <c r="I555" s="619" t="str">
        <f ca="1">Проект!$I$1671</f>
        <v>-</v>
      </c>
      <c r="J555" s="619" t="str">
        <f ca="1">Проект!$J$1671</f>
        <v>-</v>
      </c>
      <c r="K555" s="619">
        <f ca="1">Проект!$K$1671</f>
        <v>0</v>
      </c>
      <c r="L555" s="619">
        <f ca="1">Проект!$L$1671</f>
        <v>0</v>
      </c>
      <c r="M555" s="619">
        <f ca="1">Проект!$M$1671</f>
        <v>0</v>
      </c>
      <c r="N555" s="619">
        <f ca="1">Проект!$N$1671</f>
        <v>0</v>
      </c>
      <c r="O555" s="619">
        <f ca="1">Проект!$O$1671</f>
        <v>0</v>
      </c>
      <c r="P555" s="619">
        <f ca="1">Проект!$P$1671</f>
        <v>0</v>
      </c>
      <c r="Q555" s="619">
        <f ca="1">Проект!$Q$1671</f>
        <v>0</v>
      </c>
      <c r="R555" s="619">
        <f ca="1">Проект!$R$1671</f>
        <v>0</v>
      </c>
      <c r="S555" s="619">
        <f ca="1">Проект!$S$1671</f>
        <v>0</v>
      </c>
      <c r="T555" s="619">
        <f ca="1">Проект!$T$1671</f>
        <v>0</v>
      </c>
      <c r="U555" s="619">
        <f ca="1">Проект!$U$1671</f>
        <v>0</v>
      </c>
      <c r="V555" s="619">
        <f ca="1">Проект!$V$1671</f>
        <v>0</v>
      </c>
      <c r="W555" s="619">
        <f ca="1">Проект!$W$1671</f>
        <v>0</v>
      </c>
      <c r="X555" s="619">
        <f ca="1">Проект!$X$1671</f>
        <v>0</v>
      </c>
      <c r="Y555" s="619">
        <f ca="1">Проект!$Y$1671</f>
        <v>0</v>
      </c>
      <c r="Z555" s="619">
        <f ca="1">Проект!$Z$1671</f>
        <v>0</v>
      </c>
      <c r="AA555" s="619">
        <f ca="1">Проект!$AA$1671</f>
        <v>0</v>
      </c>
      <c r="AB555" s="619">
        <f ca="1">Проект!$AB$1671</f>
        <v>0</v>
      </c>
      <c r="AC555" s="619">
        <f ca="1">Проект!$AC$1671</f>
        <v>0</v>
      </c>
      <c r="AD555" s="563"/>
      <c r="AE555" s="569"/>
    </row>
    <row r="556" spans="1:31" hidden="1" x14ac:dyDescent="0.3">
      <c r="A556" s="598" t="str">
        <f ca="1">Проект!$A$1672</f>
        <v xml:space="preserve">    прочие производственные расходы</v>
      </c>
      <c r="B556" s="563"/>
      <c r="C556" s="539" t="str">
        <f ca="1">Проект!$C$1672</f>
        <v>тыс. EUR</v>
      </c>
      <c r="D556" s="563"/>
      <c r="E556" s="563"/>
      <c r="F556" s="619" t="str">
        <f ca="1">Проект!$F$1672</f>
        <v>-</v>
      </c>
      <c r="G556" s="619" t="str">
        <f ca="1">Проект!$G$1672</f>
        <v>-</v>
      </c>
      <c r="H556" s="619" t="str">
        <f ca="1">Проект!$H$1672</f>
        <v>-</v>
      </c>
      <c r="I556" s="619" t="str">
        <f ca="1">Проект!$I$1672</f>
        <v>-</v>
      </c>
      <c r="J556" s="619" t="str">
        <f ca="1">Проект!$J$1672</f>
        <v>-</v>
      </c>
      <c r="K556" s="619">
        <f ca="1">Проект!$K$1672</f>
        <v>8.6055020209305813</v>
      </c>
      <c r="L556" s="619">
        <f ca="1">Проект!$L$1672</f>
        <v>12.697665251747406</v>
      </c>
      <c r="M556" s="619">
        <f ca="1">Проект!$M$1672</f>
        <v>18.690816032407518</v>
      </c>
      <c r="N556" s="619">
        <f ca="1">Проект!$N$1672</f>
        <v>24.653975897233035</v>
      </c>
      <c r="O556" s="619">
        <f ca="1">Проект!$O$1672</f>
        <v>24.59033661370826</v>
      </c>
      <c r="P556" s="619">
        <f ca="1">Проект!$P$1672</f>
        <v>24.59033661370826</v>
      </c>
      <c r="Q556" s="619">
        <f ca="1">Проект!$Q$1672</f>
        <v>24.59033661370826</v>
      </c>
      <c r="R556" s="619">
        <f ca="1">Проект!$R$1672</f>
        <v>24.59033661370826</v>
      </c>
      <c r="S556" s="619">
        <f ca="1">Проект!$S$1672</f>
        <v>24.59033661370826</v>
      </c>
      <c r="T556" s="619">
        <f ca="1">Проект!$T$1672</f>
        <v>24.59033661370826</v>
      </c>
      <c r="U556" s="619">
        <f ca="1">Проект!$U$1672</f>
        <v>24.59033661370826</v>
      </c>
      <c r="V556" s="619">
        <f ca="1">Проект!$V$1672</f>
        <v>24.59033661370826</v>
      </c>
      <c r="W556" s="619">
        <f ca="1">Проект!$W$1672</f>
        <v>24.59033661370826</v>
      </c>
      <c r="X556" s="619">
        <f ca="1">Проект!$X$1672</f>
        <v>24.59033661370826</v>
      </c>
      <c r="Y556" s="619">
        <f ca="1">Проект!$Y$1672</f>
        <v>24.59033661370826</v>
      </c>
      <c r="Z556" s="619">
        <f ca="1">Проект!$Z$1672</f>
        <v>24.59033661370826</v>
      </c>
      <c r="AA556" s="619">
        <f ca="1">Проект!$AA$1672</f>
        <v>24.59033661370826</v>
      </c>
      <c r="AB556" s="619">
        <f ca="1">Проект!$AB$1672</f>
        <v>24.59033661370826</v>
      </c>
      <c r="AC556" s="619">
        <f ca="1">Проект!$AC$1672</f>
        <v>24.59033661370826</v>
      </c>
      <c r="AD556" s="563"/>
      <c r="AE556" s="569"/>
    </row>
    <row r="557" spans="1:31" hidden="1" x14ac:dyDescent="0.3">
      <c r="A557" s="598" t="str">
        <f ca="1">Проект!$A$1673</f>
        <v xml:space="preserve">    административные расходы</v>
      </c>
      <c r="B557" s="563"/>
      <c r="C557" s="539" t="str">
        <f ca="1">Проект!$C$1673</f>
        <v>тыс. EUR</v>
      </c>
      <c r="D557" s="563"/>
      <c r="E557" s="563"/>
      <c r="F557" s="619" t="str">
        <f ca="1">Проект!$F$1673</f>
        <v>-</v>
      </c>
      <c r="G557" s="619" t="str">
        <f ca="1">Проект!$G$1673</f>
        <v>-</v>
      </c>
      <c r="H557" s="619" t="str">
        <f ca="1">Проект!$H$1673</f>
        <v>-</v>
      </c>
      <c r="I557" s="619" t="str">
        <f ca="1">Проект!$I$1673</f>
        <v>-</v>
      </c>
      <c r="J557" s="619" t="str">
        <f ca="1">Проект!$J$1673</f>
        <v>-</v>
      </c>
      <c r="K557" s="619">
        <f ca="1">Проект!$K$1673</f>
        <v>2.3658182187501087</v>
      </c>
      <c r="L557" s="619">
        <f ca="1">Проект!$L$1673</f>
        <v>3.833771430348194</v>
      </c>
      <c r="M557" s="619">
        <f ca="1">Проект!$M$1673</f>
        <v>5.7162656836252523</v>
      </c>
      <c r="N557" s="619">
        <f ca="1">Проект!$N$1673</f>
        <v>7.5884983227658811</v>
      </c>
      <c r="O557" s="619">
        <f ca="1">Проект!$O$1673</f>
        <v>7.5884983227658767</v>
      </c>
      <c r="P557" s="619">
        <f ca="1">Проект!$P$1673</f>
        <v>7.5884983227658767</v>
      </c>
      <c r="Q557" s="619">
        <f ca="1">Проект!$Q$1673</f>
        <v>7.5884983227658767</v>
      </c>
      <c r="R557" s="619">
        <f ca="1">Проект!$R$1673</f>
        <v>7.5884983227658767</v>
      </c>
      <c r="S557" s="619">
        <f ca="1">Проект!$S$1673</f>
        <v>7.5884983227658767</v>
      </c>
      <c r="T557" s="619">
        <f ca="1">Проект!$T$1673</f>
        <v>7.5884983227658767</v>
      </c>
      <c r="U557" s="619">
        <f ca="1">Проект!$U$1673</f>
        <v>7.5884983227658767</v>
      </c>
      <c r="V557" s="619">
        <f ca="1">Проект!$V$1673</f>
        <v>7.5884983227658767</v>
      </c>
      <c r="W557" s="619">
        <f ca="1">Проект!$W$1673</f>
        <v>7.5884983227658767</v>
      </c>
      <c r="X557" s="619">
        <f ca="1">Проект!$X$1673</f>
        <v>7.5884983227658767</v>
      </c>
      <c r="Y557" s="619">
        <f ca="1">Проект!$Y$1673</f>
        <v>7.5884983227658767</v>
      </c>
      <c r="Z557" s="619">
        <f ca="1">Проект!$Z$1673</f>
        <v>7.5884983227658767</v>
      </c>
      <c r="AA557" s="619">
        <f ca="1">Проект!$AA$1673</f>
        <v>7.5884983227658767</v>
      </c>
      <c r="AB557" s="619">
        <f ca="1">Проект!$AB$1673</f>
        <v>7.5884983227658767</v>
      </c>
      <c r="AC557" s="619">
        <f ca="1">Проект!$AC$1673</f>
        <v>7.5884983227658767</v>
      </c>
      <c r="AD557" s="563"/>
      <c r="AE557" s="569"/>
    </row>
    <row r="558" spans="1:31" hidden="1" x14ac:dyDescent="0.3">
      <c r="A558" s="598" t="str">
        <f ca="1">Проект!$A$1674</f>
        <v xml:space="preserve">    коммерческие расходы</v>
      </c>
      <c r="B558" s="563"/>
      <c r="C558" s="539" t="str">
        <f ca="1">Проект!$C$1674</f>
        <v>тыс. EUR</v>
      </c>
      <c r="D558" s="563"/>
      <c r="E558" s="563"/>
      <c r="F558" s="619" t="str">
        <f ca="1">Проект!$F$1674</f>
        <v>-</v>
      </c>
      <c r="G558" s="619" t="str">
        <f ca="1">Проект!$G$1674</f>
        <v>-</v>
      </c>
      <c r="H558" s="619" t="str">
        <f ca="1">Проект!$H$1674</f>
        <v>-</v>
      </c>
      <c r="I558" s="619" t="str">
        <f ca="1">Проект!$I$1674</f>
        <v>-</v>
      </c>
      <c r="J558" s="619" t="str">
        <f ca="1">Проект!$J$1674</f>
        <v>-</v>
      </c>
      <c r="K558" s="619">
        <f ca="1">Проект!$K$1674</f>
        <v>11.829091093750543</v>
      </c>
      <c r="L558" s="619">
        <f ca="1">Проект!$L$1674</f>
        <v>19.168857151740969</v>
      </c>
      <c r="M558" s="619">
        <f ca="1">Проект!$M$1674</f>
        <v>28.581328418126262</v>
      </c>
      <c r="N558" s="619">
        <f ca="1">Проект!$N$1674</f>
        <v>37.942491613829404</v>
      </c>
      <c r="O558" s="619">
        <f ca="1">Проект!$O$1674</f>
        <v>37.94249161382939</v>
      </c>
      <c r="P558" s="619">
        <f ca="1">Проект!$P$1674</f>
        <v>37.94249161382939</v>
      </c>
      <c r="Q558" s="619">
        <f ca="1">Проект!$Q$1674</f>
        <v>37.94249161382939</v>
      </c>
      <c r="R558" s="619">
        <f ca="1">Проект!$R$1674</f>
        <v>37.94249161382939</v>
      </c>
      <c r="S558" s="619">
        <f ca="1">Проект!$S$1674</f>
        <v>37.94249161382939</v>
      </c>
      <c r="T558" s="619">
        <f ca="1">Проект!$T$1674</f>
        <v>37.94249161382939</v>
      </c>
      <c r="U558" s="619">
        <f ca="1">Проект!$U$1674</f>
        <v>37.94249161382939</v>
      </c>
      <c r="V558" s="619">
        <f ca="1">Проект!$V$1674</f>
        <v>37.94249161382939</v>
      </c>
      <c r="W558" s="619">
        <f ca="1">Проект!$W$1674</f>
        <v>37.94249161382939</v>
      </c>
      <c r="X558" s="619">
        <f ca="1">Проект!$X$1674</f>
        <v>37.94249161382939</v>
      </c>
      <c r="Y558" s="619">
        <f ca="1">Проект!$Y$1674</f>
        <v>37.94249161382939</v>
      </c>
      <c r="Z558" s="619">
        <f ca="1">Проект!$Z$1674</f>
        <v>37.94249161382939</v>
      </c>
      <c r="AA558" s="619">
        <f ca="1">Проект!$AA$1674</f>
        <v>37.94249161382939</v>
      </c>
      <c r="AB558" s="619">
        <f ca="1">Проект!$AB$1674</f>
        <v>37.94249161382939</v>
      </c>
      <c r="AC558" s="619">
        <f ca="1">Проект!$AC$1674</f>
        <v>37.94249161382939</v>
      </c>
      <c r="AD558" s="563"/>
      <c r="AE558" s="569"/>
    </row>
    <row r="559" spans="1:31" hidden="1" x14ac:dyDescent="0.3">
      <c r="A559" s="598" t="str">
        <f ca="1">Проект!$A$1675</f>
        <v xml:space="preserve">    коэффициент распределения постоянных расходов</v>
      </c>
      <c r="B559" s="563"/>
      <c r="C559" s="539" t="str">
        <f ca="1">Проект!$C$1675</f>
        <v>разы</v>
      </c>
      <c r="D559" s="554" t="str">
        <f>Проект!$D$1675</f>
        <v>int_avg</v>
      </c>
      <c r="E559" s="563"/>
      <c r="F559" s="618" t="str">
        <f ca="1">Проект!$F$1675</f>
        <v>-</v>
      </c>
      <c r="G559" s="618" t="str">
        <f ca="1">Проект!$G$1675</f>
        <v>-</v>
      </c>
      <c r="H559" s="618" t="str">
        <f ca="1">Проект!$H$1675</f>
        <v>-</v>
      </c>
      <c r="I559" s="618" t="str">
        <f ca="1">Проект!$I$1675</f>
        <v>-</v>
      </c>
      <c r="J559" s="618" t="str">
        <f ca="1">Проект!$J$1675</f>
        <v>-</v>
      </c>
      <c r="K559" s="618">
        <f ca="1">Проект!$K$1675</f>
        <v>1</v>
      </c>
      <c r="L559" s="618">
        <f ca="1">Проект!$L$1675</f>
        <v>0.41511588784779807</v>
      </c>
      <c r="M559" s="618">
        <f ca="1">Проект!$M$1675</f>
        <v>0.38532429947614927</v>
      </c>
      <c r="N559" s="618">
        <f ca="1">Проект!$N$1675</f>
        <v>0.35828301951540292</v>
      </c>
      <c r="O559" s="618">
        <f ca="1">Проект!$O$1675</f>
        <v>0.2967888803791095</v>
      </c>
      <c r="P559" s="618">
        <f ca="1">Проект!$P$1675</f>
        <v>0.2967888803791095</v>
      </c>
      <c r="Q559" s="618">
        <f ca="1">Проект!$Q$1675</f>
        <v>0.2967888803791095</v>
      </c>
      <c r="R559" s="618">
        <f ca="1">Проект!$R$1675</f>
        <v>0.2967888803791095</v>
      </c>
      <c r="S559" s="618">
        <f ca="1">Проект!$S$1675</f>
        <v>0.2967888803791095</v>
      </c>
      <c r="T559" s="618">
        <f ca="1">Проект!$T$1675</f>
        <v>0.2967888803791095</v>
      </c>
      <c r="U559" s="618">
        <f ca="1">Проект!$U$1675</f>
        <v>0.2967888803791095</v>
      </c>
      <c r="V559" s="618">
        <f ca="1">Проект!$V$1675</f>
        <v>0.2967888803791095</v>
      </c>
      <c r="W559" s="618">
        <f ca="1">Проект!$W$1675</f>
        <v>0.2967888803791095</v>
      </c>
      <c r="X559" s="618">
        <f ca="1">Проект!$X$1675</f>
        <v>0.2967888803791095</v>
      </c>
      <c r="Y559" s="618">
        <f ca="1">Проект!$Y$1675</f>
        <v>0.2967888803791095</v>
      </c>
      <c r="Z559" s="618">
        <f ca="1">Проект!$Z$1675</f>
        <v>0.2967888803791095</v>
      </c>
      <c r="AA559" s="618">
        <f ca="1">Проект!$AA$1675</f>
        <v>0.2967888803791095</v>
      </c>
      <c r="AB559" s="618">
        <f ca="1">Проект!$AB$1675</f>
        <v>0.2967888803791095</v>
      </c>
      <c r="AC559" s="618">
        <f ca="1">Проект!$AC$1675</f>
        <v>0.2967888803791095</v>
      </c>
      <c r="AD559" s="563"/>
      <c r="AE559" s="569"/>
    </row>
    <row r="560" spans="1:31" hidden="1" x14ac:dyDescent="0.3">
      <c r="A560" s="598" t="str">
        <f ca="1">Проект!$A$1676</f>
        <v xml:space="preserve">    переменные затраты</v>
      </c>
      <c r="B560" s="563"/>
      <c r="C560" s="539" t="str">
        <f ca="1">Проект!$C$1676</f>
        <v>тыс. EUR</v>
      </c>
      <c r="D560" s="563"/>
      <c r="E560" s="563"/>
      <c r="F560" s="571">
        <f>Проект!$F$1676</f>
        <v>0</v>
      </c>
      <c r="G560" s="571">
        <f>Проект!$G$1676</f>
        <v>0</v>
      </c>
      <c r="H560" s="571">
        <f>Проект!$H$1676</f>
        <v>0</v>
      </c>
      <c r="I560" s="571">
        <f>Проект!$I$1676</f>
        <v>0</v>
      </c>
      <c r="J560" s="571">
        <f>Проект!$J$1676</f>
        <v>0</v>
      </c>
      <c r="K560" s="571">
        <f>Проект!$K$1676</f>
        <v>473.16364375002166</v>
      </c>
      <c r="L560" s="571">
        <f>Проект!$L$1676</f>
        <v>766.75428606963874</v>
      </c>
      <c r="M560" s="571">
        <f>Проект!$M$1676</f>
        <v>1143.2531367250506</v>
      </c>
      <c r="N560" s="571">
        <f>Проект!$N$1676</f>
        <v>1517.6996645531758</v>
      </c>
      <c r="O560" s="571">
        <f>Проект!$O$1676</f>
        <v>1517.6996645531758</v>
      </c>
      <c r="P560" s="571">
        <f>Проект!$P$1676</f>
        <v>1517.6996645531758</v>
      </c>
      <c r="Q560" s="571">
        <f>Проект!$Q$1676</f>
        <v>1517.6996645531758</v>
      </c>
      <c r="R560" s="571">
        <f>Проект!$R$1676</f>
        <v>1517.6996645531758</v>
      </c>
      <c r="S560" s="571">
        <f>Проект!$S$1676</f>
        <v>1517.6996645531758</v>
      </c>
      <c r="T560" s="571">
        <f>Проект!$T$1676</f>
        <v>1517.6996645531758</v>
      </c>
      <c r="U560" s="571">
        <f>Проект!$U$1676</f>
        <v>1517.6996645531758</v>
      </c>
      <c r="V560" s="571">
        <f>Проект!$V$1676</f>
        <v>1517.6996645531758</v>
      </c>
      <c r="W560" s="571">
        <f>Проект!$W$1676</f>
        <v>1517.6996645531758</v>
      </c>
      <c r="X560" s="571">
        <f>Проект!$X$1676</f>
        <v>1517.6996645531758</v>
      </c>
      <c r="Y560" s="571">
        <f>Проект!$Y$1676</f>
        <v>1517.6996645531758</v>
      </c>
      <c r="Z560" s="571">
        <f>Проект!$Z$1676</f>
        <v>1517.6996645531758</v>
      </c>
      <c r="AA560" s="571">
        <f>Проект!$AA$1676</f>
        <v>1517.6996645531758</v>
      </c>
      <c r="AB560" s="571">
        <f>Проект!$AB$1676</f>
        <v>1517.6996645531758</v>
      </c>
      <c r="AC560" s="571">
        <f>Проект!$AC$1676</f>
        <v>1517.6996645531758</v>
      </c>
      <c r="AD560" s="563"/>
      <c r="AE560" s="569"/>
    </row>
    <row r="561" spans="1:31" hidden="1" x14ac:dyDescent="0.3">
      <c r="A561" s="598" t="str">
        <f ca="1">Проект!$A$1677</f>
        <v xml:space="preserve">    постоянные затраты</v>
      </c>
      <c r="B561" s="563"/>
      <c r="C561" s="539" t="str">
        <f ca="1">Проект!$C$1677</f>
        <v>тыс. EUR</v>
      </c>
      <c r="D561" s="563"/>
      <c r="E561" s="563"/>
      <c r="F561" s="619" t="str">
        <f ca="1">Проект!$F$1677</f>
        <v>-</v>
      </c>
      <c r="G561" s="619" t="str">
        <f ca="1">Проект!$G$1677</f>
        <v>-</v>
      </c>
      <c r="H561" s="619" t="str">
        <f ca="1">Проект!$H$1677</f>
        <v>-</v>
      </c>
      <c r="I561" s="619" t="str">
        <f ca="1">Проект!$I$1677</f>
        <v>-</v>
      </c>
      <c r="J561" s="619" t="str">
        <f ca="1">Проект!$J$1677</f>
        <v>-</v>
      </c>
      <c r="K561" s="619">
        <f ca="1">Проект!$K$1677</f>
        <v>771.97230404219499</v>
      </c>
      <c r="L561" s="619">
        <f ca="1">Проект!$L$1677</f>
        <v>346.69344922625038</v>
      </c>
      <c r="M561" s="619">
        <f ca="1">Проект!$M$1677</f>
        <v>341.66254487938426</v>
      </c>
      <c r="N561" s="619">
        <f ca="1">Проект!$N$1677</f>
        <v>338.6005336895937</v>
      </c>
      <c r="O561" s="619">
        <f ca="1">Проект!$O$1677</f>
        <v>292.46721379883593</v>
      </c>
      <c r="P561" s="619">
        <f ca="1">Проект!$P$1677</f>
        <v>292.46721379883593</v>
      </c>
      <c r="Q561" s="619">
        <f ca="1">Проект!$Q$1677</f>
        <v>292.46721379883593</v>
      </c>
      <c r="R561" s="619">
        <f ca="1">Проект!$R$1677</f>
        <v>292.46721379883593</v>
      </c>
      <c r="S561" s="619">
        <f ca="1">Проект!$S$1677</f>
        <v>292.46721379883593</v>
      </c>
      <c r="T561" s="619">
        <f ca="1">Проект!$T$1677</f>
        <v>292.46721379883593</v>
      </c>
      <c r="U561" s="619">
        <f ca="1">Проект!$U$1677</f>
        <v>292.46721379883593</v>
      </c>
      <c r="V561" s="619">
        <f ca="1">Проект!$V$1677</f>
        <v>292.46721379883593</v>
      </c>
      <c r="W561" s="619">
        <f ca="1">Проект!$W$1677</f>
        <v>292.46721379883593</v>
      </c>
      <c r="X561" s="619">
        <f ca="1">Проект!$X$1677</f>
        <v>292.46721379883593</v>
      </c>
      <c r="Y561" s="619">
        <f ca="1">Проект!$Y$1677</f>
        <v>292.46721379883593</v>
      </c>
      <c r="Z561" s="619">
        <f ca="1">Проект!$Z$1677</f>
        <v>292.46721379883593</v>
      </c>
      <c r="AA561" s="619">
        <f ca="1">Проект!$AA$1677</f>
        <v>292.46721379883593</v>
      </c>
      <c r="AB561" s="619">
        <f ca="1">Проект!$AB$1677</f>
        <v>292.46721379883593</v>
      </c>
      <c r="AC561" s="619">
        <f ca="1">Проект!$AC$1677</f>
        <v>292.46721379883593</v>
      </c>
      <c r="AD561" s="563"/>
      <c r="AE561" s="569"/>
    </row>
    <row r="562" spans="1:31" ht="11.25" customHeight="1" x14ac:dyDescent="0.3">
      <c r="A562" s="598" t="str">
        <f ca="1">Проект!$A$1678</f>
        <v>Ценовой коэффициент</v>
      </c>
      <c r="B562" s="563"/>
      <c r="C562" s="539" t="str">
        <f>Проект!$C$1678</f>
        <v>%</v>
      </c>
      <c r="D562" s="554" t="str">
        <f>Проект!$D$1678</f>
        <v>int_avg</v>
      </c>
      <c r="E562" s="563"/>
      <c r="F562" s="620" t="str">
        <f ca="1">Проект!$F$1678</f>
        <v>-</v>
      </c>
      <c r="G562" s="620" t="str">
        <f ca="1">Проект!$G$1678</f>
        <v>-</v>
      </c>
      <c r="H562" s="620" t="str">
        <f ca="1">Проект!$H$1678</f>
        <v>-</v>
      </c>
      <c r="I562" s="620" t="str">
        <f ca="1">Проект!$I$1678</f>
        <v>-</v>
      </c>
      <c r="J562" s="620" t="str">
        <f ca="1">Проект!$J$1678</f>
        <v>-</v>
      </c>
      <c r="K562" s="620">
        <f ca="1">Проект!$K$1678</f>
        <v>0.3378260307832418</v>
      </c>
      <c r="L562" s="620">
        <f ca="1">Проект!$L$1678</f>
        <v>0.33776756536060926</v>
      </c>
      <c r="M562" s="620">
        <f ca="1">Проект!$M$1678</f>
        <v>0.33816374838949464</v>
      </c>
      <c r="N562" s="620">
        <f ca="1">Проект!$N$1678</f>
        <v>0.33796430815610556</v>
      </c>
      <c r="O562" s="620">
        <f ca="1">Проект!$O$1678</f>
        <v>0.33796430815610556</v>
      </c>
      <c r="P562" s="620">
        <f ca="1">Проект!$P$1678</f>
        <v>0.33796430815610556</v>
      </c>
      <c r="Q562" s="620">
        <f ca="1">Проект!$Q$1678</f>
        <v>0.33796430815610556</v>
      </c>
      <c r="R562" s="620">
        <f ca="1">Проект!$R$1678</f>
        <v>0.33796430815610556</v>
      </c>
      <c r="S562" s="620">
        <f ca="1">Проект!$S$1678</f>
        <v>0.33796430815610556</v>
      </c>
      <c r="T562" s="620">
        <f ca="1">Проект!$T$1678</f>
        <v>0.33796430815610556</v>
      </c>
      <c r="U562" s="620">
        <f ca="1">Проект!$U$1678</f>
        <v>0.33796430815610556</v>
      </c>
      <c r="V562" s="620">
        <f ca="1">Проект!$V$1678</f>
        <v>0.33796430815610556</v>
      </c>
      <c r="W562" s="620">
        <f ca="1">Проект!$W$1678</f>
        <v>0.33796430815610556</v>
      </c>
      <c r="X562" s="620">
        <f ca="1">Проект!$X$1678</f>
        <v>0.33796430815610556</v>
      </c>
      <c r="Y562" s="620">
        <f ca="1">Проект!$Y$1678</f>
        <v>0.33796430815610556</v>
      </c>
      <c r="Z562" s="620">
        <f ca="1">Проект!$Z$1678</f>
        <v>0.33796430815610556</v>
      </c>
      <c r="AA562" s="620">
        <f ca="1">Проект!$AA$1678</f>
        <v>0.33796430815610556</v>
      </c>
      <c r="AB562" s="620">
        <f ca="1">Проект!$AB$1678</f>
        <v>0.33796430815610556</v>
      </c>
      <c r="AC562" s="620">
        <f ca="1">Проект!$AC$1678</f>
        <v>0.33796430815610556</v>
      </c>
      <c r="AD562" s="563"/>
      <c r="AE562" s="569"/>
    </row>
    <row r="563" spans="1:31" hidden="1" x14ac:dyDescent="0.3">
      <c r="A563" s="598" t="str">
        <f ca="1">Проект!$A$1679</f>
        <v>Маржинальная прибыль</v>
      </c>
      <c r="B563" s="563"/>
      <c r="C563" s="539" t="str">
        <f ca="1">Проект!$C$1679</f>
        <v>тыс. EUR</v>
      </c>
      <c r="D563" s="563"/>
      <c r="E563" s="563"/>
      <c r="F563" s="571">
        <f>Проект!$F$1679</f>
        <v>0</v>
      </c>
      <c r="G563" s="571">
        <f>Проект!$G$1679</f>
        <v>0</v>
      </c>
      <c r="H563" s="571">
        <f>Проект!$H$1679</f>
        <v>0</v>
      </c>
      <c r="I563" s="571">
        <f>Проект!$I$1679</f>
        <v>0</v>
      </c>
      <c r="J563" s="571">
        <f>Проект!$J$1679</f>
        <v>0</v>
      </c>
      <c r="K563" s="571">
        <f>Проект!$K$1679</f>
        <v>241.39728094125797</v>
      </c>
      <c r="L563" s="571">
        <f>Проект!$L$1679</f>
        <v>391.07829047452265</v>
      </c>
      <c r="M563" s="571">
        <f>Проект!$M$1679</f>
        <v>584.14262611367349</v>
      </c>
      <c r="N563" s="571">
        <f>Проект!$N$1679</f>
        <v>774.77441690623255</v>
      </c>
      <c r="O563" s="571">
        <f>Проект!$O$1679</f>
        <v>774.77441690623255</v>
      </c>
      <c r="P563" s="571">
        <f>Проект!$P$1679</f>
        <v>774.77441690623255</v>
      </c>
      <c r="Q563" s="571">
        <f>Проект!$Q$1679</f>
        <v>774.77441690623255</v>
      </c>
      <c r="R563" s="571">
        <f>Проект!$R$1679</f>
        <v>774.77441690623255</v>
      </c>
      <c r="S563" s="571">
        <f>Проект!$S$1679</f>
        <v>774.77441690623255</v>
      </c>
      <c r="T563" s="571">
        <f>Проект!$T$1679</f>
        <v>774.77441690623255</v>
      </c>
      <c r="U563" s="571">
        <f>Проект!$U$1679</f>
        <v>774.77441690623255</v>
      </c>
      <c r="V563" s="571">
        <f>Проект!$V$1679</f>
        <v>774.77441690623255</v>
      </c>
      <c r="W563" s="571">
        <f>Проект!$W$1679</f>
        <v>774.77441690623255</v>
      </c>
      <c r="X563" s="571">
        <f>Проект!$X$1679</f>
        <v>774.77441690623255</v>
      </c>
      <c r="Y563" s="571">
        <f>Проект!$Y$1679</f>
        <v>774.77441690623255</v>
      </c>
      <c r="Z563" s="571">
        <f>Проект!$Z$1679</f>
        <v>774.77441690623255</v>
      </c>
      <c r="AA563" s="571">
        <f>Проект!$AA$1679</f>
        <v>774.77441690623255</v>
      </c>
      <c r="AB563" s="571">
        <f>Проект!$AB$1679</f>
        <v>774.77441690623255</v>
      </c>
      <c r="AC563" s="571">
        <f>Проект!$AC$1679</f>
        <v>774.77441690623255</v>
      </c>
      <c r="AD563" s="563"/>
      <c r="AE563" s="569"/>
    </row>
    <row r="564" spans="1:31" hidden="1" x14ac:dyDescent="0.3">
      <c r="A564" s="598" t="str">
        <f ca="1">Проект!$A$1680</f>
        <v>Точка безубыточности</v>
      </c>
      <c r="B564" s="563"/>
      <c r="C564" s="539" t="str">
        <f ca="1">Проект!$C$1680</f>
        <v>тыс. EUR</v>
      </c>
      <c r="D564" s="554" t="str">
        <f>Проект!$D$1680</f>
        <v>int_avg</v>
      </c>
      <c r="E564" s="563"/>
      <c r="F564" s="619" t="str">
        <f ca="1">Проект!$F$1680</f>
        <v>-</v>
      </c>
      <c r="G564" s="619" t="str">
        <f ca="1">Проект!$G$1680</f>
        <v>-</v>
      </c>
      <c r="H564" s="619" t="str">
        <f ca="1">Проект!$H$1680</f>
        <v>-</v>
      </c>
      <c r="I564" s="619" t="str">
        <f ca="1">Проект!$I$1680</f>
        <v>-</v>
      </c>
      <c r="J564" s="619" t="str">
        <f ca="1">Проект!$J$1680</f>
        <v>-</v>
      </c>
      <c r="K564" s="619">
        <f ca="1">Проект!$K$1680</f>
        <v>2285.1178822792167</v>
      </c>
      <c r="L564" s="619">
        <f ca="1">Проект!$L$1680</f>
        <v>1026.4261130464424</v>
      </c>
      <c r="M564" s="619">
        <f ca="1">Проект!$M$1680</f>
        <v>1010.3464564328749</v>
      </c>
      <c r="N564" s="619">
        <f ca="1">Проект!$N$1680</f>
        <v>1001.8825228526624</v>
      </c>
      <c r="O564" s="619">
        <f ca="1">Проект!$O$1680</f>
        <v>865.37899636356121</v>
      </c>
      <c r="P564" s="619">
        <f ca="1">Проект!$P$1680</f>
        <v>865.37899636356121</v>
      </c>
      <c r="Q564" s="619">
        <f ca="1">Проект!$Q$1680</f>
        <v>865.37899636356121</v>
      </c>
      <c r="R564" s="619">
        <f ca="1">Проект!$R$1680</f>
        <v>865.37899636356121</v>
      </c>
      <c r="S564" s="619">
        <f ca="1">Проект!$S$1680</f>
        <v>865.37899636356121</v>
      </c>
      <c r="T564" s="619">
        <f ca="1">Проект!$T$1680</f>
        <v>865.37899636356121</v>
      </c>
      <c r="U564" s="619">
        <f ca="1">Проект!$U$1680</f>
        <v>865.37899636356121</v>
      </c>
      <c r="V564" s="619">
        <f ca="1">Проект!$V$1680</f>
        <v>865.37899636356121</v>
      </c>
      <c r="W564" s="619">
        <f ca="1">Проект!$W$1680</f>
        <v>865.37899636356121</v>
      </c>
      <c r="X564" s="619">
        <f ca="1">Проект!$X$1680</f>
        <v>865.37899636356121</v>
      </c>
      <c r="Y564" s="619">
        <f ca="1">Проект!$Y$1680</f>
        <v>865.37899636356121</v>
      </c>
      <c r="Z564" s="619">
        <f ca="1">Проект!$Z$1680</f>
        <v>865.37899636356121</v>
      </c>
      <c r="AA564" s="619">
        <f ca="1">Проект!$AA$1680</f>
        <v>865.37899636356121</v>
      </c>
      <c r="AB564" s="619">
        <f ca="1">Проект!$AB$1680</f>
        <v>865.37899636356121</v>
      </c>
      <c r="AC564" s="619">
        <f ca="1">Проект!$AC$1680</f>
        <v>865.37899636356121</v>
      </c>
      <c r="AD564" s="563"/>
      <c r="AE564" s="569"/>
    </row>
    <row r="565" spans="1:31" hidden="1" x14ac:dyDescent="0.3">
      <c r="A565" s="598" t="str">
        <f ca="1">Проект!$A$1681</f>
        <v>Точка безубыточности</v>
      </c>
      <c r="B565" s="563"/>
      <c r="C565" s="539" t="str">
        <f ca="1">Проект!$C$1681</f>
        <v>ед.</v>
      </c>
      <c r="D565" s="554" t="str">
        <f>Проект!$D$1681</f>
        <v>int_avg</v>
      </c>
      <c r="E565" s="563"/>
      <c r="F565" s="619" t="str">
        <f ca="1">Проект!$F$1681</f>
        <v>-</v>
      </c>
      <c r="G565" s="619" t="str">
        <f ca="1">Проект!$G$1681</f>
        <v>-</v>
      </c>
      <c r="H565" s="619" t="str">
        <f ca="1">Проект!$H$1681</f>
        <v>-</v>
      </c>
      <c r="I565" s="619" t="str">
        <f ca="1">Проект!$I$1681</f>
        <v>-</v>
      </c>
      <c r="J565" s="619" t="str">
        <f ca="1">Проект!$J$1681</f>
        <v>-</v>
      </c>
      <c r="K565" s="619">
        <f ca="1">Проект!$K$1681</f>
        <v>268.62636267773053</v>
      </c>
      <c r="L565" s="619">
        <f ca="1">Проект!$L$1681</f>
        <v>120.56488494301045</v>
      </c>
      <c r="M565" s="619">
        <f ca="1">Проект!$M$1681</f>
        <v>119.3187349108658</v>
      </c>
      <c r="N565" s="619">
        <f ca="1">Проект!$N$1681</f>
        <v>117.9984032787891</v>
      </c>
      <c r="O565" s="619">
        <f ca="1">Проект!$O$1681</f>
        <v>101.92147030487537</v>
      </c>
      <c r="P565" s="619">
        <f ca="1">Проект!$P$1681</f>
        <v>101.92147030487537</v>
      </c>
      <c r="Q565" s="619">
        <f ca="1">Проект!$Q$1681</f>
        <v>101.92147030487537</v>
      </c>
      <c r="R565" s="619">
        <f ca="1">Проект!$R$1681</f>
        <v>101.92147030487537</v>
      </c>
      <c r="S565" s="619">
        <f ca="1">Проект!$S$1681</f>
        <v>101.92147030487537</v>
      </c>
      <c r="T565" s="619">
        <f ca="1">Проект!$T$1681</f>
        <v>101.92147030487537</v>
      </c>
      <c r="U565" s="619">
        <f ca="1">Проект!$U$1681</f>
        <v>101.92147030487537</v>
      </c>
      <c r="V565" s="619">
        <f ca="1">Проект!$V$1681</f>
        <v>101.92147030487537</v>
      </c>
      <c r="W565" s="619">
        <f ca="1">Проект!$W$1681</f>
        <v>101.92147030487537</v>
      </c>
      <c r="X565" s="619">
        <f ca="1">Проект!$X$1681</f>
        <v>101.92147030487537</v>
      </c>
      <c r="Y565" s="619">
        <f ca="1">Проект!$Y$1681</f>
        <v>101.92147030487537</v>
      </c>
      <c r="Z565" s="619">
        <f ca="1">Проект!$Z$1681</f>
        <v>101.92147030487537</v>
      </c>
      <c r="AA565" s="619">
        <f ca="1">Проект!$AA$1681</f>
        <v>101.92147030487537</v>
      </c>
      <c r="AB565" s="619">
        <f ca="1">Проект!$AB$1681</f>
        <v>101.92147030487537</v>
      </c>
      <c r="AC565" s="619">
        <f ca="1">Проект!$AC$1681</f>
        <v>101.92147030487537</v>
      </c>
      <c r="AD565" s="563"/>
      <c r="AE565" s="569"/>
    </row>
    <row r="566" spans="1:31" hidden="1" x14ac:dyDescent="0.3">
      <c r="A566" s="598" t="str">
        <f ca="1">Проект!$A$1682</f>
        <v>"Запас прочности"</v>
      </c>
      <c r="B566" s="563"/>
      <c r="C566" s="539" t="str">
        <f>Проект!$C$1682</f>
        <v>%</v>
      </c>
      <c r="D566" s="554" t="str">
        <f>Проект!$D$1682</f>
        <v>int_avg</v>
      </c>
      <c r="E566" s="563"/>
      <c r="F566" s="620" t="str">
        <f ca="1">Проект!$F$1682</f>
        <v>-</v>
      </c>
      <c r="G566" s="620" t="str">
        <f ca="1">Проект!$G$1682</f>
        <v>-</v>
      </c>
      <c r="H566" s="620" t="str">
        <f ca="1">Проект!$H$1682</f>
        <v>-</v>
      </c>
      <c r="I566" s="620" t="str">
        <f ca="1">Проект!$I$1682</f>
        <v>-</v>
      </c>
      <c r="J566" s="620" t="str">
        <f ca="1">Проект!$J$1682</f>
        <v>-</v>
      </c>
      <c r="K566" s="620">
        <f ca="1">Проект!$K$1682</f>
        <v>-2.1979328890206022</v>
      </c>
      <c r="L566" s="620">
        <f ca="1">Проект!$L$1682</f>
        <v>0.11349349306609956</v>
      </c>
      <c r="M566" s="620">
        <f ca="1">Проект!$M$1682</f>
        <v>0.41510424063301093</v>
      </c>
      <c r="N566" s="620">
        <f ca="1">Проект!$N$1682</f>
        <v>0.56296887674522555</v>
      </c>
      <c r="O566" s="620">
        <f ca="1">Проект!$O$1682</f>
        <v>0.62251307294490599</v>
      </c>
      <c r="P566" s="620">
        <f ca="1">Проект!$P$1682</f>
        <v>0.62251307294490599</v>
      </c>
      <c r="Q566" s="620">
        <f ca="1">Проект!$Q$1682</f>
        <v>0.62251307294490599</v>
      </c>
      <c r="R566" s="620">
        <f ca="1">Проект!$R$1682</f>
        <v>0.62251307294490599</v>
      </c>
      <c r="S566" s="620">
        <f ca="1">Проект!$S$1682</f>
        <v>0.62251307294490599</v>
      </c>
      <c r="T566" s="620">
        <f ca="1">Проект!$T$1682</f>
        <v>0.62251307294490599</v>
      </c>
      <c r="U566" s="620">
        <f ca="1">Проект!$U$1682</f>
        <v>0.62251307294490599</v>
      </c>
      <c r="V566" s="620">
        <f ca="1">Проект!$V$1682</f>
        <v>0.62251307294490599</v>
      </c>
      <c r="W566" s="620">
        <f ca="1">Проект!$W$1682</f>
        <v>0.62251307294490599</v>
      </c>
      <c r="X566" s="620">
        <f ca="1">Проект!$X$1682</f>
        <v>0.62251307294490599</v>
      </c>
      <c r="Y566" s="620">
        <f ca="1">Проект!$Y$1682</f>
        <v>0.62251307294490599</v>
      </c>
      <c r="Z566" s="620">
        <f ca="1">Проект!$Z$1682</f>
        <v>0.62251307294490599</v>
      </c>
      <c r="AA566" s="620">
        <f ca="1">Проект!$AA$1682</f>
        <v>0.62251307294490599</v>
      </c>
      <c r="AB566" s="620">
        <f ca="1">Проект!$AB$1682</f>
        <v>0.62251307294490599</v>
      </c>
      <c r="AC566" s="620">
        <f ca="1">Проект!$AC$1682</f>
        <v>0.62251307294490599</v>
      </c>
      <c r="AD566" s="563"/>
      <c r="AE566" s="569"/>
    </row>
    <row r="567" spans="1:31" ht="11.25" customHeight="1" x14ac:dyDescent="0.3">
      <c r="A567" s="598" t="str">
        <f ca="1">Проект!$A$1683</f>
        <v>Рентабельность</v>
      </c>
      <c r="B567" s="563"/>
      <c r="C567" s="539" t="str">
        <f>Проект!$C$1683</f>
        <v>%</v>
      </c>
      <c r="D567" s="554" t="str">
        <f>Проект!$D$1683</f>
        <v>int_avg</v>
      </c>
      <c r="E567" s="563"/>
      <c r="F567" s="620" t="str">
        <f ca="1">Проект!$F$1683</f>
        <v>-</v>
      </c>
      <c r="G567" s="620" t="str">
        <f ca="1">Проект!$G$1683</f>
        <v>-</v>
      </c>
      <c r="H567" s="620" t="str">
        <f ca="1">Проект!$H$1683</f>
        <v>-</v>
      </c>
      <c r="I567" s="620" t="str">
        <f ca="1">Проект!$I$1683</f>
        <v>-</v>
      </c>
      <c r="J567" s="620" t="str">
        <f ca="1">Проект!$J$1683</f>
        <v>-</v>
      </c>
      <c r="K567" s="620">
        <f ca="1">Проект!$K$1683</f>
        <v>-0.74251894382577355</v>
      </c>
      <c r="L567" s="620">
        <f ca="1">Проект!$L$1683</f>
        <v>3.8334420837207651E-2</v>
      </c>
      <c r="M567" s="620">
        <f ca="1">Проект!$M$1683</f>
        <v>0.14037320598483372</v>
      </c>
      <c r="N567" s="620">
        <f ca="1">Проект!$N$1683</f>
        <v>0.19026338694262002</v>
      </c>
      <c r="O567" s="620">
        <f ca="1">Проект!$O$1683</f>
        <v>0.21038720001595645</v>
      </c>
      <c r="P567" s="620">
        <f ca="1">Проект!$P$1683</f>
        <v>0.21038720001595645</v>
      </c>
      <c r="Q567" s="620">
        <f ca="1">Проект!$Q$1683</f>
        <v>0.21038720001595645</v>
      </c>
      <c r="R567" s="620">
        <f ca="1">Проект!$R$1683</f>
        <v>0.21038720001595645</v>
      </c>
      <c r="S567" s="620">
        <f ca="1">Проект!$S$1683</f>
        <v>0.21038720001595645</v>
      </c>
      <c r="T567" s="620">
        <f ca="1">Проект!$T$1683</f>
        <v>0.21038720001595645</v>
      </c>
      <c r="U567" s="620">
        <f ca="1">Проект!$U$1683</f>
        <v>0.21038720001595645</v>
      </c>
      <c r="V567" s="620">
        <f ca="1">Проект!$V$1683</f>
        <v>0.21038720001595645</v>
      </c>
      <c r="W567" s="620">
        <f ca="1">Проект!$W$1683</f>
        <v>0.21038720001595645</v>
      </c>
      <c r="X567" s="620">
        <f ca="1">Проект!$X$1683</f>
        <v>0.21038720001595645</v>
      </c>
      <c r="Y567" s="620">
        <f ca="1">Проект!$Y$1683</f>
        <v>0.21038720001595645</v>
      </c>
      <c r="Z567" s="620">
        <f ca="1">Проект!$Z$1683</f>
        <v>0.21038720001595645</v>
      </c>
      <c r="AA567" s="620">
        <f ca="1">Проект!$AA$1683</f>
        <v>0.21038720001595645</v>
      </c>
      <c r="AB567" s="620">
        <f ca="1">Проект!$AB$1683</f>
        <v>0.21038720001595645</v>
      </c>
      <c r="AC567" s="620">
        <f ca="1">Проект!$AC$1683</f>
        <v>0.21038720001595645</v>
      </c>
      <c r="AD567" s="563"/>
      <c r="AE567" s="569"/>
    </row>
    <row r="568" spans="1:31" ht="11.25" customHeight="1" x14ac:dyDescent="0.3">
      <c r="A568" s="563"/>
      <c r="B568" s="563"/>
      <c r="C568" s="563"/>
      <c r="D568" s="563"/>
      <c r="E568" s="563"/>
      <c r="F568" s="571"/>
      <c r="G568" s="571"/>
      <c r="H568" s="571"/>
      <c r="I568" s="571"/>
      <c r="J568" s="571"/>
      <c r="K568" s="571"/>
      <c r="L568" s="571"/>
      <c r="M568" s="571"/>
      <c r="N568" s="571"/>
      <c r="O568" s="571"/>
      <c r="P568" s="571"/>
      <c r="Q568" s="571"/>
      <c r="R568" s="571"/>
      <c r="S568" s="571"/>
      <c r="T568" s="571"/>
      <c r="U568" s="571"/>
      <c r="V568" s="571"/>
      <c r="W568" s="571"/>
      <c r="X568" s="571"/>
      <c r="Y568" s="571"/>
      <c r="Z568" s="571"/>
      <c r="AA568" s="571"/>
      <c r="AB568" s="571"/>
      <c r="AC568" s="571"/>
      <c r="AD568" s="563"/>
      <c r="AE568" s="569"/>
    </row>
    <row r="569" spans="1:31" ht="11.25" customHeight="1" x14ac:dyDescent="0.3">
      <c r="A569" s="570" t="str">
        <f>Проект!$A$1685</f>
        <v>ВЗД</v>
      </c>
      <c r="B569" s="563"/>
      <c r="C569" s="563"/>
      <c r="D569" s="563"/>
      <c r="E569" s="563"/>
      <c r="F569" s="571"/>
      <c r="G569" s="571"/>
      <c r="H569" s="571"/>
      <c r="I569" s="571"/>
      <c r="J569" s="571"/>
      <c r="K569" s="571"/>
      <c r="L569" s="571"/>
      <c r="M569" s="571"/>
      <c r="N569" s="571"/>
      <c r="O569" s="571"/>
      <c r="P569" s="571"/>
      <c r="Q569" s="571"/>
      <c r="R569" s="571"/>
      <c r="S569" s="571"/>
      <c r="T569" s="571"/>
      <c r="U569" s="571"/>
      <c r="V569" s="571"/>
      <c r="W569" s="571"/>
      <c r="X569" s="571"/>
      <c r="Y569" s="571"/>
      <c r="Z569" s="571"/>
      <c r="AA569" s="571"/>
      <c r="AB569" s="571"/>
      <c r="AC569" s="571"/>
      <c r="AD569" s="563"/>
      <c r="AE569" s="569"/>
    </row>
    <row r="570" spans="1:31" ht="11.25" customHeight="1" x14ac:dyDescent="0.3">
      <c r="A570" s="598" t="str">
        <f ca="1">Проект!$A$1686</f>
        <v>Цена реализации</v>
      </c>
      <c r="B570" s="563"/>
      <c r="C570" s="539" t="str">
        <f ca="1">Проект!$C$1686</f>
        <v>тыс. EUR / ед.</v>
      </c>
      <c r="D570" s="554" t="str">
        <f>Проект!$D$1686</f>
        <v>int_avg</v>
      </c>
      <c r="E570" s="563"/>
      <c r="F570" s="617">
        <f>Проект!$F$1686</f>
        <v>0</v>
      </c>
      <c r="G570" s="617">
        <f>Проект!$G$1686</f>
        <v>0</v>
      </c>
      <c r="H570" s="617">
        <f>Проект!$H$1686</f>
        <v>0</v>
      </c>
      <c r="I570" s="617">
        <f>Проект!$I$1686</f>
        <v>0</v>
      </c>
      <c r="J570" s="617">
        <f>Проект!$J$1686</f>
        <v>0</v>
      </c>
      <c r="K570" s="617">
        <f>Проект!$K$1686</f>
        <v>0</v>
      </c>
      <c r="L570" s="617">
        <f>Проект!$L$1686</f>
        <v>21.553160407801261</v>
      </c>
      <c r="M570" s="617">
        <f>Проект!$M$1686</f>
        <v>21.756598703636698</v>
      </c>
      <c r="N570" s="617">
        <f>Проект!$N$1686</f>
        <v>21.739266573339638</v>
      </c>
      <c r="O570" s="617">
        <f>Проект!$O$1686</f>
        <v>21.803949462157622</v>
      </c>
      <c r="P570" s="617">
        <f>Проект!$P$1686</f>
        <v>21.803949462157622</v>
      </c>
      <c r="Q570" s="617">
        <f>Проект!$Q$1686</f>
        <v>21.803949462157622</v>
      </c>
      <c r="R570" s="617">
        <f>Проект!$R$1686</f>
        <v>21.803949462157622</v>
      </c>
      <c r="S570" s="617">
        <f>Проект!$S$1686</f>
        <v>21.803949462157622</v>
      </c>
      <c r="T570" s="617">
        <f>Проект!$T$1686</f>
        <v>21.803949462157622</v>
      </c>
      <c r="U570" s="617">
        <f>Проект!$U$1686</f>
        <v>21.803949462157622</v>
      </c>
      <c r="V570" s="617">
        <f>Проект!$V$1686</f>
        <v>21.803949462157622</v>
      </c>
      <c r="W570" s="617">
        <f>Проект!$W$1686</f>
        <v>21.803949462157622</v>
      </c>
      <c r="X570" s="617">
        <f>Проект!$X$1686</f>
        <v>21.803949462157622</v>
      </c>
      <c r="Y570" s="617">
        <f>Проект!$Y$1686</f>
        <v>21.803949462157622</v>
      </c>
      <c r="Z570" s="617">
        <f>Проект!$Z$1686</f>
        <v>21.803949462157622</v>
      </c>
      <c r="AA570" s="617">
        <f>Проект!$AA$1686</f>
        <v>21.803949462157622</v>
      </c>
      <c r="AB570" s="617">
        <f>Проект!$AB$1686</f>
        <v>21.803949462157622</v>
      </c>
      <c r="AC570" s="617">
        <f>Проект!$AC$1686</f>
        <v>21.803949462157622</v>
      </c>
      <c r="AD570" s="563"/>
      <c r="AE570" s="569"/>
    </row>
    <row r="571" spans="1:31" ht="11.25" customHeight="1" x14ac:dyDescent="0.3">
      <c r="A571" s="598" t="str">
        <f ca="1">Проект!$A$1687</f>
        <v>Себестоимость единицы</v>
      </c>
      <c r="B571" s="563"/>
      <c r="C571" s="539" t="str">
        <f ca="1">Проект!$C$1687</f>
        <v>тыс. EUR / ед.</v>
      </c>
      <c r="D571" s="554" t="str">
        <f>Проект!$D$1687</f>
        <v>int_avg</v>
      </c>
      <c r="E571" s="563"/>
      <c r="F571" s="618" t="str">
        <f ca="1">Проект!$F$1687</f>
        <v>-</v>
      </c>
      <c r="G571" s="618" t="str">
        <f ca="1">Проект!$G$1687</f>
        <v>-</v>
      </c>
      <c r="H571" s="618" t="str">
        <f ca="1">Проект!$H$1687</f>
        <v>-</v>
      </c>
      <c r="I571" s="618" t="str">
        <f ca="1">Проект!$I$1687</f>
        <v>-</v>
      </c>
      <c r="J571" s="618" t="str">
        <f ca="1">Проект!$J$1687</f>
        <v>-</v>
      </c>
      <c r="K571" s="618" t="str">
        <f ca="1">Проект!$K$1687</f>
        <v>-</v>
      </c>
      <c r="L571" s="618">
        <f ca="1">Проект!$L$1687</f>
        <v>21.490545769609412</v>
      </c>
      <c r="M571" s="618">
        <f ca="1">Проект!$M$1687</f>
        <v>19.416082574181829</v>
      </c>
      <c r="N571" s="618">
        <f ca="1">Проект!$N$1687</f>
        <v>18.268131481742284</v>
      </c>
      <c r="O571" s="618">
        <f ca="1">Проект!$O$1687</f>
        <v>17.870860980378925</v>
      </c>
      <c r="P571" s="618">
        <f ca="1">Проект!$P$1687</f>
        <v>17.870860980378925</v>
      </c>
      <c r="Q571" s="618">
        <f ca="1">Проект!$Q$1687</f>
        <v>17.870860980378925</v>
      </c>
      <c r="R571" s="618">
        <f ca="1">Проект!$R$1687</f>
        <v>17.870860980378925</v>
      </c>
      <c r="S571" s="618">
        <f ca="1">Проект!$S$1687</f>
        <v>17.870860980378925</v>
      </c>
      <c r="T571" s="618">
        <f ca="1">Проект!$T$1687</f>
        <v>17.870860980378925</v>
      </c>
      <c r="U571" s="618">
        <f ca="1">Проект!$U$1687</f>
        <v>17.870860980378925</v>
      </c>
      <c r="V571" s="618">
        <f ca="1">Проект!$V$1687</f>
        <v>17.870860980378925</v>
      </c>
      <c r="W571" s="618">
        <f ca="1">Проект!$W$1687</f>
        <v>17.870860980378925</v>
      </c>
      <c r="X571" s="618">
        <f ca="1">Проект!$X$1687</f>
        <v>17.870860980378925</v>
      </c>
      <c r="Y571" s="618">
        <f ca="1">Проект!$Y$1687</f>
        <v>17.870860980378925</v>
      </c>
      <c r="Z571" s="618">
        <f ca="1">Проект!$Z$1687</f>
        <v>17.870860980378925</v>
      </c>
      <c r="AA571" s="618">
        <f ca="1">Проект!$AA$1687</f>
        <v>17.870860980378925</v>
      </c>
      <c r="AB571" s="618">
        <f ca="1">Проект!$AB$1687</f>
        <v>17.870860980378925</v>
      </c>
      <c r="AC571" s="618">
        <f ca="1">Проект!$AC$1687</f>
        <v>17.870860980378925</v>
      </c>
      <c r="AD571" s="563"/>
      <c r="AE571" s="569"/>
    </row>
    <row r="572" spans="1:31" hidden="1" x14ac:dyDescent="0.3">
      <c r="A572" s="598" t="str">
        <f ca="1">Проект!$A$1688</f>
        <v xml:space="preserve">    постоянные затраты на единицу</v>
      </c>
      <c r="B572" s="563"/>
      <c r="C572" s="539" t="str">
        <f ca="1">Проект!$C$1688</f>
        <v>тыс. EUR / ед.</v>
      </c>
      <c r="D572" s="554" t="str">
        <f>Проект!$D$1688</f>
        <v>int_avg</v>
      </c>
      <c r="E572" s="563"/>
      <c r="F572" s="618" t="str">
        <f ca="1">Проект!$F$1688</f>
        <v>-</v>
      </c>
      <c r="G572" s="618" t="str">
        <f ca="1">Проект!$G$1688</f>
        <v>-</v>
      </c>
      <c r="H572" s="618" t="str">
        <f ca="1">Проект!$H$1688</f>
        <v>-</v>
      </c>
      <c r="I572" s="618" t="str">
        <f ca="1">Проект!$I$1688</f>
        <v>-</v>
      </c>
      <c r="J572" s="618" t="str">
        <f ca="1">Проект!$J$1688</f>
        <v>-</v>
      </c>
      <c r="K572" s="618" t="str">
        <f ca="1">Проект!$K$1688</f>
        <v>-</v>
      </c>
      <c r="L572" s="618">
        <f ca="1">Проект!$L$1688</f>
        <v>6.6914963338091038</v>
      </c>
      <c r="M572" s="618">
        <f ca="1">Проект!$M$1688</f>
        <v>4.4674241548284686</v>
      </c>
      <c r="N572" s="618">
        <f ca="1">Проект!$N$1688</f>
        <v>3.3322191502673348</v>
      </c>
      <c r="O572" s="618">
        <f ca="1">Проект!$O$1688</f>
        <v>2.8873807059579644</v>
      </c>
      <c r="P572" s="618">
        <f ca="1">Проект!$P$1688</f>
        <v>2.8873807059579644</v>
      </c>
      <c r="Q572" s="618">
        <f ca="1">Проект!$Q$1688</f>
        <v>2.8873807059579644</v>
      </c>
      <c r="R572" s="618">
        <f ca="1">Проект!$R$1688</f>
        <v>2.8873807059579644</v>
      </c>
      <c r="S572" s="618">
        <f ca="1">Проект!$S$1688</f>
        <v>2.8873807059579644</v>
      </c>
      <c r="T572" s="618">
        <f ca="1">Проект!$T$1688</f>
        <v>2.8873807059579644</v>
      </c>
      <c r="U572" s="618">
        <f ca="1">Проект!$U$1688</f>
        <v>2.8873807059579644</v>
      </c>
      <c r="V572" s="618">
        <f ca="1">Проект!$V$1688</f>
        <v>2.8873807059579644</v>
      </c>
      <c r="W572" s="618">
        <f ca="1">Проект!$W$1688</f>
        <v>2.8873807059579644</v>
      </c>
      <c r="X572" s="618">
        <f ca="1">Проект!$X$1688</f>
        <v>2.8873807059579644</v>
      </c>
      <c r="Y572" s="618">
        <f ca="1">Проект!$Y$1688</f>
        <v>2.8873807059579644</v>
      </c>
      <c r="Z572" s="618">
        <f ca="1">Проект!$Z$1688</f>
        <v>2.8873807059579644</v>
      </c>
      <c r="AA572" s="618">
        <f ca="1">Проект!$AA$1688</f>
        <v>2.8873807059579644</v>
      </c>
      <c r="AB572" s="618">
        <f ca="1">Проект!$AB$1688</f>
        <v>2.8873807059579644</v>
      </c>
      <c r="AC572" s="618">
        <f ca="1">Проект!$AC$1688</f>
        <v>2.8873807059579644</v>
      </c>
      <c r="AD572" s="563"/>
      <c r="AE572" s="569"/>
    </row>
    <row r="573" spans="1:31" hidden="1" x14ac:dyDescent="0.3">
      <c r="A573" s="598" t="str">
        <f ca="1">Проект!$A$1689</f>
        <v xml:space="preserve">    переменные затраты на единицу</v>
      </c>
      <c r="B573" s="563"/>
      <c r="C573" s="539" t="str">
        <f ca="1">Проект!$C$1689</f>
        <v>тыс. EUR / ед.</v>
      </c>
      <c r="D573" s="554" t="str">
        <f>Проект!$D$1689</f>
        <v>int_avg</v>
      </c>
      <c r="E573" s="563"/>
      <c r="F573" s="618" t="str">
        <f ca="1">Проект!$F$1689</f>
        <v>-</v>
      </c>
      <c r="G573" s="618" t="str">
        <f ca="1">Проект!$G$1689</f>
        <v>-</v>
      </c>
      <c r="H573" s="618" t="str">
        <f ca="1">Проект!$H$1689</f>
        <v>-</v>
      </c>
      <c r="I573" s="618" t="str">
        <f ca="1">Проект!$I$1689</f>
        <v>-</v>
      </c>
      <c r="J573" s="618" t="str">
        <f ca="1">Проект!$J$1689</f>
        <v>-</v>
      </c>
      <c r="K573" s="618" t="str">
        <f ca="1">Проект!$K$1689</f>
        <v>-</v>
      </c>
      <c r="L573" s="618">
        <f ca="1">Проект!$L$1689</f>
        <v>14.799049435800308</v>
      </c>
      <c r="M573" s="618">
        <f ca="1">Проект!$M$1689</f>
        <v>14.948658419353359</v>
      </c>
      <c r="N573" s="618">
        <f ca="1">Проект!$N$1689</f>
        <v>14.935912331474951</v>
      </c>
      <c r="O573" s="618">
        <f ca="1">Проект!$O$1689</f>
        <v>14.983480274420959</v>
      </c>
      <c r="P573" s="618">
        <f ca="1">Проект!$P$1689</f>
        <v>14.983480274420959</v>
      </c>
      <c r="Q573" s="618">
        <f ca="1">Проект!$Q$1689</f>
        <v>14.983480274420959</v>
      </c>
      <c r="R573" s="618">
        <f ca="1">Проект!$R$1689</f>
        <v>14.983480274420959</v>
      </c>
      <c r="S573" s="618">
        <f ca="1">Проект!$S$1689</f>
        <v>14.983480274420959</v>
      </c>
      <c r="T573" s="618">
        <f ca="1">Проект!$T$1689</f>
        <v>14.983480274420959</v>
      </c>
      <c r="U573" s="618">
        <f ca="1">Проект!$U$1689</f>
        <v>14.983480274420959</v>
      </c>
      <c r="V573" s="618">
        <f ca="1">Проект!$V$1689</f>
        <v>14.983480274420959</v>
      </c>
      <c r="W573" s="618">
        <f ca="1">Проект!$W$1689</f>
        <v>14.983480274420959</v>
      </c>
      <c r="X573" s="618">
        <f ca="1">Проект!$X$1689</f>
        <v>14.983480274420959</v>
      </c>
      <c r="Y573" s="618">
        <f ca="1">Проект!$Y$1689</f>
        <v>14.983480274420959</v>
      </c>
      <c r="Z573" s="618">
        <f ca="1">Проект!$Z$1689</f>
        <v>14.983480274420959</v>
      </c>
      <c r="AA573" s="618">
        <f ca="1">Проект!$AA$1689</f>
        <v>14.983480274420959</v>
      </c>
      <c r="AB573" s="618">
        <f ca="1">Проект!$AB$1689</f>
        <v>14.983480274420959</v>
      </c>
      <c r="AC573" s="618">
        <f ca="1">Проект!$AC$1689</f>
        <v>14.983480274420959</v>
      </c>
      <c r="AD573" s="563"/>
      <c r="AE573" s="569"/>
    </row>
    <row r="574" spans="1:31" hidden="1" x14ac:dyDescent="0.3">
      <c r="A574" s="598" t="str">
        <f ca="1">Проект!$A$1690</f>
        <v xml:space="preserve">    Итого затраты</v>
      </c>
      <c r="B574" s="563"/>
      <c r="C574" s="539" t="str">
        <f ca="1">Проект!$C$1690</f>
        <v>тыс. EUR</v>
      </c>
      <c r="D574" s="563"/>
      <c r="E574" s="563"/>
      <c r="F574" s="619" t="str">
        <f ca="1">Проект!$F$1690</f>
        <v>-</v>
      </c>
      <c r="G574" s="619" t="str">
        <f ca="1">Проект!$G$1690</f>
        <v>-</v>
      </c>
      <c r="H574" s="619" t="str">
        <f ca="1">Проект!$H$1690</f>
        <v>-</v>
      </c>
      <c r="I574" s="619" t="str">
        <f ca="1">Проект!$I$1690</f>
        <v>-</v>
      </c>
      <c r="J574" s="619" t="str">
        <f ca="1">Проект!$J$1690</f>
        <v>-</v>
      </c>
      <c r="K574" s="619">
        <f ca="1">Проект!$K$1690</f>
        <v>0</v>
      </c>
      <c r="L574" s="619">
        <f ca="1">Проект!$L$1690</f>
        <v>1568.8098411814872</v>
      </c>
      <c r="M574" s="619">
        <f ca="1">Проект!$M$1690</f>
        <v>2368.7620740501829</v>
      </c>
      <c r="N574" s="619">
        <f ca="1">Проект!$N$1690</f>
        <v>3324.7999296770959</v>
      </c>
      <c r="O574" s="619">
        <f ca="1">Проект!$O$1690</f>
        <v>4289.0066352909416</v>
      </c>
      <c r="P574" s="619">
        <f ca="1">Проект!$P$1690</f>
        <v>4289.0066352909416</v>
      </c>
      <c r="Q574" s="619">
        <f ca="1">Проект!$Q$1690</f>
        <v>4289.0066352909416</v>
      </c>
      <c r="R574" s="619">
        <f ca="1">Проект!$R$1690</f>
        <v>4289.0066352909416</v>
      </c>
      <c r="S574" s="619">
        <f ca="1">Проект!$S$1690</f>
        <v>4289.0066352909416</v>
      </c>
      <c r="T574" s="619">
        <f ca="1">Проект!$T$1690</f>
        <v>4289.0066352909416</v>
      </c>
      <c r="U574" s="619">
        <f ca="1">Проект!$U$1690</f>
        <v>4289.0066352909416</v>
      </c>
      <c r="V574" s="619">
        <f ca="1">Проект!$V$1690</f>
        <v>4289.0066352909416</v>
      </c>
      <c r="W574" s="619">
        <f ca="1">Проект!$W$1690</f>
        <v>4289.0066352909416</v>
      </c>
      <c r="X574" s="619">
        <f ca="1">Проект!$X$1690</f>
        <v>4289.0066352909416</v>
      </c>
      <c r="Y574" s="619">
        <f ca="1">Проект!$Y$1690</f>
        <v>4289.0066352909416</v>
      </c>
      <c r="Z574" s="619">
        <f ca="1">Проект!$Z$1690</f>
        <v>4289.0066352909416</v>
      </c>
      <c r="AA574" s="619">
        <f ca="1">Проект!$AA$1690</f>
        <v>4289.0066352909416</v>
      </c>
      <c r="AB574" s="619">
        <f ca="1">Проект!$AB$1690</f>
        <v>4289.0066352909416</v>
      </c>
      <c r="AC574" s="619">
        <f ca="1">Проект!$AC$1690</f>
        <v>4289.0066352909416</v>
      </c>
      <c r="AD574" s="563"/>
      <c r="AE574" s="569"/>
    </row>
    <row r="575" spans="1:31" hidden="1" x14ac:dyDescent="0.3">
      <c r="A575" s="598" t="str">
        <f ca="1">Проект!$A$1691</f>
        <v xml:space="preserve">    сырье и материалы</v>
      </c>
      <c r="B575" s="563"/>
      <c r="C575" s="539" t="str">
        <f ca="1">Проект!$C$1691</f>
        <v>тыс. EUR</v>
      </c>
      <c r="D575" s="563"/>
      <c r="E575" s="563"/>
      <c r="F575" s="571">
        <f>Проект!$F$1691</f>
        <v>0</v>
      </c>
      <c r="G575" s="571">
        <f>Проект!$G$1691</f>
        <v>0</v>
      </c>
      <c r="H575" s="571">
        <f>Проект!$H$1691</f>
        <v>0</v>
      </c>
      <c r="I575" s="571">
        <f>Проект!$I$1691</f>
        <v>0</v>
      </c>
      <c r="J575" s="571">
        <f>Проект!$J$1691</f>
        <v>0</v>
      </c>
      <c r="K575" s="571">
        <f>Проект!$K$1691</f>
        <v>0</v>
      </c>
      <c r="L575" s="571">
        <f>Проект!$L$1691</f>
        <v>1080.3306088134225</v>
      </c>
      <c r="M575" s="571">
        <f>Проект!$M$1691</f>
        <v>1823.7363271611098</v>
      </c>
      <c r="N575" s="571">
        <f>Проект!$N$1691</f>
        <v>2718.3360443284409</v>
      </c>
      <c r="O575" s="571">
        <f>Проект!$O$1691</f>
        <v>3596.03526586103</v>
      </c>
      <c r="P575" s="571">
        <f>Проект!$P$1691</f>
        <v>3596.03526586103</v>
      </c>
      <c r="Q575" s="571">
        <f>Проект!$Q$1691</f>
        <v>3596.03526586103</v>
      </c>
      <c r="R575" s="571">
        <f>Проект!$R$1691</f>
        <v>3596.03526586103</v>
      </c>
      <c r="S575" s="571">
        <f>Проект!$S$1691</f>
        <v>3596.03526586103</v>
      </c>
      <c r="T575" s="571">
        <f>Проект!$T$1691</f>
        <v>3596.03526586103</v>
      </c>
      <c r="U575" s="571">
        <f>Проект!$U$1691</f>
        <v>3596.03526586103</v>
      </c>
      <c r="V575" s="571">
        <f>Проект!$V$1691</f>
        <v>3596.03526586103</v>
      </c>
      <c r="W575" s="571">
        <f>Проект!$W$1691</f>
        <v>3596.03526586103</v>
      </c>
      <c r="X575" s="571">
        <f>Проект!$X$1691</f>
        <v>3596.03526586103</v>
      </c>
      <c r="Y575" s="571">
        <f>Проект!$Y$1691</f>
        <v>3596.03526586103</v>
      </c>
      <c r="Z575" s="571">
        <f>Проект!$Z$1691</f>
        <v>3596.03526586103</v>
      </c>
      <c r="AA575" s="571">
        <f>Проект!$AA$1691</f>
        <v>3596.03526586103</v>
      </c>
      <c r="AB575" s="571">
        <f>Проект!$AB$1691</f>
        <v>3596.03526586103</v>
      </c>
      <c r="AC575" s="571">
        <f>Проект!$AC$1691</f>
        <v>3596.03526586103</v>
      </c>
      <c r="AD575" s="563"/>
      <c r="AE575" s="569"/>
    </row>
    <row r="576" spans="1:31" hidden="1" x14ac:dyDescent="0.3">
      <c r="A576" s="598" t="str">
        <f ca="1">Проект!$A$1692</f>
        <v xml:space="preserve">    прочие переменные расходы</v>
      </c>
      <c r="B576" s="563"/>
      <c r="C576" s="539" t="str">
        <f ca="1">Проект!$C$1692</f>
        <v>тыс. EUR</v>
      </c>
      <c r="D576" s="563"/>
      <c r="E576" s="563"/>
      <c r="F576" s="571">
        <f>Проект!$F$1692</f>
        <v>0</v>
      </c>
      <c r="G576" s="571">
        <f>Проект!$G$1692</f>
        <v>0</v>
      </c>
      <c r="H576" s="571">
        <f>Проект!$H$1692</f>
        <v>0</v>
      </c>
      <c r="I576" s="571">
        <f>Проект!$I$1692</f>
        <v>0</v>
      </c>
      <c r="J576" s="571">
        <f>Проект!$J$1692</f>
        <v>0</v>
      </c>
      <c r="K576" s="571">
        <f>Проект!$K$1692</f>
        <v>0</v>
      </c>
      <c r="L576" s="571">
        <f>Проект!$L$1692</f>
        <v>0</v>
      </c>
      <c r="M576" s="571">
        <f>Проект!$M$1692</f>
        <v>0</v>
      </c>
      <c r="N576" s="571">
        <f>Проект!$N$1692</f>
        <v>0</v>
      </c>
      <c r="O576" s="571">
        <f>Проект!$O$1692</f>
        <v>0</v>
      </c>
      <c r="P576" s="571">
        <f>Проект!$P$1692</f>
        <v>0</v>
      </c>
      <c r="Q576" s="571">
        <f>Проект!$Q$1692</f>
        <v>0</v>
      </c>
      <c r="R576" s="571">
        <f>Проект!$R$1692</f>
        <v>0</v>
      </c>
      <c r="S576" s="571">
        <f>Проект!$S$1692</f>
        <v>0</v>
      </c>
      <c r="T576" s="571">
        <f>Проект!$T$1692</f>
        <v>0</v>
      </c>
      <c r="U576" s="571">
        <f>Проект!$U$1692</f>
        <v>0</v>
      </c>
      <c r="V576" s="571">
        <f>Проект!$V$1692</f>
        <v>0</v>
      </c>
      <c r="W576" s="571">
        <f>Проект!$W$1692</f>
        <v>0</v>
      </c>
      <c r="X576" s="571">
        <f>Проект!$X$1692</f>
        <v>0</v>
      </c>
      <c r="Y576" s="571">
        <f>Проект!$Y$1692</f>
        <v>0</v>
      </c>
      <c r="Z576" s="571">
        <f>Проект!$Z$1692</f>
        <v>0</v>
      </c>
      <c r="AA576" s="571">
        <f>Проект!$AA$1692</f>
        <v>0</v>
      </c>
      <c r="AB576" s="571">
        <f>Проект!$AB$1692</f>
        <v>0</v>
      </c>
      <c r="AC576" s="571">
        <f>Проект!$AC$1692</f>
        <v>0</v>
      </c>
      <c r="AD576" s="563"/>
      <c r="AE576" s="569"/>
    </row>
    <row r="577" spans="1:31" hidden="1" x14ac:dyDescent="0.3">
      <c r="A577" s="598" t="str">
        <f ca="1">Проект!$A$1693</f>
        <v xml:space="preserve">    оплата труда</v>
      </c>
      <c r="B577" s="563"/>
      <c r="C577" s="539" t="str">
        <f ca="1">Проект!$C$1693</f>
        <v>тыс. EUR</v>
      </c>
      <c r="D577" s="563"/>
      <c r="E577" s="563"/>
      <c r="F577" s="619" t="str">
        <f ca="1">Проект!$F$1693</f>
        <v>-</v>
      </c>
      <c r="G577" s="619" t="str">
        <f ca="1">Проект!$G$1693</f>
        <v>-</v>
      </c>
      <c r="H577" s="619" t="str">
        <f ca="1">Проект!$H$1693</f>
        <v>-</v>
      </c>
      <c r="I577" s="619" t="str">
        <f ca="1">Проект!$I$1693</f>
        <v>-</v>
      </c>
      <c r="J577" s="619" t="str">
        <f ca="1">Проект!$J$1693</f>
        <v>-</v>
      </c>
      <c r="K577" s="619">
        <f ca="1">Проект!$K$1693</f>
        <v>0</v>
      </c>
      <c r="L577" s="619">
        <f ca="1">Проект!$L$1693</f>
        <v>257.24336757863188</v>
      </c>
      <c r="M577" s="619">
        <f ca="1">Проект!$M$1693</f>
        <v>270.34628550546569</v>
      </c>
      <c r="N577" s="619">
        <f ca="1">Проект!$N$1693</f>
        <v>282.23956449220759</v>
      </c>
      <c r="O577" s="619">
        <f ca="1">Проект!$O$1693</f>
        <v>309.28587864076582</v>
      </c>
      <c r="P577" s="619">
        <f ca="1">Проект!$P$1693</f>
        <v>309.28587864076582</v>
      </c>
      <c r="Q577" s="619">
        <f ca="1">Проект!$Q$1693</f>
        <v>309.28587864076582</v>
      </c>
      <c r="R577" s="619">
        <f ca="1">Проект!$R$1693</f>
        <v>309.28587864076582</v>
      </c>
      <c r="S577" s="619">
        <f ca="1">Проект!$S$1693</f>
        <v>309.28587864076582</v>
      </c>
      <c r="T577" s="619">
        <f ca="1">Проект!$T$1693</f>
        <v>309.28587864076582</v>
      </c>
      <c r="U577" s="619">
        <f ca="1">Проект!$U$1693</f>
        <v>309.28587864076582</v>
      </c>
      <c r="V577" s="619">
        <f ca="1">Проект!$V$1693</f>
        <v>309.28587864076582</v>
      </c>
      <c r="W577" s="619">
        <f ca="1">Проект!$W$1693</f>
        <v>309.28587864076582</v>
      </c>
      <c r="X577" s="619">
        <f ca="1">Проект!$X$1693</f>
        <v>309.28587864076582</v>
      </c>
      <c r="Y577" s="619">
        <f ca="1">Проект!$Y$1693</f>
        <v>309.28587864076582</v>
      </c>
      <c r="Z577" s="619">
        <f ca="1">Проект!$Z$1693</f>
        <v>309.28587864076582</v>
      </c>
      <c r="AA577" s="619">
        <f ca="1">Проект!$AA$1693</f>
        <v>309.28587864076582</v>
      </c>
      <c r="AB577" s="619">
        <f ca="1">Проект!$AB$1693</f>
        <v>309.28587864076582</v>
      </c>
      <c r="AC577" s="619">
        <f ca="1">Проект!$AC$1693</f>
        <v>309.28587864076582</v>
      </c>
      <c r="AD577" s="563"/>
      <c r="AE577" s="569"/>
    </row>
    <row r="578" spans="1:31" hidden="1" x14ac:dyDescent="0.3">
      <c r="A578" s="598" t="str">
        <f ca="1">Проект!$A$1694</f>
        <v xml:space="preserve">    амортизация</v>
      </c>
      <c r="B578" s="563"/>
      <c r="C578" s="539" t="str">
        <f ca="1">Проект!$C$1694</f>
        <v>тыс. EUR</v>
      </c>
      <c r="D578" s="563"/>
      <c r="E578" s="563"/>
      <c r="F578" s="619" t="str">
        <f ca="1">Проект!$F$1694</f>
        <v>-</v>
      </c>
      <c r="G578" s="619" t="str">
        <f ca="1">Проект!$G$1694</f>
        <v>-</v>
      </c>
      <c r="H578" s="619" t="str">
        <f ca="1">Проект!$H$1694</f>
        <v>-</v>
      </c>
      <c r="I578" s="619" t="str">
        <f ca="1">Проект!$I$1694</f>
        <v>-</v>
      </c>
      <c r="J578" s="619" t="str">
        <f ca="1">Проект!$J$1694</f>
        <v>-</v>
      </c>
      <c r="K578" s="619">
        <f ca="1">Проект!$K$1694</f>
        <v>0</v>
      </c>
      <c r="L578" s="619">
        <f ca="1">Проект!$L$1694</f>
        <v>180.93536973771816</v>
      </c>
      <c r="M578" s="619">
        <f ca="1">Проект!$M$1694</f>
        <v>190.15147245807287</v>
      </c>
      <c r="N578" s="619">
        <f ca="1">Проект!$N$1694</f>
        <v>198.51676036079095</v>
      </c>
      <c r="O578" s="619">
        <f ca="1">Проект!$O$1694</f>
        <v>217.5401268194656</v>
      </c>
      <c r="P578" s="619">
        <f ca="1">Проект!$P$1694</f>
        <v>217.5401268194656</v>
      </c>
      <c r="Q578" s="619">
        <f ca="1">Проект!$Q$1694</f>
        <v>217.5401268194656</v>
      </c>
      <c r="R578" s="619">
        <f ca="1">Проект!$R$1694</f>
        <v>217.5401268194656</v>
      </c>
      <c r="S578" s="619">
        <f ca="1">Проект!$S$1694</f>
        <v>217.5401268194656</v>
      </c>
      <c r="T578" s="619">
        <f ca="1">Проект!$T$1694</f>
        <v>217.5401268194656</v>
      </c>
      <c r="U578" s="619">
        <f ca="1">Проект!$U$1694</f>
        <v>217.5401268194656</v>
      </c>
      <c r="V578" s="619">
        <f ca="1">Проект!$V$1694</f>
        <v>217.5401268194656</v>
      </c>
      <c r="W578" s="619">
        <f ca="1">Проект!$W$1694</f>
        <v>217.5401268194656</v>
      </c>
      <c r="X578" s="619">
        <f ca="1">Проект!$X$1694</f>
        <v>217.5401268194656</v>
      </c>
      <c r="Y578" s="619">
        <f ca="1">Проект!$Y$1694</f>
        <v>217.5401268194656</v>
      </c>
      <c r="Z578" s="619">
        <f ca="1">Проект!$Z$1694</f>
        <v>217.5401268194656</v>
      </c>
      <c r="AA578" s="619">
        <f ca="1">Проект!$AA$1694</f>
        <v>217.5401268194656</v>
      </c>
      <c r="AB578" s="619">
        <f ca="1">Проект!$AB$1694</f>
        <v>217.5401268194656</v>
      </c>
      <c r="AC578" s="619">
        <f ca="1">Проект!$AC$1694</f>
        <v>217.5401268194656</v>
      </c>
      <c r="AD578" s="563"/>
      <c r="AE578" s="569"/>
    </row>
    <row r="579" spans="1:31" hidden="1" x14ac:dyDescent="0.3">
      <c r="A579" s="598" t="str">
        <f ca="1">Проект!$A$1695</f>
        <v xml:space="preserve">    лизинговые платежи</v>
      </c>
      <c r="B579" s="563"/>
      <c r="C579" s="539" t="str">
        <f ca="1">Проект!$C$1695</f>
        <v>тыс. EUR</v>
      </c>
      <c r="D579" s="563"/>
      <c r="E579" s="563"/>
      <c r="F579" s="619" t="str">
        <f ca="1">Проект!$F$1695</f>
        <v>-</v>
      </c>
      <c r="G579" s="619" t="str">
        <f ca="1">Проект!$G$1695</f>
        <v>-</v>
      </c>
      <c r="H579" s="619" t="str">
        <f ca="1">Проект!$H$1695</f>
        <v>-</v>
      </c>
      <c r="I579" s="619" t="str">
        <f ca="1">Проект!$I$1695</f>
        <v>-</v>
      </c>
      <c r="J579" s="619" t="str">
        <f ca="1">Проект!$J$1695</f>
        <v>-</v>
      </c>
      <c r="K579" s="619">
        <f ca="1">Проект!$K$1695</f>
        <v>0</v>
      </c>
      <c r="L579" s="619">
        <f ca="1">Проект!$L$1695</f>
        <v>0</v>
      </c>
      <c r="M579" s="619">
        <f ca="1">Проект!$M$1695</f>
        <v>0</v>
      </c>
      <c r="N579" s="619">
        <f ca="1">Проект!$N$1695</f>
        <v>0</v>
      </c>
      <c r="O579" s="619">
        <f ca="1">Проект!$O$1695</f>
        <v>0</v>
      </c>
      <c r="P579" s="619">
        <f ca="1">Проект!$P$1695</f>
        <v>0</v>
      </c>
      <c r="Q579" s="619">
        <f ca="1">Проект!$Q$1695</f>
        <v>0</v>
      </c>
      <c r="R579" s="619">
        <f ca="1">Проект!$R$1695</f>
        <v>0</v>
      </c>
      <c r="S579" s="619">
        <f ca="1">Проект!$S$1695</f>
        <v>0</v>
      </c>
      <c r="T579" s="619">
        <f ca="1">Проект!$T$1695</f>
        <v>0</v>
      </c>
      <c r="U579" s="619">
        <f ca="1">Проект!$U$1695</f>
        <v>0</v>
      </c>
      <c r="V579" s="619">
        <f ca="1">Проект!$V$1695</f>
        <v>0</v>
      </c>
      <c r="W579" s="619">
        <f ca="1">Проект!$W$1695</f>
        <v>0</v>
      </c>
      <c r="X579" s="619">
        <f ca="1">Проект!$X$1695</f>
        <v>0</v>
      </c>
      <c r="Y579" s="619">
        <f ca="1">Проект!$Y$1695</f>
        <v>0</v>
      </c>
      <c r="Z579" s="619">
        <f ca="1">Проект!$Z$1695</f>
        <v>0</v>
      </c>
      <c r="AA579" s="619">
        <f ca="1">Проект!$AA$1695</f>
        <v>0</v>
      </c>
      <c r="AB579" s="619">
        <f ca="1">Проект!$AB$1695</f>
        <v>0</v>
      </c>
      <c r="AC579" s="619">
        <f ca="1">Проект!$AC$1695</f>
        <v>0</v>
      </c>
      <c r="AD579" s="563"/>
      <c r="AE579" s="569"/>
    </row>
    <row r="580" spans="1:31" hidden="1" x14ac:dyDescent="0.3">
      <c r="A580" s="598" t="str">
        <f ca="1">Проект!$A$1696</f>
        <v xml:space="preserve">    прочие производственные расходы</v>
      </c>
      <c r="B580" s="563"/>
      <c r="C580" s="539" t="str">
        <f ca="1">Проект!$C$1696</f>
        <v>тыс. EUR</v>
      </c>
      <c r="D580" s="563"/>
      <c r="E580" s="563"/>
      <c r="F580" s="619" t="str">
        <f ca="1">Проект!$F$1696</f>
        <v>-</v>
      </c>
      <c r="G580" s="619" t="str">
        <f ca="1">Проект!$G$1696</f>
        <v>-</v>
      </c>
      <c r="H580" s="619" t="str">
        <f ca="1">Проект!$H$1696</f>
        <v>-</v>
      </c>
      <c r="I580" s="619" t="str">
        <f ca="1">Проект!$I$1696</f>
        <v>-</v>
      </c>
      <c r="J580" s="619" t="str">
        <f ca="1">Проект!$J$1696</f>
        <v>-</v>
      </c>
      <c r="K580" s="619">
        <f ca="1">Проект!$K$1696</f>
        <v>0</v>
      </c>
      <c r="L580" s="619">
        <f ca="1">Проект!$L$1696</f>
        <v>17.890576787311804</v>
      </c>
      <c r="M580" s="619">
        <f ca="1">Проект!$M$1696</f>
        <v>29.815899110701277</v>
      </c>
      <c r="N580" s="619">
        <f ca="1">Проект!$N$1696</f>
        <v>44.157479165803075</v>
      </c>
      <c r="O580" s="619">
        <f ca="1">Проект!$O$1696</f>
        <v>58.264305993849248</v>
      </c>
      <c r="P580" s="619">
        <f ca="1">Проект!$P$1696</f>
        <v>58.264305993849248</v>
      </c>
      <c r="Q580" s="619">
        <f ca="1">Проект!$Q$1696</f>
        <v>58.264305993849248</v>
      </c>
      <c r="R580" s="619">
        <f ca="1">Проект!$R$1696</f>
        <v>58.264305993849248</v>
      </c>
      <c r="S580" s="619">
        <f ca="1">Проект!$S$1696</f>
        <v>58.264305993849248</v>
      </c>
      <c r="T580" s="619">
        <f ca="1">Проект!$T$1696</f>
        <v>58.264305993849248</v>
      </c>
      <c r="U580" s="619">
        <f ca="1">Проект!$U$1696</f>
        <v>58.264305993849248</v>
      </c>
      <c r="V580" s="619">
        <f ca="1">Проект!$V$1696</f>
        <v>58.264305993849248</v>
      </c>
      <c r="W580" s="619">
        <f ca="1">Проект!$W$1696</f>
        <v>58.264305993849248</v>
      </c>
      <c r="X580" s="619">
        <f ca="1">Проект!$X$1696</f>
        <v>58.264305993849248</v>
      </c>
      <c r="Y580" s="619">
        <f ca="1">Проект!$Y$1696</f>
        <v>58.264305993849248</v>
      </c>
      <c r="Z580" s="619">
        <f ca="1">Проект!$Z$1696</f>
        <v>58.264305993849248</v>
      </c>
      <c r="AA580" s="619">
        <f ca="1">Проект!$AA$1696</f>
        <v>58.264305993849248</v>
      </c>
      <c r="AB580" s="619">
        <f ca="1">Проект!$AB$1696</f>
        <v>58.264305993849248</v>
      </c>
      <c r="AC580" s="619">
        <f ca="1">Проект!$AC$1696</f>
        <v>58.264305993849248</v>
      </c>
      <c r="AD580" s="563"/>
      <c r="AE580" s="569"/>
    </row>
    <row r="581" spans="1:31" hidden="1" x14ac:dyDescent="0.3">
      <c r="A581" s="598" t="str">
        <f ca="1">Проект!$A$1697</f>
        <v xml:space="preserve">    административные расходы</v>
      </c>
      <c r="B581" s="563"/>
      <c r="C581" s="539" t="str">
        <f ca="1">Проект!$C$1697</f>
        <v>тыс. EUR</v>
      </c>
      <c r="D581" s="563"/>
      <c r="E581" s="563"/>
      <c r="F581" s="619" t="str">
        <f ca="1">Проект!$F$1697</f>
        <v>-</v>
      </c>
      <c r="G581" s="619" t="str">
        <f ca="1">Проект!$G$1697</f>
        <v>-</v>
      </c>
      <c r="H581" s="619" t="str">
        <f ca="1">Проект!$H$1697</f>
        <v>-</v>
      </c>
      <c r="I581" s="619" t="str">
        <f ca="1">Проект!$I$1697</f>
        <v>-</v>
      </c>
      <c r="J581" s="619" t="str">
        <f ca="1">Проект!$J$1697</f>
        <v>-</v>
      </c>
      <c r="K581" s="619">
        <f ca="1">Проект!$K$1697</f>
        <v>0</v>
      </c>
      <c r="L581" s="619">
        <f ca="1">Проект!$L$1697</f>
        <v>5.4016530440671131</v>
      </c>
      <c r="M581" s="619">
        <f ca="1">Проект!$M$1697</f>
        <v>9.1186816358055491</v>
      </c>
      <c r="N581" s="619">
        <f ca="1">Проект!$N$1697</f>
        <v>13.591680221642207</v>
      </c>
      <c r="O581" s="619">
        <f ca="1">Проект!$O$1697</f>
        <v>17.980176329305145</v>
      </c>
      <c r="P581" s="619">
        <f ca="1">Проект!$P$1697</f>
        <v>17.980176329305145</v>
      </c>
      <c r="Q581" s="619">
        <f ca="1">Проект!$Q$1697</f>
        <v>17.980176329305145</v>
      </c>
      <c r="R581" s="619">
        <f ca="1">Проект!$R$1697</f>
        <v>17.980176329305145</v>
      </c>
      <c r="S581" s="619">
        <f ca="1">Проект!$S$1697</f>
        <v>17.980176329305145</v>
      </c>
      <c r="T581" s="619">
        <f ca="1">Проект!$T$1697</f>
        <v>17.980176329305145</v>
      </c>
      <c r="U581" s="619">
        <f ca="1">Проект!$U$1697</f>
        <v>17.980176329305145</v>
      </c>
      <c r="V581" s="619">
        <f ca="1">Проект!$V$1697</f>
        <v>17.980176329305145</v>
      </c>
      <c r="W581" s="619">
        <f ca="1">Проект!$W$1697</f>
        <v>17.980176329305145</v>
      </c>
      <c r="X581" s="619">
        <f ca="1">Проект!$X$1697</f>
        <v>17.980176329305145</v>
      </c>
      <c r="Y581" s="619">
        <f ca="1">Проект!$Y$1697</f>
        <v>17.980176329305145</v>
      </c>
      <c r="Z581" s="619">
        <f ca="1">Проект!$Z$1697</f>
        <v>17.980176329305145</v>
      </c>
      <c r="AA581" s="619">
        <f ca="1">Проект!$AA$1697</f>
        <v>17.980176329305145</v>
      </c>
      <c r="AB581" s="619">
        <f ca="1">Проект!$AB$1697</f>
        <v>17.980176329305145</v>
      </c>
      <c r="AC581" s="619">
        <f ca="1">Проект!$AC$1697</f>
        <v>17.980176329305145</v>
      </c>
      <c r="AD581" s="563"/>
      <c r="AE581" s="569"/>
    </row>
    <row r="582" spans="1:31" hidden="1" x14ac:dyDescent="0.3">
      <c r="A582" s="598" t="str">
        <f ca="1">Проект!$A$1698</f>
        <v xml:space="preserve">    коммерческие расходы</v>
      </c>
      <c r="B582" s="563"/>
      <c r="C582" s="539" t="str">
        <f ca="1">Проект!$C$1698</f>
        <v>тыс. EUR</v>
      </c>
      <c r="D582" s="563"/>
      <c r="E582" s="563"/>
      <c r="F582" s="619" t="str">
        <f ca="1">Проект!$F$1698</f>
        <v>-</v>
      </c>
      <c r="G582" s="619" t="str">
        <f ca="1">Проект!$G$1698</f>
        <v>-</v>
      </c>
      <c r="H582" s="619" t="str">
        <f ca="1">Проект!$H$1698</f>
        <v>-</v>
      </c>
      <c r="I582" s="619" t="str">
        <f ca="1">Проект!$I$1698</f>
        <v>-</v>
      </c>
      <c r="J582" s="619" t="str">
        <f ca="1">Проект!$J$1698</f>
        <v>-</v>
      </c>
      <c r="K582" s="619">
        <f ca="1">Проект!$K$1698</f>
        <v>0</v>
      </c>
      <c r="L582" s="619">
        <f ca="1">Проект!$L$1698</f>
        <v>27.008265220335563</v>
      </c>
      <c r="M582" s="619">
        <f ca="1">Проект!$M$1698</f>
        <v>45.593408179027747</v>
      </c>
      <c r="N582" s="619">
        <f ca="1">Проект!$N$1698</f>
        <v>67.958401108211035</v>
      </c>
      <c r="O582" s="619">
        <f ca="1">Проект!$O$1698</f>
        <v>89.900881646525733</v>
      </c>
      <c r="P582" s="619">
        <f ca="1">Проект!$P$1698</f>
        <v>89.900881646525733</v>
      </c>
      <c r="Q582" s="619">
        <f ca="1">Проект!$Q$1698</f>
        <v>89.900881646525733</v>
      </c>
      <c r="R582" s="619">
        <f ca="1">Проект!$R$1698</f>
        <v>89.900881646525733</v>
      </c>
      <c r="S582" s="619">
        <f ca="1">Проект!$S$1698</f>
        <v>89.900881646525733</v>
      </c>
      <c r="T582" s="619">
        <f ca="1">Проект!$T$1698</f>
        <v>89.900881646525733</v>
      </c>
      <c r="U582" s="619">
        <f ca="1">Проект!$U$1698</f>
        <v>89.900881646525733</v>
      </c>
      <c r="V582" s="619">
        <f ca="1">Проект!$V$1698</f>
        <v>89.900881646525733</v>
      </c>
      <c r="W582" s="619">
        <f ca="1">Проект!$W$1698</f>
        <v>89.900881646525733</v>
      </c>
      <c r="X582" s="619">
        <f ca="1">Проект!$X$1698</f>
        <v>89.900881646525733</v>
      </c>
      <c r="Y582" s="619">
        <f ca="1">Проект!$Y$1698</f>
        <v>89.900881646525733</v>
      </c>
      <c r="Z582" s="619">
        <f ca="1">Проект!$Z$1698</f>
        <v>89.900881646525733</v>
      </c>
      <c r="AA582" s="619">
        <f ca="1">Проект!$AA$1698</f>
        <v>89.900881646525733</v>
      </c>
      <c r="AB582" s="619">
        <f ca="1">Проект!$AB$1698</f>
        <v>89.900881646525733</v>
      </c>
      <c r="AC582" s="619">
        <f ca="1">Проект!$AC$1698</f>
        <v>89.900881646525733</v>
      </c>
      <c r="AD582" s="563"/>
      <c r="AE582" s="569"/>
    </row>
    <row r="583" spans="1:31" hidden="1" x14ac:dyDescent="0.3">
      <c r="A583" s="598" t="str">
        <f ca="1">Проект!$A$1699</f>
        <v xml:space="preserve">    коэффициент распределения постоянных расходов</v>
      </c>
      <c r="B583" s="563"/>
      <c r="C583" s="539" t="str">
        <f ca="1">Проект!$C$1699</f>
        <v>разы</v>
      </c>
      <c r="D583" s="554" t="str">
        <f>Проект!$D$1699</f>
        <v>int_avg</v>
      </c>
      <c r="E583" s="563"/>
      <c r="F583" s="618" t="str">
        <f ca="1">Проект!$F$1699</f>
        <v>-</v>
      </c>
      <c r="G583" s="618" t="str">
        <f ca="1">Проект!$G$1699</f>
        <v>-</v>
      </c>
      <c r="H583" s="618" t="str">
        <f ca="1">Проект!$H$1699</f>
        <v>-</v>
      </c>
      <c r="I583" s="618" t="str">
        <f ca="1">Проект!$I$1699</f>
        <v>-</v>
      </c>
      <c r="J583" s="618" t="str">
        <f ca="1">Проект!$J$1699</f>
        <v>-</v>
      </c>
      <c r="K583" s="618">
        <f ca="1">Проект!$K$1699</f>
        <v>0</v>
      </c>
      <c r="L583" s="618">
        <f ca="1">Проект!$L$1699</f>
        <v>0.58488411215220193</v>
      </c>
      <c r="M583" s="618">
        <f ca="1">Проект!$M$1699</f>
        <v>0.61467570052385068</v>
      </c>
      <c r="N583" s="618">
        <f ca="1">Проект!$N$1699</f>
        <v>0.64171698048459713</v>
      </c>
      <c r="O583" s="618">
        <f ca="1">Проект!$O$1699</f>
        <v>0.70321111962089033</v>
      </c>
      <c r="P583" s="618">
        <f ca="1">Проект!$P$1699</f>
        <v>0.70321111962089033</v>
      </c>
      <c r="Q583" s="618">
        <f ca="1">Проект!$Q$1699</f>
        <v>0.70321111962089033</v>
      </c>
      <c r="R583" s="618">
        <f ca="1">Проект!$R$1699</f>
        <v>0.70321111962089033</v>
      </c>
      <c r="S583" s="618">
        <f ca="1">Проект!$S$1699</f>
        <v>0.70321111962089033</v>
      </c>
      <c r="T583" s="618">
        <f ca="1">Проект!$T$1699</f>
        <v>0.70321111962089033</v>
      </c>
      <c r="U583" s="618">
        <f ca="1">Проект!$U$1699</f>
        <v>0.70321111962089033</v>
      </c>
      <c r="V583" s="618">
        <f ca="1">Проект!$V$1699</f>
        <v>0.70321111962089033</v>
      </c>
      <c r="W583" s="618">
        <f ca="1">Проект!$W$1699</f>
        <v>0.70321111962089033</v>
      </c>
      <c r="X583" s="618">
        <f ca="1">Проект!$X$1699</f>
        <v>0.70321111962089033</v>
      </c>
      <c r="Y583" s="618">
        <f ca="1">Проект!$Y$1699</f>
        <v>0.70321111962089033</v>
      </c>
      <c r="Z583" s="618">
        <f ca="1">Проект!$Z$1699</f>
        <v>0.70321111962089033</v>
      </c>
      <c r="AA583" s="618">
        <f ca="1">Проект!$AA$1699</f>
        <v>0.70321111962089033</v>
      </c>
      <c r="AB583" s="618">
        <f ca="1">Проект!$AB$1699</f>
        <v>0.70321111962089033</v>
      </c>
      <c r="AC583" s="618">
        <f ca="1">Проект!$AC$1699</f>
        <v>0.70321111962089033</v>
      </c>
      <c r="AD583" s="563"/>
      <c r="AE583" s="569"/>
    </row>
    <row r="584" spans="1:31" hidden="1" x14ac:dyDescent="0.3">
      <c r="A584" s="598" t="str">
        <f ca="1">Проект!$A$1700</f>
        <v xml:space="preserve">    переменные затраты</v>
      </c>
      <c r="B584" s="563"/>
      <c r="C584" s="539" t="str">
        <f ca="1">Проект!$C$1700</f>
        <v>тыс. EUR</v>
      </c>
      <c r="D584" s="563"/>
      <c r="E584" s="563"/>
      <c r="F584" s="571">
        <f>Проект!$F$1700</f>
        <v>0</v>
      </c>
      <c r="G584" s="571">
        <f>Проект!$G$1700</f>
        <v>0</v>
      </c>
      <c r="H584" s="571">
        <f>Проект!$H$1700</f>
        <v>0</v>
      </c>
      <c r="I584" s="571">
        <f>Проект!$I$1700</f>
        <v>0</v>
      </c>
      <c r="J584" s="571">
        <f>Проект!$J$1700</f>
        <v>0</v>
      </c>
      <c r="K584" s="571">
        <f>Проект!$K$1700</f>
        <v>0</v>
      </c>
      <c r="L584" s="571">
        <f>Проект!$L$1700</f>
        <v>1080.3306088134225</v>
      </c>
      <c r="M584" s="571">
        <f>Проект!$M$1700</f>
        <v>1823.7363271611098</v>
      </c>
      <c r="N584" s="571">
        <f>Проект!$N$1700</f>
        <v>2718.3360443284409</v>
      </c>
      <c r="O584" s="571">
        <f>Проект!$O$1700</f>
        <v>3596.03526586103</v>
      </c>
      <c r="P584" s="571">
        <f>Проект!$P$1700</f>
        <v>3596.03526586103</v>
      </c>
      <c r="Q584" s="571">
        <f>Проект!$Q$1700</f>
        <v>3596.03526586103</v>
      </c>
      <c r="R584" s="571">
        <f>Проект!$R$1700</f>
        <v>3596.03526586103</v>
      </c>
      <c r="S584" s="571">
        <f>Проект!$S$1700</f>
        <v>3596.03526586103</v>
      </c>
      <c r="T584" s="571">
        <f>Проект!$T$1700</f>
        <v>3596.03526586103</v>
      </c>
      <c r="U584" s="571">
        <f>Проект!$U$1700</f>
        <v>3596.03526586103</v>
      </c>
      <c r="V584" s="571">
        <f>Проект!$V$1700</f>
        <v>3596.03526586103</v>
      </c>
      <c r="W584" s="571">
        <f>Проект!$W$1700</f>
        <v>3596.03526586103</v>
      </c>
      <c r="X584" s="571">
        <f>Проект!$X$1700</f>
        <v>3596.03526586103</v>
      </c>
      <c r="Y584" s="571">
        <f>Проект!$Y$1700</f>
        <v>3596.03526586103</v>
      </c>
      <c r="Z584" s="571">
        <f>Проект!$Z$1700</f>
        <v>3596.03526586103</v>
      </c>
      <c r="AA584" s="571">
        <f>Проект!$AA$1700</f>
        <v>3596.03526586103</v>
      </c>
      <c r="AB584" s="571">
        <f>Проект!$AB$1700</f>
        <v>3596.03526586103</v>
      </c>
      <c r="AC584" s="571">
        <f>Проект!$AC$1700</f>
        <v>3596.03526586103</v>
      </c>
      <c r="AD584" s="563"/>
      <c r="AE584" s="569"/>
    </row>
    <row r="585" spans="1:31" hidden="1" x14ac:dyDescent="0.3">
      <c r="A585" s="598" t="str">
        <f ca="1">Проект!$A$1701</f>
        <v xml:space="preserve">    постоянные затраты</v>
      </c>
      <c r="B585" s="563"/>
      <c r="C585" s="539" t="str">
        <f ca="1">Проект!$C$1701</f>
        <v>тыс. EUR</v>
      </c>
      <c r="D585" s="563"/>
      <c r="E585" s="563"/>
      <c r="F585" s="619" t="str">
        <f ca="1">Проект!$F$1701</f>
        <v>-</v>
      </c>
      <c r="G585" s="619" t="str">
        <f ca="1">Проект!$G$1701</f>
        <v>-</v>
      </c>
      <c r="H585" s="619" t="str">
        <f ca="1">Проект!$H$1701</f>
        <v>-</v>
      </c>
      <c r="I585" s="619" t="str">
        <f ca="1">Проект!$I$1701</f>
        <v>-</v>
      </c>
      <c r="J585" s="619" t="str">
        <f ca="1">Проект!$J$1701</f>
        <v>-</v>
      </c>
      <c r="K585" s="619">
        <f ca="1">Проект!$K$1701</f>
        <v>0</v>
      </c>
      <c r="L585" s="619">
        <f ca="1">Проект!$L$1701</f>
        <v>488.47923236806457</v>
      </c>
      <c r="M585" s="619">
        <f ca="1">Проект!$M$1701</f>
        <v>545.02574688907316</v>
      </c>
      <c r="N585" s="619">
        <f ca="1">Проект!$N$1701</f>
        <v>606.46388534865491</v>
      </c>
      <c r="O585" s="619">
        <f ca="1">Проект!$O$1701</f>
        <v>692.97136942991142</v>
      </c>
      <c r="P585" s="619">
        <f ca="1">Проект!$P$1701</f>
        <v>692.97136942991142</v>
      </c>
      <c r="Q585" s="619">
        <f ca="1">Проект!$Q$1701</f>
        <v>692.97136942991142</v>
      </c>
      <c r="R585" s="619">
        <f ca="1">Проект!$R$1701</f>
        <v>692.97136942991142</v>
      </c>
      <c r="S585" s="619">
        <f ca="1">Проект!$S$1701</f>
        <v>692.97136942991142</v>
      </c>
      <c r="T585" s="619">
        <f ca="1">Проект!$T$1701</f>
        <v>692.97136942991142</v>
      </c>
      <c r="U585" s="619">
        <f ca="1">Проект!$U$1701</f>
        <v>692.97136942991142</v>
      </c>
      <c r="V585" s="619">
        <f ca="1">Проект!$V$1701</f>
        <v>692.97136942991142</v>
      </c>
      <c r="W585" s="619">
        <f ca="1">Проект!$W$1701</f>
        <v>692.97136942991142</v>
      </c>
      <c r="X585" s="619">
        <f ca="1">Проект!$X$1701</f>
        <v>692.97136942991142</v>
      </c>
      <c r="Y585" s="619">
        <f ca="1">Проект!$Y$1701</f>
        <v>692.97136942991142</v>
      </c>
      <c r="Z585" s="619">
        <f ca="1">Проект!$Z$1701</f>
        <v>692.97136942991142</v>
      </c>
      <c r="AA585" s="619">
        <f ca="1">Проект!$AA$1701</f>
        <v>692.97136942991142</v>
      </c>
      <c r="AB585" s="619">
        <f ca="1">Проект!$AB$1701</f>
        <v>692.97136942991142</v>
      </c>
      <c r="AC585" s="619">
        <f ca="1">Проект!$AC$1701</f>
        <v>692.97136942991142</v>
      </c>
      <c r="AD585" s="563"/>
      <c r="AE585" s="569"/>
    </row>
    <row r="586" spans="1:31" ht="11.25" customHeight="1" x14ac:dyDescent="0.3">
      <c r="A586" s="598" t="str">
        <f ca="1">Проект!$A$1702</f>
        <v>Ценовой коэффициент</v>
      </c>
      <c r="B586" s="563"/>
      <c r="C586" s="539" t="str">
        <f>Проект!$C$1702</f>
        <v>%</v>
      </c>
      <c r="D586" s="554" t="str">
        <f>Проект!$D$1702</f>
        <v>int_avg</v>
      </c>
      <c r="E586" s="563"/>
      <c r="F586" s="620" t="str">
        <f ca="1">Проект!$F$1702</f>
        <v>-</v>
      </c>
      <c r="G586" s="620" t="str">
        <f ca="1">Проект!$G$1702</f>
        <v>-</v>
      </c>
      <c r="H586" s="620" t="str">
        <f ca="1">Проект!$H$1702</f>
        <v>-</v>
      </c>
      <c r="I586" s="620" t="str">
        <f ca="1">Проект!$I$1702</f>
        <v>-</v>
      </c>
      <c r="J586" s="620" t="str">
        <f ca="1">Проект!$J$1702</f>
        <v>-</v>
      </c>
      <c r="K586" s="620" t="str">
        <f ca="1">Проект!$K$1702</f>
        <v>-</v>
      </c>
      <c r="L586" s="620">
        <f ca="1">Проект!$L$1702</f>
        <v>0.31336986521736615</v>
      </c>
      <c r="M586" s="620">
        <f ca="1">Проект!$M$1702</f>
        <v>0.31291381419584507</v>
      </c>
      <c r="N586" s="620">
        <f ca="1">Проект!$N$1702</f>
        <v>0.31295233530132566</v>
      </c>
      <c r="O586" s="620">
        <f ca="1">Проект!$O$1702</f>
        <v>0.31280888811332536</v>
      </c>
      <c r="P586" s="620">
        <f ca="1">Проект!$P$1702</f>
        <v>0.31280888811332536</v>
      </c>
      <c r="Q586" s="620">
        <f ca="1">Проект!$Q$1702</f>
        <v>0.31280888811332536</v>
      </c>
      <c r="R586" s="620">
        <f ca="1">Проект!$R$1702</f>
        <v>0.31280888811332536</v>
      </c>
      <c r="S586" s="620">
        <f ca="1">Проект!$S$1702</f>
        <v>0.31280888811332536</v>
      </c>
      <c r="T586" s="620">
        <f ca="1">Проект!$T$1702</f>
        <v>0.31280888811332536</v>
      </c>
      <c r="U586" s="620">
        <f ca="1">Проект!$U$1702</f>
        <v>0.31280888811332536</v>
      </c>
      <c r="V586" s="620">
        <f ca="1">Проект!$V$1702</f>
        <v>0.31280888811332536</v>
      </c>
      <c r="W586" s="620">
        <f ca="1">Проект!$W$1702</f>
        <v>0.31280888811332536</v>
      </c>
      <c r="X586" s="620">
        <f ca="1">Проект!$X$1702</f>
        <v>0.31280888811332536</v>
      </c>
      <c r="Y586" s="620">
        <f ca="1">Проект!$Y$1702</f>
        <v>0.31280888811332536</v>
      </c>
      <c r="Z586" s="620">
        <f ca="1">Проект!$Z$1702</f>
        <v>0.31280888811332536</v>
      </c>
      <c r="AA586" s="620">
        <f ca="1">Проект!$AA$1702</f>
        <v>0.31280888811332536</v>
      </c>
      <c r="AB586" s="620">
        <f ca="1">Проект!$AB$1702</f>
        <v>0.31280888811332536</v>
      </c>
      <c r="AC586" s="620">
        <f ca="1">Проект!$AC$1702</f>
        <v>0.31280888811332536</v>
      </c>
      <c r="AD586" s="563"/>
      <c r="AE586" s="569"/>
    </row>
    <row r="587" spans="1:31" hidden="1" x14ac:dyDescent="0.3">
      <c r="A587" s="598" t="str">
        <f ca="1">Проект!$A$1703</f>
        <v>Маржинальная прибыль</v>
      </c>
      <c r="B587" s="563"/>
      <c r="C587" s="539" t="str">
        <f ca="1">Проект!$C$1703</f>
        <v>тыс. EUR</v>
      </c>
      <c r="D587" s="563"/>
      <c r="E587" s="563"/>
      <c r="F587" s="571">
        <f>Проект!$F$1703</f>
        <v>0</v>
      </c>
      <c r="G587" s="571">
        <f>Проект!$G$1703</f>
        <v>0</v>
      </c>
      <c r="H587" s="571">
        <f>Проект!$H$1703</f>
        <v>0</v>
      </c>
      <c r="I587" s="571">
        <f>Проект!$I$1703</f>
        <v>0</v>
      </c>
      <c r="J587" s="571">
        <f>Проект!$J$1703</f>
        <v>0</v>
      </c>
      <c r="K587" s="571">
        <f>Проект!$K$1703</f>
        <v>0</v>
      </c>
      <c r="L587" s="571">
        <f>Проект!$L$1703</f>
        <v>493.05010095606963</v>
      </c>
      <c r="M587" s="571">
        <f>Проект!$M$1703</f>
        <v>830.56871468256713</v>
      </c>
      <c r="N587" s="571">
        <f>Проект!$N$1703</f>
        <v>1238.2104720193729</v>
      </c>
      <c r="O587" s="571">
        <f>Проект!$O$1703</f>
        <v>1636.9126050567993</v>
      </c>
      <c r="P587" s="571">
        <f>Проект!$P$1703</f>
        <v>1636.9126050567993</v>
      </c>
      <c r="Q587" s="571">
        <f>Проект!$Q$1703</f>
        <v>1636.9126050567993</v>
      </c>
      <c r="R587" s="571">
        <f>Проект!$R$1703</f>
        <v>1636.9126050567993</v>
      </c>
      <c r="S587" s="571">
        <f>Проект!$S$1703</f>
        <v>1636.9126050567993</v>
      </c>
      <c r="T587" s="571">
        <f>Проект!$T$1703</f>
        <v>1636.9126050567993</v>
      </c>
      <c r="U587" s="571">
        <f>Проект!$U$1703</f>
        <v>1636.9126050567993</v>
      </c>
      <c r="V587" s="571">
        <f>Проект!$V$1703</f>
        <v>1636.9126050567993</v>
      </c>
      <c r="W587" s="571">
        <f>Проект!$W$1703</f>
        <v>1636.9126050567993</v>
      </c>
      <c r="X587" s="571">
        <f>Проект!$X$1703</f>
        <v>1636.9126050567993</v>
      </c>
      <c r="Y587" s="571">
        <f>Проект!$Y$1703</f>
        <v>1636.9126050567993</v>
      </c>
      <c r="Z587" s="571">
        <f>Проект!$Z$1703</f>
        <v>1636.9126050567993</v>
      </c>
      <c r="AA587" s="571">
        <f>Проект!$AA$1703</f>
        <v>1636.9126050567993</v>
      </c>
      <c r="AB587" s="571">
        <f>Проект!$AB$1703</f>
        <v>1636.9126050567993</v>
      </c>
      <c r="AC587" s="571">
        <f>Проект!$AC$1703</f>
        <v>1636.9126050567993</v>
      </c>
      <c r="AD587" s="563"/>
      <c r="AE587" s="569"/>
    </row>
    <row r="588" spans="1:31" hidden="1" x14ac:dyDescent="0.3">
      <c r="A588" s="598" t="str">
        <f ca="1">Проект!$A$1704</f>
        <v>Точка безубыточности</v>
      </c>
      <c r="B588" s="563"/>
      <c r="C588" s="539" t="str">
        <f ca="1">Проект!$C$1704</f>
        <v>тыс. EUR</v>
      </c>
      <c r="D588" s="554" t="str">
        <f>Проект!$D$1704</f>
        <v>int_avg</v>
      </c>
      <c r="E588" s="563"/>
      <c r="F588" s="619" t="str">
        <f ca="1">Проект!$F$1704</f>
        <v>-</v>
      </c>
      <c r="G588" s="619" t="str">
        <f ca="1">Проект!$G$1704</f>
        <v>-</v>
      </c>
      <c r="H588" s="619" t="str">
        <f ca="1">Проект!$H$1704</f>
        <v>-</v>
      </c>
      <c r="I588" s="619" t="str">
        <f ca="1">Проект!$I$1704</f>
        <v>-</v>
      </c>
      <c r="J588" s="619" t="str">
        <f ca="1">Проект!$J$1704</f>
        <v>-</v>
      </c>
      <c r="K588" s="619" t="str">
        <f ca="1">Проект!$K$1704</f>
        <v>-</v>
      </c>
      <c r="L588" s="619">
        <f ca="1">Проект!$L$1704</f>
        <v>1558.7945319159371</v>
      </c>
      <c r="M588" s="619">
        <f ca="1">Проект!$M$1704</f>
        <v>1741.775920918451</v>
      </c>
      <c r="N588" s="619">
        <f ca="1">Проект!$N$1704</f>
        <v>1937.8794050688969</v>
      </c>
      <c r="O588" s="619">
        <f ca="1">Проект!$O$1704</f>
        <v>2215.3186682434025</v>
      </c>
      <c r="P588" s="619">
        <f ca="1">Проект!$P$1704</f>
        <v>2215.3186682434025</v>
      </c>
      <c r="Q588" s="619">
        <f ca="1">Проект!$Q$1704</f>
        <v>2215.3186682434025</v>
      </c>
      <c r="R588" s="619">
        <f ca="1">Проект!$R$1704</f>
        <v>2215.3186682434025</v>
      </c>
      <c r="S588" s="619">
        <f ca="1">Проект!$S$1704</f>
        <v>2215.3186682434025</v>
      </c>
      <c r="T588" s="619">
        <f ca="1">Проект!$T$1704</f>
        <v>2215.3186682434025</v>
      </c>
      <c r="U588" s="619">
        <f ca="1">Проект!$U$1704</f>
        <v>2215.3186682434025</v>
      </c>
      <c r="V588" s="619">
        <f ca="1">Проект!$V$1704</f>
        <v>2215.3186682434025</v>
      </c>
      <c r="W588" s="619">
        <f ca="1">Проект!$W$1704</f>
        <v>2215.3186682434025</v>
      </c>
      <c r="X588" s="619">
        <f ca="1">Проект!$X$1704</f>
        <v>2215.3186682434025</v>
      </c>
      <c r="Y588" s="619">
        <f ca="1">Проект!$Y$1704</f>
        <v>2215.3186682434025</v>
      </c>
      <c r="Z588" s="619">
        <f ca="1">Проект!$Z$1704</f>
        <v>2215.3186682434025</v>
      </c>
      <c r="AA588" s="619">
        <f ca="1">Проект!$AA$1704</f>
        <v>2215.3186682434025</v>
      </c>
      <c r="AB588" s="619">
        <f ca="1">Проект!$AB$1704</f>
        <v>2215.3186682434025</v>
      </c>
      <c r="AC588" s="619">
        <f ca="1">Проект!$AC$1704</f>
        <v>2215.3186682434025</v>
      </c>
      <c r="AD588" s="563"/>
      <c r="AE588" s="569"/>
    </row>
    <row r="589" spans="1:31" hidden="1" x14ac:dyDescent="0.3">
      <c r="A589" s="598" t="str">
        <f ca="1">Проект!$A$1705</f>
        <v>Точка безубыточности</v>
      </c>
      <c r="B589" s="563"/>
      <c r="C589" s="539" t="str">
        <f ca="1">Проект!$C$1705</f>
        <v>ед.</v>
      </c>
      <c r="D589" s="554" t="str">
        <f>Проект!$D$1705</f>
        <v>int_avg</v>
      </c>
      <c r="E589" s="563"/>
      <c r="F589" s="619" t="str">
        <f ca="1">Проект!$F$1705</f>
        <v>-</v>
      </c>
      <c r="G589" s="619" t="str">
        <f ca="1">Проект!$G$1705</f>
        <v>-</v>
      </c>
      <c r="H589" s="619" t="str">
        <f ca="1">Проект!$H$1705</f>
        <v>-</v>
      </c>
      <c r="I589" s="619" t="str">
        <f ca="1">Проект!$I$1705</f>
        <v>-</v>
      </c>
      <c r="J589" s="619" t="str">
        <f ca="1">Проект!$J$1705</f>
        <v>-</v>
      </c>
      <c r="K589" s="619" t="str">
        <f ca="1">Проект!$K$1705</f>
        <v>-</v>
      </c>
      <c r="L589" s="619">
        <f ca="1">Проект!$L$1705</f>
        <v>72.323246448429188</v>
      </c>
      <c r="M589" s="619">
        <f ca="1">Проект!$M$1705</f>
        <v>80.05736303934799</v>
      </c>
      <c r="N589" s="619">
        <f ca="1">Проект!$N$1705</f>
        <v>89.141894393321081</v>
      </c>
      <c r="O589" s="619">
        <f ca="1">Проект!$O$1705</f>
        <v>101.60171541803714</v>
      </c>
      <c r="P589" s="619">
        <f ca="1">Проект!$P$1705</f>
        <v>101.60171541803714</v>
      </c>
      <c r="Q589" s="619">
        <f ca="1">Проект!$Q$1705</f>
        <v>101.60171541803714</v>
      </c>
      <c r="R589" s="619">
        <f ca="1">Проект!$R$1705</f>
        <v>101.60171541803714</v>
      </c>
      <c r="S589" s="619">
        <f ca="1">Проект!$S$1705</f>
        <v>101.60171541803714</v>
      </c>
      <c r="T589" s="619">
        <f ca="1">Проект!$T$1705</f>
        <v>101.60171541803714</v>
      </c>
      <c r="U589" s="619">
        <f ca="1">Проект!$U$1705</f>
        <v>101.60171541803714</v>
      </c>
      <c r="V589" s="619">
        <f ca="1">Проект!$V$1705</f>
        <v>101.60171541803714</v>
      </c>
      <c r="W589" s="619">
        <f ca="1">Проект!$W$1705</f>
        <v>101.60171541803714</v>
      </c>
      <c r="X589" s="619">
        <f ca="1">Проект!$X$1705</f>
        <v>101.60171541803714</v>
      </c>
      <c r="Y589" s="619">
        <f ca="1">Проект!$Y$1705</f>
        <v>101.60171541803714</v>
      </c>
      <c r="Z589" s="619">
        <f ca="1">Проект!$Z$1705</f>
        <v>101.60171541803714</v>
      </c>
      <c r="AA589" s="619">
        <f ca="1">Проект!$AA$1705</f>
        <v>101.60171541803714</v>
      </c>
      <c r="AB589" s="619">
        <f ca="1">Проект!$AB$1705</f>
        <v>101.60171541803714</v>
      </c>
      <c r="AC589" s="619">
        <f ca="1">Проект!$AC$1705</f>
        <v>101.60171541803714</v>
      </c>
      <c r="AD589" s="563"/>
      <c r="AE589" s="569"/>
    </row>
    <row r="590" spans="1:31" hidden="1" x14ac:dyDescent="0.3">
      <c r="A590" s="598" t="str">
        <f ca="1">Проект!$A$1706</f>
        <v>"Запас прочности"</v>
      </c>
      <c r="B590" s="563"/>
      <c r="C590" s="539" t="str">
        <f>Проект!$C$1706</f>
        <v>%</v>
      </c>
      <c r="D590" s="554" t="str">
        <f>Проект!$D$1706</f>
        <v>int_avg</v>
      </c>
      <c r="E590" s="563"/>
      <c r="F590" s="620" t="str">
        <f ca="1">Проект!$F$1706</f>
        <v>-</v>
      </c>
      <c r="G590" s="620" t="str">
        <f ca="1">Проект!$G$1706</f>
        <v>-</v>
      </c>
      <c r="H590" s="620" t="str">
        <f ca="1">Проект!$H$1706</f>
        <v>-</v>
      </c>
      <c r="I590" s="620" t="str">
        <f ca="1">Проект!$I$1706</f>
        <v>-</v>
      </c>
      <c r="J590" s="620" t="str">
        <f ca="1">Проект!$J$1706</f>
        <v>-</v>
      </c>
      <c r="K590" s="620" t="str">
        <f ca="1">Проект!$K$1706</f>
        <v>-</v>
      </c>
      <c r="L590" s="620">
        <f ca="1">Проект!$L$1706</f>
        <v>9.2705965968604923E-3</v>
      </c>
      <c r="M590" s="620">
        <f ca="1">Проект!$M$1706</f>
        <v>0.34379210623485246</v>
      </c>
      <c r="N590" s="620">
        <f ca="1">Проект!$N$1706</f>
        <v>0.51020937146526879</v>
      </c>
      <c r="O590" s="620">
        <f ca="1">Проект!$O$1706</f>
        <v>0.57665951909151192</v>
      </c>
      <c r="P590" s="620">
        <f ca="1">Проект!$P$1706</f>
        <v>0.57665951909151192</v>
      </c>
      <c r="Q590" s="620">
        <f ca="1">Проект!$Q$1706</f>
        <v>0.57665951909151192</v>
      </c>
      <c r="R590" s="620">
        <f ca="1">Проект!$R$1706</f>
        <v>0.57665951909151192</v>
      </c>
      <c r="S590" s="620">
        <f ca="1">Проект!$S$1706</f>
        <v>0.57665951909151192</v>
      </c>
      <c r="T590" s="620">
        <f ca="1">Проект!$T$1706</f>
        <v>0.57665951909151192</v>
      </c>
      <c r="U590" s="620">
        <f ca="1">Проект!$U$1706</f>
        <v>0.57665951909151192</v>
      </c>
      <c r="V590" s="620">
        <f ca="1">Проект!$V$1706</f>
        <v>0.57665951909151192</v>
      </c>
      <c r="W590" s="620">
        <f ca="1">Проект!$W$1706</f>
        <v>0.57665951909151192</v>
      </c>
      <c r="X590" s="620">
        <f ca="1">Проект!$X$1706</f>
        <v>0.57665951909151192</v>
      </c>
      <c r="Y590" s="620">
        <f ca="1">Проект!$Y$1706</f>
        <v>0.57665951909151192</v>
      </c>
      <c r="Z590" s="620">
        <f ca="1">Проект!$Z$1706</f>
        <v>0.57665951909151192</v>
      </c>
      <c r="AA590" s="620">
        <f ca="1">Проект!$AA$1706</f>
        <v>0.57665951909151192</v>
      </c>
      <c r="AB590" s="620">
        <f ca="1">Проект!$AB$1706</f>
        <v>0.57665951909151192</v>
      </c>
      <c r="AC590" s="620">
        <f ca="1">Проект!$AC$1706</f>
        <v>0.57665951909151192</v>
      </c>
      <c r="AD590" s="563"/>
      <c r="AE590" s="569"/>
    </row>
    <row r="591" spans="1:31" ht="11.25" customHeight="1" x14ac:dyDescent="0.3">
      <c r="A591" s="598" t="str">
        <f ca="1">Проект!$A$1707</f>
        <v>Рентабельность</v>
      </c>
      <c r="B591" s="563"/>
      <c r="C591" s="539" t="str">
        <f>Проект!$C$1707</f>
        <v>%</v>
      </c>
      <c r="D591" s="554" t="str">
        <f>Проект!$D$1707</f>
        <v>int_avg</v>
      </c>
      <c r="E591" s="563"/>
      <c r="F591" s="620" t="str">
        <f ca="1">Проект!$F$1707</f>
        <v>-</v>
      </c>
      <c r="G591" s="620" t="str">
        <f ca="1">Проект!$G$1707</f>
        <v>-</v>
      </c>
      <c r="H591" s="620" t="str">
        <f ca="1">Проект!$H$1707</f>
        <v>-</v>
      </c>
      <c r="I591" s="620" t="str">
        <f ca="1">Проект!$I$1707</f>
        <v>-</v>
      </c>
      <c r="J591" s="620" t="str">
        <f ca="1">Проект!$J$1707</f>
        <v>-</v>
      </c>
      <c r="K591" s="620" t="str">
        <f ca="1">Проект!$K$1707</f>
        <v>-</v>
      </c>
      <c r="L591" s="620">
        <f ca="1">Проект!$L$1707</f>
        <v>2.9051256060426698E-3</v>
      </c>
      <c r="M591" s="620">
        <f ca="1">Проект!$M$1707</f>
        <v>0.10757729925237085</v>
      </c>
      <c r="N591" s="620">
        <f ca="1">Проект!$N$1707</f>
        <v>0.15967121429267739</v>
      </c>
      <c r="O591" s="620">
        <f ca="1">Проект!$O$1707</f>
        <v>0.1803842229869807</v>
      </c>
      <c r="P591" s="620">
        <f ca="1">Проект!$P$1707</f>
        <v>0.1803842229869807</v>
      </c>
      <c r="Q591" s="620">
        <f ca="1">Проект!$Q$1707</f>
        <v>0.1803842229869807</v>
      </c>
      <c r="R591" s="620">
        <f ca="1">Проект!$R$1707</f>
        <v>0.1803842229869807</v>
      </c>
      <c r="S591" s="620">
        <f ca="1">Проект!$S$1707</f>
        <v>0.1803842229869807</v>
      </c>
      <c r="T591" s="620">
        <f ca="1">Проект!$T$1707</f>
        <v>0.1803842229869807</v>
      </c>
      <c r="U591" s="620">
        <f ca="1">Проект!$U$1707</f>
        <v>0.1803842229869807</v>
      </c>
      <c r="V591" s="620">
        <f ca="1">Проект!$V$1707</f>
        <v>0.1803842229869807</v>
      </c>
      <c r="W591" s="620">
        <f ca="1">Проект!$W$1707</f>
        <v>0.1803842229869807</v>
      </c>
      <c r="X591" s="620">
        <f ca="1">Проект!$X$1707</f>
        <v>0.1803842229869807</v>
      </c>
      <c r="Y591" s="620">
        <f ca="1">Проект!$Y$1707</f>
        <v>0.1803842229869807</v>
      </c>
      <c r="Z591" s="620">
        <f ca="1">Проект!$Z$1707</f>
        <v>0.1803842229869807</v>
      </c>
      <c r="AA591" s="620">
        <f ca="1">Проект!$AA$1707</f>
        <v>0.1803842229869807</v>
      </c>
      <c r="AB591" s="620">
        <f ca="1">Проект!$AB$1707</f>
        <v>0.1803842229869807</v>
      </c>
      <c r="AC591" s="620">
        <f ca="1">Проект!$AC$1707</f>
        <v>0.1803842229869807</v>
      </c>
      <c r="AD591" s="563"/>
      <c r="AE591" s="569"/>
    </row>
    <row r="592" spans="1:31" ht="11.25" customHeight="1" x14ac:dyDescent="0.3">
      <c r="A592" s="563"/>
      <c r="B592" s="563"/>
      <c r="C592" s="563"/>
      <c r="D592" s="563"/>
      <c r="E592" s="563"/>
      <c r="F592" s="571"/>
      <c r="G592" s="571"/>
      <c r="H592" s="571"/>
      <c r="I592" s="571"/>
      <c r="J592" s="571"/>
      <c r="K592" s="571"/>
      <c r="L592" s="571"/>
      <c r="M592" s="571"/>
      <c r="N592" s="571"/>
      <c r="O592" s="571"/>
      <c r="P592" s="571"/>
      <c r="Q592" s="571"/>
      <c r="R592" s="571"/>
      <c r="S592" s="571"/>
      <c r="T592" s="571"/>
      <c r="U592" s="571"/>
      <c r="V592" s="571"/>
      <c r="W592" s="571"/>
      <c r="X592" s="571"/>
      <c r="Y592" s="571"/>
      <c r="Z592" s="571"/>
      <c r="AA592" s="571"/>
      <c r="AB592" s="571"/>
      <c r="AC592" s="571"/>
      <c r="AD592" s="563"/>
      <c r="AE592" s="569"/>
    </row>
    <row r="593" spans="1:31" ht="11.25" customHeight="1" x14ac:dyDescent="0.3">
      <c r="A593" s="544"/>
      <c r="B593" s="544"/>
      <c r="C593" s="544"/>
      <c r="D593" s="544"/>
      <c r="E593" s="544"/>
      <c r="F593" s="544"/>
      <c r="G593" s="544"/>
      <c r="H593" s="544"/>
      <c r="I593" s="544"/>
      <c r="J593" s="544"/>
      <c r="K593" s="544"/>
      <c r="L593" s="544"/>
      <c r="M593" s="544"/>
      <c r="N593" s="544"/>
      <c r="O593" s="544"/>
      <c r="P593" s="544"/>
      <c r="Q593" s="544"/>
      <c r="R593" s="544"/>
      <c r="S593" s="544"/>
      <c r="T593" s="544"/>
      <c r="U593" s="544"/>
      <c r="V593" s="544"/>
      <c r="W593" s="544"/>
      <c r="X593" s="544"/>
      <c r="Y593" s="544"/>
      <c r="Z593" s="544"/>
      <c r="AA593" s="544"/>
      <c r="AB593" s="544"/>
      <c r="AC593" s="544"/>
      <c r="AD593" s="544"/>
      <c r="AE593" s="569"/>
    </row>
    <row r="596" spans="1:31" ht="15.95" customHeight="1" thickBot="1" x14ac:dyDescent="0.25">
      <c r="A596" s="667" t="str">
        <f ca="1">Проект!$A$1711</f>
        <v xml:space="preserve">         ЭФФЕКТИВНОСТЬ ПОЛНЫХ ИНВЕСТИЦИОННЫХ ЗАТРАТ</v>
      </c>
      <c r="B596" s="528"/>
      <c r="C596" s="528"/>
      <c r="D596" s="528"/>
      <c r="E596" s="528"/>
      <c r="F596" s="529" t="str">
        <f ca="1">Проект!$F$1711</f>
        <v>1 кв. 2016</v>
      </c>
      <c r="G596" s="529" t="str">
        <f ca="1">Проект!$G$1711</f>
        <v>2 кв. 2016</v>
      </c>
      <c r="H596" s="529" t="str">
        <f ca="1">Проект!$H$1711</f>
        <v>3 кв. 2016</v>
      </c>
      <c r="I596" s="529" t="str">
        <f ca="1">Проект!$I$1711</f>
        <v>4 кв. 2016</v>
      </c>
      <c r="J596" s="529" t="str">
        <f ca="1">Проект!$J$1711</f>
        <v>1 кв. 2017</v>
      </c>
      <c r="K596" s="529" t="str">
        <f ca="1">Проект!$K$1711</f>
        <v>2 кв. 2017</v>
      </c>
      <c r="L596" s="529" t="str">
        <f ca="1">Проект!$L$1711</f>
        <v>3 кв. 2017</v>
      </c>
      <c r="M596" s="529" t="str">
        <f ca="1">Проект!$M$1711</f>
        <v>4 кв. 2017</v>
      </c>
      <c r="N596" s="529" t="str">
        <f ca="1">Проект!$N$1711</f>
        <v>1 кв. 2018</v>
      </c>
      <c r="O596" s="529" t="str">
        <f ca="1">Проект!$O$1711</f>
        <v>2 кв. 2018</v>
      </c>
      <c r="P596" s="529" t="str">
        <f ca="1">Проект!$P$1711</f>
        <v>3 кв. 2018</v>
      </c>
      <c r="Q596" s="529" t="str">
        <f ca="1">Проект!$Q$1711</f>
        <v>4 кв. 2018</v>
      </c>
      <c r="R596" s="529" t="str">
        <f ca="1">Проект!$R$1711</f>
        <v>1 кв. 2019</v>
      </c>
      <c r="S596" s="529" t="str">
        <f ca="1">Проект!$S$1711</f>
        <v>2 кв. 2019</v>
      </c>
      <c r="T596" s="529" t="str">
        <f ca="1">Проект!$T$1711</f>
        <v>3 кв. 2019</v>
      </c>
      <c r="U596" s="529" t="str">
        <f ca="1">Проект!$U$1711</f>
        <v>4 кв. 2019</v>
      </c>
      <c r="V596" s="529" t="str">
        <f ca="1">Проект!$V$1711</f>
        <v>1 кв. 2020</v>
      </c>
      <c r="W596" s="529" t="str">
        <f ca="1">Проект!$W$1711</f>
        <v>2 кв. 2020</v>
      </c>
      <c r="X596" s="529" t="str">
        <f ca="1">Проект!$X$1711</f>
        <v>3 кв. 2020</v>
      </c>
      <c r="Y596" s="529" t="str">
        <f ca="1">Проект!$Y$1711</f>
        <v>4 кв. 2020</v>
      </c>
      <c r="Z596" s="529" t="str">
        <f ca="1">Проект!$Z$1711</f>
        <v>1 кв. 2021</v>
      </c>
      <c r="AA596" s="529" t="str">
        <f ca="1">Проект!$AA$1711</f>
        <v>2 кв. 2021</v>
      </c>
      <c r="AB596" s="529" t="str">
        <f ca="1">Проект!$AB$1711</f>
        <v>3 кв. 2021</v>
      </c>
      <c r="AC596" s="529" t="str">
        <f ca="1">Проект!$AC$1711</f>
        <v>4 кв. 2021</v>
      </c>
      <c r="AD596" s="528"/>
      <c r="AE596" s="621" t="str">
        <f ca="1">Проект!$AE$1711</f>
        <v>ИТОГО</v>
      </c>
    </row>
    <row r="597" spans="1:31" ht="12" hidden="1" customHeight="1" thickTop="1" x14ac:dyDescent="0.3">
      <c r="A597" s="563"/>
      <c r="B597" s="563"/>
      <c r="C597" s="563"/>
      <c r="D597" s="563"/>
      <c r="E597" s="563"/>
      <c r="F597" s="563"/>
      <c r="G597" s="563"/>
      <c r="H597" s="563"/>
      <c r="I597" s="563"/>
      <c r="J597" s="563"/>
      <c r="K597" s="563"/>
      <c r="L597" s="563"/>
      <c r="M597" s="563"/>
      <c r="N597" s="563"/>
      <c r="O597" s="563"/>
      <c r="P597" s="563"/>
      <c r="Q597" s="563"/>
      <c r="R597" s="563"/>
      <c r="S597" s="563"/>
      <c r="T597" s="563"/>
      <c r="U597" s="563"/>
      <c r="V597" s="563"/>
      <c r="W597" s="563"/>
      <c r="X597" s="563"/>
      <c r="Y597" s="563"/>
      <c r="Z597" s="563"/>
      <c r="AA597" s="563"/>
      <c r="AB597" s="563"/>
      <c r="AC597" s="563"/>
      <c r="AD597" s="563"/>
      <c r="AE597" s="569"/>
    </row>
    <row r="598" spans="1:31" ht="11.25" hidden="1" customHeight="1" x14ac:dyDescent="0.3">
      <c r="A598" s="563" t="str">
        <f ca="1">Проект!$A$1713</f>
        <v>Учитывать ранее осуществленные инвестиции</v>
      </c>
      <c r="B598" s="537">
        <f>Проект!$B$1713</f>
        <v>1</v>
      </c>
      <c r="C598" s="584" t="str">
        <f ca="1">Проект!$C$1713</f>
        <v>Да</v>
      </c>
      <c r="D598" s="563"/>
      <c r="E598" s="563"/>
      <c r="F598" s="563"/>
      <c r="G598" s="563"/>
      <c r="H598" s="563"/>
      <c r="I598" s="563"/>
      <c r="J598" s="563"/>
      <c r="K598" s="563"/>
      <c r="L598" s="563"/>
      <c r="M598" s="563"/>
      <c r="N598" s="563"/>
      <c r="O598" s="563"/>
      <c r="P598" s="563"/>
      <c r="Q598" s="563"/>
      <c r="R598" s="563"/>
      <c r="S598" s="563"/>
      <c r="T598" s="563"/>
      <c r="U598" s="563"/>
      <c r="V598" s="563"/>
      <c r="W598" s="563"/>
      <c r="X598" s="563"/>
      <c r="Y598" s="563"/>
      <c r="Z598" s="563"/>
      <c r="AA598" s="563"/>
      <c r="AB598" s="563"/>
      <c r="AC598" s="563"/>
      <c r="AD598" s="563"/>
      <c r="AE598" s="569"/>
    </row>
    <row r="599" spans="1:31" ht="11.25" hidden="1" customHeight="1" x14ac:dyDescent="0.3">
      <c r="A599" s="563" t="str">
        <f ca="1">Проект!$A$1714</f>
        <v>Учитывать остаточную стоимость проекта</v>
      </c>
      <c r="B599" s="537">
        <f>Проект!$B$1714</f>
        <v>2</v>
      </c>
      <c r="C599" s="584" t="str">
        <f ca="1">Проект!$C$1714</f>
        <v>Нет</v>
      </c>
      <c r="D599" s="563"/>
      <c r="E599" s="563"/>
      <c r="F599" s="563"/>
      <c r="G599" s="563"/>
      <c r="H599" s="563"/>
      <c r="I599" s="563"/>
      <c r="J599" s="563"/>
      <c r="K599" s="563"/>
      <c r="L599" s="563"/>
      <c r="M599" s="563"/>
      <c r="N599" s="563"/>
      <c r="O599" s="563"/>
      <c r="P599" s="563"/>
      <c r="Q599" s="563"/>
      <c r="R599" s="563"/>
      <c r="S599" s="563"/>
      <c r="T599" s="563"/>
      <c r="U599" s="563"/>
      <c r="V599" s="563"/>
      <c r="W599" s="563"/>
      <c r="X599" s="563"/>
      <c r="Y599" s="563"/>
      <c r="Z599" s="563"/>
      <c r="AA599" s="563"/>
      <c r="AB599" s="563"/>
      <c r="AC599" s="563"/>
      <c r="AD599" s="563"/>
      <c r="AE599" s="569"/>
    </row>
    <row r="600" spans="1:31" ht="11.25" hidden="1" customHeight="1" x14ac:dyDescent="0.3">
      <c r="A600" s="563" t="str">
        <f ca="1">Проект!$A$1715</f>
        <v>Валюта расчетов:</v>
      </c>
      <c r="B600" s="537">
        <f>Проект!$B$1715</f>
        <v>1</v>
      </c>
      <c r="C600" s="562" t="str">
        <f ca="1">Проект!$C$1715</f>
        <v>тыс. EUR</v>
      </c>
      <c r="D600" s="563"/>
      <c r="E600" s="563"/>
      <c r="F600" s="563"/>
      <c r="G600" s="563"/>
      <c r="H600" s="563"/>
      <c r="I600" s="563"/>
      <c r="J600" s="563"/>
      <c r="K600" s="563"/>
      <c r="L600" s="563"/>
      <c r="M600" s="563"/>
      <c r="N600" s="563"/>
      <c r="O600" s="563"/>
      <c r="P600" s="563"/>
      <c r="Q600" s="563"/>
      <c r="R600" s="563"/>
      <c r="S600" s="563"/>
      <c r="T600" s="563"/>
      <c r="U600" s="563"/>
      <c r="V600" s="563"/>
      <c r="W600" s="563"/>
      <c r="X600" s="563"/>
      <c r="Y600" s="563"/>
      <c r="Z600" s="563"/>
      <c r="AA600" s="563"/>
      <c r="AB600" s="563"/>
      <c r="AC600" s="563"/>
      <c r="AD600" s="563"/>
      <c r="AE600" s="569"/>
    </row>
    <row r="601" spans="1:31" ht="11.25" hidden="1" customHeight="1" x14ac:dyDescent="0.3">
      <c r="A601" s="563" t="str">
        <f ca="1">Проект!$A$1716</f>
        <v>Годовая ставка дисконтирования:</v>
      </c>
      <c r="B601" s="601">
        <f>Проект!$B$1716</f>
        <v>0.15</v>
      </c>
      <c r="C601" s="539" t="str">
        <f>Проект!$C$1716</f>
        <v>%</v>
      </c>
      <c r="D601" s="554" t="str">
        <f>Проект!$D$1716</f>
        <v>int_avg</v>
      </c>
      <c r="E601" s="563"/>
      <c r="F601" s="602">
        <f>Проект!$F$1716</f>
        <v>0.15</v>
      </c>
      <c r="G601" s="602">
        <f>Проект!$G$1716</f>
        <v>0.15</v>
      </c>
      <c r="H601" s="602">
        <f>Проект!$H$1716</f>
        <v>0.15</v>
      </c>
      <c r="I601" s="602">
        <f>Проект!$I$1716</f>
        <v>0.15</v>
      </c>
      <c r="J601" s="602">
        <f>Проект!$J$1716</f>
        <v>0.15</v>
      </c>
      <c r="K601" s="602">
        <f>Проект!$K$1716</f>
        <v>0.15</v>
      </c>
      <c r="L601" s="602">
        <f>Проект!$L$1716</f>
        <v>0.15</v>
      </c>
      <c r="M601" s="602">
        <f>Проект!$M$1716</f>
        <v>0.15</v>
      </c>
      <c r="N601" s="602">
        <f>Проект!$N$1716</f>
        <v>0.15</v>
      </c>
      <c r="O601" s="602">
        <f>Проект!$O$1716</f>
        <v>0.15</v>
      </c>
      <c r="P601" s="602">
        <f>Проект!$P$1716</f>
        <v>0.15</v>
      </c>
      <c r="Q601" s="602">
        <f>Проект!$Q$1716</f>
        <v>0.15</v>
      </c>
      <c r="R601" s="602">
        <f>Проект!$R$1716</f>
        <v>0.15</v>
      </c>
      <c r="S601" s="602">
        <f>Проект!$S$1716</f>
        <v>0.15</v>
      </c>
      <c r="T601" s="602">
        <f>Проект!$T$1716</f>
        <v>0.15</v>
      </c>
      <c r="U601" s="602">
        <f>Проект!$U$1716</f>
        <v>0.15</v>
      </c>
      <c r="V601" s="602">
        <f>Проект!$V$1716</f>
        <v>0.15</v>
      </c>
      <c r="W601" s="602">
        <f>Проект!$W$1716</f>
        <v>0.15</v>
      </c>
      <c r="X601" s="602">
        <f>Проект!$X$1716</f>
        <v>0.15</v>
      </c>
      <c r="Y601" s="602">
        <f>Проект!$Y$1716</f>
        <v>0.15</v>
      </c>
      <c r="Z601" s="602">
        <f>Проект!$Z$1716</f>
        <v>0.15</v>
      </c>
      <c r="AA601" s="602">
        <f>Проект!$AA$1716</f>
        <v>0.15</v>
      </c>
      <c r="AB601" s="602">
        <f>Проект!$AB$1716</f>
        <v>0.15</v>
      </c>
      <c r="AC601" s="602">
        <f>Проект!$AC$1716</f>
        <v>0.15</v>
      </c>
      <c r="AD601" s="563"/>
      <c r="AE601" s="569"/>
    </row>
    <row r="602" spans="1:31" hidden="1" x14ac:dyDescent="0.3">
      <c r="A602" s="563" t="str">
        <f ca="1">Проект!$A$1717</f>
        <v xml:space="preserve">    ставка дисконтирования на расчетный период</v>
      </c>
      <c r="B602" s="563"/>
      <c r="C602" s="563"/>
      <c r="D602" s="554" t="str">
        <f>Проект!$D$1717</f>
        <v>int_avg</v>
      </c>
      <c r="E602" s="563"/>
      <c r="F602" s="602">
        <f>Проект!$F$1717</f>
        <v>3.5558076341622114E-2</v>
      </c>
      <c r="G602" s="602">
        <f>Проект!$G$1717</f>
        <v>3.5558076341622114E-2</v>
      </c>
      <c r="H602" s="602">
        <f>Проект!$H$1717</f>
        <v>3.5558076341622114E-2</v>
      </c>
      <c r="I602" s="602">
        <f>Проект!$I$1717</f>
        <v>3.5558076341622114E-2</v>
      </c>
      <c r="J602" s="602">
        <f>Проект!$J$1717</f>
        <v>3.5558076341622114E-2</v>
      </c>
      <c r="K602" s="602">
        <f>Проект!$K$1717</f>
        <v>3.5558076341622114E-2</v>
      </c>
      <c r="L602" s="602">
        <f>Проект!$L$1717</f>
        <v>3.5558076341622114E-2</v>
      </c>
      <c r="M602" s="602">
        <f>Проект!$M$1717</f>
        <v>3.5558076341622114E-2</v>
      </c>
      <c r="N602" s="602">
        <f>Проект!$N$1717</f>
        <v>3.5558076341622114E-2</v>
      </c>
      <c r="O602" s="602">
        <f>Проект!$O$1717</f>
        <v>3.5558076341622114E-2</v>
      </c>
      <c r="P602" s="602">
        <f>Проект!$P$1717</f>
        <v>3.5558076341622114E-2</v>
      </c>
      <c r="Q602" s="602">
        <f>Проект!$Q$1717</f>
        <v>3.5558076341622114E-2</v>
      </c>
      <c r="R602" s="602">
        <f>Проект!$R$1717</f>
        <v>3.5558076341622114E-2</v>
      </c>
      <c r="S602" s="602">
        <f>Проект!$S$1717</f>
        <v>3.5558076341622114E-2</v>
      </c>
      <c r="T602" s="602">
        <f>Проект!$T$1717</f>
        <v>3.5558076341622114E-2</v>
      </c>
      <c r="U602" s="602">
        <f>Проект!$U$1717</f>
        <v>3.5558076341622114E-2</v>
      </c>
      <c r="V602" s="602">
        <f>Проект!$V$1717</f>
        <v>3.5558076341622114E-2</v>
      </c>
      <c r="W602" s="602">
        <f>Проект!$W$1717</f>
        <v>3.5558076341622114E-2</v>
      </c>
      <c r="X602" s="602">
        <f>Проект!$X$1717</f>
        <v>3.5558076341622114E-2</v>
      </c>
      <c r="Y602" s="602">
        <f>Проект!$Y$1717</f>
        <v>3.5558076341622114E-2</v>
      </c>
      <c r="Z602" s="602">
        <f>Проект!$Z$1717</f>
        <v>3.5558076341622114E-2</v>
      </c>
      <c r="AA602" s="602">
        <f>Проект!$AA$1717</f>
        <v>3.5558076341622114E-2</v>
      </c>
      <c r="AB602" s="602">
        <f>Проект!$AB$1717</f>
        <v>3.5558076341622114E-2</v>
      </c>
      <c r="AC602" s="602">
        <f>Проект!$AC$1717</f>
        <v>3.5558076341622114E-2</v>
      </c>
      <c r="AD602" s="563"/>
      <c r="AE602" s="569"/>
    </row>
    <row r="603" spans="1:31" hidden="1" x14ac:dyDescent="0.3">
      <c r="A603" s="563" t="str">
        <f ca="1">Проект!$A$1718</f>
        <v xml:space="preserve">    коэффициент дисконта для потока на начало периода</v>
      </c>
      <c r="B603" s="563"/>
      <c r="C603" s="563"/>
      <c r="D603" s="554" t="str">
        <f>Проект!$D$1718</f>
        <v>int_avg</v>
      </c>
      <c r="E603" s="563"/>
      <c r="F603" s="622">
        <f>Проект!$F$1718</f>
        <v>1</v>
      </c>
      <c r="G603" s="622">
        <f>Проект!$G$1718</f>
        <v>1.0355580763416221</v>
      </c>
      <c r="H603" s="622">
        <f>Проект!$H$1718</f>
        <v>1.0723805294763609</v>
      </c>
      <c r="I603" s="622">
        <f>Проект!$I$1718</f>
        <v>1.1105123182107504</v>
      </c>
      <c r="J603" s="622">
        <f>Проект!$J$1718</f>
        <v>1.1499999999999999</v>
      </c>
      <c r="K603" s="622">
        <f>Проект!$K$1718</f>
        <v>1.1908917877928653</v>
      </c>
      <c r="L603" s="622">
        <f>Проект!$L$1718</f>
        <v>1.2332376088978148</v>
      </c>
      <c r="M603" s="622">
        <f>Проект!$M$1718</f>
        <v>1.2770891659423627</v>
      </c>
      <c r="N603" s="622">
        <f>Проект!$N$1718</f>
        <v>1.3224999999999998</v>
      </c>
      <c r="O603" s="622">
        <f>Проект!$O$1718</f>
        <v>1.3695255559617949</v>
      </c>
      <c r="P603" s="622">
        <f>Проект!$P$1718</f>
        <v>1.418223250232487</v>
      </c>
      <c r="Q603" s="622">
        <f>Проект!$Q$1718</f>
        <v>1.4686525408337172</v>
      </c>
      <c r="R603" s="622">
        <f>Проект!$R$1718</f>
        <v>1.5208749999999998</v>
      </c>
      <c r="S603" s="622">
        <f>Проект!$S$1718</f>
        <v>1.5749543893560642</v>
      </c>
      <c r="T603" s="622">
        <f>Проект!$T$1718</f>
        <v>1.6309567377673599</v>
      </c>
      <c r="U603" s="622">
        <f>Проект!$U$1718</f>
        <v>1.6889504219587748</v>
      </c>
      <c r="V603" s="622">
        <f>Проект!$V$1718</f>
        <v>1.7490062499999997</v>
      </c>
      <c r="W603" s="622">
        <f>Проект!$W$1718</f>
        <v>1.8111975477594739</v>
      </c>
      <c r="X603" s="622">
        <f>Проект!$X$1718</f>
        <v>1.8756002484324641</v>
      </c>
      <c r="Y603" s="622">
        <f>Проект!$Y$1718</f>
        <v>1.942292985252591</v>
      </c>
      <c r="Z603" s="622">
        <f>Проект!$Z$1718</f>
        <v>2.0113571874999998</v>
      </c>
      <c r="AA603" s="622">
        <f>Проект!$AA$1718</f>
        <v>2.0828771799233952</v>
      </c>
      <c r="AB603" s="622">
        <f>Проект!$AB$1718</f>
        <v>2.1569402856973339</v>
      </c>
      <c r="AC603" s="622">
        <f>Проект!$AC$1718</f>
        <v>2.2336369330404797</v>
      </c>
      <c r="AD603" s="563"/>
      <c r="AE603" s="569"/>
    </row>
    <row r="604" spans="1:31" ht="11.25" hidden="1" customHeight="1" x14ac:dyDescent="0.3">
      <c r="A604" s="563"/>
      <c r="B604" s="563"/>
      <c r="C604" s="563"/>
      <c r="D604" s="563"/>
      <c r="E604" s="563"/>
      <c r="F604" s="622"/>
      <c r="G604" s="563"/>
      <c r="H604" s="563"/>
      <c r="I604" s="563"/>
      <c r="J604" s="563"/>
      <c r="K604" s="563"/>
      <c r="L604" s="563"/>
      <c r="M604" s="563"/>
      <c r="N604" s="563"/>
      <c r="O604" s="563"/>
      <c r="P604" s="563"/>
      <c r="Q604" s="563"/>
      <c r="R604" s="563"/>
      <c r="S604" s="563"/>
      <c r="T604" s="563"/>
      <c r="U604" s="563"/>
      <c r="V604" s="563"/>
      <c r="W604" s="563"/>
      <c r="X604" s="563"/>
      <c r="Y604" s="563"/>
      <c r="Z604" s="563"/>
      <c r="AA604" s="563"/>
      <c r="AB604" s="563"/>
      <c r="AC604" s="563"/>
      <c r="AD604" s="563"/>
      <c r="AE604" s="569"/>
    </row>
    <row r="605" spans="1:31" ht="11.25" hidden="1" customHeight="1" x14ac:dyDescent="0.3">
      <c r="A605" s="598" t="str">
        <f ca="1">Проект!$A$1720</f>
        <v>Учитываемые денежные потоки проекта:</v>
      </c>
      <c r="B605" s="563"/>
      <c r="C605" s="563"/>
      <c r="D605" s="563"/>
      <c r="E605" s="563"/>
      <c r="F605" s="563"/>
      <c r="G605" s="563"/>
      <c r="H605" s="563"/>
      <c r="I605" s="563"/>
      <c r="J605" s="563"/>
      <c r="K605" s="563"/>
      <c r="L605" s="563"/>
      <c r="M605" s="563"/>
      <c r="N605" s="563"/>
      <c r="O605" s="563"/>
      <c r="P605" s="563"/>
      <c r="Q605" s="563"/>
      <c r="R605" s="563"/>
      <c r="S605" s="563"/>
      <c r="T605" s="563"/>
      <c r="U605" s="563"/>
      <c r="V605" s="563"/>
      <c r="W605" s="563"/>
      <c r="X605" s="563"/>
      <c r="Y605" s="563"/>
      <c r="Z605" s="563"/>
      <c r="AA605" s="563"/>
      <c r="AB605" s="563"/>
      <c r="AC605" s="563"/>
      <c r="AD605" s="563"/>
      <c r="AE605" s="569"/>
    </row>
    <row r="606" spans="1:31" ht="11.25" hidden="1" customHeight="1" x14ac:dyDescent="0.3">
      <c r="A606" s="563" t="str">
        <f ca="1">Проект!$A$1721</f>
        <v>Денежные потоки от операционной деятельности</v>
      </c>
      <c r="B606" s="584" t="str">
        <f ca="1">Проект!$B$1721</f>
        <v>Да</v>
      </c>
      <c r="C606" s="539" t="str">
        <f ca="1">Проект!$C$1721</f>
        <v>тыс. EUR</v>
      </c>
      <c r="D606" s="563"/>
      <c r="E606" s="563"/>
      <c r="F606" s="551">
        <f ca="1">Проект!$F$1721</f>
        <v>0</v>
      </c>
      <c r="G606" s="551">
        <f ca="1">Проект!$G$1721</f>
        <v>0</v>
      </c>
      <c r="H606" s="551">
        <f ca="1">Проект!$H$1721</f>
        <v>0</v>
      </c>
      <c r="I606" s="551">
        <f ca="1">Проект!$I$1721</f>
        <v>0</v>
      </c>
      <c r="J606" s="551">
        <f ca="1">Проект!$J$1721</f>
        <v>0</v>
      </c>
      <c r="K606" s="551">
        <f ca="1">Проект!$K$1721</f>
        <v>2728.6487015162002</v>
      </c>
      <c r="L606" s="551">
        <f ca="1">Проект!$L$1721</f>
        <v>15.623261900942879</v>
      </c>
      <c r="M606" s="551">
        <f ca="1">Проект!$M$1721</f>
        <v>662.99303790614749</v>
      </c>
      <c r="N606" s="551">
        <f ca="1">Проект!$N$1721</f>
        <v>916.10593866502631</v>
      </c>
      <c r="O606" s="551">
        <f ca="1">Проект!$O$1721</f>
        <v>1243.6178106695488</v>
      </c>
      <c r="P606" s="551">
        <f ca="1">Проект!$P$1721</f>
        <v>1454.7746893858591</v>
      </c>
      <c r="Q606" s="551">
        <f ca="1">Проект!$Q$1721</f>
        <v>1454.7746893858591</v>
      </c>
      <c r="R606" s="551">
        <f ca="1">Проект!$R$1721</f>
        <v>1454.7746893858591</v>
      </c>
      <c r="S606" s="551">
        <f ca="1">Проект!$S$1721</f>
        <v>1454.7746893858591</v>
      </c>
      <c r="T606" s="551">
        <f ca="1">Проект!$T$1721</f>
        <v>1454.7746893858591</v>
      </c>
      <c r="U606" s="551">
        <f ca="1">Проект!$U$1721</f>
        <v>1454.7746893858591</v>
      </c>
      <c r="V606" s="551">
        <f ca="1">Проект!$V$1721</f>
        <v>1454.7746893858591</v>
      </c>
      <c r="W606" s="551">
        <f ca="1">Проект!$W$1721</f>
        <v>1454.7746893858591</v>
      </c>
      <c r="X606" s="551">
        <f ca="1">Проект!$X$1721</f>
        <v>1454.7746893858591</v>
      </c>
      <c r="Y606" s="551">
        <f ca="1">Проект!$Y$1721</f>
        <v>1454.7746893858591</v>
      </c>
      <c r="Z606" s="551">
        <f ca="1">Проект!$Z$1721</f>
        <v>1454.7746893858591</v>
      </c>
      <c r="AA606" s="551">
        <f ca="1">Проект!$AA$1721</f>
        <v>1454.7746893858591</v>
      </c>
      <c r="AB606" s="551">
        <f ca="1">Проект!$AB$1721</f>
        <v>1454.7746893858591</v>
      </c>
      <c r="AC606" s="551">
        <f ca="1">Проект!$AC$1721</f>
        <v>1454.7746893858591</v>
      </c>
      <c r="AD606" s="563"/>
      <c r="AE606" s="572">
        <f ca="1">Проект!$AE$1721</f>
        <v>25933.834402059896</v>
      </c>
    </row>
    <row r="607" spans="1:31" ht="11.25" hidden="1" customHeight="1" x14ac:dyDescent="0.3">
      <c r="A607" s="563" t="str">
        <f ca="1">Проект!$A$1722</f>
        <v xml:space="preserve">    за исключением процентов по кредитам</v>
      </c>
      <c r="B607" s="584" t="str">
        <f ca="1">Проект!$B$1722</f>
        <v>Да</v>
      </c>
      <c r="C607" s="539" t="str">
        <f ca="1">Проект!$C$1722</f>
        <v>тыс. EUR</v>
      </c>
      <c r="D607" s="539"/>
      <c r="E607" s="563"/>
      <c r="F607" s="551">
        <f>Проект!$F$1722</f>
        <v>0</v>
      </c>
      <c r="G607" s="551">
        <f>Проект!$G$1722</f>
        <v>0</v>
      </c>
      <c r="H607" s="551">
        <f>Проект!$H$1722</f>
        <v>0</v>
      </c>
      <c r="I607" s="551">
        <f>Проект!$I$1722</f>
        <v>0</v>
      </c>
      <c r="J607" s="551">
        <f>Проект!$J$1722</f>
        <v>0</v>
      </c>
      <c r="K607" s="551">
        <f>Проект!$K$1722</f>
        <v>0</v>
      </c>
      <c r="L607" s="551">
        <f>Проект!$L$1722</f>
        <v>0</v>
      </c>
      <c r="M607" s="551">
        <f>Проект!$M$1722</f>
        <v>0</v>
      </c>
      <c r="N607" s="551">
        <f>Проект!$N$1722</f>
        <v>0</v>
      </c>
      <c r="O607" s="551">
        <f>Проект!$O$1722</f>
        <v>0</v>
      </c>
      <c r="P607" s="551">
        <f>Проект!$P$1722</f>
        <v>0</v>
      </c>
      <c r="Q607" s="551">
        <f>Проект!$Q$1722</f>
        <v>0</v>
      </c>
      <c r="R607" s="551">
        <f>Проект!$R$1722</f>
        <v>0</v>
      </c>
      <c r="S607" s="551">
        <f>Проект!$S$1722</f>
        <v>0</v>
      </c>
      <c r="T607" s="551">
        <f>Проект!$T$1722</f>
        <v>0</v>
      </c>
      <c r="U607" s="551">
        <f>Проект!$U$1722</f>
        <v>0</v>
      </c>
      <c r="V607" s="551">
        <f>Проект!$V$1722</f>
        <v>0</v>
      </c>
      <c r="W607" s="551">
        <f>Проект!$W$1722</f>
        <v>0</v>
      </c>
      <c r="X607" s="551">
        <f>Проект!$X$1722</f>
        <v>0</v>
      </c>
      <c r="Y607" s="551">
        <f>Проект!$Y$1722</f>
        <v>0</v>
      </c>
      <c r="Z607" s="551">
        <f>Проект!$Z$1722</f>
        <v>0</v>
      </c>
      <c r="AA607" s="551">
        <f>Проект!$AA$1722</f>
        <v>0</v>
      </c>
      <c r="AB607" s="551">
        <f>Проект!$AB$1722</f>
        <v>0</v>
      </c>
      <c r="AC607" s="551">
        <f>Проект!$AC$1722</f>
        <v>0</v>
      </c>
      <c r="AD607" s="563"/>
      <c r="AE607" s="572">
        <f>Проект!$AE$1722</f>
        <v>0</v>
      </c>
    </row>
    <row r="608" spans="1:31" ht="11.25" hidden="1" customHeight="1" x14ac:dyDescent="0.3">
      <c r="A608" s="563" t="str">
        <f ca="1">Проект!$A$1723</f>
        <v>Денежные потоки от инвестиционной деятельности</v>
      </c>
      <c r="B608" s="584" t="str">
        <f ca="1">Проект!$B$1723</f>
        <v>Да</v>
      </c>
      <c r="C608" s="539" t="str">
        <f ca="1">Проект!$C$1723</f>
        <v>тыс. EUR</v>
      </c>
      <c r="D608" s="539"/>
      <c r="E608" s="563"/>
      <c r="F608" s="551">
        <f ca="1">Проект!$F$1723</f>
        <v>0</v>
      </c>
      <c r="G608" s="551">
        <f ca="1">Проект!$G$1723</f>
        <v>0</v>
      </c>
      <c r="H608" s="551">
        <f ca="1">Проект!$H$1723</f>
        <v>-5695.3855543220343</v>
      </c>
      <c r="I608" s="551">
        <f ca="1">Проект!$I$1723</f>
        <v>-1519.56</v>
      </c>
      <c r="J608" s="551">
        <f ca="1">Проект!$J$1723</f>
        <v>-7024.8891971793519</v>
      </c>
      <c r="K608" s="551">
        <f ca="1">Проект!$K$1723</f>
        <v>-2883.7623677660667</v>
      </c>
      <c r="L608" s="551">
        <f ca="1">Проект!$L$1723</f>
        <v>-5.6843418860808015E-14</v>
      </c>
      <c r="M608" s="551">
        <f ca="1">Проект!$M$1723</f>
        <v>0</v>
      </c>
      <c r="N608" s="551">
        <f ca="1">Проект!$N$1723</f>
        <v>47.90430408785906</v>
      </c>
      <c r="O608" s="551">
        <f ca="1">Проект!$O$1723</f>
        <v>41.655454582366474</v>
      </c>
      <c r="P608" s="551">
        <f ca="1">Проект!$P$1723</f>
        <v>0</v>
      </c>
      <c r="Q608" s="551">
        <f ca="1">Проект!$Q$1723</f>
        <v>0</v>
      </c>
      <c r="R608" s="551">
        <f ca="1">Проект!$R$1723</f>
        <v>0</v>
      </c>
      <c r="S608" s="551">
        <f ca="1">Проект!$S$1723</f>
        <v>0</v>
      </c>
      <c r="T608" s="551">
        <f ca="1">Проект!$T$1723</f>
        <v>0</v>
      </c>
      <c r="U608" s="551">
        <f ca="1">Проект!$U$1723</f>
        <v>0</v>
      </c>
      <c r="V608" s="551">
        <f ca="1">Проект!$V$1723</f>
        <v>0</v>
      </c>
      <c r="W608" s="551">
        <f ca="1">Проект!$W$1723</f>
        <v>0</v>
      </c>
      <c r="X608" s="551">
        <f ca="1">Проект!$X$1723</f>
        <v>0</v>
      </c>
      <c r="Y608" s="551">
        <f ca="1">Проект!$Y$1723</f>
        <v>0</v>
      </c>
      <c r="Z608" s="551">
        <f ca="1">Проект!$Z$1723</f>
        <v>0</v>
      </c>
      <c r="AA608" s="551">
        <f ca="1">Проект!$AA$1723</f>
        <v>0</v>
      </c>
      <c r="AB608" s="551">
        <f ca="1">Проект!$AB$1723</f>
        <v>0</v>
      </c>
      <c r="AC608" s="551">
        <f ca="1">Проект!$AC$1723</f>
        <v>0</v>
      </c>
      <c r="AD608" s="563"/>
      <c r="AE608" s="572">
        <f ca="1">Проект!$AE$1723</f>
        <v>-17034.037360597224</v>
      </c>
    </row>
    <row r="609" spans="1:31" ht="11.25" hidden="1" customHeight="1" x14ac:dyDescent="0.3">
      <c r="A609" s="563" t="str">
        <f ca="1">Проект!$A$1724</f>
        <v>Поступления собственного капитала</v>
      </c>
      <c r="B609" s="584" t="str">
        <f ca="1">Проект!$B$1724</f>
        <v>Нет</v>
      </c>
      <c r="C609" s="539" t="str">
        <f ca="1">Проект!$C$1724</f>
        <v>тыс. EUR</v>
      </c>
      <c r="D609" s="539"/>
      <c r="E609" s="563"/>
      <c r="F609" s="563"/>
      <c r="G609" s="563"/>
      <c r="H609" s="563"/>
      <c r="I609" s="563"/>
      <c r="J609" s="563"/>
      <c r="K609" s="563"/>
      <c r="L609" s="563"/>
      <c r="M609" s="563"/>
      <c r="N609" s="563"/>
      <c r="O609" s="563"/>
      <c r="P609" s="563"/>
      <c r="Q609" s="563"/>
      <c r="R609" s="563"/>
      <c r="S609" s="563"/>
      <c r="T609" s="563"/>
      <c r="U609" s="563"/>
      <c r="V609" s="563"/>
      <c r="W609" s="563"/>
      <c r="X609" s="563"/>
      <c r="Y609" s="563"/>
      <c r="Z609" s="563"/>
      <c r="AA609" s="563"/>
      <c r="AB609" s="563"/>
      <c r="AC609" s="563"/>
      <c r="AD609" s="563"/>
      <c r="AE609" s="569"/>
    </row>
    <row r="610" spans="1:31" ht="11.25" hidden="1" customHeight="1" x14ac:dyDescent="0.3">
      <c r="A610" s="563" t="str">
        <f ca="1">Проект!$A$1725</f>
        <v>Поступления целевого финансирования</v>
      </c>
      <c r="B610" s="584" t="str">
        <f ca="1">Проект!$B$1725</f>
        <v>Нет</v>
      </c>
      <c r="C610" s="539" t="str">
        <f ca="1">Проект!$C$1725</f>
        <v>тыс. EUR</v>
      </c>
      <c r="D610" s="539"/>
      <c r="E610" s="563"/>
      <c r="F610" s="563"/>
      <c r="G610" s="563"/>
      <c r="H610" s="563"/>
      <c r="I610" s="563"/>
      <c r="J610" s="563"/>
      <c r="K610" s="563"/>
      <c r="L610" s="563"/>
      <c r="M610" s="563"/>
      <c r="N610" s="563"/>
      <c r="O610" s="563"/>
      <c r="P610" s="563"/>
      <c r="Q610" s="563"/>
      <c r="R610" s="563"/>
      <c r="S610" s="563"/>
      <c r="T610" s="563"/>
      <c r="U610" s="563"/>
      <c r="V610" s="563"/>
      <c r="W610" s="563"/>
      <c r="X610" s="563"/>
      <c r="Y610" s="563"/>
      <c r="Z610" s="563"/>
      <c r="AA610" s="563"/>
      <c r="AB610" s="563"/>
      <c r="AC610" s="563"/>
      <c r="AD610" s="563"/>
      <c r="AE610" s="569"/>
    </row>
    <row r="611" spans="1:31" ht="11.25" hidden="1" customHeight="1" x14ac:dyDescent="0.3">
      <c r="A611" s="563" t="str">
        <f ca="1">Проект!$A$1726</f>
        <v>Поступления кредитов</v>
      </c>
      <c r="B611" s="584" t="str">
        <f ca="1">Проект!$B$1726</f>
        <v>Нет</v>
      </c>
      <c r="C611" s="539" t="str">
        <f ca="1">Проект!$C$1726</f>
        <v>тыс. EUR</v>
      </c>
      <c r="D611" s="539"/>
      <c r="E611" s="563"/>
      <c r="F611" s="563"/>
      <c r="G611" s="563"/>
      <c r="H611" s="563"/>
      <c r="I611" s="563"/>
      <c r="J611" s="563"/>
      <c r="K611" s="563"/>
      <c r="L611" s="563"/>
      <c r="M611" s="563"/>
      <c r="N611" s="563"/>
      <c r="O611" s="563"/>
      <c r="P611" s="563"/>
      <c r="Q611" s="563"/>
      <c r="R611" s="563"/>
      <c r="S611" s="563"/>
      <c r="T611" s="563"/>
      <c r="U611" s="563"/>
      <c r="V611" s="563"/>
      <c r="W611" s="563"/>
      <c r="X611" s="563"/>
      <c r="Y611" s="563"/>
      <c r="Z611" s="563"/>
      <c r="AA611" s="563"/>
      <c r="AB611" s="563"/>
      <c r="AC611" s="563"/>
      <c r="AD611" s="563"/>
      <c r="AE611" s="569"/>
    </row>
    <row r="612" spans="1:31" ht="11.25" hidden="1" customHeight="1" x14ac:dyDescent="0.3">
      <c r="A612" s="563" t="str">
        <f ca="1">Проект!$A$1727</f>
        <v>Возврат кредитов</v>
      </c>
      <c r="B612" s="584" t="str">
        <f ca="1">Проект!$B$1727</f>
        <v>Нет</v>
      </c>
      <c r="C612" s="539" t="str">
        <f ca="1">Проект!$C$1727</f>
        <v>тыс. EUR</v>
      </c>
      <c r="D612" s="539"/>
      <c r="E612" s="563"/>
      <c r="F612" s="563"/>
      <c r="G612" s="563"/>
      <c r="H612" s="563"/>
      <c r="I612" s="563"/>
      <c r="J612" s="563"/>
      <c r="K612" s="563"/>
      <c r="L612" s="563"/>
      <c r="M612" s="563"/>
      <c r="N612" s="563"/>
      <c r="O612" s="563"/>
      <c r="P612" s="563"/>
      <c r="Q612" s="563"/>
      <c r="R612" s="563"/>
      <c r="S612" s="563"/>
      <c r="T612" s="563"/>
      <c r="U612" s="563"/>
      <c r="V612" s="563"/>
      <c r="W612" s="563"/>
      <c r="X612" s="563"/>
      <c r="Y612" s="563"/>
      <c r="Z612" s="563"/>
      <c r="AA612" s="563"/>
      <c r="AB612" s="563"/>
      <c r="AC612" s="563"/>
      <c r="AD612" s="563"/>
      <c r="AE612" s="569"/>
    </row>
    <row r="613" spans="1:31" ht="11.25" hidden="1" customHeight="1" x14ac:dyDescent="0.3">
      <c r="A613" s="563" t="str">
        <f ca="1">Проект!$A$1728</f>
        <v>Лизинговые платежи</v>
      </c>
      <c r="B613" s="584" t="str">
        <f ca="1">Проект!$B$1728</f>
        <v>Да</v>
      </c>
      <c r="C613" s="539" t="str">
        <f ca="1">Проект!$C$1728</f>
        <v>тыс. EUR</v>
      </c>
      <c r="D613" s="539"/>
      <c r="E613" s="563"/>
      <c r="F613" s="551">
        <f ca="1">Проект!$F$1728</f>
        <v>0</v>
      </c>
      <c r="G613" s="551">
        <f ca="1">Проект!$G$1728</f>
        <v>0</v>
      </c>
      <c r="H613" s="551">
        <f ca="1">Проект!$H$1728</f>
        <v>0</v>
      </c>
      <c r="I613" s="551">
        <f ca="1">Проект!$I$1728</f>
        <v>0</v>
      </c>
      <c r="J613" s="551">
        <f ca="1">Проект!$J$1728</f>
        <v>0</v>
      </c>
      <c r="K613" s="551">
        <f ca="1">Проект!$K$1728</f>
        <v>0</v>
      </c>
      <c r="L613" s="551">
        <f ca="1">Проект!$L$1728</f>
        <v>0</v>
      </c>
      <c r="M613" s="551">
        <f ca="1">Проект!$M$1728</f>
        <v>0</v>
      </c>
      <c r="N613" s="551">
        <f ca="1">Проект!$N$1728</f>
        <v>0</v>
      </c>
      <c r="O613" s="551">
        <f ca="1">Проект!$O$1728</f>
        <v>0</v>
      </c>
      <c r="P613" s="551">
        <f ca="1">Проект!$P$1728</f>
        <v>0</v>
      </c>
      <c r="Q613" s="551">
        <f ca="1">Проект!$Q$1728</f>
        <v>0</v>
      </c>
      <c r="R613" s="551">
        <f ca="1">Проект!$R$1728</f>
        <v>0</v>
      </c>
      <c r="S613" s="551">
        <f ca="1">Проект!$S$1728</f>
        <v>0</v>
      </c>
      <c r="T613" s="551">
        <f ca="1">Проект!$T$1728</f>
        <v>0</v>
      </c>
      <c r="U613" s="551">
        <f ca="1">Проект!$U$1728</f>
        <v>0</v>
      </c>
      <c r="V613" s="551">
        <f ca="1">Проект!$V$1728</f>
        <v>0</v>
      </c>
      <c r="W613" s="551">
        <f ca="1">Проект!$W$1728</f>
        <v>0</v>
      </c>
      <c r="X613" s="551">
        <f ca="1">Проект!$X$1728</f>
        <v>0</v>
      </c>
      <c r="Y613" s="551">
        <f ca="1">Проект!$Y$1728</f>
        <v>0</v>
      </c>
      <c r="Z613" s="551">
        <f ca="1">Проект!$Z$1728</f>
        <v>0</v>
      </c>
      <c r="AA613" s="551">
        <f ca="1">Проект!$AA$1728</f>
        <v>0</v>
      </c>
      <c r="AB613" s="551">
        <f ca="1">Проект!$AB$1728</f>
        <v>0</v>
      </c>
      <c r="AC613" s="551">
        <f ca="1">Проект!$AC$1728</f>
        <v>0</v>
      </c>
      <c r="AD613" s="563"/>
      <c r="AE613" s="572">
        <f ca="1">Проект!$AE$1728</f>
        <v>0</v>
      </c>
    </row>
    <row r="614" spans="1:31" ht="11.25" hidden="1" customHeight="1" x14ac:dyDescent="0.3">
      <c r="A614" s="563" t="str">
        <f ca="1">Проект!$A$1729</f>
        <v>Выплата дивидендов</v>
      </c>
      <c r="B614" s="584" t="str">
        <f ca="1">Проект!$B$1729</f>
        <v>Нет</v>
      </c>
      <c r="C614" s="539" t="str">
        <f ca="1">Проект!$C$1729</f>
        <v>тыс. EUR</v>
      </c>
      <c r="D614" s="539"/>
      <c r="E614" s="563"/>
      <c r="F614" s="563"/>
      <c r="G614" s="563"/>
      <c r="H614" s="563"/>
      <c r="I614" s="563"/>
      <c r="J614" s="563"/>
      <c r="K614" s="563"/>
      <c r="L614" s="563"/>
      <c r="M614" s="563"/>
      <c r="N614" s="563"/>
      <c r="O614" s="563"/>
      <c r="P614" s="563"/>
      <c r="Q614" s="563"/>
      <c r="R614" s="563"/>
      <c r="S614" s="563"/>
      <c r="T614" s="563"/>
      <c r="U614" s="563"/>
      <c r="V614" s="563"/>
      <c r="W614" s="563"/>
      <c r="X614" s="563"/>
      <c r="Y614" s="563"/>
      <c r="Z614" s="563"/>
      <c r="AA614" s="563"/>
      <c r="AB614" s="563"/>
      <c r="AC614" s="563"/>
      <c r="AD614" s="563"/>
      <c r="AE614" s="569"/>
    </row>
    <row r="615" spans="1:31" ht="11.25" hidden="1" customHeight="1" x14ac:dyDescent="0.3">
      <c r="A615" s="563" t="str">
        <f ca="1">Проект!$A$1730</f>
        <v>Ранее осуществленные инвестиции</v>
      </c>
      <c r="B615" s="584" t="str">
        <f ca="1">Проект!$B$1730</f>
        <v>Да</v>
      </c>
      <c r="C615" s="539" t="str">
        <f ca="1">Проект!$C$1730</f>
        <v>тыс. EUR</v>
      </c>
      <c r="D615" s="539"/>
      <c r="E615" s="563"/>
      <c r="F615" s="551">
        <f>Проект!$F$1730</f>
        <v>0</v>
      </c>
      <c r="G615" s="563">
        <f>Проект!$G$1730</f>
        <v>0</v>
      </c>
      <c r="H615" s="563">
        <f>Проект!$H$1730</f>
        <v>0</v>
      </c>
      <c r="I615" s="563">
        <f>Проект!$I$1730</f>
        <v>0</v>
      </c>
      <c r="J615" s="563">
        <f>Проект!$J$1730</f>
        <v>0</v>
      </c>
      <c r="K615" s="563">
        <f>Проект!$K$1730</f>
        <v>0</v>
      </c>
      <c r="L615" s="563">
        <f>Проект!$L$1730</f>
        <v>0</v>
      </c>
      <c r="M615" s="563">
        <f>Проект!$M$1730</f>
        <v>0</v>
      </c>
      <c r="N615" s="563">
        <f>Проект!$N$1730</f>
        <v>0</v>
      </c>
      <c r="O615" s="563">
        <f>Проект!$O$1730</f>
        <v>0</v>
      </c>
      <c r="P615" s="563">
        <f>Проект!$P$1730</f>
        <v>0</v>
      </c>
      <c r="Q615" s="563">
        <f>Проект!$Q$1730</f>
        <v>0</v>
      </c>
      <c r="R615" s="563">
        <f>Проект!$R$1730</f>
        <v>0</v>
      </c>
      <c r="S615" s="563">
        <f>Проект!$S$1730</f>
        <v>0</v>
      </c>
      <c r="T615" s="563">
        <f>Проект!$T$1730</f>
        <v>0</v>
      </c>
      <c r="U615" s="563">
        <f>Проект!$U$1730</f>
        <v>0</v>
      </c>
      <c r="V615" s="563">
        <f>Проект!$V$1730</f>
        <v>0</v>
      </c>
      <c r="W615" s="563">
        <f>Проект!$W$1730</f>
        <v>0</v>
      </c>
      <c r="X615" s="563">
        <f>Проект!$X$1730</f>
        <v>0</v>
      </c>
      <c r="Y615" s="563">
        <f>Проект!$Y$1730</f>
        <v>0</v>
      </c>
      <c r="Z615" s="563">
        <f>Проект!$Z$1730</f>
        <v>0</v>
      </c>
      <c r="AA615" s="563">
        <f>Проект!$AA$1730</f>
        <v>0</v>
      </c>
      <c r="AB615" s="563">
        <f>Проект!$AB$1730</f>
        <v>0</v>
      </c>
      <c r="AC615" s="563">
        <f>Проект!$AC$1730</f>
        <v>0</v>
      </c>
      <c r="AD615" s="563"/>
      <c r="AE615" s="572">
        <f>Проект!$AE$1730</f>
        <v>0</v>
      </c>
    </row>
    <row r="616" spans="1:31" ht="11.25" hidden="1" customHeight="1" x14ac:dyDescent="0.3">
      <c r="A616" s="563" t="str">
        <f ca="1">Проект!$A$1731</f>
        <v>Остаточная стоимость проекта</v>
      </c>
      <c r="B616" s="584" t="str">
        <f ca="1">Проект!$B$1731</f>
        <v>Нет</v>
      </c>
      <c r="C616" s="539" t="str">
        <f ca="1">Проект!$C$1731</f>
        <v>тыс. EUR</v>
      </c>
      <c r="D616" s="539"/>
      <c r="E616" s="563"/>
      <c r="F616" s="595">
        <f>Проект!$F$1731</f>
        <v>0</v>
      </c>
      <c r="G616" s="595">
        <f>Проект!$G$1731</f>
        <v>0</v>
      </c>
      <c r="H616" s="595">
        <f>Проект!$H$1731</f>
        <v>0</v>
      </c>
      <c r="I616" s="595">
        <f>Проект!$I$1731</f>
        <v>0</v>
      </c>
      <c r="J616" s="595">
        <f>Проект!$J$1731</f>
        <v>0</v>
      </c>
      <c r="K616" s="595">
        <f>Проект!$K$1731</f>
        <v>0</v>
      </c>
      <c r="L616" s="595">
        <f>Проект!$L$1731</f>
        <v>0</v>
      </c>
      <c r="M616" s="595">
        <f>Проект!$M$1731</f>
        <v>0</v>
      </c>
      <c r="N616" s="595">
        <f>Проект!$N$1731</f>
        <v>0</v>
      </c>
      <c r="O616" s="595">
        <f>Проект!$O$1731</f>
        <v>0</v>
      </c>
      <c r="P616" s="595">
        <f>Проект!$P$1731</f>
        <v>0</v>
      </c>
      <c r="Q616" s="595">
        <f>Проект!$Q$1731</f>
        <v>0</v>
      </c>
      <c r="R616" s="595">
        <f>Проект!$R$1731</f>
        <v>0</v>
      </c>
      <c r="S616" s="595">
        <f>Проект!$S$1731</f>
        <v>0</v>
      </c>
      <c r="T616" s="595">
        <f>Проект!$T$1731</f>
        <v>0</v>
      </c>
      <c r="U616" s="595">
        <f>Проект!$U$1731</f>
        <v>0</v>
      </c>
      <c r="V616" s="595">
        <f>Проект!$V$1731</f>
        <v>0</v>
      </c>
      <c r="W616" s="595">
        <f>Проект!$W$1731</f>
        <v>0</v>
      </c>
      <c r="X616" s="595">
        <f>Проект!$X$1731</f>
        <v>0</v>
      </c>
      <c r="Y616" s="595">
        <f>Проект!$Y$1731</f>
        <v>0</v>
      </c>
      <c r="Z616" s="595">
        <f>Проект!$Z$1731</f>
        <v>0</v>
      </c>
      <c r="AA616" s="595">
        <f>Проект!$AA$1731</f>
        <v>0</v>
      </c>
      <c r="AB616" s="595">
        <f>Проект!$AB$1731</f>
        <v>0</v>
      </c>
      <c r="AC616" s="595">
        <f>Проект!$AC$1731</f>
        <v>0</v>
      </c>
      <c r="AD616" s="563"/>
      <c r="AE616" s="572">
        <f>Проект!$AE$1731</f>
        <v>0</v>
      </c>
    </row>
    <row r="617" spans="1:31" ht="11.25" hidden="1" customHeight="1" x14ac:dyDescent="0.3">
      <c r="A617" s="544"/>
      <c r="B617" s="544"/>
      <c r="C617" s="545"/>
      <c r="D617" s="545"/>
      <c r="E617" s="544"/>
      <c r="F617" s="623"/>
      <c r="G617" s="623"/>
      <c r="H617" s="623"/>
      <c r="I617" s="623"/>
      <c r="J617" s="623"/>
      <c r="K617" s="623"/>
      <c r="L617" s="623"/>
      <c r="M617" s="623"/>
      <c r="N617" s="623"/>
      <c r="O617" s="623"/>
      <c r="P617" s="623"/>
      <c r="Q617" s="623"/>
      <c r="R617" s="623"/>
      <c r="S617" s="623"/>
      <c r="T617" s="623"/>
      <c r="U617" s="623"/>
      <c r="V617" s="623"/>
      <c r="W617" s="623"/>
      <c r="X617" s="623"/>
      <c r="Y617" s="623"/>
      <c r="Z617" s="623"/>
      <c r="AA617" s="623"/>
      <c r="AB617" s="623"/>
      <c r="AC617" s="623"/>
      <c r="AD617" s="623"/>
      <c r="AE617" s="624"/>
    </row>
    <row r="618" spans="1:31" ht="11.25" customHeight="1" thickTop="1" x14ac:dyDescent="0.3">
      <c r="A618" s="555" t="str">
        <f ca="1">Проект!$A$1733</f>
        <v>Чистый денежный поток</v>
      </c>
      <c r="B618" s="555"/>
      <c r="C618" s="625" t="str">
        <f ca="1">Проект!$C$1733</f>
        <v>тыс. EUR</v>
      </c>
      <c r="D618" s="625"/>
      <c r="E618" s="555"/>
      <c r="F618" s="626">
        <f ca="1">Проект!$F$1733</f>
        <v>0</v>
      </c>
      <c r="G618" s="626">
        <f ca="1">Проект!$G$1733</f>
        <v>0</v>
      </c>
      <c r="H618" s="626">
        <f ca="1">Проект!$H$1733</f>
        <v>-5695.3855543220343</v>
      </c>
      <c r="I618" s="626">
        <f ca="1">Проект!$I$1733</f>
        <v>-1519.56</v>
      </c>
      <c r="J618" s="626">
        <f ca="1">Проект!$J$1733</f>
        <v>-7024.8891971793519</v>
      </c>
      <c r="K618" s="626">
        <f ca="1">Проект!$K$1733</f>
        <v>-155.11366624986658</v>
      </c>
      <c r="L618" s="626">
        <f ca="1">Проект!$L$1733</f>
        <v>15.623261900942822</v>
      </c>
      <c r="M618" s="626">
        <f ca="1">Проект!$M$1733</f>
        <v>662.99303790614749</v>
      </c>
      <c r="N618" s="626">
        <f ca="1">Проект!$N$1733</f>
        <v>964.01024275288535</v>
      </c>
      <c r="O618" s="626">
        <f ca="1">Проект!$O$1733</f>
        <v>1285.2732652519153</v>
      </c>
      <c r="P618" s="626">
        <f ca="1">Проект!$P$1733</f>
        <v>1454.7746893858591</v>
      </c>
      <c r="Q618" s="626">
        <f ca="1">Проект!$Q$1733</f>
        <v>1454.7746893858591</v>
      </c>
      <c r="R618" s="626">
        <f ca="1">Проект!$R$1733</f>
        <v>1454.7746893858591</v>
      </c>
      <c r="S618" s="626">
        <f ca="1">Проект!$S$1733</f>
        <v>1454.7746893858591</v>
      </c>
      <c r="T618" s="626">
        <f ca="1">Проект!$T$1733</f>
        <v>1454.7746893858591</v>
      </c>
      <c r="U618" s="626">
        <f ca="1">Проект!$U$1733</f>
        <v>1454.7746893858591</v>
      </c>
      <c r="V618" s="626">
        <f ca="1">Проект!$V$1733</f>
        <v>1454.7746893858591</v>
      </c>
      <c r="W618" s="626">
        <f ca="1">Проект!$W$1733</f>
        <v>1454.7746893858591</v>
      </c>
      <c r="X618" s="626">
        <f ca="1">Проект!$X$1733</f>
        <v>1454.7746893858591</v>
      </c>
      <c r="Y618" s="626">
        <f ca="1">Проект!$Y$1733</f>
        <v>1454.7746893858591</v>
      </c>
      <c r="Z618" s="626">
        <f ca="1">Проект!$Z$1733</f>
        <v>1454.7746893858591</v>
      </c>
      <c r="AA618" s="626">
        <f ca="1">Проект!$AA$1733</f>
        <v>1454.7746893858591</v>
      </c>
      <c r="AB618" s="626">
        <f ca="1">Проект!$AB$1733</f>
        <v>1454.7746893858591</v>
      </c>
      <c r="AC618" s="626">
        <f ca="1">Проект!$AC$1733</f>
        <v>1454.7746893858591</v>
      </c>
      <c r="AD618" s="555"/>
      <c r="AE618" s="572">
        <f ca="1">Проект!$AE$1733</f>
        <v>8899.797041462667</v>
      </c>
    </row>
    <row r="619" spans="1:31" ht="11.25" customHeight="1" x14ac:dyDescent="0.3">
      <c r="A619" s="563" t="str">
        <f ca="1">Проект!$A$1734</f>
        <v>Дисконтированный чистый денежный поток</v>
      </c>
      <c r="B619" s="563"/>
      <c r="C619" s="539" t="str">
        <f ca="1">Проект!$C$1734</f>
        <v>тыс. EUR</v>
      </c>
      <c r="D619" s="539"/>
      <c r="E619" s="563"/>
      <c r="F619" s="551">
        <f ca="1">Проект!$F$1734</f>
        <v>0</v>
      </c>
      <c r="G619" s="551">
        <f ca="1">Проект!$G$1734</f>
        <v>0</v>
      </c>
      <c r="H619" s="551">
        <f ca="1">Проект!$H$1734</f>
        <v>-5310.9744141877218</v>
      </c>
      <c r="I619" s="551">
        <f ca="1">Проект!$I$1734</f>
        <v>-1368.3414178136306</v>
      </c>
      <c r="J619" s="551">
        <f ca="1">Проект!$J$1734</f>
        <v>-6108.5993018950894</v>
      </c>
      <c r="K619" s="551">
        <f ca="1">Проект!$K$1734</f>
        <v>-130.25000914427827</v>
      </c>
      <c r="L619" s="551">
        <f ca="1">Проект!$L$1734</f>
        <v>12.668492906979903</v>
      </c>
      <c r="M619" s="551">
        <f ca="1">Проект!$M$1734</f>
        <v>519.14389033041846</v>
      </c>
      <c r="N619" s="551">
        <f ca="1">Проект!$N$1734</f>
        <v>728.93024026683213</v>
      </c>
      <c r="O619" s="551">
        <f ca="1">Проект!$O$1734</f>
        <v>938.48067285556374</v>
      </c>
      <c r="P619" s="551">
        <f ca="1">Проект!$P$1734</f>
        <v>1025.7726977380892</v>
      </c>
      <c r="Q619" s="551">
        <f ca="1">Проект!$Q$1734</f>
        <v>990.55062306297441</v>
      </c>
      <c r="R619" s="551">
        <f ca="1">Проект!$R$1734</f>
        <v>956.5379728024061</v>
      </c>
      <c r="S619" s="551">
        <f ca="1">Проект!$S$1734</f>
        <v>923.6932188116624</v>
      </c>
      <c r="T619" s="551">
        <f ca="1">Проект!$T$1734</f>
        <v>891.97625890268614</v>
      </c>
      <c r="U619" s="551">
        <f ca="1">Проект!$U$1734</f>
        <v>861.34836788084738</v>
      </c>
      <c r="V619" s="551">
        <f ca="1">Проект!$V$1734</f>
        <v>831.77215026296187</v>
      </c>
      <c r="W619" s="551">
        <f ca="1">Проект!$W$1734</f>
        <v>803.21149461883681</v>
      </c>
      <c r="X619" s="551">
        <f ca="1">Проект!$X$1734</f>
        <v>775.63152948059667</v>
      </c>
      <c r="Y619" s="551">
        <f ca="1">Проект!$Y$1734</f>
        <v>748.99858076595422</v>
      </c>
      <c r="Z619" s="551">
        <f ca="1">Проект!$Z$1734</f>
        <v>723.28013066344499</v>
      </c>
      <c r="AA619" s="551">
        <f ca="1">Проект!$AA$1734</f>
        <v>698.44477792942325</v>
      </c>
      <c r="AB619" s="551">
        <f ca="1">Проект!$AB$1734</f>
        <v>674.46219954834487</v>
      </c>
      <c r="AC619" s="551">
        <f ca="1">Проект!$AC$1734</f>
        <v>651.30311370952541</v>
      </c>
      <c r="AD619" s="563"/>
      <c r="AE619" s="572">
        <f ca="1">Проект!$AE$1734</f>
        <v>838.04126949682859</v>
      </c>
    </row>
    <row r="620" spans="1:31" ht="11.25" customHeight="1" x14ac:dyDescent="0.3">
      <c r="A620" s="563" t="str">
        <f ca="1">Проект!$A$1735</f>
        <v>Дисконтированный поток нарастающим итогом</v>
      </c>
      <c r="B620" s="563"/>
      <c r="C620" s="539" t="str">
        <f ca="1">Проект!$C$1735</f>
        <v>тыс. EUR</v>
      </c>
      <c r="D620" s="554" t="str">
        <f>Проект!$D$1735</f>
        <v>int_end</v>
      </c>
      <c r="E620" s="563"/>
      <c r="F620" s="571">
        <f ca="1">Проект!$F$1735</f>
        <v>0</v>
      </c>
      <c r="G620" s="571">
        <f ca="1">Проект!$G$1735</f>
        <v>0</v>
      </c>
      <c r="H620" s="571">
        <f ca="1">Проект!$H$1735</f>
        <v>-5310.9744141877218</v>
      </c>
      <c r="I620" s="571">
        <f ca="1">Проект!$I$1735</f>
        <v>-6679.3158320013526</v>
      </c>
      <c r="J620" s="571">
        <f ca="1">Проект!$J$1735</f>
        <v>-12787.915133896442</v>
      </c>
      <c r="K620" s="571">
        <f ca="1">Проект!$K$1735</f>
        <v>-12918.16514304072</v>
      </c>
      <c r="L620" s="571">
        <f ca="1">Проект!$L$1735</f>
        <v>-12905.49665013374</v>
      </c>
      <c r="M620" s="571">
        <f ca="1">Проект!$M$1735</f>
        <v>-12386.352759803322</v>
      </c>
      <c r="N620" s="571">
        <f ca="1">Проект!$N$1735</f>
        <v>-11657.422519536489</v>
      </c>
      <c r="O620" s="571">
        <f ca="1">Проект!$O$1735</f>
        <v>-10718.941846680926</v>
      </c>
      <c r="P620" s="571">
        <f ca="1">Проект!$P$1735</f>
        <v>-9693.1691489428358</v>
      </c>
      <c r="Q620" s="571">
        <f ca="1">Проект!$Q$1735</f>
        <v>-8702.6185258798614</v>
      </c>
      <c r="R620" s="571">
        <f ca="1">Проект!$R$1735</f>
        <v>-7746.0805530774551</v>
      </c>
      <c r="S620" s="571">
        <f ca="1">Проект!$S$1735</f>
        <v>-6822.3873342657926</v>
      </c>
      <c r="T620" s="571">
        <f ca="1">Проект!$T$1735</f>
        <v>-5930.4110753631066</v>
      </c>
      <c r="U620" s="571">
        <f ca="1">Проект!$U$1735</f>
        <v>-5069.0627074822596</v>
      </c>
      <c r="V620" s="571">
        <f ca="1">Проект!$V$1735</f>
        <v>-4237.2905572192976</v>
      </c>
      <c r="W620" s="571">
        <f ca="1">Проект!$W$1735</f>
        <v>-3434.0790626004609</v>
      </c>
      <c r="X620" s="571">
        <f ca="1">Проект!$X$1735</f>
        <v>-2658.4475331198641</v>
      </c>
      <c r="Y620" s="571">
        <f ca="1">Проект!$Y$1735</f>
        <v>-1909.44895235391</v>
      </c>
      <c r="Z620" s="571">
        <f ca="1">Проект!$Z$1735</f>
        <v>-1186.1688216904649</v>
      </c>
      <c r="AA620" s="571">
        <f ca="1">Проект!$AA$1735</f>
        <v>-487.72404376104168</v>
      </c>
      <c r="AB620" s="571">
        <f ca="1">Проект!$AB$1735</f>
        <v>186.73815578730319</v>
      </c>
      <c r="AC620" s="571">
        <f ca="1">Проект!$AC$1735</f>
        <v>838.04126949682859</v>
      </c>
      <c r="AD620" s="563"/>
      <c r="AE620" s="569"/>
    </row>
    <row r="621" spans="1:31" ht="11.25" customHeight="1" x14ac:dyDescent="0.3">
      <c r="A621" s="563"/>
      <c r="B621" s="563"/>
      <c r="C621" s="563"/>
      <c r="D621" s="563"/>
      <c r="E621" s="563"/>
      <c r="F621" s="563"/>
      <c r="G621" s="563"/>
      <c r="H621" s="563"/>
      <c r="I621" s="563"/>
      <c r="J621" s="563"/>
      <c r="K621" s="563"/>
      <c r="L621" s="563"/>
      <c r="M621" s="563"/>
      <c r="N621" s="563"/>
      <c r="O621" s="563"/>
      <c r="P621" s="563"/>
      <c r="Q621" s="563"/>
      <c r="R621" s="563"/>
      <c r="S621" s="563"/>
      <c r="T621" s="563"/>
      <c r="U621" s="563"/>
      <c r="V621" s="563"/>
      <c r="W621" s="563"/>
      <c r="X621" s="563"/>
      <c r="Y621" s="563"/>
      <c r="Z621" s="563"/>
      <c r="AA621" s="563"/>
      <c r="AB621" s="563"/>
      <c r="AC621" s="563"/>
      <c r="AD621" s="563"/>
      <c r="AE621" s="569"/>
    </row>
    <row r="622" spans="1:31" ht="11.25" customHeight="1" x14ac:dyDescent="0.3">
      <c r="A622" s="598" t="str">
        <f ca="1">Проект!$A$1737</f>
        <v>Простой срок окупаемости</v>
      </c>
      <c r="B622" s="613">
        <f ca="1">Проект!$B$1737</f>
        <v>4.4705884171624257</v>
      </c>
      <c r="C622" s="562" t="str">
        <f ca="1">Проект!$C$1737</f>
        <v>года</v>
      </c>
      <c r="D622" s="563"/>
      <c r="E622" s="563"/>
      <c r="F622" s="563"/>
      <c r="G622" s="563"/>
      <c r="H622" s="563"/>
      <c r="I622" s="563"/>
      <c r="J622" s="563"/>
      <c r="K622" s="563"/>
      <c r="L622" s="563"/>
      <c r="M622" s="563"/>
      <c r="N622" s="563"/>
      <c r="O622" s="563"/>
      <c r="P622" s="563"/>
      <c r="Q622" s="563"/>
      <c r="R622" s="563"/>
      <c r="S622" s="563"/>
      <c r="T622" s="563"/>
      <c r="U622" s="563"/>
      <c r="V622" s="563"/>
      <c r="W622" s="563"/>
      <c r="X622" s="563"/>
      <c r="Y622" s="563"/>
      <c r="Z622" s="563"/>
      <c r="AA622" s="563"/>
      <c r="AB622" s="563"/>
      <c r="AC622" s="563"/>
      <c r="AD622" s="563"/>
      <c r="AE622" s="569"/>
    </row>
    <row r="623" spans="1:31" hidden="1" x14ac:dyDescent="0.3">
      <c r="A623" s="563" t="str">
        <f ca="1">Проект!$A$1738</f>
        <v xml:space="preserve">    недисконтированный поток нарастающим итогом</v>
      </c>
      <c r="B623" s="563"/>
      <c r="C623" s="563"/>
      <c r="D623" s="554" t="str">
        <f>Проект!$D$1738</f>
        <v>int_end</v>
      </c>
      <c r="E623" s="563"/>
      <c r="F623" s="551">
        <f ca="1">Проект!$F$1738</f>
        <v>0</v>
      </c>
      <c r="G623" s="551">
        <f ca="1">Проект!$G$1738</f>
        <v>0</v>
      </c>
      <c r="H623" s="551">
        <f ca="1">Проект!$H$1738</f>
        <v>-5695.3855543220343</v>
      </c>
      <c r="I623" s="551">
        <f ca="1">Проект!$I$1738</f>
        <v>-7214.9455543220338</v>
      </c>
      <c r="J623" s="551">
        <f ca="1">Проект!$J$1738</f>
        <v>-14239.834751501385</v>
      </c>
      <c r="K623" s="551">
        <f ca="1">Проект!$K$1738</f>
        <v>-14394.948417751251</v>
      </c>
      <c r="L623" s="551">
        <f ca="1">Проект!$L$1738</f>
        <v>-14379.325155850309</v>
      </c>
      <c r="M623" s="551">
        <f ca="1">Проект!$M$1738</f>
        <v>-13716.332117944161</v>
      </c>
      <c r="N623" s="551">
        <f ca="1">Проект!$N$1738</f>
        <v>-12752.321875191275</v>
      </c>
      <c r="O623" s="551">
        <f ca="1">Проект!$O$1738</f>
        <v>-11467.04860993936</v>
      </c>
      <c r="P623" s="551">
        <f ca="1">Проект!$P$1738</f>
        <v>-10012.273920553502</v>
      </c>
      <c r="Q623" s="551">
        <f ca="1">Проект!$Q$1738</f>
        <v>-8557.4992311676433</v>
      </c>
      <c r="R623" s="551">
        <f ca="1">Проект!$R$1738</f>
        <v>-7102.724541781784</v>
      </c>
      <c r="S623" s="551">
        <f ca="1">Проект!$S$1738</f>
        <v>-5647.9498523959246</v>
      </c>
      <c r="T623" s="551">
        <f ca="1">Проект!$T$1738</f>
        <v>-4193.1751630100653</v>
      </c>
      <c r="U623" s="551">
        <f ca="1">Проект!$U$1738</f>
        <v>-2738.4004736242059</v>
      </c>
      <c r="V623" s="551">
        <f ca="1">Проект!$V$1738</f>
        <v>-1283.6257842383468</v>
      </c>
      <c r="W623" s="551">
        <f ca="1">Проект!$W$1738</f>
        <v>171.14890514751232</v>
      </c>
      <c r="X623" s="551">
        <f ca="1">Проект!$X$1738</f>
        <v>1625.9235945333714</v>
      </c>
      <c r="Y623" s="551">
        <f ca="1">Проект!$Y$1738</f>
        <v>3080.6982839192306</v>
      </c>
      <c r="Z623" s="551">
        <f ca="1">Проект!$Z$1738</f>
        <v>4535.4729733050899</v>
      </c>
      <c r="AA623" s="551">
        <f ca="1">Проект!$AA$1738</f>
        <v>5990.2476626909493</v>
      </c>
      <c r="AB623" s="551">
        <f ca="1">Проект!$AB$1738</f>
        <v>7445.0223520768086</v>
      </c>
      <c r="AC623" s="551">
        <f ca="1">Проект!$AC$1738</f>
        <v>8899.797041462667</v>
      </c>
      <c r="AD623" s="563"/>
      <c r="AE623" s="569"/>
    </row>
    <row r="624" spans="1:31" hidden="1" x14ac:dyDescent="0.3">
      <c r="A624" s="563" t="str">
        <f ca="1">Проект!$A$1739</f>
        <v xml:space="preserve">    знак остатка денежных средств</v>
      </c>
      <c r="B624" s="563"/>
      <c r="C624" s="563"/>
      <c r="D624" s="554" t="str">
        <f>Проект!$D$1739</f>
        <v>int_end</v>
      </c>
      <c r="E624" s="554">
        <f ca="1">Проект!$E$1739</f>
        <v>17</v>
      </c>
      <c r="F624" s="554">
        <f ca="1">Проект!$F$1739</f>
        <v>0</v>
      </c>
      <c r="G624" s="554">
        <f ca="1">Проект!$G$1739</f>
        <v>0</v>
      </c>
      <c r="H624" s="554">
        <f ca="1">Проект!$H$1739</f>
        <v>-1</v>
      </c>
      <c r="I624" s="554">
        <f ca="1">Проект!$I$1739</f>
        <v>-1</v>
      </c>
      <c r="J624" s="554">
        <f ca="1">Проект!$J$1739</f>
        <v>-1</v>
      </c>
      <c r="K624" s="554">
        <f ca="1">Проект!$K$1739</f>
        <v>-1</v>
      </c>
      <c r="L624" s="554">
        <f ca="1">Проект!$L$1739</f>
        <v>-1</v>
      </c>
      <c r="M624" s="554">
        <f ca="1">Проект!$M$1739</f>
        <v>-1</v>
      </c>
      <c r="N624" s="554">
        <f ca="1">Проект!$N$1739</f>
        <v>-1</v>
      </c>
      <c r="O624" s="554">
        <f ca="1">Проект!$O$1739</f>
        <v>-1</v>
      </c>
      <c r="P624" s="554">
        <f ca="1">Проект!$P$1739</f>
        <v>-1</v>
      </c>
      <c r="Q624" s="554">
        <f ca="1">Проект!$Q$1739</f>
        <v>-1</v>
      </c>
      <c r="R624" s="554">
        <f ca="1">Проект!$R$1739</f>
        <v>-1</v>
      </c>
      <c r="S624" s="554">
        <f ca="1">Проект!$S$1739</f>
        <v>-1</v>
      </c>
      <c r="T624" s="554">
        <f ca="1">Проект!$T$1739</f>
        <v>-1</v>
      </c>
      <c r="U624" s="554">
        <f ca="1">Проект!$U$1739</f>
        <v>-1</v>
      </c>
      <c r="V624" s="554">
        <f ca="1">Проект!$V$1739</f>
        <v>-1</v>
      </c>
      <c r="W624" s="554">
        <f ca="1">Проект!$W$1739</f>
        <v>1</v>
      </c>
      <c r="X624" s="554">
        <f ca="1">Проект!$X$1739</f>
        <v>1</v>
      </c>
      <c r="Y624" s="554">
        <f ca="1">Проект!$Y$1739</f>
        <v>1</v>
      </c>
      <c r="Z624" s="554">
        <f ca="1">Проект!$Z$1739</f>
        <v>1</v>
      </c>
      <c r="AA624" s="554">
        <f ca="1">Проект!$AA$1739</f>
        <v>1</v>
      </c>
      <c r="AB624" s="554">
        <f ca="1">Проект!$AB$1739</f>
        <v>1</v>
      </c>
      <c r="AC624" s="554">
        <f ca="1">Проект!$AC$1739</f>
        <v>1</v>
      </c>
      <c r="AD624" s="563"/>
      <c r="AE624" s="569"/>
    </row>
    <row r="625" spans="1:31" hidden="1" x14ac:dyDescent="0.3">
      <c r="A625" s="563" t="str">
        <f ca="1">Проект!$A$1740</f>
        <v xml:space="preserve">    знак остатка денежных средств (с конца)</v>
      </c>
      <c r="B625" s="563"/>
      <c r="C625" s="563"/>
      <c r="D625" s="554" t="str">
        <f>Проект!$D$1740</f>
        <v>int_end</v>
      </c>
      <c r="E625" s="563"/>
      <c r="F625" s="554">
        <f ca="1">Проект!$F$1740</f>
        <v>1</v>
      </c>
      <c r="G625" s="554">
        <f ca="1">Проект!$G$1740</f>
        <v>1</v>
      </c>
      <c r="H625" s="554">
        <f ca="1">Проект!$H$1740</f>
        <v>1</v>
      </c>
      <c r="I625" s="554">
        <f ca="1">Проект!$I$1740</f>
        <v>1</v>
      </c>
      <c r="J625" s="554">
        <f ca="1">Проект!$J$1740</f>
        <v>1</v>
      </c>
      <c r="K625" s="554">
        <f ca="1">Проект!$K$1740</f>
        <v>1</v>
      </c>
      <c r="L625" s="554">
        <f ca="1">Проект!$L$1740</f>
        <v>1</v>
      </c>
      <c r="M625" s="554">
        <f ca="1">Проект!$M$1740</f>
        <v>-1</v>
      </c>
      <c r="N625" s="554">
        <f ca="1">Проект!$N$1740</f>
        <v>-1</v>
      </c>
      <c r="O625" s="554">
        <f ca="1">Проект!$O$1740</f>
        <v>-1</v>
      </c>
      <c r="P625" s="554">
        <f ca="1">Проект!$P$1740</f>
        <v>-1</v>
      </c>
      <c r="Q625" s="554">
        <f ca="1">Проект!$Q$1740</f>
        <v>-1</v>
      </c>
      <c r="R625" s="554">
        <f ca="1">Проект!$R$1740</f>
        <v>-1</v>
      </c>
      <c r="S625" s="554">
        <f ca="1">Проект!$S$1740</f>
        <v>-1</v>
      </c>
      <c r="T625" s="554">
        <f ca="1">Проект!$T$1740</f>
        <v>-1</v>
      </c>
      <c r="U625" s="554">
        <f ca="1">Проект!$U$1740</f>
        <v>-1</v>
      </c>
      <c r="V625" s="554">
        <f ca="1">Проект!$V$1740</f>
        <v>-1</v>
      </c>
      <c r="W625" s="554">
        <f ca="1">Проект!$W$1740</f>
        <v>-1</v>
      </c>
      <c r="X625" s="554">
        <f ca="1">Проект!$X$1740</f>
        <v>-1</v>
      </c>
      <c r="Y625" s="554">
        <f ca="1">Проект!$Y$1740</f>
        <v>-1</v>
      </c>
      <c r="Z625" s="554">
        <f ca="1">Проект!$Z$1740</f>
        <v>-1</v>
      </c>
      <c r="AA625" s="554">
        <f ca="1">Проект!$AA$1740</f>
        <v>-1</v>
      </c>
      <c r="AB625" s="554">
        <f ca="1">Проект!$AB$1740</f>
        <v>0</v>
      </c>
      <c r="AC625" s="554">
        <f ca="1">Проект!$AC$1740</f>
        <v>0</v>
      </c>
      <c r="AD625" s="563"/>
      <c r="AE625" s="569"/>
    </row>
    <row r="626" spans="1:31" ht="11.25" customHeight="1" x14ac:dyDescent="0.3">
      <c r="A626" s="563"/>
      <c r="B626" s="563"/>
      <c r="C626" s="563"/>
      <c r="D626" s="563"/>
      <c r="E626" s="563"/>
      <c r="F626" s="563"/>
      <c r="G626" s="563"/>
      <c r="H626" s="563"/>
      <c r="I626" s="563"/>
      <c r="J626" s="563"/>
      <c r="K626" s="563"/>
      <c r="L626" s="563"/>
      <c r="M626" s="563"/>
      <c r="N626" s="563"/>
      <c r="O626" s="563"/>
      <c r="P626" s="563"/>
      <c r="Q626" s="563"/>
      <c r="R626" s="563"/>
      <c r="S626" s="563"/>
      <c r="T626" s="563"/>
      <c r="U626" s="563"/>
      <c r="V626" s="563"/>
      <c r="W626" s="563"/>
      <c r="X626" s="563"/>
      <c r="Y626" s="563"/>
      <c r="Z626" s="563"/>
      <c r="AA626" s="563"/>
      <c r="AB626" s="563"/>
      <c r="AC626" s="563"/>
      <c r="AD626" s="563"/>
      <c r="AE626" s="569"/>
    </row>
    <row r="627" spans="1:31" ht="11.25" customHeight="1" x14ac:dyDescent="0.3">
      <c r="A627" s="570" t="str">
        <f ca="1">Проект!$A$1742</f>
        <v>Чистая приведенная стоимость (NPV)</v>
      </c>
      <c r="B627" s="627">
        <f ca="1">Проект!$B$1742</f>
        <v>838.04126949682859</v>
      </c>
      <c r="C627" s="539" t="str">
        <f ca="1">Проект!$C$1742</f>
        <v>тыс. EUR</v>
      </c>
      <c r="D627" s="563"/>
      <c r="E627" s="563"/>
      <c r="F627" s="563"/>
      <c r="G627" s="563"/>
      <c r="H627" s="563"/>
      <c r="I627" s="563"/>
      <c r="J627" s="563"/>
      <c r="K627" s="563"/>
      <c r="L627" s="563"/>
      <c r="M627" s="563"/>
      <c r="N627" s="563"/>
      <c r="O627" s="563"/>
      <c r="P627" s="563"/>
      <c r="Q627" s="563"/>
      <c r="R627" s="563"/>
      <c r="S627" s="563"/>
      <c r="T627" s="563"/>
      <c r="U627" s="563"/>
      <c r="V627" s="563"/>
      <c r="W627" s="563"/>
      <c r="X627" s="563"/>
      <c r="Y627" s="563"/>
      <c r="Z627" s="563"/>
      <c r="AA627" s="563"/>
      <c r="AB627" s="563"/>
      <c r="AC627" s="563"/>
      <c r="AD627" s="563"/>
      <c r="AE627" s="569"/>
    </row>
    <row r="628" spans="1:31" ht="11.25" customHeight="1" x14ac:dyDescent="0.3">
      <c r="A628" s="570" t="str">
        <f ca="1">Проект!$A$1743</f>
        <v>Дисконтированный срок окупаемости (PBP)</v>
      </c>
      <c r="B628" s="628">
        <f ca="1">Проект!$B$1743</f>
        <v>5.6807825716873559</v>
      </c>
      <c r="C628" s="562" t="str">
        <f ca="1">Проект!$C$1743</f>
        <v>лет</v>
      </c>
      <c r="D628" s="563"/>
      <c r="E628" s="563"/>
      <c r="F628" s="563"/>
      <c r="G628" s="563"/>
      <c r="H628" s="563"/>
      <c r="I628" s="563"/>
      <c r="J628" s="563"/>
      <c r="K628" s="563"/>
      <c r="L628" s="563"/>
      <c r="M628" s="563"/>
      <c r="N628" s="563"/>
      <c r="O628" s="563"/>
      <c r="P628" s="563"/>
      <c r="Q628" s="563"/>
      <c r="R628" s="563"/>
      <c r="S628" s="563"/>
      <c r="T628" s="563"/>
      <c r="U628" s="563"/>
      <c r="V628" s="563"/>
      <c r="W628" s="563"/>
      <c r="X628" s="563"/>
      <c r="Y628" s="563"/>
      <c r="Z628" s="563"/>
      <c r="AA628" s="563"/>
      <c r="AB628" s="563"/>
      <c r="AC628" s="563"/>
      <c r="AD628" s="563"/>
      <c r="AE628" s="569"/>
    </row>
    <row r="629" spans="1:31" hidden="1" x14ac:dyDescent="0.3">
      <c r="A629" s="563" t="str">
        <f ca="1">Проект!$A$1744</f>
        <v xml:space="preserve">    знак остатка дисконтированных денежных средств</v>
      </c>
      <c r="B629" s="563"/>
      <c r="C629" s="563"/>
      <c r="D629" s="554" t="str">
        <f>Проект!$D$1744</f>
        <v>int_end</v>
      </c>
      <c r="E629" s="554">
        <f ca="1">Проект!$E$1744</f>
        <v>22</v>
      </c>
      <c r="F629" s="554">
        <f ca="1">Проект!$F$1744</f>
        <v>0</v>
      </c>
      <c r="G629" s="554">
        <f ca="1">Проект!$G$1744</f>
        <v>0</v>
      </c>
      <c r="H629" s="554">
        <f ca="1">Проект!$H$1744</f>
        <v>-1</v>
      </c>
      <c r="I629" s="554">
        <f ca="1">Проект!$I$1744</f>
        <v>-1</v>
      </c>
      <c r="J629" s="554">
        <f ca="1">Проект!$J$1744</f>
        <v>-1</v>
      </c>
      <c r="K629" s="554">
        <f ca="1">Проект!$K$1744</f>
        <v>-1</v>
      </c>
      <c r="L629" s="554">
        <f ca="1">Проект!$L$1744</f>
        <v>-1</v>
      </c>
      <c r="M629" s="554">
        <f ca="1">Проект!$M$1744</f>
        <v>-1</v>
      </c>
      <c r="N629" s="554">
        <f ca="1">Проект!$N$1744</f>
        <v>-1</v>
      </c>
      <c r="O629" s="554">
        <f ca="1">Проект!$O$1744</f>
        <v>-1</v>
      </c>
      <c r="P629" s="554">
        <f ca="1">Проект!$P$1744</f>
        <v>-1</v>
      </c>
      <c r="Q629" s="554">
        <f ca="1">Проект!$Q$1744</f>
        <v>-1</v>
      </c>
      <c r="R629" s="554">
        <f ca="1">Проект!$R$1744</f>
        <v>-1</v>
      </c>
      <c r="S629" s="554">
        <f ca="1">Проект!$S$1744</f>
        <v>-1</v>
      </c>
      <c r="T629" s="554">
        <f ca="1">Проект!$T$1744</f>
        <v>-1</v>
      </c>
      <c r="U629" s="554">
        <f ca="1">Проект!$U$1744</f>
        <v>-1</v>
      </c>
      <c r="V629" s="554">
        <f ca="1">Проект!$V$1744</f>
        <v>-1</v>
      </c>
      <c r="W629" s="554">
        <f ca="1">Проект!$W$1744</f>
        <v>-1</v>
      </c>
      <c r="X629" s="554">
        <f ca="1">Проект!$X$1744</f>
        <v>-1</v>
      </c>
      <c r="Y629" s="554">
        <f ca="1">Проект!$Y$1744</f>
        <v>-1</v>
      </c>
      <c r="Z629" s="554">
        <f ca="1">Проект!$Z$1744</f>
        <v>-1</v>
      </c>
      <c r="AA629" s="554">
        <f ca="1">Проект!$AA$1744</f>
        <v>-1</v>
      </c>
      <c r="AB629" s="554">
        <f ca="1">Проект!$AB$1744</f>
        <v>1</v>
      </c>
      <c r="AC629" s="554">
        <f ca="1">Проект!$AC$1744</f>
        <v>1</v>
      </c>
      <c r="AD629" s="563"/>
      <c r="AE629" s="569"/>
    </row>
    <row r="630" spans="1:31" hidden="1" x14ac:dyDescent="0.3">
      <c r="A630" s="563" t="str">
        <f ca="1">Проект!$A$1745</f>
        <v xml:space="preserve">    знак остатка дисконтированных денежных средств (с конца)</v>
      </c>
      <c r="B630" s="563"/>
      <c r="C630" s="563"/>
      <c r="D630" s="554" t="str">
        <f>Проект!$D$1745</f>
        <v>int_end</v>
      </c>
      <c r="E630" s="563"/>
      <c r="F630" s="554">
        <f ca="1">Проект!$F$1745</f>
        <v>1</v>
      </c>
      <c r="G630" s="554">
        <f ca="1">Проект!$G$1745</f>
        <v>1</v>
      </c>
      <c r="H630" s="554">
        <f ca="1">Проект!$H$1745</f>
        <v>-1</v>
      </c>
      <c r="I630" s="554">
        <f ca="1">Проект!$I$1745</f>
        <v>-1</v>
      </c>
      <c r="J630" s="554">
        <f ca="1">Проект!$J$1745</f>
        <v>-1</v>
      </c>
      <c r="K630" s="554">
        <f ca="1">Проект!$K$1745</f>
        <v>-1</v>
      </c>
      <c r="L630" s="554">
        <f ca="1">Проект!$L$1745</f>
        <v>-1</v>
      </c>
      <c r="M630" s="554">
        <f ca="1">Проект!$M$1745</f>
        <v>-1</v>
      </c>
      <c r="N630" s="554">
        <f ca="1">Проект!$N$1745</f>
        <v>-1</v>
      </c>
      <c r="O630" s="554">
        <f ca="1">Проект!$O$1745</f>
        <v>-1</v>
      </c>
      <c r="P630" s="554">
        <f ca="1">Проект!$P$1745</f>
        <v>-1</v>
      </c>
      <c r="Q630" s="554">
        <f ca="1">Проект!$Q$1745</f>
        <v>-1</v>
      </c>
      <c r="R630" s="554">
        <f ca="1">Проект!$R$1745</f>
        <v>-1</v>
      </c>
      <c r="S630" s="554">
        <f ca="1">Проект!$S$1745</f>
        <v>-1</v>
      </c>
      <c r="T630" s="554">
        <f ca="1">Проект!$T$1745</f>
        <v>-1</v>
      </c>
      <c r="U630" s="554">
        <f ca="1">Проект!$U$1745</f>
        <v>-1</v>
      </c>
      <c r="V630" s="554">
        <f ca="1">Проект!$V$1745</f>
        <v>-1</v>
      </c>
      <c r="W630" s="554">
        <f ca="1">Проект!$W$1745</f>
        <v>-1</v>
      </c>
      <c r="X630" s="554">
        <f ca="1">Проект!$X$1745</f>
        <v>-1</v>
      </c>
      <c r="Y630" s="554">
        <f ca="1">Проект!$Y$1745</f>
        <v>-1</v>
      </c>
      <c r="Z630" s="554">
        <f ca="1">Проект!$Z$1745</f>
        <v>-1</v>
      </c>
      <c r="AA630" s="554">
        <f ca="1">Проект!$AA$1745</f>
        <v>-1</v>
      </c>
      <c r="AB630" s="554">
        <f ca="1">Проект!$AB$1745</f>
        <v>0</v>
      </c>
      <c r="AC630" s="554">
        <f ca="1">Проект!$AC$1745</f>
        <v>0</v>
      </c>
      <c r="AD630" s="563"/>
      <c r="AE630" s="569"/>
    </row>
    <row r="631" spans="1:31" ht="11.25" customHeight="1" x14ac:dyDescent="0.3">
      <c r="A631" s="570" t="str">
        <f ca="1">Проект!$A$1746</f>
        <v>Внутренняя норма рентабельности (IRR)</v>
      </c>
      <c r="B631" s="629">
        <f ca="1">Проект!$B$1746</f>
        <v>0.17529380638914649</v>
      </c>
      <c r="C631" s="630" t="str">
        <f ca="1">Проект!$C$1746</f>
        <v>(номинальная - с учетом инфляции)</v>
      </c>
      <c r="D631" s="563"/>
      <c r="E631" s="554">
        <f ca="1">Проект!$E$1746</f>
        <v>0.17529380638914649</v>
      </c>
      <c r="F631" s="563"/>
      <c r="G631" s="563"/>
      <c r="H631" s="563"/>
      <c r="I631" s="563"/>
      <c r="J631" s="563"/>
      <c r="K631" s="563"/>
      <c r="L631" s="563"/>
      <c r="M631" s="563"/>
      <c r="N631" s="563"/>
      <c r="O631" s="563"/>
      <c r="P631" s="563"/>
      <c r="Q631" s="563"/>
      <c r="R631" s="563"/>
      <c r="S631" s="563"/>
      <c r="T631" s="563"/>
      <c r="U631" s="563"/>
      <c r="V631" s="563"/>
      <c r="W631" s="563"/>
      <c r="X631" s="563"/>
      <c r="Y631" s="563"/>
      <c r="Z631" s="563"/>
      <c r="AA631" s="563"/>
      <c r="AB631" s="563"/>
      <c r="AC631" s="563"/>
      <c r="AD631" s="563"/>
      <c r="AE631" s="569"/>
    </row>
    <row r="632" spans="1:31" hidden="1" x14ac:dyDescent="0.3">
      <c r="A632" s="555" t="str">
        <f ca="1">Проект!$A$1747</f>
        <v>Чистый денежный поток</v>
      </c>
      <c r="B632" s="629"/>
      <c r="C632" s="630"/>
      <c r="D632" s="563"/>
      <c r="E632" s="554"/>
      <c r="F632" s="542">
        <f ca="1">Проект!$F$1747</f>
        <v>0</v>
      </c>
      <c r="G632" s="542">
        <f ca="1">Проект!$G$1747</f>
        <v>0</v>
      </c>
      <c r="H632" s="542">
        <f ca="1">Проект!$H$1747</f>
        <v>-5695.3855543220343</v>
      </c>
      <c r="I632" s="542">
        <f ca="1">Проект!$I$1747</f>
        <v>-1519.56</v>
      </c>
      <c r="J632" s="542">
        <f ca="1">Проект!$J$1747</f>
        <v>-7024.8891971793519</v>
      </c>
      <c r="K632" s="542">
        <f ca="1">Проект!$K$1747</f>
        <v>-155.11366624986658</v>
      </c>
      <c r="L632" s="542">
        <f ca="1">Проект!$L$1747</f>
        <v>15.623261900942822</v>
      </c>
      <c r="M632" s="542">
        <f ca="1">Проект!$M$1747</f>
        <v>662.99303790614749</v>
      </c>
      <c r="N632" s="542">
        <f ca="1">Проект!$N$1747</f>
        <v>964.01024275288535</v>
      </c>
      <c r="O632" s="542">
        <f ca="1">Проект!$O$1747</f>
        <v>1285.2732652519153</v>
      </c>
      <c r="P632" s="542">
        <f ca="1">Проект!$P$1747</f>
        <v>1454.7746893858591</v>
      </c>
      <c r="Q632" s="542">
        <f ca="1">Проект!$Q$1747</f>
        <v>1454.7746893858591</v>
      </c>
      <c r="R632" s="542">
        <f ca="1">Проект!$R$1747</f>
        <v>1454.7746893858591</v>
      </c>
      <c r="S632" s="542">
        <f ca="1">Проект!$S$1747</f>
        <v>1454.7746893858591</v>
      </c>
      <c r="T632" s="542">
        <f ca="1">Проект!$T$1747</f>
        <v>1454.7746893858591</v>
      </c>
      <c r="U632" s="542">
        <f ca="1">Проект!$U$1747</f>
        <v>1454.7746893858591</v>
      </c>
      <c r="V632" s="542">
        <f ca="1">Проект!$V$1747</f>
        <v>1454.7746893858591</v>
      </c>
      <c r="W632" s="542">
        <f ca="1">Проект!$W$1747</f>
        <v>1454.7746893858591</v>
      </c>
      <c r="X632" s="542">
        <f ca="1">Проект!$X$1747</f>
        <v>1454.7746893858591</v>
      </c>
      <c r="Y632" s="542">
        <f ca="1">Проект!$Y$1747</f>
        <v>1454.7746893858591</v>
      </c>
      <c r="Z632" s="542">
        <f ca="1">Проект!$Z$1747</f>
        <v>1454.7746893858591</v>
      </c>
      <c r="AA632" s="542">
        <f ca="1">Проект!$AA$1747</f>
        <v>1454.7746893858591</v>
      </c>
      <c r="AB632" s="542">
        <f ca="1">Проект!$AB$1747</f>
        <v>1454.7746893858591</v>
      </c>
      <c r="AC632" s="542">
        <f ca="1">Проект!$AC$1747</f>
        <v>1454.7746893858591</v>
      </c>
      <c r="AD632" s="563"/>
      <c r="AE632" s="569"/>
    </row>
    <row r="633" spans="1:31" hidden="1" x14ac:dyDescent="0.3">
      <c r="A633" s="555" t="str">
        <f ca="1">Проект!$A$1748</f>
        <v>Множитель прироста цен  (включен)</v>
      </c>
      <c r="B633" s="629"/>
      <c r="C633" s="630"/>
      <c r="D633" s="563"/>
      <c r="E633" s="554"/>
      <c r="F633" s="631">
        <f>Проект!$F$1748</f>
        <v>1</v>
      </c>
      <c r="G633" s="631">
        <f>Проект!$G$1748</f>
        <v>1</v>
      </c>
      <c r="H633" s="631">
        <f>Проект!$H$1748</f>
        <v>1</v>
      </c>
      <c r="I633" s="631">
        <f>Проект!$I$1748</f>
        <v>1</v>
      </c>
      <c r="J633" s="631">
        <f>Проект!$J$1748</f>
        <v>1</v>
      </c>
      <c r="K633" s="631">
        <f>Проект!$K$1748</f>
        <v>1</v>
      </c>
      <c r="L633" s="631">
        <f>Проект!$L$1748</f>
        <v>1</v>
      </c>
      <c r="M633" s="631">
        <f>Проект!$M$1748</f>
        <v>1</v>
      </c>
      <c r="N633" s="631">
        <f>Проект!$N$1748</f>
        <v>1</v>
      </c>
      <c r="O633" s="631">
        <f>Проект!$O$1748</f>
        <v>1</v>
      </c>
      <c r="P633" s="631">
        <f>Проект!$P$1748</f>
        <v>1</v>
      </c>
      <c r="Q633" s="631">
        <f>Проект!$Q$1748</f>
        <v>1</v>
      </c>
      <c r="R633" s="631">
        <f>Проект!$R$1748</f>
        <v>1</v>
      </c>
      <c r="S633" s="631">
        <f>Проект!$S$1748</f>
        <v>1</v>
      </c>
      <c r="T633" s="631">
        <f>Проект!$T$1748</f>
        <v>1</v>
      </c>
      <c r="U633" s="631">
        <f>Проект!$U$1748</f>
        <v>1</v>
      </c>
      <c r="V633" s="631">
        <f>Проект!$V$1748</f>
        <v>1</v>
      </c>
      <c r="W633" s="631">
        <f>Проект!$W$1748</f>
        <v>1</v>
      </c>
      <c r="X633" s="631">
        <f>Проект!$X$1748</f>
        <v>1</v>
      </c>
      <c r="Y633" s="631">
        <f>Проект!$Y$1748</f>
        <v>1</v>
      </c>
      <c r="Z633" s="631">
        <f>Проект!$Z$1748</f>
        <v>1</v>
      </c>
      <c r="AA633" s="631">
        <f>Проект!$AA$1748</f>
        <v>1</v>
      </c>
      <c r="AB633" s="631">
        <f>Проект!$AB$1748</f>
        <v>1</v>
      </c>
      <c r="AC633" s="631">
        <f>Проект!$AC$1748</f>
        <v>1</v>
      </c>
      <c r="AD633" s="563"/>
      <c r="AE633" s="569"/>
    </row>
    <row r="634" spans="1:31" ht="11.25" customHeight="1" x14ac:dyDescent="0.3">
      <c r="A634" s="598" t="str">
        <f ca="1">Проект!$A$1749</f>
        <v>Норма доходности дисконтированных затрат (PI)</v>
      </c>
      <c r="B634" s="632">
        <f ca="1">Проект!$B$1749</f>
        <v>1.0648730884159889</v>
      </c>
      <c r="C634" s="539" t="str">
        <f ca="1">Проект!$C$1749</f>
        <v>разы</v>
      </c>
      <c r="D634" s="563"/>
      <c r="E634" s="563"/>
      <c r="F634" s="563"/>
      <c r="G634" s="563"/>
      <c r="H634" s="563"/>
      <c r="I634" s="563"/>
      <c r="J634" s="563"/>
      <c r="K634" s="563"/>
      <c r="L634" s="563"/>
      <c r="M634" s="563"/>
      <c r="N634" s="563"/>
      <c r="O634" s="563"/>
      <c r="P634" s="563"/>
      <c r="Q634" s="563"/>
      <c r="R634" s="563"/>
      <c r="S634" s="563"/>
      <c r="T634" s="563"/>
      <c r="U634" s="563"/>
      <c r="V634" s="563"/>
      <c r="W634" s="563"/>
      <c r="X634" s="563"/>
      <c r="Y634" s="563"/>
      <c r="Z634" s="563"/>
      <c r="AA634" s="563"/>
      <c r="AB634" s="563"/>
      <c r="AC634" s="563"/>
      <c r="AD634" s="563"/>
      <c r="AE634" s="569"/>
    </row>
    <row r="635" spans="1:31" hidden="1" x14ac:dyDescent="0.3">
      <c r="A635" s="563" t="str">
        <f ca="1">Проект!$A$1750</f>
        <v xml:space="preserve">    притоки</v>
      </c>
      <c r="B635" s="563"/>
      <c r="C635" s="539" t="str">
        <f ca="1">Проект!$C$1750</f>
        <v>тыс. EUR</v>
      </c>
      <c r="D635" s="563"/>
      <c r="E635" s="563"/>
      <c r="F635" s="571">
        <f ca="1">Проект!$F$1750</f>
        <v>0</v>
      </c>
      <c r="G635" s="571">
        <f ca="1">Проект!$G$1750</f>
        <v>0</v>
      </c>
      <c r="H635" s="571">
        <f ca="1">Проект!$H$1750</f>
        <v>0</v>
      </c>
      <c r="I635" s="571">
        <f ca="1">Проект!$I$1750</f>
        <v>0</v>
      </c>
      <c r="J635" s="571">
        <f ca="1">Проект!$J$1750</f>
        <v>0</v>
      </c>
      <c r="K635" s="571">
        <f ca="1">Проект!$K$1750</f>
        <v>0</v>
      </c>
      <c r="L635" s="571">
        <f ca="1">Проект!$L$1750</f>
        <v>15.623261900942822</v>
      </c>
      <c r="M635" s="571">
        <f ca="1">Проект!$M$1750</f>
        <v>662.99303790614749</v>
      </c>
      <c r="N635" s="571">
        <f ca="1">Проект!$N$1750</f>
        <v>964.01024275288535</v>
      </c>
      <c r="O635" s="571">
        <f ca="1">Проект!$O$1750</f>
        <v>1285.2732652519153</v>
      </c>
      <c r="P635" s="571">
        <f ca="1">Проект!$P$1750</f>
        <v>1454.7746893858591</v>
      </c>
      <c r="Q635" s="571">
        <f ca="1">Проект!$Q$1750</f>
        <v>1454.7746893858591</v>
      </c>
      <c r="R635" s="571">
        <f ca="1">Проект!$R$1750</f>
        <v>1454.7746893858591</v>
      </c>
      <c r="S635" s="571">
        <f ca="1">Проект!$S$1750</f>
        <v>1454.7746893858591</v>
      </c>
      <c r="T635" s="571">
        <f ca="1">Проект!$T$1750</f>
        <v>1454.7746893858591</v>
      </c>
      <c r="U635" s="571">
        <f ca="1">Проект!$U$1750</f>
        <v>1454.7746893858591</v>
      </c>
      <c r="V635" s="571">
        <f ca="1">Проект!$V$1750</f>
        <v>1454.7746893858591</v>
      </c>
      <c r="W635" s="571">
        <f ca="1">Проект!$W$1750</f>
        <v>1454.7746893858591</v>
      </c>
      <c r="X635" s="571">
        <f ca="1">Проект!$X$1750</f>
        <v>1454.7746893858591</v>
      </c>
      <c r="Y635" s="571">
        <f ca="1">Проект!$Y$1750</f>
        <v>1454.7746893858591</v>
      </c>
      <c r="Z635" s="571">
        <f ca="1">Проект!$Z$1750</f>
        <v>1454.7746893858591</v>
      </c>
      <c r="AA635" s="571">
        <f ca="1">Проект!$AA$1750</f>
        <v>1454.7746893858591</v>
      </c>
      <c r="AB635" s="571">
        <f ca="1">Проект!$AB$1750</f>
        <v>1454.7746893858591</v>
      </c>
      <c r="AC635" s="571">
        <f ca="1">Проект!$AC$1750</f>
        <v>1454.7746893858591</v>
      </c>
      <c r="AD635" s="563"/>
      <c r="AE635" s="572">
        <f ca="1">Проект!$AE$1750</f>
        <v>23294.745459213922</v>
      </c>
    </row>
    <row r="636" spans="1:31" hidden="1" x14ac:dyDescent="0.3">
      <c r="A636" s="563" t="str">
        <f ca="1">Проект!$A$1751</f>
        <v xml:space="preserve">    дисконтированные притоки</v>
      </c>
      <c r="B636" s="563"/>
      <c r="C636" s="539" t="str">
        <f ca="1">Проект!$C$1751</f>
        <v>тыс. EUR</v>
      </c>
      <c r="D636" s="563"/>
      <c r="E636" s="563"/>
      <c r="F636" s="571">
        <f ca="1">Проект!$F$1751</f>
        <v>0</v>
      </c>
      <c r="G636" s="571">
        <f ca="1">Проект!$G$1751</f>
        <v>0</v>
      </c>
      <c r="H636" s="571">
        <f ca="1">Проект!$H$1751</f>
        <v>0</v>
      </c>
      <c r="I636" s="571">
        <f ca="1">Проект!$I$1751</f>
        <v>0</v>
      </c>
      <c r="J636" s="571">
        <f ca="1">Проект!$J$1751</f>
        <v>0</v>
      </c>
      <c r="K636" s="571">
        <f ca="1">Проект!$K$1751</f>
        <v>0</v>
      </c>
      <c r="L636" s="571">
        <f ca="1">Проект!$L$1751</f>
        <v>12.668492906979903</v>
      </c>
      <c r="M636" s="571">
        <f ca="1">Проект!$M$1751</f>
        <v>519.14389033041846</v>
      </c>
      <c r="N636" s="571">
        <f ca="1">Проект!$N$1751</f>
        <v>728.93024026683213</v>
      </c>
      <c r="O636" s="571">
        <f ca="1">Проект!$O$1751</f>
        <v>938.48067285556374</v>
      </c>
      <c r="P636" s="571">
        <f ca="1">Проект!$P$1751</f>
        <v>1025.7726977380892</v>
      </c>
      <c r="Q636" s="571">
        <f ca="1">Проект!$Q$1751</f>
        <v>990.55062306297441</v>
      </c>
      <c r="R636" s="571">
        <f ca="1">Проект!$R$1751</f>
        <v>956.5379728024061</v>
      </c>
      <c r="S636" s="571">
        <f ca="1">Проект!$S$1751</f>
        <v>923.6932188116624</v>
      </c>
      <c r="T636" s="571">
        <f ca="1">Проект!$T$1751</f>
        <v>891.97625890268614</v>
      </c>
      <c r="U636" s="571">
        <f ca="1">Проект!$U$1751</f>
        <v>861.34836788084738</v>
      </c>
      <c r="V636" s="571">
        <f ca="1">Проект!$V$1751</f>
        <v>831.77215026296187</v>
      </c>
      <c r="W636" s="571">
        <f ca="1">Проект!$W$1751</f>
        <v>803.21149461883681</v>
      </c>
      <c r="X636" s="571">
        <f ca="1">Проект!$X$1751</f>
        <v>775.63152948059667</v>
      </c>
      <c r="Y636" s="571">
        <f ca="1">Проект!$Y$1751</f>
        <v>748.99858076595422</v>
      </c>
      <c r="Z636" s="571">
        <f ca="1">Проект!$Z$1751</f>
        <v>723.28013066344499</v>
      </c>
      <c r="AA636" s="571">
        <f ca="1">Проект!$AA$1751</f>
        <v>698.44477792942325</v>
      </c>
      <c r="AB636" s="571">
        <f ca="1">Проект!$AB$1751</f>
        <v>674.46219954834487</v>
      </c>
      <c r="AC636" s="571">
        <f ca="1">Проект!$AC$1751</f>
        <v>651.30311370952541</v>
      </c>
      <c r="AD636" s="563"/>
      <c r="AE636" s="572">
        <f ca="1">Проект!$AE$1751</f>
        <v>13756.206412537547</v>
      </c>
    </row>
    <row r="637" spans="1:31" hidden="1" x14ac:dyDescent="0.3">
      <c r="A637" s="563" t="str">
        <f ca="1">Проект!$A$1752</f>
        <v xml:space="preserve">    оттоки</v>
      </c>
      <c r="B637" s="563"/>
      <c r="C637" s="539" t="str">
        <f ca="1">Проект!$C$1752</f>
        <v>тыс. EUR</v>
      </c>
      <c r="D637" s="563"/>
      <c r="E637" s="563"/>
      <c r="F637" s="571">
        <f ca="1">Проект!$F$1752</f>
        <v>0</v>
      </c>
      <c r="G637" s="571">
        <f ca="1">Проект!$G$1752</f>
        <v>0</v>
      </c>
      <c r="H637" s="571">
        <f ca="1">Проект!$H$1752</f>
        <v>-5695.3855543220343</v>
      </c>
      <c r="I637" s="571">
        <f ca="1">Проект!$I$1752</f>
        <v>-1519.56</v>
      </c>
      <c r="J637" s="571">
        <f ca="1">Проект!$J$1752</f>
        <v>-7024.8891971793519</v>
      </c>
      <c r="K637" s="571">
        <f ca="1">Проект!$K$1752</f>
        <v>-155.11366624986658</v>
      </c>
      <c r="L637" s="571">
        <f ca="1">Проект!$L$1752</f>
        <v>0</v>
      </c>
      <c r="M637" s="571">
        <f ca="1">Проект!$M$1752</f>
        <v>0</v>
      </c>
      <c r="N637" s="571">
        <f ca="1">Проект!$N$1752</f>
        <v>0</v>
      </c>
      <c r="O637" s="571">
        <f ca="1">Проект!$O$1752</f>
        <v>0</v>
      </c>
      <c r="P637" s="571">
        <f ca="1">Проект!$P$1752</f>
        <v>0</v>
      </c>
      <c r="Q637" s="571">
        <f ca="1">Проект!$Q$1752</f>
        <v>0</v>
      </c>
      <c r="R637" s="571">
        <f ca="1">Проект!$R$1752</f>
        <v>0</v>
      </c>
      <c r="S637" s="571">
        <f ca="1">Проект!$S$1752</f>
        <v>0</v>
      </c>
      <c r="T637" s="571">
        <f ca="1">Проект!$T$1752</f>
        <v>0</v>
      </c>
      <c r="U637" s="571">
        <f ca="1">Проект!$U$1752</f>
        <v>0</v>
      </c>
      <c r="V637" s="571">
        <f ca="1">Проект!$V$1752</f>
        <v>0</v>
      </c>
      <c r="W637" s="571">
        <f ca="1">Проект!$W$1752</f>
        <v>0</v>
      </c>
      <c r="X637" s="571">
        <f ca="1">Проект!$X$1752</f>
        <v>0</v>
      </c>
      <c r="Y637" s="571">
        <f ca="1">Проект!$Y$1752</f>
        <v>0</v>
      </c>
      <c r="Z637" s="571">
        <f ca="1">Проект!$Z$1752</f>
        <v>0</v>
      </c>
      <c r="AA637" s="571">
        <f ca="1">Проект!$AA$1752</f>
        <v>0</v>
      </c>
      <c r="AB637" s="571">
        <f ca="1">Проект!$AB$1752</f>
        <v>0</v>
      </c>
      <c r="AC637" s="571">
        <f ca="1">Проект!$AC$1752</f>
        <v>0</v>
      </c>
      <c r="AD637" s="563"/>
      <c r="AE637" s="572">
        <f ca="1">Проект!$AE$1752</f>
        <v>-14394.948417751251</v>
      </c>
    </row>
    <row r="638" spans="1:31" hidden="1" x14ac:dyDescent="0.3">
      <c r="A638" s="563" t="str">
        <f ca="1">Проект!$A$1753</f>
        <v xml:space="preserve">    дисконтированные оттоки</v>
      </c>
      <c r="B638" s="563"/>
      <c r="C638" s="539" t="str">
        <f ca="1">Проект!$C$1753</f>
        <v>тыс. EUR</v>
      </c>
      <c r="D638" s="563"/>
      <c r="E638" s="563"/>
      <c r="F638" s="571">
        <f ca="1">Проект!$F$1753</f>
        <v>0</v>
      </c>
      <c r="G638" s="571">
        <f ca="1">Проект!$G$1753</f>
        <v>0</v>
      </c>
      <c r="H638" s="571">
        <f ca="1">Проект!$H$1753</f>
        <v>-5310.9744141877218</v>
      </c>
      <c r="I638" s="571">
        <f ca="1">Проект!$I$1753</f>
        <v>-1368.3414178136306</v>
      </c>
      <c r="J638" s="571">
        <f ca="1">Проект!$J$1753</f>
        <v>-6108.5993018950894</v>
      </c>
      <c r="K638" s="571">
        <f ca="1">Проект!$K$1753</f>
        <v>-130.25000914427827</v>
      </c>
      <c r="L638" s="571">
        <f ca="1">Проект!$L$1753</f>
        <v>0</v>
      </c>
      <c r="M638" s="571">
        <f ca="1">Проект!$M$1753</f>
        <v>0</v>
      </c>
      <c r="N638" s="571">
        <f ca="1">Проект!$N$1753</f>
        <v>0</v>
      </c>
      <c r="O638" s="571">
        <f ca="1">Проект!$O$1753</f>
        <v>0</v>
      </c>
      <c r="P638" s="571">
        <f ca="1">Проект!$P$1753</f>
        <v>0</v>
      </c>
      <c r="Q638" s="571">
        <f ca="1">Проект!$Q$1753</f>
        <v>0</v>
      </c>
      <c r="R638" s="571">
        <f ca="1">Проект!$R$1753</f>
        <v>0</v>
      </c>
      <c r="S638" s="571">
        <f ca="1">Проект!$S$1753</f>
        <v>0</v>
      </c>
      <c r="T638" s="571">
        <f ca="1">Проект!$T$1753</f>
        <v>0</v>
      </c>
      <c r="U638" s="571">
        <f ca="1">Проект!$U$1753</f>
        <v>0</v>
      </c>
      <c r="V638" s="571">
        <f ca="1">Проект!$V$1753</f>
        <v>0</v>
      </c>
      <c r="W638" s="571">
        <f ca="1">Проект!$W$1753</f>
        <v>0</v>
      </c>
      <c r="X638" s="571">
        <f ca="1">Проект!$X$1753</f>
        <v>0</v>
      </c>
      <c r="Y638" s="571">
        <f ca="1">Проект!$Y$1753</f>
        <v>0</v>
      </c>
      <c r="Z638" s="571">
        <f ca="1">Проект!$Z$1753</f>
        <v>0</v>
      </c>
      <c r="AA638" s="571">
        <f ca="1">Проект!$AA$1753</f>
        <v>0</v>
      </c>
      <c r="AB638" s="571">
        <f ca="1">Проект!$AB$1753</f>
        <v>0</v>
      </c>
      <c r="AC638" s="571">
        <f ca="1">Проект!$AC$1753</f>
        <v>0</v>
      </c>
      <c r="AD638" s="563"/>
      <c r="AE638" s="572">
        <f ca="1">Проект!$AE$1753</f>
        <v>-12918.16514304072</v>
      </c>
    </row>
    <row r="639" spans="1:31" ht="11.25" customHeight="1" x14ac:dyDescent="0.3">
      <c r="A639" s="563"/>
      <c r="B639" s="563"/>
      <c r="C639" s="563"/>
      <c r="D639" s="563"/>
      <c r="E639" s="563"/>
      <c r="F639" s="571"/>
      <c r="G639" s="571"/>
      <c r="H639" s="571"/>
      <c r="I639" s="571"/>
      <c r="J639" s="571"/>
      <c r="K639" s="571"/>
      <c r="L639" s="571"/>
      <c r="M639" s="571"/>
      <c r="N639" s="571"/>
      <c r="O639" s="571"/>
      <c r="P639" s="571"/>
      <c r="Q639" s="571"/>
      <c r="R639" s="571"/>
      <c r="S639" s="571"/>
      <c r="T639" s="571"/>
      <c r="U639" s="571"/>
      <c r="V639" s="571"/>
      <c r="W639" s="571"/>
      <c r="X639" s="571"/>
      <c r="Y639" s="571"/>
      <c r="Z639" s="571"/>
      <c r="AA639" s="571"/>
      <c r="AB639" s="571"/>
      <c r="AC639" s="571"/>
      <c r="AD639" s="563"/>
      <c r="AE639" s="569"/>
    </row>
    <row r="640" spans="1:31" ht="11.25" customHeight="1" x14ac:dyDescent="0.3">
      <c r="A640" s="598" t="str">
        <f ca="1">Проект!$A$1755</f>
        <v>Модифицированная IRR (MIRR)</v>
      </c>
      <c r="B640" s="633">
        <f ca="1">Проект!$B$1755</f>
        <v>0.16264008638525418</v>
      </c>
      <c r="C640" s="563"/>
      <c r="D640" s="563"/>
      <c r="E640" s="634">
        <f ca="1">Проект!$E$1755</f>
        <v>0.16264008638525418</v>
      </c>
      <c r="F640" s="571"/>
      <c r="G640" s="571"/>
      <c r="H640" s="571"/>
      <c r="I640" s="571"/>
      <c r="J640" s="571"/>
      <c r="K640" s="571"/>
      <c r="L640" s="571"/>
      <c r="M640" s="571"/>
      <c r="N640" s="571"/>
      <c r="O640" s="571"/>
      <c r="P640" s="571"/>
      <c r="Q640" s="571"/>
      <c r="R640" s="571"/>
      <c r="S640" s="571"/>
      <c r="T640" s="571"/>
      <c r="U640" s="571"/>
      <c r="V640" s="571"/>
      <c r="W640" s="571"/>
      <c r="X640" s="571"/>
      <c r="Y640" s="571"/>
      <c r="Z640" s="571"/>
      <c r="AA640" s="571"/>
      <c r="AB640" s="571"/>
      <c r="AC640" s="571"/>
      <c r="AD640" s="563"/>
      <c r="AE640" s="569"/>
    </row>
    <row r="641" spans="1:31" ht="11.25" customHeight="1" x14ac:dyDescent="0.3">
      <c r="A641" s="563" t="str">
        <f ca="1">Проект!$A$1756</f>
        <v>Ставка реинвестирования доходов</v>
      </c>
      <c r="B641" s="601">
        <f>Проект!$B$1756</f>
        <v>0.15</v>
      </c>
      <c r="C641" s="563"/>
      <c r="D641" s="563"/>
      <c r="E641" s="563"/>
      <c r="F641" s="563"/>
      <c r="G641" s="563"/>
      <c r="H641" s="563"/>
      <c r="I641" s="563"/>
      <c r="J641" s="563"/>
      <c r="K641" s="563"/>
      <c r="L641" s="563"/>
      <c r="M641" s="563"/>
      <c r="N641" s="563"/>
      <c r="O641" s="563"/>
      <c r="P641" s="563"/>
      <c r="Q641" s="563"/>
      <c r="R641" s="563"/>
      <c r="S641" s="563"/>
      <c r="T641" s="563"/>
      <c r="U641" s="563"/>
      <c r="V641" s="563"/>
      <c r="W641" s="563"/>
      <c r="X641" s="563"/>
      <c r="Y641" s="563"/>
      <c r="Z641" s="563"/>
      <c r="AA641" s="563"/>
      <c r="AB641" s="563"/>
      <c r="AC641" s="563"/>
      <c r="AD641" s="563"/>
      <c r="AE641" s="569"/>
    </row>
    <row r="642" spans="1:31" ht="11.25" customHeight="1" x14ac:dyDescent="0.3">
      <c r="A642" s="563" t="str">
        <f ca="1">Проект!$A$1757</f>
        <v>Ставка дисконтирования инвестиционных затрат</v>
      </c>
      <c r="B642" s="601">
        <f>Проект!$B$1757</f>
        <v>0.15</v>
      </c>
      <c r="C642" s="563"/>
      <c r="D642" s="563"/>
      <c r="E642" s="563"/>
      <c r="F642" s="563"/>
      <c r="G642" s="563"/>
      <c r="H642" s="563"/>
      <c r="I642" s="563"/>
      <c r="J642" s="563"/>
      <c r="K642" s="563"/>
      <c r="L642" s="563"/>
      <c r="M642" s="563"/>
      <c r="N642" s="563"/>
      <c r="O642" s="563"/>
      <c r="P642" s="563"/>
      <c r="Q642" s="563"/>
      <c r="R642" s="563"/>
      <c r="S642" s="563"/>
      <c r="T642" s="563"/>
      <c r="U642" s="563"/>
      <c r="V642" s="563"/>
      <c r="W642" s="563"/>
      <c r="X642" s="563"/>
      <c r="Y642" s="563"/>
      <c r="Z642" s="563"/>
      <c r="AA642" s="563"/>
      <c r="AB642" s="563"/>
      <c r="AC642" s="563"/>
      <c r="AD642" s="563"/>
      <c r="AE642" s="569"/>
    </row>
    <row r="643" spans="1:31" ht="11.25" customHeight="1" x14ac:dyDescent="0.3">
      <c r="A643" s="544"/>
      <c r="B643" s="544"/>
      <c r="C643" s="544"/>
      <c r="D643" s="544"/>
      <c r="E643" s="544"/>
      <c r="F643" s="544"/>
      <c r="G643" s="544"/>
      <c r="H643" s="544"/>
      <c r="I643" s="544"/>
      <c r="J643" s="544"/>
      <c r="K643" s="544"/>
      <c r="L643" s="544"/>
      <c r="M643" s="544"/>
      <c r="N643" s="544"/>
      <c r="O643" s="544"/>
      <c r="P643" s="544"/>
      <c r="Q643" s="544"/>
      <c r="R643" s="544"/>
      <c r="S643" s="544"/>
      <c r="T643" s="544"/>
      <c r="U643" s="544"/>
      <c r="V643" s="544"/>
      <c r="W643" s="544"/>
      <c r="X643" s="544"/>
      <c r="Y643" s="544"/>
      <c r="Z643" s="544"/>
      <c r="AA643" s="544"/>
      <c r="AB643" s="544"/>
      <c r="AC643" s="544"/>
      <c r="AD643" s="544"/>
      <c r="AE643" s="548"/>
    </row>
    <row r="646" spans="1:31" x14ac:dyDescent="0.3">
      <c r="A646" s="599" t="str">
        <f ca="1">Language!A$877 &amp; ", " &amp; Проект!CUR_Report</f>
        <v>График: Окупаемость проекта (для полных инвестиционных затрат), тыс. EUR</v>
      </c>
      <c r="B646" s="600"/>
      <c r="C646" s="600"/>
      <c r="D646" s="600"/>
      <c r="E646" s="600"/>
      <c r="F646" s="600"/>
      <c r="G646" s="600"/>
      <c r="H646" s="600"/>
    </row>
    <row r="647" spans="1:31" x14ac:dyDescent="0.3">
      <c r="A647" s="600"/>
      <c r="B647" s="600"/>
      <c r="C647" s="600"/>
      <c r="D647" s="600"/>
      <c r="E647" s="600"/>
      <c r="F647" s="600"/>
      <c r="G647" s="600"/>
      <c r="H647" s="600"/>
    </row>
    <row r="648" spans="1:31" x14ac:dyDescent="0.3">
      <c r="A648" s="600"/>
      <c r="B648" s="600"/>
      <c r="C648" s="600"/>
      <c r="D648" s="600"/>
      <c r="E648" s="600"/>
      <c r="F648" s="600"/>
      <c r="G648" s="600"/>
      <c r="H648" s="600"/>
    </row>
    <row r="649" spans="1:31" x14ac:dyDescent="0.3">
      <c r="A649" s="600"/>
      <c r="B649" s="600"/>
      <c r="C649" s="600"/>
      <c r="D649" s="600"/>
      <c r="E649" s="600"/>
      <c r="F649" s="600"/>
      <c r="G649" s="600"/>
      <c r="H649" s="600"/>
    </row>
    <row r="650" spans="1:31" x14ac:dyDescent="0.3">
      <c r="A650" s="600"/>
      <c r="B650" s="600"/>
      <c r="C650" s="600"/>
      <c r="D650" s="600"/>
      <c r="E650" s="600"/>
      <c r="F650" s="600"/>
      <c r="G650" s="600"/>
      <c r="H650" s="600"/>
    </row>
    <row r="651" spans="1:31" x14ac:dyDescent="0.3">
      <c r="A651" s="600"/>
      <c r="B651" s="600"/>
      <c r="C651" s="600"/>
      <c r="D651" s="600"/>
      <c r="E651" s="600"/>
      <c r="F651" s="600"/>
      <c r="G651" s="600"/>
      <c r="H651" s="600"/>
    </row>
    <row r="652" spans="1:31" x14ac:dyDescent="0.3">
      <c r="A652" s="600"/>
      <c r="B652" s="600"/>
      <c r="C652" s="600"/>
      <c r="D652" s="600"/>
      <c r="E652" s="600"/>
      <c r="F652" s="600"/>
      <c r="G652" s="600"/>
      <c r="H652" s="600"/>
    </row>
    <row r="653" spans="1:31" x14ac:dyDescent="0.3">
      <c r="A653" s="600"/>
      <c r="B653" s="600"/>
      <c r="C653" s="600"/>
      <c r="D653" s="600"/>
      <c r="E653" s="600"/>
      <c r="F653" s="600"/>
      <c r="G653" s="600"/>
      <c r="H653" s="600"/>
    </row>
    <row r="654" spans="1:31" x14ac:dyDescent="0.3">
      <c r="A654" s="600"/>
      <c r="B654" s="600"/>
      <c r="C654" s="600"/>
      <c r="D654" s="600"/>
      <c r="E654" s="600"/>
      <c r="F654" s="600"/>
      <c r="G654" s="600"/>
      <c r="H654" s="600"/>
    </row>
    <row r="655" spans="1:31" x14ac:dyDescent="0.3">
      <c r="A655" s="600"/>
      <c r="B655" s="600"/>
      <c r="C655" s="600"/>
      <c r="D655" s="600"/>
      <c r="E655" s="600"/>
      <c r="F655" s="600"/>
      <c r="G655" s="600"/>
      <c r="H655" s="600"/>
    </row>
    <row r="656" spans="1:31" x14ac:dyDescent="0.3">
      <c r="A656" s="600"/>
      <c r="B656" s="600"/>
      <c r="C656" s="600"/>
      <c r="D656" s="600"/>
      <c r="E656" s="600"/>
      <c r="F656" s="600"/>
      <c r="G656" s="600"/>
      <c r="H656" s="600"/>
    </row>
    <row r="657" spans="1:8" x14ac:dyDescent="0.3">
      <c r="A657" s="600"/>
      <c r="B657" s="600"/>
      <c r="C657" s="600"/>
      <c r="D657" s="600"/>
      <c r="E657" s="600"/>
      <c r="F657" s="600"/>
      <c r="G657" s="600"/>
      <c r="H657" s="600"/>
    </row>
    <row r="658" spans="1:8" x14ac:dyDescent="0.3">
      <c r="A658" s="600"/>
      <c r="B658" s="600"/>
      <c r="C658" s="600"/>
      <c r="D658" s="600"/>
      <c r="E658" s="600"/>
      <c r="F658" s="600"/>
      <c r="G658" s="600"/>
      <c r="H658" s="600"/>
    </row>
    <row r="659" spans="1:8" x14ac:dyDescent="0.3">
      <c r="A659" s="600"/>
      <c r="B659" s="600"/>
      <c r="C659" s="600"/>
      <c r="D659" s="600"/>
      <c r="E659" s="600"/>
      <c r="F659" s="600"/>
      <c r="G659" s="600"/>
      <c r="H659" s="600"/>
    </row>
    <row r="660" spans="1:8" x14ac:dyDescent="0.3">
      <c r="A660" s="600"/>
      <c r="B660" s="600"/>
      <c r="C660" s="600"/>
      <c r="D660" s="600"/>
      <c r="E660" s="600"/>
      <c r="F660" s="600"/>
      <c r="G660" s="600"/>
      <c r="H660" s="600"/>
    </row>
    <row r="661" spans="1:8" x14ac:dyDescent="0.3">
      <c r="A661" s="600"/>
      <c r="B661" s="600"/>
      <c r="C661" s="600"/>
      <c r="D661" s="600"/>
      <c r="E661" s="600"/>
      <c r="F661" s="600"/>
      <c r="G661" s="600"/>
      <c r="H661" s="600"/>
    </row>
    <row r="662" spans="1:8" x14ac:dyDescent="0.3">
      <c r="A662" s="600"/>
      <c r="B662" s="600"/>
      <c r="C662" s="600"/>
      <c r="D662" s="600"/>
      <c r="E662" s="600"/>
      <c r="F662" s="600"/>
      <c r="G662" s="600"/>
      <c r="H662" s="600"/>
    </row>
    <row r="663" spans="1:8" x14ac:dyDescent="0.3">
      <c r="A663" s="600"/>
      <c r="B663" s="600"/>
      <c r="C663" s="600"/>
      <c r="D663" s="600"/>
      <c r="E663" s="600"/>
      <c r="F663" s="600"/>
      <c r="G663" s="600"/>
      <c r="H663" s="600"/>
    </row>
    <row r="664" spans="1:8" x14ac:dyDescent="0.3">
      <c r="A664" s="600"/>
      <c r="B664" s="600"/>
      <c r="C664" s="600"/>
      <c r="D664" s="600"/>
      <c r="E664" s="600"/>
      <c r="F664" s="600"/>
      <c r="G664" s="600"/>
      <c r="H664" s="600"/>
    </row>
    <row r="665" spans="1:8" x14ac:dyDescent="0.3">
      <c r="A665" s="600"/>
      <c r="B665" s="600"/>
      <c r="C665" s="600"/>
      <c r="D665" s="600"/>
      <c r="E665" s="600"/>
      <c r="F665" s="600"/>
      <c r="G665" s="600"/>
      <c r="H665" s="600"/>
    </row>
    <row r="666" spans="1:8" x14ac:dyDescent="0.3">
      <c r="A666" s="600"/>
      <c r="B666" s="600"/>
      <c r="C666" s="600"/>
      <c r="D666" s="600"/>
      <c r="E666" s="600"/>
      <c r="F666" s="600"/>
      <c r="G666" s="600"/>
      <c r="H666" s="600"/>
    </row>
    <row r="667" spans="1:8" x14ac:dyDescent="0.3">
      <c r="A667" s="600"/>
      <c r="B667" s="600"/>
      <c r="C667" s="600"/>
      <c r="D667" s="600"/>
      <c r="E667" s="600"/>
      <c r="F667" s="600"/>
      <c r="G667" s="600"/>
      <c r="H667" s="600"/>
    </row>
    <row r="668" spans="1:8" x14ac:dyDescent="0.3">
      <c r="A668" s="600"/>
      <c r="B668" s="600"/>
      <c r="C668" s="600"/>
      <c r="D668" s="600"/>
      <c r="E668" s="600"/>
      <c r="F668" s="600"/>
      <c r="G668" s="600"/>
      <c r="H668" s="600"/>
    </row>
    <row r="669" spans="1:8" x14ac:dyDescent="0.3">
      <c r="A669" s="600"/>
      <c r="B669" s="600"/>
      <c r="C669" s="600"/>
      <c r="D669" s="600"/>
      <c r="E669" s="600"/>
      <c r="F669" s="600"/>
      <c r="G669" s="600"/>
      <c r="H669" s="600"/>
    </row>
  </sheetData>
  <phoneticPr fontId="13" type="noConversion"/>
  <pageMargins left="0.7" right="0.7" top="0.75" bottom="0.75" header="0.3" footer="0.3"/>
  <pageSetup paperSize="9" scale="13"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5"/>
  <dimension ref="A1:E21"/>
  <sheetViews>
    <sheetView workbookViewId="0">
      <selection activeCell="B20" sqref="B20"/>
    </sheetView>
  </sheetViews>
  <sheetFormatPr defaultRowHeight="11.25" x14ac:dyDescent="0.2"/>
  <cols>
    <col min="1" max="1" width="44.83203125" customWidth="1"/>
    <col min="2" max="3" width="12.83203125" customWidth="1"/>
  </cols>
  <sheetData>
    <row r="1" spans="1:5" s="3" customFormat="1" ht="15.75" x14ac:dyDescent="0.25">
      <c r="A1" s="3" t="s">
        <v>648</v>
      </c>
    </row>
    <row r="2" spans="1:5" x14ac:dyDescent="0.2">
      <c r="A2" s="15" t="s">
        <v>649</v>
      </c>
    </row>
    <row r="4" spans="1:5" x14ac:dyDescent="0.2">
      <c r="A4" t="s">
        <v>2386</v>
      </c>
      <c r="B4" s="5" t="b">
        <v>0</v>
      </c>
    </row>
    <row r="5" spans="1:5" x14ac:dyDescent="0.2">
      <c r="A5" t="s">
        <v>2378</v>
      </c>
      <c r="B5" s="297" t="s">
        <v>2528</v>
      </c>
      <c r="C5" s="5"/>
    </row>
    <row r="6" spans="1:5" x14ac:dyDescent="0.2">
      <c r="A6" t="s">
        <v>2381</v>
      </c>
      <c r="B6" s="6">
        <v>40793</v>
      </c>
      <c r="C6" s="5"/>
    </row>
    <row r="7" spans="1:5" x14ac:dyDescent="0.2">
      <c r="A7" t="s">
        <v>2382</v>
      </c>
      <c r="B7" s="5" t="b">
        <v>0</v>
      </c>
      <c r="C7" s="5"/>
    </row>
    <row r="8" spans="1:5" x14ac:dyDescent="0.2">
      <c r="A8" t="s">
        <v>2385</v>
      </c>
      <c r="B8" s="5" t="b">
        <v>0</v>
      </c>
      <c r="C8" s="6">
        <v>39736</v>
      </c>
    </row>
    <row r="9" spans="1:5" x14ac:dyDescent="0.2">
      <c r="A9" t="s">
        <v>2379</v>
      </c>
      <c r="B9" s="5" t="b">
        <v>1</v>
      </c>
      <c r="C9" s="5"/>
    </row>
    <row r="10" spans="1:5" x14ac:dyDescent="0.2">
      <c r="A10" t="s">
        <v>2383</v>
      </c>
      <c r="B10" s="5" t="b">
        <v>1</v>
      </c>
      <c r="C10" s="5"/>
    </row>
    <row r="11" spans="1:5" x14ac:dyDescent="0.2">
      <c r="A11" t="s">
        <v>2384</v>
      </c>
      <c r="B11" s="5" t="b">
        <v>0</v>
      </c>
      <c r="C11" s="5"/>
    </row>
    <row r="12" spans="1:5" x14ac:dyDescent="0.2">
      <c r="A12" t="s">
        <v>2380</v>
      </c>
      <c r="B12" s="5">
        <v>0</v>
      </c>
      <c r="C12" s="5"/>
    </row>
    <row r="13" spans="1:5" x14ac:dyDescent="0.2">
      <c r="B13" s="5"/>
      <c r="C13" s="5"/>
    </row>
    <row r="14" spans="1:5" x14ac:dyDescent="0.2">
      <c r="A14" t="s">
        <v>731</v>
      </c>
      <c r="B14" s="5">
        <v>125</v>
      </c>
      <c r="C14" s="5"/>
    </row>
    <row r="16" spans="1:5" s="4" customFormat="1" ht="15.95" customHeight="1" x14ac:dyDescent="0.2">
      <c r="A16" s="14" t="s">
        <v>643</v>
      </c>
      <c r="B16" s="14"/>
      <c r="C16" s="14"/>
      <c r="D16" s="14"/>
      <c r="E16" s="14"/>
    </row>
    <row r="17" spans="1:3" x14ac:dyDescent="0.2">
      <c r="A17" s="11" t="s">
        <v>642</v>
      </c>
      <c r="B17" s="12" t="str">
        <f>IF(B21=1,"Альт-Инвест ","ALT-invest ")&amp;IF(B18=1,IF(B21=1,"Сумм ","Summ "),"")&amp;IF(B19=1,IF(B21=1,"Строительство ","Estate "),"")&amp;IF(B20=1,IF(B21=1,"Демо ","Demo "),"")&amp;IF(B20=2,IF(B21=1,"Пробная ","Trial "),"")&amp;IF(B21=1,"(русская)","(english)")</f>
        <v>Альт-Инвест Сумм (русская)</v>
      </c>
    </row>
    <row r="18" spans="1:3" x14ac:dyDescent="0.2">
      <c r="A18" t="s">
        <v>2400</v>
      </c>
      <c r="B18" s="13">
        <v>1</v>
      </c>
      <c r="C18" s="1" t="s">
        <v>644</v>
      </c>
    </row>
    <row r="19" spans="1:3" x14ac:dyDescent="0.2">
      <c r="A19" t="s">
        <v>2399</v>
      </c>
      <c r="B19" s="13">
        <v>0</v>
      </c>
      <c r="C19" s="1" t="s">
        <v>644</v>
      </c>
    </row>
    <row r="20" spans="1:3" x14ac:dyDescent="0.2">
      <c r="A20" t="s">
        <v>647</v>
      </c>
      <c r="B20" s="13">
        <v>0</v>
      </c>
      <c r="C20" s="1" t="s">
        <v>645</v>
      </c>
    </row>
    <row r="21" spans="1:3" x14ac:dyDescent="0.2">
      <c r="A21" t="s">
        <v>641</v>
      </c>
      <c r="B21" s="13">
        <v>1</v>
      </c>
      <c r="C21" s="1" t="s">
        <v>646</v>
      </c>
    </row>
  </sheetData>
  <phoneticPr fontId="13"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49" r:id="rId3" name="Button 1">
              <controlPr defaultSize="0" print="0" autoFill="0" autoPict="0" macro="[0]!CreateDistr">
                <anchor moveWithCells="1" sizeWithCells="1">
                  <from>
                    <xdr:col>0</xdr:col>
                    <xdr:colOff>19050</xdr:colOff>
                    <xdr:row>22</xdr:row>
                    <xdr:rowOff>0</xdr:rowOff>
                  </from>
                  <to>
                    <xdr:col>2</xdr:col>
                    <xdr:colOff>0</xdr:colOff>
                    <xdr:row>23</xdr:row>
                    <xdr:rowOff>133350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6"/>
  <dimension ref="A1:D1046"/>
  <sheetViews>
    <sheetView topLeftCell="A650" workbookViewId="0">
      <selection activeCell="A674" sqref="A674"/>
    </sheetView>
  </sheetViews>
  <sheetFormatPr defaultRowHeight="11.25" x14ac:dyDescent="0.2"/>
  <cols>
    <col min="1" max="4" width="50.83203125" customWidth="1"/>
  </cols>
  <sheetData>
    <row r="1" spans="1:4" x14ac:dyDescent="0.2">
      <c r="A1" s="9" t="s">
        <v>2391</v>
      </c>
      <c r="B1" s="7" t="s">
        <v>2392</v>
      </c>
      <c r="C1" s="7" t="s">
        <v>2393</v>
      </c>
      <c r="D1" s="7" t="s">
        <v>1399</v>
      </c>
    </row>
    <row r="2" spans="1:4" x14ac:dyDescent="0.2">
      <c r="A2" s="10">
        <v>1</v>
      </c>
      <c r="B2" s="8"/>
      <c r="C2" s="8"/>
      <c r="D2" s="8"/>
    </row>
    <row r="3" spans="1:4" x14ac:dyDescent="0.2">
      <c r="A3" t="str">
        <f t="shared" ref="A3:A73" ca="1" si="0">OFFSET(A3,0,LanguageID)</f>
        <v xml:space="preserve">АЛЬТ-Инвест™ </v>
      </c>
      <c r="B3" t="s">
        <v>571</v>
      </c>
      <c r="C3" t="s">
        <v>576</v>
      </c>
      <c r="D3" t="s">
        <v>576</v>
      </c>
    </row>
    <row r="4" spans="1:4" x14ac:dyDescent="0.2">
      <c r="A4" t="str">
        <f t="shared" ca="1" si="0"/>
        <v xml:space="preserve">Сумм </v>
      </c>
      <c r="B4" t="s">
        <v>572</v>
      </c>
      <c r="C4" t="s">
        <v>577</v>
      </c>
      <c r="D4" t="s">
        <v>1400</v>
      </c>
    </row>
    <row r="5" spans="1:4" x14ac:dyDescent="0.2">
      <c r="A5" t="str">
        <f t="shared" ca="1" si="0"/>
        <v xml:space="preserve">Строительство </v>
      </c>
      <c r="B5" t="s">
        <v>573</v>
      </c>
      <c r="C5" t="s">
        <v>2050</v>
      </c>
      <c r="D5" t="s">
        <v>1401</v>
      </c>
    </row>
    <row r="6" spans="1:4" x14ac:dyDescent="0.2">
      <c r="A6" t="str">
        <f t="shared" ca="1" si="0"/>
        <v xml:space="preserve">Демо </v>
      </c>
      <c r="B6" t="s">
        <v>574</v>
      </c>
      <c r="C6" t="s">
        <v>578</v>
      </c>
      <c r="D6" t="s">
        <v>1402</v>
      </c>
    </row>
    <row r="7" spans="1:4" x14ac:dyDescent="0.2">
      <c r="A7" t="str">
        <f t="shared" ca="1" si="0"/>
        <v xml:space="preserve">Пробная версия </v>
      </c>
      <c r="B7" t="s">
        <v>575</v>
      </c>
      <c r="C7" t="s">
        <v>579</v>
      </c>
      <c r="D7" t="s">
        <v>1403</v>
      </c>
    </row>
    <row r="8" spans="1:4" x14ac:dyDescent="0.2">
      <c r="A8" t="str">
        <f t="shared" ca="1" si="0"/>
        <v>О программе</v>
      </c>
      <c r="B8" t="s">
        <v>2387</v>
      </c>
      <c r="C8" t="s">
        <v>2394</v>
      </c>
      <c r="D8" t="s">
        <v>1404</v>
      </c>
    </row>
    <row r="9" spans="1:4" x14ac:dyDescent="0.2">
      <c r="A9" t="str">
        <f t="shared" ca="1" si="0"/>
        <v>Проект</v>
      </c>
      <c r="B9" t="s">
        <v>2388</v>
      </c>
      <c r="C9" t="s">
        <v>2395</v>
      </c>
      <c r="D9" t="s">
        <v>1405</v>
      </c>
    </row>
    <row r="10" spans="1:4" x14ac:dyDescent="0.2">
      <c r="A10" t="str">
        <f t="shared" ca="1" si="0"/>
        <v>Пр.</v>
      </c>
      <c r="B10" t="s">
        <v>2389</v>
      </c>
      <c r="C10" t="s">
        <v>2396</v>
      </c>
      <c r="D10" t="s">
        <v>2396</v>
      </c>
    </row>
    <row r="11" spans="1:4" x14ac:dyDescent="0.2">
      <c r="A11" t="str">
        <f t="shared" ca="1" si="0"/>
        <v>Портфель</v>
      </c>
      <c r="B11" t="s">
        <v>2390</v>
      </c>
      <c r="C11" t="s">
        <v>2397</v>
      </c>
      <c r="D11" t="s">
        <v>1406</v>
      </c>
    </row>
    <row r="12" spans="1:4" x14ac:dyDescent="0.2">
      <c r="A12" t="str">
        <f t="shared" ca="1" si="0"/>
        <v>Отчет</v>
      </c>
      <c r="B12" t="s">
        <v>2377</v>
      </c>
      <c r="C12" t="s">
        <v>2398</v>
      </c>
      <c r="D12" t="s">
        <v>1481</v>
      </c>
    </row>
    <row r="13" spans="1:4" x14ac:dyDescent="0.2">
      <c r="A13" t="str">
        <f t="shared" ca="1" si="0"/>
        <v>Описание проекта</v>
      </c>
      <c r="B13" t="s">
        <v>2373</v>
      </c>
      <c r="C13" t="s">
        <v>1200</v>
      </c>
      <c r="D13" t="s">
        <v>1482</v>
      </c>
    </row>
    <row r="14" spans="1:4" x14ac:dyDescent="0.2">
      <c r="A14" t="str">
        <f t="shared" ca="1" si="0"/>
        <v xml:space="preserve">         ПАРАМЕТРЫ ПРОЕКТА</v>
      </c>
      <c r="B14" t="s">
        <v>1453</v>
      </c>
      <c r="C14" t="s">
        <v>1201</v>
      </c>
      <c r="D14" t="s">
        <v>1528</v>
      </c>
    </row>
    <row r="15" spans="1:4" x14ac:dyDescent="0.2">
      <c r="A15" t="str">
        <f t="shared" ca="1" si="0"/>
        <v>Название проекта:</v>
      </c>
      <c r="B15" t="s">
        <v>580</v>
      </c>
      <c r="C15" t="s">
        <v>1202</v>
      </c>
      <c r="D15" t="s">
        <v>1483</v>
      </c>
    </row>
    <row r="16" spans="1:4" x14ac:dyDescent="0.2">
      <c r="A16" t="str">
        <f t="shared" ca="1" si="0"/>
        <v>Проект 1</v>
      </c>
      <c r="B16" t="s">
        <v>581</v>
      </c>
      <c r="C16" t="s">
        <v>1203</v>
      </c>
      <c r="D16" t="s">
        <v>1484</v>
      </c>
    </row>
    <row r="17" spans="1:4" x14ac:dyDescent="0.2">
      <c r="A17" t="str">
        <f t="shared" ca="1" si="0"/>
        <v>Дата начала проекта</v>
      </c>
      <c r="B17" t="s">
        <v>582</v>
      </c>
      <c r="C17" t="s">
        <v>1204</v>
      </c>
      <c r="D17" t="s">
        <v>1485</v>
      </c>
    </row>
    <row r="18" spans="1:4" x14ac:dyDescent="0.2">
      <c r="A18" t="str">
        <f t="shared" ca="1" si="0"/>
        <v>Срок жизни проекта</v>
      </c>
      <c r="B18" t="s">
        <v>583</v>
      </c>
      <c r="C18" t="s">
        <v>1205</v>
      </c>
      <c r="D18" t="s">
        <v>1486</v>
      </c>
    </row>
    <row r="19" spans="1:4" x14ac:dyDescent="0.2">
      <c r="A19" t="str">
        <f t="shared" ca="1" si="0"/>
        <v>Шаг планирования</v>
      </c>
      <c r="B19" t="s">
        <v>584</v>
      </c>
      <c r="C19" t="s">
        <v>1206</v>
      </c>
      <c r="D19" t="s">
        <v>1487</v>
      </c>
    </row>
    <row r="20" spans="1:4" x14ac:dyDescent="0.2">
      <c r="A20" t="str">
        <f t="shared" ca="1" si="0"/>
        <v>Длительность шага планирования</v>
      </c>
      <c r="B20" t="s">
        <v>585</v>
      </c>
      <c r="C20" t="s">
        <v>955</v>
      </c>
      <c r="D20" t="s">
        <v>1488</v>
      </c>
    </row>
    <row r="21" spans="1:4" x14ac:dyDescent="0.2">
      <c r="A21" t="str">
        <f t="shared" ca="1" si="0"/>
        <v>Основная валюта расчета</v>
      </c>
      <c r="B21" t="s">
        <v>586</v>
      </c>
      <c r="C21" t="s">
        <v>956</v>
      </c>
      <c r="D21" t="s">
        <v>1489</v>
      </c>
    </row>
    <row r="22" spans="1:4" x14ac:dyDescent="0.2">
      <c r="A22" t="str">
        <f t="shared" ca="1" si="0"/>
        <v>Иностранная валюта</v>
      </c>
      <c r="B22" t="s">
        <v>587</v>
      </c>
      <c r="C22" t="s">
        <v>957</v>
      </c>
      <c r="D22" t="s">
        <v>1490</v>
      </c>
    </row>
    <row r="23" spans="1:4" x14ac:dyDescent="0.2">
      <c r="A23" t="str">
        <f t="shared" ca="1" si="0"/>
        <v>Валюта для отображения результатов</v>
      </c>
      <c r="B23" t="s">
        <v>588</v>
      </c>
      <c r="C23" t="s">
        <v>958</v>
      </c>
      <c r="D23" t="s">
        <v>1491</v>
      </c>
    </row>
    <row r="24" spans="1:4" x14ac:dyDescent="0.2">
      <c r="A24" t="str">
        <f t="shared" ca="1" si="0"/>
        <v>Метод расчетов</v>
      </c>
      <c r="B24" t="s">
        <v>2482</v>
      </c>
      <c r="C24" t="s">
        <v>959</v>
      </c>
      <c r="D24" t="s">
        <v>1492</v>
      </c>
    </row>
    <row r="25" spans="1:4" x14ac:dyDescent="0.2">
      <c r="A25" t="str">
        <f t="shared" ca="1" si="0"/>
        <v>Постоянные цены (без учета инфляции)</v>
      </c>
      <c r="B25" t="s">
        <v>2563</v>
      </c>
      <c r="C25" t="s">
        <v>960</v>
      </c>
      <c r="D25" t="s">
        <v>1493</v>
      </c>
    </row>
    <row r="26" spans="1:4" x14ac:dyDescent="0.2">
      <c r="A26" t="str">
        <f t="shared" ca="1" si="0"/>
        <v>Прогнозные цены (с учетом инфляции)</v>
      </c>
      <c r="B26" t="s">
        <v>2452</v>
      </c>
      <c r="C26" t="s">
        <v>2453</v>
      </c>
      <c r="D26" t="s">
        <v>1494</v>
      </c>
    </row>
    <row r="27" spans="1:4" x14ac:dyDescent="0.2">
      <c r="A27" t="str">
        <f t="shared" ca="1" si="0"/>
        <v>Язык интерфейса и таблиц</v>
      </c>
      <c r="B27" t="s">
        <v>592</v>
      </c>
      <c r="C27" t="s">
        <v>1365</v>
      </c>
      <c r="D27" t="s">
        <v>1495</v>
      </c>
    </row>
    <row r="28" spans="1:4" x14ac:dyDescent="0.2">
      <c r="A28" t="str">
        <f t="shared" ca="1" si="0"/>
        <v>Защита</v>
      </c>
      <c r="B28" t="s">
        <v>593</v>
      </c>
      <c r="C28" t="s">
        <v>1366</v>
      </c>
      <c r="D28" t="s">
        <v>1496</v>
      </c>
    </row>
    <row r="29" spans="1:4" x14ac:dyDescent="0.2">
      <c r="A29" t="str">
        <f t="shared" ca="1" si="0"/>
        <v>Показывать реальные даты в названиях периодов?</v>
      </c>
      <c r="B29" t="s">
        <v>594</v>
      </c>
      <c r="C29" t="s">
        <v>1530</v>
      </c>
      <c r="D29" t="s">
        <v>1497</v>
      </c>
    </row>
    <row r="30" spans="1:4" x14ac:dyDescent="0.2">
      <c r="A30" t="str">
        <f t="shared" ca="1" si="0"/>
        <v>мес.</v>
      </c>
      <c r="B30" t="s">
        <v>2490</v>
      </c>
      <c r="C30" t="s">
        <v>1531</v>
      </c>
      <c r="D30" t="s">
        <v>1498</v>
      </c>
    </row>
    <row r="31" spans="1:4" x14ac:dyDescent="0.2">
      <c r="A31" t="str">
        <f t="shared" ca="1" si="0"/>
        <v>кв.</v>
      </c>
      <c r="B31" t="s">
        <v>2491</v>
      </c>
      <c r="C31" t="s">
        <v>1532</v>
      </c>
      <c r="D31" t="s">
        <v>1499</v>
      </c>
    </row>
    <row r="32" spans="1:4" x14ac:dyDescent="0.2">
      <c r="A32" t="str">
        <f t="shared" ca="1" si="0"/>
        <v>пг.</v>
      </c>
      <c r="B32" t="s">
        <v>2492</v>
      </c>
      <c r="C32" t="s">
        <v>1533</v>
      </c>
      <c r="D32" t="s">
        <v>1500</v>
      </c>
    </row>
    <row r="33" spans="1:4" x14ac:dyDescent="0.2">
      <c r="A33" t="str">
        <f t="shared" ca="1" si="0"/>
        <v>лет</v>
      </c>
      <c r="B33" t="s">
        <v>2493</v>
      </c>
      <c r="C33" t="s">
        <v>1534</v>
      </c>
      <c r="D33" t="s">
        <v>1501</v>
      </c>
    </row>
    <row r="34" spans="1:4" x14ac:dyDescent="0.2">
      <c r="A34" t="str">
        <f t="shared" ca="1" si="0"/>
        <v>месяц</v>
      </c>
      <c r="B34" t="s">
        <v>2494</v>
      </c>
      <c r="C34" t="s">
        <v>1535</v>
      </c>
      <c r="D34" t="s">
        <v>1502</v>
      </c>
    </row>
    <row r="35" spans="1:4" x14ac:dyDescent="0.2">
      <c r="A35" t="str">
        <f t="shared" ca="1" si="0"/>
        <v>квартал</v>
      </c>
      <c r="B35" t="s">
        <v>2495</v>
      </c>
      <c r="C35" t="s">
        <v>1536</v>
      </c>
      <c r="D35" t="s">
        <v>1503</v>
      </c>
    </row>
    <row r="36" spans="1:4" x14ac:dyDescent="0.2">
      <c r="A36" t="str">
        <f t="shared" ca="1" si="0"/>
        <v>полугодие</v>
      </c>
      <c r="B36" t="s">
        <v>2496</v>
      </c>
      <c r="C36" t="s">
        <v>1537</v>
      </c>
      <c r="D36" t="s">
        <v>1504</v>
      </c>
    </row>
    <row r="37" spans="1:4" x14ac:dyDescent="0.2">
      <c r="A37" t="str">
        <f t="shared" ca="1" si="0"/>
        <v>год</v>
      </c>
      <c r="B37" t="s">
        <v>589</v>
      </c>
      <c r="C37" t="s">
        <v>1538</v>
      </c>
      <c r="D37" t="s">
        <v>1505</v>
      </c>
    </row>
    <row r="38" spans="1:4" x14ac:dyDescent="0.2">
      <c r="A38" t="str">
        <f t="shared" ca="1" si="0"/>
        <v>дн.</v>
      </c>
      <c r="B38" t="s">
        <v>650</v>
      </c>
      <c r="C38" t="s">
        <v>1539</v>
      </c>
      <c r="D38" t="s">
        <v>1539</v>
      </c>
    </row>
    <row r="39" spans="1:4" x14ac:dyDescent="0.2">
      <c r="A39" s="164" t="str">
        <f t="shared" ca="1" si="0"/>
        <v>руб.</v>
      </c>
      <c r="B39" t="s">
        <v>651</v>
      </c>
      <c r="C39" t="s">
        <v>1540</v>
      </c>
      <c r="D39" t="s">
        <v>1540</v>
      </c>
    </row>
    <row r="40" spans="1:4" x14ac:dyDescent="0.2">
      <c r="A40" s="164" t="str">
        <f t="shared" ca="1" si="0"/>
        <v>$</v>
      </c>
      <c r="B40" t="s">
        <v>591</v>
      </c>
      <c r="C40" t="s">
        <v>591</v>
      </c>
      <c r="D40" t="s">
        <v>591</v>
      </c>
    </row>
    <row r="41" spans="1:4" x14ac:dyDescent="0.2">
      <c r="A41" s="164" t="str">
        <f t="shared" ca="1" si="0"/>
        <v>EUR</v>
      </c>
      <c r="B41" t="s">
        <v>652</v>
      </c>
      <c r="C41" t="s">
        <v>652</v>
      </c>
      <c r="D41" t="s">
        <v>652</v>
      </c>
    </row>
    <row r="42" spans="1:4" x14ac:dyDescent="0.2">
      <c r="A42" s="164" t="str">
        <f t="shared" ca="1" si="0"/>
        <v>GBP</v>
      </c>
      <c r="B42" t="s">
        <v>653</v>
      </c>
      <c r="C42" t="s">
        <v>653</v>
      </c>
      <c r="D42" t="s">
        <v>653</v>
      </c>
    </row>
    <row r="43" spans="1:4" x14ac:dyDescent="0.2">
      <c r="A43" s="164" t="str">
        <f t="shared" ca="1" si="0"/>
        <v>гр.</v>
      </c>
      <c r="B43" t="s">
        <v>654</v>
      </c>
      <c r="C43" t="s">
        <v>1541</v>
      </c>
      <c r="D43" t="s">
        <v>1541</v>
      </c>
    </row>
    <row r="44" spans="1:4" x14ac:dyDescent="0.2">
      <c r="A44" s="164" t="str">
        <f t="shared" ca="1" si="0"/>
        <v>лат</v>
      </c>
      <c r="B44" t="s">
        <v>1612</v>
      </c>
      <c r="C44" t="s">
        <v>1542</v>
      </c>
      <c r="D44" t="s">
        <v>1542</v>
      </c>
    </row>
    <row r="45" spans="1:4" x14ac:dyDescent="0.2">
      <c r="A45" s="164" t="str">
        <f t="shared" ca="1" si="0"/>
        <v>лит</v>
      </c>
      <c r="B45" t="s">
        <v>1613</v>
      </c>
      <c r="C45" t="s">
        <v>1611</v>
      </c>
      <c r="D45" t="s">
        <v>1611</v>
      </c>
    </row>
    <row r="46" spans="1:4" x14ac:dyDescent="0.2">
      <c r="A46" s="164" t="str">
        <f t="shared" ca="1" si="0"/>
        <v>тнг.</v>
      </c>
      <c r="B46" t="s">
        <v>655</v>
      </c>
      <c r="C46" t="s">
        <v>1543</v>
      </c>
      <c r="D46" t="s">
        <v>1543</v>
      </c>
    </row>
    <row r="47" spans="1:4" x14ac:dyDescent="0.2">
      <c r="A47" s="164" t="str">
        <f t="shared" ca="1" si="0"/>
        <v>тыс. руб.</v>
      </c>
      <c r="B47" t="s">
        <v>590</v>
      </c>
      <c r="C47" t="s">
        <v>1544</v>
      </c>
      <c r="D47" t="s">
        <v>1506</v>
      </c>
    </row>
    <row r="48" spans="1:4" x14ac:dyDescent="0.2">
      <c r="A48" s="164" t="str">
        <f t="shared" ca="1" si="0"/>
        <v>тыс. $</v>
      </c>
      <c r="B48" t="s">
        <v>656</v>
      </c>
      <c r="C48" t="s">
        <v>1545</v>
      </c>
      <c r="D48" t="s">
        <v>1847</v>
      </c>
    </row>
    <row r="49" spans="1:4" x14ac:dyDescent="0.2">
      <c r="A49" s="164" t="str">
        <f t="shared" ca="1" si="0"/>
        <v>тыс. EUR</v>
      </c>
      <c r="B49" t="s">
        <v>657</v>
      </c>
      <c r="C49" t="s">
        <v>1546</v>
      </c>
      <c r="D49" t="s">
        <v>1848</v>
      </c>
    </row>
    <row r="50" spans="1:4" x14ac:dyDescent="0.2">
      <c r="A50" s="164" t="str">
        <f t="shared" ca="1" si="0"/>
        <v>тыс. GBP</v>
      </c>
      <c r="B50" t="s">
        <v>658</v>
      </c>
      <c r="C50" t="s">
        <v>1547</v>
      </c>
      <c r="D50" t="s">
        <v>1849</v>
      </c>
    </row>
    <row r="51" spans="1:4" x14ac:dyDescent="0.2">
      <c r="A51" s="164" t="str">
        <f t="shared" ca="1" si="0"/>
        <v>тыс. гр.</v>
      </c>
      <c r="B51" t="s">
        <v>659</v>
      </c>
      <c r="C51" t="s">
        <v>1548</v>
      </c>
      <c r="D51" t="s">
        <v>1850</v>
      </c>
    </row>
    <row r="52" spans="1:4" x14ac:dyDescent="0.2">
      <c r="A52" s="164" t="str">
        <f t="shared" ca="1" si="0"/>
        <v>тыс. лат</v>
      </c>
      <c r="B52" t="s">
        <v>1616</v>
      </c>
      <c r="C52" t="s">
        <v>1549</v>
      </c>
      <c r="D52" t="s">
        <v>1851</v>
      </c>
    </row>
    <row r="53" spans="1:4" x14ac:dyDescent="0.2">
      <c r="A53" s="164" t="str">
        <f t="shared" ca="1" si="0"/>
        <v>тыс. лит</v>
      </c>
      <c r="B53" t="s">
        <v>1617</v>
      </c>
      <c r="C53" t="s">
        <v>1614</v>
      </c>
      <c r="D53" t="s">
        <v>1615</v>
      </c>
    </row>
    <row r="54" spans="1:4" x14ac:dyDescent="0.2">
      <c r="A54" s="164" t="str">
        <f t="shared" ca="1" si="0"/>
        <v>тыс. тнг</v>
      </c>
      <c r="B54" t="s">
        <v>660</v>
      </c>
      <c r="C54" t="s">
        <v>1550</v>
      </c>
      <c r="D54" t="s">
        <v>1852</v>
      </c>
    </row>
    <row r="55" spans="1:4" x14ac:dyDescent="0.2">
      <c r="A55" s="164" t="str">
        <f t="shared" ca="1" si="0"/>
        <v>леи</v>
      </c>
      <c r="B55" t="s">
        <v>661</v>
      </c>
      <c r="C55" t="s">
        <v>1551</v>
      </c>
      <c r="D55" t="s">
        <v>1853</v>
      </c>
    </row>
    <row r="56" spans="1:4" x14ac:dyDescent="0.2">
      <c r="A56" s="164" t="str">
        <f t="shared" ca="1" si="0"/>
        <v>тыс. леев</v>
      </c>
      <c r="B56" t="s">
        <v>662</v>
      </c>
      <c r="C56" t="s">
        <v>1552</v>
      </c>
      <c r="D56" t="s">
        <v>1854</v>
      </c>
    </row>
    <row r="57" spans="1:4" x14ac:dyDescent="0.2">
      <c r="A57" t="str">
        <f t="shared" ca="1" si="0"/>
        <v>Русский</v>
      </c>
      <c r="B57" t="s">
        <v>2705</v>
      </c>
      <c r="C57" t="s">
        <v>2393</v>
      </c>
      <c r="D57" t="s">
        <v>1399</v>
      </c>
    </row>
    <row r="58" spans="1:4" x14ac:dyDescent="0.2">
      <c r="A58" t="str">
        <f t="shared" ca="1" si="0"/>
        <v>Включена</v>
      </c>
      <c r="B58" t="s">
        <v>2706</v>
      </c>
      <c r="C58" t="s">
        <v>1553</v>
      </c>
      <c r="D58" t="s">
        <v>1855</v>
      </c>
    </row>
    <row r="59" spans="1:4" x14ac:dyDescent="0.2">
      <c r="A59" t="str">
        <f t="shared" ca="1" si="0"/>
        <v>Выключена</v>
      </c>
      <c r="B59" t="s">
        <v>2707</v>
      </c>
      <c r="C59" t="s">
        <v>1554</v>
      </c>
      <c r="D59" t="s">
        <v>1856</v>
      </c>
    </row>
    <row r="60" spans="1:4" x14ac:dyDescent="0.2">
      <c r="A60" t="str">
        <f t="shared" ca="1" si="0"/>
        <v>Да</v>
      </c>
      <c r="B60" t="s">
        <v>2708</v>
      </c>
      <c r="C60" t="s">
        <v>1663</v>
      </c>
      <c r="D60" t="s">
        <v>1857</v>
      </c>
    </row>
    <row r="61" spans="1:4" x14ac:dyDescent="0.2">
      <c r="A61" t="str">
        <f t="shared" ca="1" si="0"/>
        <v>Нет</v>
      </c>
      <c r="B61" t="s">
        <v>2709</v>
      </c>
      <c r="C61" t="s">
        <v>1664</v>
      </c>
      <c r="D61" t="s">
        <v>1858</v>
      </c>
    </row>
    <row r="62" spans="1:4" x14ac:dyDescent="0.2">
      <c r="A62" t="str">
        <f t="shared" ca="1" si="0"/>
        <v>Год начала проекта</v>
      </c>
      <c r="B62" t="s">
        <v>2484</v>
      </c>
      <c r="C62" t="s">
        <v>1665</v>
      </c>
      <c r="D62" t="s">
        <v>1859</v>
      </c>
    </row>
    <row r="63" spans="1:4" x14ac:dyDescent="0.2">
      <c r="A63" t="str">
        <f t="shared" ca="1" si="0"/>
        <v>Месяц начала проекта</v>
      </c>
      <c r="B63" t="s">
        <v>2485</v>
      </c>
      <c r="C63" t="s">
        <v>1666</v>
      </c>
      <c r="D63" t="s">
        <v>1860</v>
      </c>
    </row>
    <row r="64" spans="1:4" x14ac:dyDescent="0.2">
      <c r="A64" t="str">
        <f t="shared" ca="1" si="0"/>
        <v>Номера периодов</v>
      </c>
      <c r="B64" t="s">
        <v>2486</v>
      </c>
      <c r="C64" t="s">
        <v>1667</v>
      </c>
      <c r="D64" t="s">
        <v>1861</v>
      </c>
    </row>
    <row r="65" spans="1:4" x14ac:dyDescent="0.2">
      <c r="A65" t="str">
        <f t="shared" ca="1" si="0"/>
        <v>Наименования периодов без учета дат</v>
      </c>
      <c r="B65" t="s">
        <v>2487</v>
      </c>
      <c r="C65" t="s">
        <v>1668</v>
      </c>
      <c r="D65" t="s">
        <v>1862</v>
      </c>
    </row>
    <row r="66" spans="1:4" x14ac:dyDescent="0.2">
      <c r="A66" t="str">
        <f t="shared" ca="1" si="0"/>
        <v>Дата начала периода</v>
      </c>
      <c r="B66" t="s">
        <v>2488</v>
      </c>
      <c r="C66" t="s">
        <v>1669</v>
      </c>
      <c r="D66" t="s">
        <v>1863</v>
      </c>
    </row>
    <row r="67" spans="1:4" x14ac:dyDescent="0.2">
      <c r="A67" t="str">
        <f t="shared" ca="1" si="0"/>
        <v>Наименования периодов с учетом дат</v>
      </c>
      <c r="B67" t="s">
        <v>2489</v>
      </c>
      <c r="C67" t="s">
        <v>1670</v>
      </c>
      <c r="D67" t="s">
        <v>1864</v>
      </c>
    </row>
    <row r="68" spans="1:4" x14ac:dyDescent="0.2">
      <c r="A68" t="str">
        <f t="shared" ca="1" si="0"/>
        <v>мес.</v>
      </c>
      <c r="B68" t="s">
        <v>2490</v>
      </c>
      <c r="C68" t="s">
        <v>1531</v>
      </c>
      <c r="D68" t="s">
        <v>1498</v>
      </c>
    </row>
    <row r="69" spans="1:4" x14ac:dyDescent="0.2">
      <c r="A69" t="str">
        <f t="shared" ca="1" si="0"/>
        <v>кв.</v>
      </c>
      <c r="B69" t="s">
        <v>2491</v>
      </c>
      <c r="C69" t="s">
        <v>1532</v>
      </c>
      <c r="D69" t="s">
        <v>1499</v>
      </c>
    </row>
    <row r="70" spans="1:4" x14ac:dyDescent="0.2">
      <c r="A70" t="str">
        <f t="shared" ca="1" si="0"/>
        <v>пг.</v>
      </c>
      <c r="B70" t="s">
        <v>2492</v>
      </c>
      <c r="C70" t="s">
        <v>1533</v>
      </c>
      <c r="D70" t="s">
        <v>1500</v>
      </c>
    </row>
    <row r="71" spans="1:4" x14ac:dyDescent="0.2">
      <c r="A71" t="str">
        <f t="shared" ca="1" si="0"/>
        <v>год</v>
      </c>
      <c r="B71" t="s">
        <v>589</v>
      </c>
      <c r="C71" t="s">
        <v>1534</v>
      </c>
      <c r="D71" t="s">
        <v>1501</v>
      </c>
    </row>
    <row r="72" spans="1:4" x14ac:dyDescent="0.2">
      <c r="A72" t="str">
        <f t="shared" ca="1" si="0"/>
        <v xml:space="preserve">         СТАРТОВОЕ СОСТОЯНИЕ ПРОЕКТА</v>
      </c>
      <c r="B72" t="s">
        <v>1454</v>
      </c>
      <c r="C72" t="s">
        <v>1671</v>
      </c>
      <c r="D72" t="s">
        <v>1609</v>
      </c>
    </row>
    <row r="73" spans="1:4" x14ac:dyDescent="0.2">
      <c r="A73" t="str">
        <f t="shared" ca="1" si="0"/>
        <v>Валюта</v>
      </c>
      <c r="B73" s="23" t="s">
        <v>2439</v>
      </c>
      <c r="C73" t="s">
        <v>1672</v>
      </c>
      <c r="D73" t="s">
        <v>1865</v>
      </c>
    </row>
    <row r="74" spans="1:4" x14ac:dyDescent="0.2">
      <c r="A74" t="str">
        <f t="shared" ref="A74:A376" ca="1" si="1">OFFSET(A74,0,LanguageID)</f>
        <v>Внеоборотные активы</v>
      </c>
      <c r="B74" s="23" t="s">
        <v>2711</v>
      </c>
      <c r="C74" t="s">
        <v>1673</v>
      </c>
      <c r="D74" t="s">
        <v>1583</v>
      </c>
    </row>
    <row r="75" spans="1:4" x14ac:dyDescent="0.2">
      <c r="A75" t="str">
        <f t="shared" ca="1" si="1"/>
        <v xml:space="preserve">   в том числе</v>
      </c>
      <c r="B75" s="23" t="s">
        <v>515</v>
      </c>
      <c r="C75" t="s">
        <v>1674</v>
      </c>
      <c r="D75" t="s">
        <v>1584</v>
      </c>
    </row>
    <row r="76" spans="1:4" x14ac:dyDescent="0.2">
      <c r="A76" t="str">
        <f t="shared" ca="1" si="1"/>
        <v xml:space="preserve">   - здания и сооружения</v>
      </c>
      <c r="B76" s="49" t="s">
        <v>517</v>
      </c>
      <c r="C76" t="s">
        <v>1675</v>
      </c>
      <c r="D76" t="s">
        <v>1585</v>
      </c>
    </row>
    <row r="77" spans="1:4" x14ac:dyDescent="0.2">
      <c r="A77" t="str">
        <f t="shared" ca="1" si="1"/>
        <v xml:space="preserve">   - земельные участки</v>
      </c>
      <c r="B77" s="23" t="s">
        <v>2448</v>
      </c>
      <c r="C77" t="s">
        <v>1267</v>
      </c>
      <c r="D77" t="s">
        <v>1586</v>
      </c>
    </row>
    <row r="78" spans="1:4" x14ac:dyDescent="0.2">
      <c r="A78" t="str">
        <f t="shared" ca="1" si="1"/>
        <v xml:space="preserve">   - нематериальные активы</v>
      </c>
      <c r="B78" s="23" t="s">
        <v>2449</v>
      </c>
      <c r="C78" t="s">
        <v>1268</v>
      </c>
      <c r="D78" t="s">
        <v>1587</v>
      </c>
    </row>
    <row r="79" spans="1:4" x14ac:dyDescent="0.2">
      <c r="A79" t="str">
        <f t="shared" ca="1" si="1"/>
        <v xml:space="preserve">   - оборудование и другие активы</v>
      </c>
      <c r="B79" s="23" t="s">
        <v>2450</v>
      </c>
      <c r="C79" t="s">
        <v>1269</v>
      </c>
      <c r="D79" t="s">
        <v>1588</v>
      </c>
    </row>
    <row r="80" spans="1:4" x14ac:dyDescent="0.2">
      <c r="A80" t="str">
        <f t="shared" ca="1" si="1"/>
        <v>Незавершенные инвестиции</v>
      </c>
      <c r="B80" s="23" t="s">
        <v>2374</v>
      </c>
      <c r="C80" t="s">
        <v>1270</v>
      </c>
      <c r="D80" t="s">
        <v>1589</v>
      </c>
    </row>
    <row r="81" spans="1:4" x14ac:dyDescent="0.2">
      <c r="A81" t="str">
        <f t="shared" ca="1" si="1"/>
        <v>Финансовые вложения</v>
      </c>
      <c r="B81" s="23" t="s">
        <v>999</v>
      </c>
      <c r="C81" t="s">
        <v>1271</v>
      </c>
      <c r="D81" t="s">
        <v>1590</v>
      </c>
    </row>
    <row r="82" spans="1:4" x14ac:dyDescent="0.2">
      <c r="A82" t="str">
        <f t="shared" ca="1" si="1"/>
        <v>Запасы сырья и материалов</v>
      </c>
      <c r="B82" s="23" t="s">
        <v>2712</v>
      </c>
      <c r="C82" t="s">
        <v>1272</v>
      </c>
      <c r="D82" t="s">
        <v>1591</v>
      </c>
    </row>
    <row r="83" spans="1:4" x14ac:dyDescent="0.2">
      <c r="A83" t="str">
        <f t="shared" ca="1" si="1"/>
        <v>Незавершенное производство</v>
      </c>
      <c r="B83" s="23" t="s">
        <v>2621</v>
      </c>
      <c r="C83" t="s">
        <v>1273</v>
      </c>
      <c r="D83" t="s">
        <v>1592</v>
      </c>
    </row>
    <row r="84" spans="1:4" x14ac:dyDescent="0.2">
      <c r="A84" t="str">
        <f t="shared" ca="1" si="1"/>
        <v>Запасы готовой продукции</v>
      </c>
      <c r="B84" s="23" t="s">
        <v>2713</v>
      </c>
      <c r="C84" t="s">
        <v>1380</v>
      </c>
      <c r="D84" t="s">
        <v>1593</v>
      </c>
    </row>
    <row r="85" spans="1:4" x14ac:dyDescent="0.2">
      <c r="A85" t="str">
        <f t="shared" ca="1" si="1"/>
        <v>Дебиторская задолженность покупателей</v>
      </c>
      <c r="B85" s="23" t="s">
        <v>2478</v>
      </c>
      <c r="C85" t="s">
        <v>1381</v>
      </c>
      <c r="D85" t="s">
        <v>1594</v>
      </c>
    </row>
    <row r="86" spans="1:4" x14ac:dyDescent="0.2">
      <c r="A86" t="str">
        <f t="shared" ca="1" si="1"/>
        <v>Авансы выданные</v>
      </c>
      <c r="B86" s="23" t="s">
        <v>2647</v>
      </c>
      <c r="C86" t="s">
        <v>1382</v>
      </c>
      <c r="D86" t="s">
        <v>1595</v>
      </c>
    </row>
    <row r="87" spans="1:4" x14ac:dyDescent="0.2">
      <c r="A87" t="str">
        <f t="shared" ca="1" si="1"/>
        <v>Расходы будущих периодов</v>
      </c>
      <c r="B87" s="23" t="s">
        <v>2437</v>
      </c>
      <c r="C87" t="s">
        <v>1383</v>
      </c>
      <c r="D87" t="s">
        <v>1596</v>
      </c>
    </row>
    <row r="88" spans="1:4" x14ac:dyDescent="0.2">
      <c r="A88" t="str">
        <f t="shared" ca="1" si="1"/>
        <v>НДС как актив</v>
      </c>
      <c r="B88" s="23" t="s">
        <v>1112</v>
      </c>
      <c r="C88" t="s">
        <v>1384</v>
      </c>
      <c r="D88" t="s">
        <v>1597</v>
      </c>
    </row>
    <row r="89" spans="1:4" x14ac:dyDescent="0.2">
      <c r="A89" t="str">
        <f t="shared" ca="1" si="1"/>
        <v>Прочие дебиторы</v>
      </c>
      <c r="B89" s="23" t="s">
        <v>2479</v>
      </c>
      <c r="C89" t="s">
        <v>1385</v>
      </c>
      <c r="D89" t="s">
        <v>1598</v>
      </c>
    </row>
    <row r="90" spans="1:4" x14ac:dyDescent="0.2">
      <c r="A90" t="str">
        <f t="shared" ca="1" si="1"/>
        <v>Денежные средства</v>
      </c>
      <c r="B90" s="23" t="s">
        <v>2483</v>
      </c>
      <c r="C90" t="s">
        <v>1386</v>
      </c>
      <c r="D90" t="s">
        <v>1599</v>
      </c>
    </row>
    <row r="91" spans="1:4" x14ac:dyDescent="0.2">
      <c r="A91" t="str">
        <f t="shared" ca="1" si="1"/>
        <v>Итого активы</v>
      </c>
      <c r="B91" s="23" t="s">
        <v>2480</v>
      </c>
      <c r="C91" t="s">
        <v>1387</v>
      </c>
      <c r="D91" t="s">
        <v>1600</v>
      </c>
    </row>
    <row r="92" spans="1:4" x14ac:dyDescent="0.2">
      <c r="A92" t="str">
        <f t="shared" ca="1" si="1"/>
        <v>Собственный капитал</v>
      </c>
      <c r="B92" s="23" t="s">
        <v>2474</v>
      </c>
      <c r="C92" t="s">
        <v>1388</v>
      </c>
      <c r="D92" t="s">
        <v>1601</v>
      </c>
    </row>
    <row r="93" spans="1:4" x14ac:dyDescent="0.2">
      <c r="A93" t="str">
        <f t="shared" ca="1" si="1"/>
        <v>Нераспределенная прибыль (+) / убыток (-)</v>
      </c>
      <c r="B93" s="23" t="s">
        <v>998</v>
      </c>
      <c r="C93" t="s">
        <v>1389</v>
      </c>
      <c r="D93" t="s">
        <v>1700</v>
      </c>
    </row>
    <row r="94" spans="1:4" x14ac:dyDescent="0.2">
      <c r="A94" t="str">
        <f t="shared" ca="1" si="1"/>
        <v>Целевое финансирование</v>
      </c>
      <c r="B94" s="23" t="s">
        <v>2376</v>
      </c>
      <c r="C94" t="s">
        <v>1390</v>
      </c>
      <c r="D94" t="s">
        <v>1701</v>
      </c>
    </row>
    <row r="95" spans="1:4" x14ac:dyDescent="0.2">
      <c r="A95" t="str">
        <f t="shared" ca="1" si="1"/>
        <v>Кредиты</v>
      </c>
      <c r="B95" s="23" t="s">
        <v>2375</v>
      </c>
      <c r="C95" t="s">
        <v>1391</v>
      </c>
      <c r="D95" t="s">
        <v>1702</v>
      </c>
    </row>
    <row r="96" spans="1:4" x14ac:dyDescent="0.2">
      <c r="A96" t="str">
        <f t="shared" ca="1" si="1"/>
        <v>Кредиторская задолженность перед поставщиками</v>
      </c>
      <c r="B96" s="23" t="s">
        <v>2475</v>
      </c>
      <c r="C96" t="s">
        <v>1392</v>
      </c>
      <c r="D96" t="s">
        <v>1320</v>
      </c>
    </row>
    <row r="97" spans="1:4" x14ac:dyDescent="0.2">
      <c r="A97" t="str">
        <f t="shared" ca="1" si="1"/>
        <v>Кредиторская задолженность перед бюджетом</v>
      </c>
      <c r="B97" s="23" t="s">
        <v>2476</v>
      </c>
      <c r="C97" t="s">
        <v>1393</v>
      </c>
      <c r="D97" t="s">
        <v>1321</v>
      </c>
    </row>
    <row r="98" spans="1:4" x14ac:dyDescent="0.2">
      <c r="A98" t="str">
        <f t="shared" ca="1" si="1"/>
        <v>Кредиторская задолженность перед персоналом</v>
      </c>
      <c r="B98" s="23" t="s">
        <v>2659</v>
      </c>
      <c r="C98" t="s">
        <v>1394</v>
      </c>
      <c r="D98" t="s">
        <v>1618</v>
      </c>
    </row>
    <row r="99" spans="1:4" x14ac:dyDescent="0.2">
      <c r="A99" t="str">
        <f t="shared" ca="1" si="1"/>
        <v>Авансы полученные</v>
      </c>
      <c r="B99" s="23" t="s">
        <v>2658</v>
      </c>
      <c r="C99" s="216" t="s">
        <v>1395</v>
      </c>
      <c r="D99" t="s">
        <v>1619</v>
      </c>
    </row>
    <row r="100" spans="1:4" x14ac:dyDescent="0.2">
      <c r="A100" t="str">
        <f t="shared" ca="1" si="1"/>
        <v>Прочие кредиторы</v>
      </c>
      <c r="B100" s="23" t="s">
        <v>2477</v>
      </c>
      <c r="C100" t="s">
        <v>1396</v>
      </c>
      <c r="D100" t="s">
        <v>1620</v>
      </c>
    </row>
    <row r="101" spans="1:4" x14ac:dyDescent="0.2">
      <c r="A101" t="str">
        <f t="shared" ca="1" si="1"/>
        <v>Итого пассивы</v>
      </c>
      <c r="B101" s="23" t="s">
        <v>2481</v>
      </c>
      <c r="C101" t="s">
        <v>1397</v>
      </c>
      <c r="D101" t="s">
        <v>1794</v>
      </c>
    </row>
    <row r="102" spans="1:4" x14ac:dyDescent="0.2">
      <c r="A102" t="str">
        <f t="shared" ca="1" si="1"/>
        <v>Контроль сходимости баланса</v>
      </c>
      <c r="B102" s="24" t="s">
        <v>994</v>
      </c>
      <c r="C102" t="s">
        <v>1398</v>
      </c>
      <c r="D102" t="s">
        <v>1795</v>
      </c>
    </row>
    <row r="103" spans="1:4" x14ac:dyDescent="0.2">
      <c r="A103" t="str">
        <f t="shared" ca="1" si="1"/>
        <v xml:space="preserve">         ИНФЛЯЦИЯ И МАКРОЭКОНОМИЧЕСКИЕ ПРОГНОЗЫ</v>
      </c>
      <c r="B103" s="24" t="s">
        <v>1306</v>
      </c>
      <c r="C103" t="s">
        <v>518</v>
      </c>
      <c r="D103" t="s">
        <v>1610</v>
      </c>
    </row>
    <row r="104" spans="1:4" x14ac:dyDescent="0.2">
      <c r="A104" t="str">
        <f t="shared" ca="1" si="1"/>
        <v>Предполагаемый темп годового роста цен</v>
      </c>
      <c r="B104" t="s">
        <v>565</v>
      </c>
      <c r="C104" t="s">
        <v>1703</v>
      </c>
      <c r="D104" t="s">
        <v>1796</v>
      </c>
    </row>
    <row r="105" spans="1:4" x14ac:dyDescent="0.2">
      <c r="A105" t="str">
        <f t="shared" ca="1" si="1"/>
        <v>для основной валюты</v>
      </c>
      <c r="B105" t="s">
        <v>566</v>
      </c>
      <c r="C105" t="s">
        <v>1704</v>
      </c>
      <c r="D105" t="s">
        <v>1797</v>
      </c>
    </row>
    <row r="106" spans="1:4" x14ac:dyDescent="0.2">
      <c r="A106" t="str">
        <f t="shared" ca="1" si="1"/>
        <v>То же, в пересчете на период, равный шагу проекта</v>
      </c>
      <c r="B106" t="s">
        <v>567</v>
      </c>
      <c r="C106" t="s">
        <v>1705</v>
      </c>
      <c r="D106" t="s">
        <v>1798</v>
      </c>
    </row>
    <row r="107" spans="1:4" x14ac:dyDescent="0.2">
      <c r="A107" t="str">
        <f t="shared" ca="1" si="1"/>
        <v>Множитель прироста цен для основной валюты</v>
      </c>
      <c r="B107" t="s">
        <v>568</v>
      </c>
      <c r="C107" t="s">
        <v>1706</v>
      </c>
      <c r="D107" t="s">
        <v>1799</v>
      </c>
    </row>
    <row r="108" spans="1:4" x14ac:dyDescent="0.2">
      <c r="A108" t="str">
        <f t="shared" ca="1" si="1"/>
        <v xml:space="preserve">  (отключен)</v>
      </c>
      <c r="B108" t="s">
        <v>2431</v>
      </c>
      <c r="C108" t="s">
        <v>1707</v>
      </c>
      <c r="D108" t="s">
        <v>1800</v>
      </c>
    </row>
    <row r="109" spans="1:4" x14ac:dyDescent="0.2">
      <c r="A109" t="str">
        <f t="shared" ca="1" si="1"/>
        <v xml:space="preserve">  (включен)</v>
      </c>
      <c r="B109" t="s">
        <v>2432</v>
      </c>
      <c r="C109" t="s">
        <v>1708</v>
      </c>
      <c r="D109" t="s">
        <v>1801</v>
      </c>
    </row>
    <row r="110" spans="1:4" x14ac:dyDescent="0.2">
      <c r="A110" t="str">
        <f t="shared" ca="1" si="1"/>
        <v>Данные для иностранной валюты</v>
      </c>
      <c r="B110" t="s">
        <v>1339</v>
      </c>
      <c r="C110" t="s">
        <v>1709</v>
      </c>
      <c r="D110" t="s">
        <v>1635</v>
      </c>
    </row>
    <row r="111" spans="1:4" x14ac:dyDescent="0.2">
      <c r="A111" t="str">
        <f t="shared" ca="1" si="1"/>
        <v>Предполагаемый годовой темп прироста</v>
      </c>
      <c r="B111" t="s">
        <v>569</v>
      </c>
      <c r="C111" t="s">
        <v>1253</v>
      </c>
      <c r="D111" t="s">
        <v>1636</v>
      </c>
    </row>
    <row r="112" spans="1:4" x14ac:dyDescent="0.2">
      <c r="A112" t="str">
        <f t="shared" ca="1" si="1"/>
        <v>обменного курса иностранной валюты</v>
      </c>
      <c r="B112" t="s">
        <v>570</v>
      </c>
      <c r="C112" t="s">
        <v>1529</v>
      </c>
      <c r="D112" t="s">
        <v>1637</v>
      </c>
    </row>
    <row r="113" spans="1:4" x14ac:dyDescent="0.2">
      <c r="A113" t="str">
        <f t="shared" ca="1" si="1"/>
        <v>Курс валюты</v>
      </c>
      <c r="B113" t="s">
        <v>2421</v>
      </c>
      <c r="C113" t="s">
        <v>1621</v>
      </c>
      <c r="D113" t="s">
        <v>1638</v>
      </c>
    </row>
    <row r="114" spans="1:4" x14ac:dyDescent="0.2">
      <c r="A114" t="str">
        <f t="shared" ca="1" si="1"/>
        <v>Предполагаемый темп годового роста цен</v>
      </c>
      <c r="B114" t="s">
        <v>565</v>
      </c>
      <c r="C114" t="s">
        <v>1703</v>
      </c>
      <c r="D114" t="s">
        <v>1796</v>
      </c>
    </row>
    <row r="115" spans="1:4" x14ac:dyDescent="0.2">
      <c r="A115" t="str">
        <f t="shared" ca="1" si="1"/>
        <v>для иностранной валюты</v>
      </c>
      <c r="B115" t="s">
        <v>2422</v>
      </c>
      <c r="C115" t="s">
        <v>1529</v>
      </c>
      <c r="D115" t="s">
        <v>1637</v>
      </c>
    </row>
    <row r="116" spans="1:4" x14ac:dyDescent="0.2">
      <c r="A116" t="str">
        <f t="shared" ca="1" si="1"/>
        <v>То же, в пересчете на период, равный шагу проекта</v>
      </c>
      <c r="B116" t="s">
        <v>567</v>
      </c>
      <c r="C116" t="s">
        <v>1705</v>
      </c>
      <c r="D116" t="s">
        <v>1798</v>
      </c>
    </row>
    <row r="117" spans="1:4" x14ac:dyDescent="0.2">
      <c r="A117" t="str">
        <f t="shared" ca="1" si="1"/>
        <v>Множитель прироста цен для иностранной валюты</v>
      </c>
      <c r="B117" t="s">
        <v>2423</v>
      </c>
      <c r="C117" t="s">
        <v>1622</v>
      </c>
      <c r="D117" t="s">
        <v>1639</v>
      </c>
    </row>
    <row r="118" spans="1:4" x14ac:dyDescent="0.2">
      <c r="A118" t="str">
        <f t="shared" ca="1" si="1"/>
        <v>Множитель прироста цен</v>
      </c>
      <c r="B118" t="s">
        <v>2653</v>
      </c>
      <c r="C118" t="s">
        <v>2654</v>
      </c>
      <c r="D118" t="s">
        <v>2655</v>
      </c>
    </row>
    <row r="119" spans="1:4" x14ac:dyDescent="0.2">
      <c r="A119" t="str">
        <f t="shared" ca="1" si="1"/>
        <v>Ставка рефинансирования ЦБ</v>
      </c>
      <c r="B119" t="s">
        <v>2424</v>
      </c>
      <c r="C119" t="s">
        <v>1623</v>
      </c>
      <c r="D119" t="s">
        <v>1640</v>
      </c>
    </row>
    <row r="120" spans="1:4" x14ac:dyDescent="0.2">
      <c r="A120" t="str">
        <f t="shared" ca="1" si="1"/>
        <v>Ставка процентов по кредитам, в пределах которой</v>
      </c>
      <c r="B120" t="s">
        <v>2425</v>
      </c>
      <c r="D120" t="s">
        <v>1641</v>
      </c>
    </row>
    <row r="121" spans="1:4" x14ac:dyDescent="0.2">
      <c r="A121" t="str">
        <f t="shared" ca="1" si="1"/>
        <v>уменьшается налогооблагаемая прибыль:</v>
      </c>
      <c r="B121" t="s">
        <v>2426</v>
      </c>
      <c r="C121" t="s">
        <v>1624</v>
      </c>
      <c r="D121" t="s">
        <v>1642</v>
      </c>
    </row>
    <row r="122" spans="1:4" x14ac:dyDescent="0.2">
      <c r="A122" t="str">
        <f t="shared" ca="1" si="1"/>
        <v>основная валюта</v>
      </c>
      <c r="B122" t="s">
        <v>2427</v>
      </c>
      <c r="C122" t="s">
        <v>1625</v>
      </c>
      <c r="D122" t="s">
        <v>1643</v>
      </c>
    </row>
    <row r="123" spans="1:4" x14ac:dyDescent="0.2">
      <c r="A123" t="str">
        <f t="shared" ca="1" si="1"/>
        <v>иностранная валюта</v>
      </c>
      <c r="B123" t="s">
        <v>2428</v>
      </c>
      <c r="C123" t="s">
        <v>1626</v>
      </c>
      <c r="D123" t="s">
        <v>1644</v>
      </c>
    </row>
    <row r="124" spans="1:4" x14ac:dyDescent="0.2">
      <c r="A124" t="str">
        <f t="shared" ca="1" si="1"/>
        <v xml:space="preserve">         НАЛОГИ И ПЛАТЕЖИ В ФОНДЫ</v>
      </c>
      <c r="B124" s="24" t="s">
        <v>1307</v>
      </c>
      <c r="C124" t="s">
        <v>1627</v>
      </c>
      <c r="D124" t="s">
        <v>1710</v>
      </c>
    </row>
    <row r="125" spans="1:4" x14ac:dyDescent="0.2">
      <c r="A125" t="str">
        <f t="shared" ca="1" si="1"/>
        <v>Система налогообложения</v>
      </c>
      <c r="B125" s="19" t="s">
        <v>2650</v>
      </c>
      <c r="C125" t="s">
        <v>1628</v>
      </c>
      <c r="D125" t="s">
        <v>1645</v>
      </c>
    </row>
    <row r="126" spans="1:4" x14ac:dyDescent="0.2">
      <c r="A126" t="str">
        <f t="shared" ca="1" si="1"/>
        <v>Налог на прибыль (общий налоговый режим)</v>
      </c>
      <c r="B126" s="45" t="s">
        <v>2651</v>
      </c>
      <c r="C126" t="s">
        <v>1629</v>
      </c>
      <c r="D126" t="s">
        <v>1646</v>
      </c>
    </row>
    <row r="127" spans="1:4" x14ac:dyDescent="0.2">
      <c r="A127" t="str">
        <f t="shared" ca="1" si="1"/>
        <v>Единый налог на вмененный доход (специальный налоговый режим)</v>
      </c>
      <c r="B127" s="45" t="s">
        <v>2652</v>
      </c>
      <c r="C127" t="s">
        <v>1630</v>
      </c>
      <c r="D127" t="s">
        <v>1647</v>
      </c>
    </row>
    <row r="128" spans="1:4" x14ac:dyDescent="0.2">
      <c r="A128" t="str">
        <f t="shared" ca="1" si="1"/>
        <v>Упрощенная система налогообложения (специальный налоговый режим)</v>
      </c>
      <c r="B128" s="45" t="s">
        <v>776</v>
      </c>
      <c r="C128" t="s">
        <v>1631</v>
      </c>
      <c r="D128" t="s">
        <v>1648</v>
      </c>
    </row>
    <row r="129" spans="1:4" x14ac:dyDescent="0.2">
      <c r="A129" t="str">
        <f t="shared" ca="1" si="1"/>
        <v>Акцизы и экспортные пошлины</v>
      </c>
      <c r="B129" t="s">
        <v>1071</v>
      </c>
      <c r="C129" s="216" t="s">
        <v>1632</v>
      </c>
      <c r="D129" t="s">
        <v>1649</v>
      </c>
    </row>
    <row r="130" spans="1:4" x14ac:dyDescent="0.2">
      <c r="A130" t="str">
        <f t="shared" ca="1" si="1"/>
        <v>Импортные пошлины</v>
      </c>
      <c r="B130" t="s">
        <v>1072</v>
      </c>
      <c r="C130" s="216" t="s">
        <v>1633</v>
      </c>
      <c r="D130" t="s">
        <v>1650</v>
      </c>
    </row>
    <row r="131" spans="1:4" x14ac:dyDescent="0.2">
      <c r="A131" t="str">
        <f t="shared" ca="1" si="1"/>
        <v xml:space="preserve"> НАЛОГ НА ДОБАВЛЕННУЮ СТОИМОСТЬ</v>
      </c>
      <c r="B131" t="s">
        <v>850</v>
      </c>
      <c r="C131" t="s">
        <v>1634</v>
      </c>
      <c r="D131" t="s">
        <v>1717</v>
      </c>
    </row>
    <row r="132" spans="1:4" x14ac:dyDescent="0.2">
      <c r="A132" t="str">
        <f t="shared" ca="1" si="1"/>
        <v xml:space="preserve">    ставка</v>
      </c>
      <c r="B132" t="s">
        <v>1073</v>
      </c>
      <c r="C132" t="s">
        <v>1676</v>
      </c>
      <c r="D132" t="s">
        <v>1718</v>
      </c>
    </row>
    <row r="133" spans="1:4" x14ac:dyDescent="0.2">
      <c r="A133" t="str">
        <f t="shared" ca="1" si="1"/>
        <v xml:space="preserve">    период уплаты</v>
      </c>
      <c r="B133" t="s">
        <v>1074</v>
      </c>
      <c r="C133" t="s">
        <v>1677</v>
      </c>
      <c r="D133" t="s">
        <v>1719</v>
      </c>
    </row>
    <row r="134" spans="1:4" x14ac:dyDescent="0.2">
      <c r="A134" t="str">
        <f t="shared" ca="1" si="1"/>
        <v xml:space="preserve">    способ зачета переплаченного НДС</v>
      </c>
      <c r="B134" t="s">
        <v>1075</v>
      </c>
      <c r="C134" t="s">
        <v>1678</v>
      </c>
      <c r="D134" t="s">
        <v>1720</v>
      </c>
    </row>
    <row r="135" spans="1:4" x14ac:dyDescent="0.2">
      <c r="A135" t="str">
        <f t="shared" ca="1" si="1"/>
        <v xml:space="preserve">    прямое возмещение налога через</v>
      </c>
      <c r="B135" t="s">
        <v>853</v>
      </c>
      <c r="C135" t="s">
        <v>1679</v>
      </c>
      <c r="D135" t="s">
        <v>1721</v>
      </c>
    </row>
    <row r="136" spans="1:4" x14ac:dyDescent="0.2">
      <c r="A136" t="str">
        <f t="shared" ca="1" si="1"/>
        <v>периодов</v>
      </c>
      <c r="B136" t="s">
        <v>854</v>
      </c>
      <c r="C136" t="s">
        <v>1680</v>
      </c>
      <c r="D136" t="s">
        <v>1722</v>
      </c>
    </row>
    <row r="137" spans="1:4" x14ac:dyDescent="0.2">
      <c r="A137" t="str">
        <f t="shared" ca="1" si="1"/>
        <v>НДС полученный</v>
      </c>
      <c r="B137" t="s">
        <v>1076</v>
      </c>
      <c r="C137" t="s">
        <v>1681</v>
      </c>
      <c r="D137" t="s">
        <v>1723</v>
      </c>
    </row>
    <row r="138" spans="1:4" x14ac:dyDescent="0.2">
      <c r="A138" t="str">
        <f t="shared" ca="1" si="1"/>
        <v xml:space="preserve">    от продажи товаров (работ, услуг)</v>
      </c>
      <c r="B138" t="s">
        <v>1077</v>
      </c>
      <c r="C138" t="s">
        <v>1682</v>
      </c>
      <c r="D138" t="s">
        <v>1724</v>
      </c>
    </row>
    <row r="139" spans="1:4" x14ac:dyDescent="0.2">
      <c r="A139" t="str">
        <f t="shared" ca="1" si="1"/>
        <v xml:space="preserve">    от продажи активов</v>
      </c>
      <c r="B139" t="s">
        <v>733</v>
      </c>
      <c r="C139" t="s">
        <v>1683</v>
      </c>
      <c r="D139" t="s">
        <v>1725</v>
      </c>
    </row>
    <row r="140" spans="1:4" x14ac:dyDescent="0.2">
      <c r="A140" t="str">
        <f t="shared" ca="1" si="1"/>
        <v xml:space="preserve">    от прочей деятельности</v>
      </c>
      <c r="B140" t="s">
        <v>734</v>
      </c>
      <c r="C140" t="s">
        <v>1684</v>
      </c>
      <c r="D140" t="s">
        <v>1726</v>
      </c>
    </row>
    <row r="141" spans="1:4" x14ac:dyDescent="0.2">
      <c r="A141" t="str">
        <f t="shared" ca="1" si="1"/>
        <v>НДС уплаченный</v>
      </c>
      <c r="B141" t="s">
        <v>735</v>
      </c>
      <c r="C141" t="s">
        <v>1555</v>
      </c>
      <c r="D141" t="s">
        <v>1727</v>
      </c>
    </row>
    <row r="142" spans="1:4" x14ac:dyDescent="0.2">
      <c r="A142" t="str">
        <f t="shared" ca="1" si="1"/>
        <v xml:space="preserve">    при оплате материалов и комплектующих</v>
      </c>
      <c r="B142" t="s">
        <v>736</v>
      </c>
      <c r="C142" t="s">
        <v>1556</v>
      </c>
      <c r="D142" t="s">
        <v>1728</v>
      </c>
    </row>
    <row r="143" spans="1:4" x14ac:dyDescent="0.2">
      <c r="A143" t="str">
        <f t="shared" ca="1" si="1"/>
        <v xml:space="preserve">    при оплате текущих затрат</v>
      </c>
      <c r="B143" t="s">
        <v>737</v>
      </c>
      <c r="C143" t="s">
        <v>1455</v>
      </c>
      <c r="D143" t="s">
        <v>1729</v>
      </c>
    </row>
    <row r="144" spans="1:4" x14ac:dyDescent="0.2">
      <c r="A144" t="str">
        <f t="shared" ca="1" si="1"/>
        <v xml:space="preserve">    при оплате прочих расходов</v>
      </c>
      <c r="B144" t="s">
        <v>1256</v>
      </c>
      <c r="C144" t="s">
        <v>1456</v>
      </c>
      <c r="D144" t="s">
        <v>1730</v>
      </c>
    </row>
    <row r="145" spans="1:4" x14ac:dyDescent="0.2">
      <c r="A145" t="str">
        <f t="shared" ca="1" si="1"/>
        <v xml:space="preserve">    при оплате лизинга</v>
      </c>
      <c r="B145" t="s">
        <v>1435</v>
      </c>
      <c r="C145" t="s">
        <v>1458</v>
      </c>
      <c r="D145" t="s">
        <v>1731</v>
      </c>
    </row>
    <row r="146" spans="1:4" x14ac:dyDescent="0.2">
      <c r="A146" t="str">
        <f t="shared" ca="1" si="1"/>
        <v xml:space="preserve">    при выкупе арендованных активов</v>
      </c>
      <c r="B146" t="s">
        <v>1436</v>
      </c>
      <c r="C146" t="s">
        <v>1459</v>
      </c>
      <c r="D146" t="s">
        <v>1732</v>
      </c>
    </row>
    <row r="147" spans="1:4" x14ac:dyDescent="0.2">
      <c r="A147" t="str">
        <f t="shared" ca="1" si="1"/>
        <v xml:space="preserve">    при оплате инвестиционных вложений</v>
      </c>
      <c r="B147" t="s">
        <v>908</v>
      </c>
      <c r="C147" t="s">
        <v>1460</v>
      </c>
      <c r="D147" t="s">
        <v>1733</v>
      </c>
    </row>
    <row r="148" spans="1:4" x14ac:dyDescent="0.2">
      <c r="A148" t="str">
        <f t="shared" ca="1" si="1"/>
        <v>Платежи НДС в бюджет (или возврат из бюджета)</v>
      </c>
      <c r="B148" t="s">
        <v>740</v>
      </c>
      <c r="C148" t="s">
        <v>1461</v>
      </c>
      <c r="D148" t="s">
        <v>1734</v>
      </c>
    </row>
    <row r="149" spans="1:4" x14ac:dyDescent="0.2">
      <c r="A149" t="str">
        <f t="shared" ca="1" si="1"/>
        <v xml:space="preserve">    зачтенный НДС на инвестиционные вложения</v>
      </c>
      <c r="B149" t="s">
        <v>979</v>
      </c>
      <c r="C149" t="s">
        <v>1462</v>
      </c>
      <c r="D149" t="s">
        <v>1735</v>
      </c>
    </row>
    <row r="150" spans="1:4" x14ac:dyDescent="0.2">
      <c r="A150" t="str">
        <f t="shared" ca="1" si="1"/>
        <v xml:space="preserve">    выплаченный, но еще не зачтенный НДС</v>
      </c>
      <c r="B150" t="s">
        <v>741</v>
      </c>
      <c r="C150" t="s">
        <v>1463</v>
      </c>
      <c r="D150" t="s">
        <v>1736</v>
      </c>
    </row>
    <row r="151" spans="1:4" x14ac:dyDescent="0.2">
      <c r="A151" t="str">
        <f t="shared" ca="1" si="1"/>
        <v xml:space="preserve">    НДС к уплате в бюджет (или к возврату из бюджета)</v>
      </c>
      <c r="B151" t="s">
        <v>742</v>
      </c>
      <c r="C151" t="s">
        <v>1464</v>
      </c>
      <c r="D151" t="s">
        <v>1737</v>
      </c>
    </row>
    <row r="152" spans="1:4" x14ac:dyDescent="0.2">
      <c r="A152" t="str">
        <f t="shared" ca="1" si="1"/>
        <v xml:space="preserve">    прямое возмещение НДС из бюджета</v>
      </c>
      <c r="B152" t="s">
        <v>1374</v>
      </c>
      <c r="C152" t="s">
        <v>1465</v>
      </c>
      <c r="D152" t="s">
        <v>1738</v>
      </c>
    </row>
    <row r="153" spans="1:4" x14ac:dyDescent="0.2">
      <c r="A153" t="str">
        <f t="shared" ca="1" si="1"/>
        <v xml:space="preserve">    отложенный возврат НДС из бюджета</v>
      </c>
      <c r="B153" t="s">
        <v>743</v>
      </c>
      <c r="C153" t="s">
        <v>1466</v>
      </c>
      <c r="D153" t="s">
        <v>1739</v>
      </c>
    </row>
    <row r="154" spans="1:4" x14ac:dyDescent="0.2">
      <c r="A154" t="str">
        <f t="shared" ca="1" si="1"/>
        <v>ПРОЧИЕ НАЛОГИ</v>
      </c>
      <c r="B154" t="s">
        <v>689</v>
      </c>
      <c r="C154" t="s">
        <v>690</v>
      </c>
      <c r="D154" t="s">
        <v>691</v>
      </c>
    </row>
    <row r="155" spans="1:4" x14ac:dyDescent="0.2">
      <c r="A155" t="str">
        <f t="shared" ca="1" si="1"/>
        <v>Начисления на заработную плату</v>
      </c>
      <c r="B155" t="s">
        <v>744</v>
      </c>
      <c r="C155" t="s">
        <v>1467</v>
      </c>
      <c r="D155" t="s">
        <v>1740</v>
      </c>
    </row>
    <row r="156" spans="1:4" s="48" customFormat="1" x14ac:dyDescent="0.2">
      <c r="A156" s="48" t="str">
        <f t="shared" ca="1" si="1"/>
        <v xml:space="preserve">    Страховые взносы в социальные фонды</v>
      </c>
      <c r="B156" s="48" t="s">
        <v>693</v>
      </c>
      <c r="C156" s="301" t="s">
        <v>2572</v>
      </c>
      <c r="D156" s="48" t="s">
        <v>1741</v>
      </c>
    </row>
    <row r="157" spans="1:4" x14ac:dyDescent="0.2">
      <c r="A157" t="str">
        <f t="shared" ca="1" si="1"/>
        <v xml:space="preserve">        ставка</v>
      </c>
      <c r="B157" t="s">
        <v>745</v>
      </c>
      <c r="C157" t="s">
        <v>1468</v>
      </c>
      <c r="D157" t="s">
        <v>1832</v>
      </c>
    </row>
    <row r="158" spans="1:4" x14ac:dyDescent="0.2">
      <c r="A158" t="str">
        <f t="shared" ca="1" si="1"/>
        <v xml:space="preserve">        период уплаты</v>
      </c>
      <c r="B158" t="s">
        <v>746</v>
      </c>
      <c r="C158" t="s">
        <v>1469</v>
      </c>
      <c r="D158" t="s">
        <v>1833</v>
      </c>
    </row>
    <row r="159" spans="1:4" x14ac:dyDescent="0.2">
      <c r="A159" t="str">
        <f t="shared" ca="1" si="1"/>
        <v xml:space="preserve">    Страхование</v>
      </c>
      <c r="B159" t="s">
        <v>747</v>
      </c>
      <c r="C159" t="s">
        <v>1602</v>
      </c>
      <c r="D159" t="s">
        <v>1834</v>
      </c>
    </row>
    <row r="160" spans="1:4" x14ac:dyDescent="0.2">
      <c r="A160" t="str">
        <f t="shared" ca="1" si="1"/>
        <v xml:space="preserve">        ставка</v>
      </c>
      <c r="B160" t="s">
        <v>745</v>
      </c>
      <c r="C160" t="s">
        <v>1603</v>
      </c>
      <c r="D160" t="s">
        <v>1835</v>
      </c>
    </row>
    <row r="161" spans="1:4" x14ac:dyDescent="0.2">
      <c r="A161" t="str">
        <f t="shared" ca="1" si="1"/>
        <v xml:space="preserve">        период уплаты</v>
      </c>
      <c r="B161" t="s">
        <v>746</v>
      </c>
      <c r="C161" t="s">
        <v>1469</v>
      </c>
      <c r="D161" t="s">
        <v>1833</v>
      </c>
    </row>
    <row r="162" spans="1:4" x14ac:dyDescent="0.2">
      <c r="A162" t="str">
        <f t="shared" ca="1" si="1"/>
        <v>Земельный налог</v>
      </c>
      <c r="B162" t="s">
        <v>748</v>
      </c>
      <c r="C162" t="s">
        <v>1604</v>
      </c>
      <c r="D162" t="s">
        <v>1836</v>
      </c>
    </row>
    <row r="163" spans="1:4" ht="12.75" x14ac:dyDescent="0.2">
      <c r="A163" t="str">
        <f t="shared" ca="1" si="1"/>
        <v xml:space="preserve">    ставка (на тыс. кв. м )</v>
      </c>
      <c r="B163" t="s">
        <v>2672</v>
      </c>
      <c r="C163" t="s">
        <v>1605</v>
      </c>
      <c r="D163" t="s">
        <v>1837</v>
      </c>
    </row>
    <row r="164" spans="1:4" x14ac:dyDescent="0.2">
      <c r="A164" t="str">
        <f t="shared" ca="1" si="1"/>
        <v xml:space="preserve">    площадь к налогообложению</v>
      </c>
      <c r="B164" t="s">
        <v>2673</v>
      </c>
      <c r="C164" t="s">
        <v>1606</v>
      </c>
      <c r="D164" t="s">
        <v>1838</v>
      </c>
    </row>
    <row r="165" spans="1:4" x14ac:dyDescent="0.2">
      <c r="A165" t="str">
        <f t="shared" ca="1" si="1"/>
        <v xml:space="preserve">    период уплаты</v>
      </c>
      <c r="B165" t="s">
        <v>1074</v>
      </c>
      <c r="C165" t="s">
        <v>1677</v>
      </c>
      <c r="D165" t="s">
        <v>1833</v>
      </c>
    </row>
    <row r="166" spans="1:4" x14ac:dyDescent="0.2">
      <c r="A166" t="str">
        <f t="shared" ca="1" si="1"/>
        <v>Другие налоги, относимые на текущие затраты</v>
      </c>
      <c r="B166" t="s">
        <v>2674</v>
      </c>
      <c r="C166" t="s">
        <v>1471</v>
      </c>
      <c r="D166" t="s">
        <v>1839</v>
      </c>
    </row>
    <row r="167" spans="1:4" x14ac:dyDescent="0.2">
      <c r="A167" t="str">
        <f t="shared" ca="1" si="1"/>
        <v>Другие налоги с продаж</v>
      </c>
      <c r="B167" t="s">
        <v>2675</v>
      </c>
      <c r="C167" t="s">
        <v>1472</v>
      </c>
      <c r="D167" t="s">
        <v>1840</v>
      </c>
    </row>
    <row r="168" spans="1:4" x14ac:dyDescent="0.2">
      <c r="A168" t="str">
        <f t="shared" ca="1" si="1"/>
        <v xml:space="preserve">    ставка</v>
      </c>
      <c r="B168" t="s">
        <v>1073</v>
      </c>
      <c r="C168" t="s">
        <v>1473</v>
      </c>
      <c r="D168" t="s">
        <v>1841</v>
      </c>
    </row>
    <row r="169" spans="1:4" x14ac:dyDescent="0.2">
      <c r="A169" t="str">
        <f t="shared" ca="1" si="1"/>
        <v xml:space="preserve">    период уплаты</v>
      </c>
      <c r="B169" t="s">
        <v>1074</v>
      </c>
      <c r="C169" t="s">
        <v>1677</v>
      </c>
      <c r="D169" t="s">
        <v>1833</v>
      </c>
    </row>
    <row r="170" spans="1:4" x14ac:dyDescent="0.2">
      <c r="A170" t="str">
        <f t="shared" ca="1" si="1"/>
        <v xml:space="preserve">    налогооблагаемая база</v>
      </c>
      <c r="B170" t="s">
        <v>2676</v>
      </c>
      <c r="C170" t="s">
        <v>1476</v>
      </c>
      <c r="D170" t="s">
        <v>1842</v>
      </c>
    </row>
    <row r="171" spans="1:4" x14ac:dyDescent="0.2">
      <c r="A171" t="str">
        <f t="shared" ca="1" si="1"/>
        <v xml:space="preserve">    ставка</v>
      </c>
      <c r="B171" t="s">
        <v>1073</v>
      </c>
      <c r="C171" t="s">
        <v>1473</v>
      </c>
      <c r="D171" t="s">
        <v>1841</v>
      </c>
    </row>
    <row r="172" spans="1:4" x14ac:dyDescent="0.2">
      <c r="A172" t="str">
        <f t="shared" ca="1" si="1"/>
        <v xml:space="preserve">    период уплаты</v>
      </c>
      <c r="B172" t="s">
        <v>1074</v>
      </c>
      <c r="C172" t="s">
        <v>1677</v>
      </c>
      <c r="D172" t="s">
        <v>1833</v>
      </c>
    </row>
    <row r="173" spans="1:4" x14ac:dyDescent="0.2">
      <c r="A173" t="str">
        <f t="shared" ca="1" si="1"/>
        <v xml:space="preserve">   задолженность перед бюджетом</v>
      </c>
      <c r="B173" s="45" t="s">
        <v>1369</v>
      </c>
      <c r="C173" s="45" t="s">
        <v>1477</v>
      </c>
      <c r="D173" t="s">
        <v>1843</v>
      </c>
    </row>
    <row r="174" spans="1:4" x14ac:dyDescent="0.2">
      <c r="A174" t="str">
        <f t="shared" ca="1" si="1"/>
        <v>НАЛОГИ, ОТНОСИМЫЕ НА ФИНАНСОВЫЕ РЕЗУЛЬТАТЫ</v>
      </c>
      <c r="B174" t="s">
        <v>851</v>
      </c>
      <c r="C174" t="s">
        <v>1478</v>
      </c>
      <c r="D174" t="s">
        <v>1844</v>
      </c>
    </row>
    <row r="175" spans="1:4" x14ac:dyDescent="0.2">
      <c r="A175" t="str">
        <f t="shared" ca="1" si="1"/>
        <v>Налог на имущество</v>
      </c>
      <c r="B175" t="s">
        <v>2677</v>
      </c>
      <c r="C175" t="s">
        <v>1479</v>
      </c>
      <c r="D175" t="s">
        <v>1845</v>
      </c>
    </row>
    <row r="176" spans="1:4" x14ac:dyDescent="0.2">
      <c r="A176" t="str">
        <f t="shared" ca="1" si="1"/>
        <v xml:space="preserve">    средняя стоимость имущества за период</v>
      </c>
      <c r="B176" t="s">
        <v>2678</v>
      </c>
      <c r="C176" t="s">
        <v>1480</v>
      </c>
      <c r="D176" t="s">
        <v>1846</v>
      </c>
    </row>
    <row r="177" spans="1:4" x14ac:dyDescent="0.2">
      <c r="A177" t="str">
        <f t="shared" ca="1" si="1"/>
        <v xml:space="preserve">    стоимость имущества, освобождаемого от налога</v>
      </c>
      <c r="B177" t="s">
        <v>2679</v>
      </c>
      <c r="C177" t="s">
        <v>1772</v>
      </c>
      <c r="D177" t="s">
        <v>1329</v>
      </c>
    </row>
    <row r="178" spans="1:4" x14ac:dyDescent="0.2">
      <c r="A178" t="str">
        <f t="shared" ca="1" si="1"/>
        <v xml:space="preserve">    ставка</v>
      </c>
      <c r="B178" t="s">
        <v>1073</v>
      </c>
      <c r="C178" t="s">
        <v>1676</v>
      </c>
      <c r="D178" t="s">
        <v>1763</v>
      </c>
    </row>
    <row r="179" spans="1:4" x14ac:dyDescent="0.2">
      <c r="A179" t="str">
        <f t="shared" ca="1" si="1"/>
        <v xml:space="preserve">    период уплаты</v>
      </c>
      <c r="B179" t="s">
        <v>1074</v>
      </c>
      <c r="C179" t="s">
        <v>1677</v>
      </c>
      <c r="D179" t="s">
        <v>1764</v>
      </c>
    </row>
    <row r="180" spans="1:4" x14ac:dyDescent="0.2">
      <c r="A180" t="str">
        <f t="shared" ca="1" si="1"/>
        <v>Другие налоги, относимые на финансовые результаты</v>
      </c>
      <c r="B180" t="s">
        <v>2680</v>
      </c>
      <c r="C180" t="s">
        <v>1773</v>
      </c>
      <c r="D180" t="s">
        <v>1765</v>
      </c>
    </row>
    <row r="181" spans="1:4" x14ac:dyDescent="0.2">
      <c r="A181" t="str">
        <f t="shared" ca="1" si="1"/>
        <v xml:space="preserve">    налогооблагаемая база</v>
      </c>
      <c r="B181" t="s">
        <v>2676</v>
      </c>
      <c r="C181" t="s">
        <v>1476</v>
      </c>
      <c r="D181" t="s">
        <v>1766</v>
      </c>
    </row>
    <row r="182" spans="1:4" x14ac:dyDescent="0.2">
      <c r="A182" t="str">
        <f t="shared" ca="1" si="1"/>
        <v xml:space="preserve">    ставка</v>
      </c>
      <c r="B182" t="s">
        <v>1073</v>
      </c>
      <c r="C182" t="s">
        <v>1676</v>
      </c>
      <c r="D182" t="s">
        <v>1763</v>
      </c>
    </row>
    <row r="183" spans="1:4" x14ac:dyDescent="0.2">
      <c r="A183" t="str">
        <f t="shared" ca="1" si="1"/>
        <v xml:space="preserve">    период уплаты</v>
      </c>
      <c r="B183" t="s">
        <v>1074</v>
      </c>
      <c r="C183" t="s">
        <v>1677</v>
      </c>
      <c r="D183" t="s">
        <v>1764</v>
      </c>
    </row>
    <row r="184" spans="1:4" x14ac:dyDescent="0.2">
      <c r="A184" t="str">
        <f t="shared" ca="1" si="1"/>
        <v>НАЛОГ НА ПРИБЫЛЬ</v>
      </c>
      <c r="B184" t="s">
        <v>852</v>
      </c>
      <c r="C184" t="s">
        <v>1774</v>
      </c>
      <c r="D184" t="s">
        <v>1646</v>
      </c>
    </row>
    <row r="185" spans="1:4" x14ac:dyDescent="0.2">
      <c r="A185" t="str">
        <f t="shared" ca="1" si="1"/>
        <v xml:space="preserve">    ставка</v>
      </c>
      <c r="B185" t="s">
        <v>1073</v>
      </c>
      <c r="C185" t="s">
        <v>1676</v>
      </c>
      <c r="D185" t="s">
        <v>1763</v>
      </c>
    </row>
    <row r="186" spans="1:4" x14ac:dyDescent="0.2">
      <c r="A186" t="str">
        <f t="shared" ca="1" si="1"/>
        <v xml:space="preserve">    период уплаты</v>
      </c>
      <c r="B186" t="s">
        <v>1074</v>
      </c>
      <c r="C186" t="s">
        <v>1677</v>
      </c>
      <c r="D186" t="s">
        <v>1764</v>
      </c>
    </row>
    <row r="187" spans="1:4" x14ac:dyDescent="0.2">
      <c r="A187" t="str">
        <f t="shared" ca="1" si="1"/>
        <v>Начисленный налог на прибыль</v>
      </c>
      <c r="B187" t="s">
        <v>2681</v>
      </c>
      <c r="C187" t="s">
        <v>1775</v>
      </c>
      <c r="D187" t="s">
        <v>1767</v>
      </c>
    </row>
    <row r="188" spans="1:4" x14ac:dyDescent="0.2">
      <c r="A188" t="str">
        <f t="shared" ca="1" si="1"/>
        <v xml:space="preserve">         то же, в итоговой валюте</v>
      </c>
      <c r="B188" t="s">
        <v>1121</v>
      </c>
      <c r="C188" t="s">
        <v>1776</v>
      </c>
      <c r="D188" t="s">
        <v>1768</v>
      </c>
    </row>
    <row r="189" spans="1:4" x14ac:dyDescent="0.2">
      <c r="A189" t="str">
        <f t="shared" ca="1" si="1"/>
        <v xml:space="preserve">    прибыль до налогообложения</v>
      </c>
      <c r="B189" t="s">
        <v>2682</v>
      </c>
      <c r="C189" t="s">
        <v>1969</v>
      </c>
      <c r="D189" t="s">
        <v>1769</v>
      </c>
    </row>
    <row r="190" spans="1:4" x14ac:dyDescent="0.2">
      <c r="A190" t="str">
        <f t="shared" ca="1" si="1"/>
        <v xml:space="preserve">    проценты по кредиту, выплачиваемые из прибыли</v>
      </c>
      <c r="B190" t="s">
        <v>2683</v>
      </c>
      <c r="C190" t="s">
        <v>1970</v>
      </c>
      <c r="D190" t="s">
        <v>1770</v>
      </c>
    </row>
    <row r="191" spans="1:4" x14ac:dyDescent="0.2">
      <c r="A191" t="str">
        <f t="shared" ca="1" si="1"/>
        <v xml:space="preserve">    льготы по налогу на прибыль</v>
      </c>
      <c r="B191" t="s">
        <v>2684</v>
      </c>
      <c r="C191" t="s">
        <v>1881</v>
      </c>
      <c r="D191" t="s">
        <v>1771</v>
      </c>
    </row>
    <row r="192" spans="1:4" x14ac:dyDescent="0.2">
      <c r="A192" t="str">
        <f t="shared" ca="1" si="1"/>
        <v xml:space="preserve">    накопленная прибыль/убытки текущего года</v>
      </c>
      <c r="B192" t="s">
        <v>2685</v>
      </c>
      <c r="C192" t="s">
        <v>1882</v>
      </c>
      <c r="D192" t="s">
        <v>1802</v>
      </c>
    </row>
    <row r="193" spans="1:4" x14ac:dyDescent="0.2">
      <c r="A193" t="str">
        <f t="shared" ca="1" si="1"/>
        <v xml:space="preserve">    убытки предыдущих периодов</v>
      </c>
      <c r="B193" t="s">
        <v>1207</v>
      </c>
      <c r="C193" t="s">
        <v>1208</v>
      </c>
      <c r="D193" t="s">
        <v>1803</v>
      </c>
    </row>
    <row r="194" spans="1:4" x14ac:dyDescent="0.2">
      <c r="A194" t="str">
        <f t="shared" ca="1" si="1"/>
        <v xml:space="preserve">    списано убытков предыдущих лет</v>
      </c>
      <c r="B194" t="s">
        <v>2686</v>
      </c>
      <c r="C194" t="s">
        <v>1883</v>
      </c>
      <c r="D194" t="s">
        <v>1804</v>
      </c>
    </row>
    <row r="195" spans="1:4" x14ac:dyDescent="0.2">
      <c r="A195" t="str">
        <f t="shared" ca="1" si="1"/>
        <v xml:space="preserve">    прибыль, на которую начисляется налог</v>
      </c>
      <c r="B195" t="s">
        <v>2687</v>
      </c>
      <c r="C195" t="s">
        <v>1884</v>
      </c>
      <c r="D195" t="s">
        <v>1921</v>
      </c>
    </row>
    <row r="196" spans="1:4" x14ac:dyDescent="0.2">
      <c r="A196" t="str">
        <f t="shared" ca="1" si="1"/>
        <v>СПЕЦИАЛЬНЫЕ РЕЖИМЫ НАЛОГООБЛОЖЕНИЯ</v>
      </c>
      <c r="B196" s="24" t="s">
        <v>2639</v>
      </c>
      <c r="C196" t="s">
        <v>1885</v>
      </c>
      <c r="D196" t="s">
        <v>1922</v>
      </c>
    </row>
    <row r="197" spans="1:4" x14ac:dyDescent="0.2">
      <c r="A197" t="str">
        <f t="shared" ca="1" si="1"/>
        <v>ЕДИНЫЙ НАЛОГ НА ВМЕНЕННЫЙ ДОХОД</v>
      </c>
      <c r="B197" t="s">
        <v>777</v>
      </c>
      <c r="C197" t="s">
        <v>1886</v>
      </c>
      <c r="D197" t="s">
        <v>1923</v>
      </c>
    </row>
    <row r="198" spans="1:4" x14ac:dyDescent="0.2">
      <c r="A198" t="str">
        <f t="shared" ca="1" si="1"/>
        <v>разы</v>
      </c>
      <c r="B198" t="s">
        <v>1177</v>
      </c>
      <c r="C198" t="s">
        <v>1887</v>
      </c>
      <c r="D198" t="s">
        <v>1924</v>
      </c>
    </row>
    <row r="199" spans="1:4" x14ac:dyDescent="0.2">
      <c r="A199" t="str">
        <f t="shared" ca="1" si="1"/>
        <v>Начисленный налог на вмененный доход</v>
      </c>
      <c r="B199" s="127" t="s">
        <v>2642</v>
      </c>
      <c r="C199" t="s">
        <v>1888</v>
      </c>
      <c r="D199" t="s">
        <v>1925</v>
      </c>
    </row>
    <row r="200" spans="1:4" x14ac:dyDescent="0.2">
      <c r="A200" t="str">
        <f t="shared" ca="1" si="1"/>
        <v>Физический показатель доходности</v>
      </c>
      <c r="B200" s="19" t="s">
        <v>778</v>
      </c>
      <c r="C200" t="s">
        <v>1889</v>
      </c>
      <c r="D200" t="s">
        <v>1926</v>
      </c>
    </row>
    <row r="201" spans="1:4" x14ac:dyDescent="0.2">
      <c r="A201" t="str">
        <f t="shared" ca="1" si="1"/>
        <v>Базовая доходность</v>
      </c>
      <c r="B201" s="19" t="s">
        <v>779</v>
      </c>
      <c r="C201" t="s">
        <v>1890</v>
      </c>
      <c r="D201" t="s">
        <v>1927</v>
      </c>
    </row>
    <row r="202" spans="1:4" x14ac:dyDescent="0.2">
      <c r="A202" t="str">
        <f t="shared" ca="1" si="1"/>
        <v>Коэффициент-дефлятор К1</v>
      </c>
      <c r="B202" s="19" t="s">
        <v>780</v>
      </c>
      <c r="C202" t="s">
        <v>1891</v>
      </c>
      <c r="D202" t="s">
        <v>1928</v>
      </c>
    </row>
    <row r="203" spans="1:4" x14ac:dyDescent="0.2">
      <c r="A203" t="str">
        <f t="shared" ca="1" si="1"/>
        <v>Корректирующий коэффициент К2</v>
      </c>
      <c r="B203" s="45" t="s">
        <v>781</v>
      </c>
      <c r="C203" t="s">
        <v>1892</v>
      </c>
      <c r="D203" t="s">
        <v>1929</v>
      </c>
    </row>
    <row r="204" spans="1:4" x14ac:dyDescent="0.2">
      <c r="A204" t="str">
        <f t="shared" ca="1" si="1"/>
        <v>Величина вмененного дохода</v>
      </c>
      <c r="B204" s="45" t="s">
        <v>782</v>
      </c>
      <c r="C204" t="s">
        <v>1893</v>
      </c>
      <c r="D204" t="s">
        <v>1930</v>
      </c>
    </row>
    <row r="205" spans="1:4" x14ac:dyDescent="0.2">
      <c r="A205" t="str">
        <f t="shared" ca="1" si="1"/>
        <v>Взносы на обязательное пенсионное страхование</v>
      </c>
      <c r="B205" s="45" t="s">
        <v>783</v>
      </c>
      <c r="C205" t="s">
        <v>1805</v>
      </c>
      <c r="D205" t="s">
        <v>1931</v>
      </c>
    </row>
    <row r="206" spans="1:4" x14ac:dyDescent="0.2">
      <c r="A206" t="str">
        <f t="shared" ca="1" si="1"/>
        <v xml:space="preserve">    ставка</v>
      </c>
      <c r="B206" s="45" t="s">
        <v>1073</v>
      </c>
      <c r="C206" s="45" t="s">
        <v>1806</v>
      </c>
      <c r="D206" t="s">
        <v>1932</v>
      </c>
    </row>
    <row r="207" spans="1:4" x14ac:dyDescent="0.2">
      <c r="A207" t="str">
        <f t="shared" ca="1" si="1"/>
        <v xml:space="preserve">    налогооблагаемая база</v>
      </c>
      <c r="B207" s="45" t="str">
        <f>Language!B181</f>
        <v xml:space="preserve">    налогооблагаемая база</v>
      </c>
      <c r="C207" s="45" t="s">
        <v>1807</v>
      </c>
      <c r="D207" t="s">
        <v>8</v>
      </c>
    </row>
    <row r="208" spans="1:4" x14ac:dyDescent="0.2">
      <c r="A208" t="str">
        <f t="shared" ca="1" si="1"/>
        <v xml:space="preserve">    облагаемая база</v>
      </c>
      <c r="B208" s="45" t="s">
        <v>2640</v>
      </c>
      <c r="C208" s="45" t="s">
        <v>1807</v>
      </c>
      <c r="D208" t="s">
        <v>9</v>
      </c>
    </row>
    <row r="209" spans="1:4" x14ac:dyDescent="0.2">
      <c r="A209" t="str">
        <f t="shared" ca="1" si="1"/>
        <v xml:space="preserve">    величина платежа</v>
      </c>
      <c r="B209" s="45" t="s">
        <v>2641</v>
      </c>
      <c r="C209" s="45" t="s">
        <v>1808</v>
      </c>
      <c r="D209" t="s">
        <v>10</v>
      </c>
    </row>
    <row r="210" spans="1:4" x14ac:dyDescent="0.2">
      <c r="A210" t="str">
        <f t="shared" ca="1" si="1"/>
        <v>УПРОЩЕННАЯ СИСТЕМА НАЛОГООБЛОЖЕНИЯ</v>
      </c>
      <c r="B210" s="45" t="s">
        <v>2643</v>
      </c>
      <c r="C210" s="45" t="s">
        <v>1809</v>
      </c>
      <c r="D210" t="s">
        <v>11</v>
      </c>
    </row>
    <row r="211" spans="1:4" x14ac:dyDescent="0.2">
      <c r="A211" t="str">
        <f t="shared" ca="1" si="1"/>
        <v>Доходы</v>
      </c>
      <c r="B211" s="45" t="s">
        <v>2645</v>
      </c>
      <c r="C211" s="45" t="s">
        <v>1810</v>
      </c>
      <c r="D211" t="s">
        <v>12</v>
      </c>
    </row>
    <row r="212" spans="1:4" x14ac:dyDescent="0.2">
      <c r="A212" t="str">
        <f t="shared" ca="1" si="1"/>
        <v>Доходы, уменьшенные на величину расходов</v>
      </c>
      <c r="B212" s="45" t="s">
        <v>1012</v>
      </c>
      <c r="C212" s="45" t="s">
        <v>1811</v>
      </c>
      <c r="D212" t="s">
        <v>13</v>
      </c>
    </row>
    <row r="213" spans="1:4" x14ac:dyDescent="0.2">
      <c r="A213" t="str">
        <f t="shared" ca="1" si="1"/>
        <v>Объект налогообложения</v>
      </c>
      <c r="B213" t="s">
        <v>2644</v>
      </c>
      <c r="C213" s="45" t="s">
        <v>1812</v>
      </c>
      <c r="D213" t="s">
        <v>14</v>
      </c>
    </row>
    <row r="214" spans="1:4" x14ac:dyDescent="0.2">
      <c r="A214" t="str">
        <f t="shared" ca="1" si="1"/>
        <v>Начисленный налог</v>
      </c>
      <c r="B214" s="23" t="s">
        <v>1368</v>
      </c>
      <c r="C214" t="s">
        <v>1813</v>
      </c>
      <c r="D214" t="s">
        <v>15</v>
      </c>
    </row>
    <row r="215" spans="1:4" x14ac:dyDescent="0.2">
      <c r="A215" t="str">
        <f t="shared" ca="1" si="1"/>
        <v>Облагаемая база до списания убытков</v>
      </c>
      <c r="B215" t="s">
        <v>1657</v>
      </c>
      <c r="C215" t="s">
        <v>562</v>
      </c>
      <c r="D215" t="s">
        <v>16</v>
      </c>
    </row>
    <row r="216" spans="1:4" x14ac:dyDescent="0.2">
      <c r="A216" t="str">
        <f t="shared" ca="1" si="1"/>
        <v>База, на которую начисляется налог</v>
      </c>
      <c r="B216" s="45" t="s">
        <v>1433</v>
      </c>
      <c r="C216" t="s">
        <v>1814</v>
      </c>
      <c r="D216" t="s">
        <v>17</v>
      </c>
    </row>
    <row r="217" spans="1:4" x14ac:dyDescent="0.2">
      <c r="A217" t="str">
        <f t="shared" ca="1" si="1"/>
        <v>Минимальный налог</v>
      </c>
      <c r="B217" s="45" t="s">
        <v>1434</v>
      </c>
      <c r="C217" t="s">
        <v>1815</v>
      </c>
      <c r="D217" t="s">
        <v>1938</v>
      </c>
    </row>
    <row r="218" spans="1:4" x14ac:dyDescent="0.2">
      <c r="A218" t="str">
        <f t="shared" ca="1" si="1"/>
        <v>Суммарные налоговые выплаты</v>
      </c>
      <c r="B218" t="s">
        <v>2688</v>
      </c>
      <c r="C218" t="s">
        <v>1816</v>
      </c>
      <c r="D218" t="s">
        <v>1939</v>
      </c>
    </row>
    <row r="219" spans="1:4" x14ac:dyDescent="0.2">
      <c r="A219" t="str">
        <f t="shared" ca="1" si="1"/>
        <v>дней</v>
      </c>
      <c r="B219" t="s">
        <v>2689</v>
      </c>
      <c r="C219" t="s">
        <v>1817</v>
      </c>
      <c r="D219" t="s">
        <v>1940</v>
      </c>
    </row>
    <row r="220" spans="1:4" x14ac:dyDescent="0.2">
      <c r="A220" t="str">
        <f t="shared" ca="1" si="1"/>
        <v>возвращается из бюджета</v>
      </c>
      <c r="B220" t="s">
        <v>2690</v>
      </c>
      <c r="C220" t="s">
        <v>1818</v>
      </c>
      <c r="D220" t="s">
        <v>1941</v>
      </c>
    </row>
    <row r="221" spans="1:4" x14ac:dyDescent="0.2">
      <c r="A221" t="str">
        <f t="shared" ca="1" si="1"/>
        <v>зачитывается при будущих расчетах</v>
      </c>
      <c r="B221" t="s">
        <v>847</v>
      </c>
      <c r="C221" t="s">
        <v>1819</v>
      </c>
      <c r="D221" t="s">
        <v>1868</v>
      </c>
    </row>
    <row r="222" spans="1:4" x14ac:dyDescent="0.2">
      <c r="A222" t="str">
        <f t="shared" ca="1" si="1"/>
        <v>сразу после постановки на баланс</v>
      </c>
      <c r="B222" t="s">
        <v>848</v>
      </c>
      <c r="C222" t="s">
        <v>1820</v>
      </c>
      <c r="D222" t="s">
        <v>1869</v>
      </c>
    </row>
    <row r="223" spans="1:4" x14ac:dyDescent="0.2">
      <c r="A223" t="str">
        <f t="shared" ca="1" si="1"/>
        <v>Период уплаты</v>
      </c>
      <c r="B223" t="s">
        <v>849</v>
      </c>
      <c r="C223" t="s">
        <v>1821</v>
      </c>
      <c r="D223" t="s">
        <v>1870</v>
      </c>
    </row>
    <row r="224" spans="1:4" ht="12.75" x14ac:dyDescent="0.2">
      <c r="A224" t="str">
        <f t="shared" ca="1" si="1"/>
        <v>тыс. кв. м</v>
      </c>
      <c r="B224" t="s">
        <v>855</v>
      </c>
      <c r="C224" t="s">
        <v>1822</v>
      </c>
      <c r="D224" t="s">
        <v>1871</v>
      </c>
    </row>
    <row r="225" spans="1:4" x14ac:dyDescent="0.2">
      <c r="A225" t="str">
        <f t="shared" ca="1" si="1"/>
        <v>Наименование налога</v>
      </c>
      <c r="B225" t="s">
        <v>856</v>
      </c>
      <c r="C225" t="s">
        <v>1823</v>
      </c>
      <c r="D225" t="s">
        <v>1831</v>
      </c>
    </row>
    <row r="226" spans="1:4" x14ac:dyDescent="0.2">
      <c r="A226" t="str">
        <f t="shared" ca="1" si="1"/>
        <v xml:space="preserve">         СТРОИТЕЛЬСТВО: ХАРАКТЕРИСТИКИ ОБЪЕКТА</v>
      </c>
      <c r="B226" s="24" t="s">
        <v>2524</v>
      </c>
      <c r="C226" s="24" t="s">
        <v>1824</v>
      </c>
      <c r="D226" t="s">
        <v>1711</v>
      </c>
    </row>
    <row r="227" spans="1:4" x14ac:dyDescent="0.2">
      <c r="A227" t="str">
        <f t="shared" ca="1" si="1"/>
        <v>Внимание! Общая площадь не может быть меньше полезной площади!</v>
      </c>
      <c r="B227" s="127" t="s">
        <v>796</v>
      </c>
      <c r="C227" s="127" t="s">
        <v>1826</v>
      </c>
      <c r="D227" t="s">
        <v>1777</v>
      </c>
    </row>
    <row r="228" spans="1:4" x14ac:dyDescent="0.2">
      <c r="A228" t="str">
        <f t="shared" ca="1" si="1"/>
        <v>период</v>
      </c>
      <c r="B228" s="99" t="s">
        <v>814</v>
      </c>
      <c r="C228" s="71" t="s">
        <v>1827</v>
      </c>
      <c r="D228" t="s">
        <v>1778</v>
      </c>
    </row>
    <row r="229" spans="1:4" ht="12.75" x14ac:dyDescent="0.2">
      <c r="A229" t="str">
        <f t="shared" ca="1" si="1"/>
        <v>кв. м</v>
      </c>
      <c r="B229" s="26" t="s">
        <v>1021</v>
      </c>
      <c r="C229" s="71" t="s">
        <v>1828</v>
      </c>
      <c r="D229" t="s">
        <v>1779</v>
      </c>
    </row>
    <row r="230" spans="1:4" x14ac:dyDescent="0.2">
      <c r="A230" t="str">
        <f t="shared" ca="1" si="1"/>
        <v>Площадь</v>
      </c>
      <c r="B230" s="26" t="s">
        <v>1020</v>
      </c>
      <c r="C230" s="71" t="s">
        <v>1829</v>
      </c>
      <c r="D230" t="s">
        <v>1780</v>
      </c>
    </row>
    <row r="231" spans="1:4" x14ac:dyDescent="0.2">
      <c r="A231" t="str">
        <f t="shared" ca="1" si="1"/>
        <v>Очередь строительства №1</v>
      </c>
      <c r="B231" s="127" t="s">
        <v>789</v>
      </c>
      <c r="C231" s="71" t="s">
        <v>1830</v>
      </c>
      <c r="D231" t="s">
        <v>1781</v>
      </c>
    </row>
    <row r="232" spans="1:4" x14ac:dyDescent="0.2">
      <c r="A232" t="str">
        <f t="shared" ca="1" si="1"/>
        <v>Начало строительства очереди</v>
      </c>
      <c r="B232" s="127" t="s">
        <v>1016</v>
      </c>
      <c r="C232" s="71" t="s">
        <v>1716</v>
      </c>
      <c r="D232" t="s">
        <v>1782</v>
      </c>
    </row>
    <row r="233" spans="1:4" x14ac:dyDescent="0.2">
      <c r="A233" t="str">
        <f t="shared" ca="1" si="1"/>
        <v>Конец строительства очереди</v>
      </c>
      <c r="B233" s="127" t="s">
        <v>790</v>
      </c>
      <c r="C233" s="71" t="s">
        <v>1570</v>
      </c>
      <c r="D233" t="s">
        <v>1933</v>
      </c>
    </row>
    <row r="234" spans="1:4" x14ac:dyDescent="0.2">
      <c r="A234" t="str">
        <f t="shared" ca="1" si="1"/>
        <v>Категории площадей:</v>
      </c>
      <c r="B234" s="127" t="s">
        <v>791</v>
      </c>
      <c r="C234" s="71" t="s">
        <v>1571</v>
      </c>
      <c r="D234" t="s">
        <v>1934</v>
      </c>
    </row>
    <row r="235" spans="1:4" x14ac:dyDescent="0.2">
      <c r="A235" t="str">
        <f t="shared" ca="1" si="1"/>
        <v>Жилые площади</v>
      </c>
      <c r="B235" s="127" t="s">
        <v>771</v>
      </c>
      <c r="C235" s="127" t="s">
        <v>772</v>
      </c>
      <c r="D235" t="s">
        <v>1935</v>
      </c>
    </row>
    <row r="236" spans="1:4" x14ac:dyDescent="0.2">
      <c r="A236" t="str">
        <f t="shared" ca="1" si="1"/>
        <v>Полезная площадь очереди</v>
      </c>
      <c r="B236" s="127" t="s">
        <v>792</v>
      </c>
      <c r="C236" s="71" t="s">
        <v>1572</v>
      </c>
      <c r="D236" t="s">
        <v>1936</v>
      </c>
    </row>
    <row r="237" spans="1:4" x14ac:dyDescent="0.2">
      <c r="A237" t="str">
        <f t="shared" ca="1" si="1"/>
        <v>Общая площадь очереди</v>
      </c>
      <c r="B237" s="127" t="s">
        <v>793</v>
      </c>
      <c r="C237" s="71" t="s">
        <v>1573</v>
      </c>
      <c r="D237" t="s">
        <v>1937</v>
      </c>
    </row>
    <row r="238" spans="1:4" x14ac:dyDescent="0.2">
      <c r="A238" t="str">
        <f t="shared" ca="1" si="1"/>
        <v>Итого: полезная площадь</v>
      </c>
      <c r="B238" s="127" t="s">
        <v>794</v>
      </c>
      <c r="C238" s="71" t="s">
        <v>1574</v>
      </c>
      <c r="D238" t="s">
        <v>1565</v>
      </c>
    </row>
    <row r="239" spans="1:4" x14ac:dyDescent="0.2">
      <c r="A239" t="str">
        <f t="shared" ca="1" si="1"/>
        <v>Итого: общая площадь</v>
      </c>
      <c r="B239" s="127" t="s">
        <v>795</v>
      </c>
      <c r="C239" s="71" t="s">
        <v>1575</v>
      </c>
      <c r="D239" t="s">
        <v>1566</v>
      </c>
    </row>
    <row r="240" spans="1:4" x14ac:dyDescent="0.2">
      <c r="A240" t="str">
        <f t="shared" ca="1" si="1"/>
        <v xml:space="preserve">         СТРОИТЕЛЬСТВО: ИСПОЛЬЗОВАНИЕ ОБЪЕКТА</v>
      </c>
      <c r="B240" s="24" t="s">
        <v>1308</v>
      </c>
      <c r="C240" s="24" t="s">
        <v>1576</v>
      </c>
      <c r="D240" t="s">
        <v>1712</v>
      </c>
    </row>
    <row r="241" spans="1:4" x14ac:dyDescent="0.2">
      <c r="A241" t="str">
        <f t="shared" ca="1" si="1"/>
        <v>ПРИВЛЕЧЕНИЕ ДОЛЬЩИКОВ/СОИНВЕСТОРОВ</v>
      </c>
      <c r="B241" s="24" t="s">
        <v>991</v>
      </c>
      <c r="C241" s="71" t="s">
        <v>1577</v>
      </c>
      <c r="D241" t="s">
        <v>1567</v>
      </c>
    </row>
    <row r="242" spans="1:4" x14ac:dyDescent="0.2">
      <c r="A242" t="str">
        <f t="shared" ca="1" si="1"/>
        <v>ПРОДАЖА ГОТОВЫХ ПЛОЩАДЕЙ (ПОКУПАТЕЛИ)</v>
      </c>
      <c r="B242" s="24" t="s">
        <v>1330</v>
      </c>
      <c r="C242" s="71" t="s">
        <v>1578</v>
      </c>
      <c r="D242" t="s">
        <v>1568</v>
      </c>
    </row>
    <row r="243" spans="1:4" x14ac:dyDescent="0.2">
      <c r="A243" t="str">
        <f t="shared" ca="1" si="1"/>
        <v>СОБСТВЕННОЕ ИСПОЛЬЗОВАНИЕ ОБЪЕКТА</v>
      </c>
      <c r="B243" s="24" t="s">
        <v>1331</v>
      </c>
      <c r="C243" s="71" t="s">
        <v>1579</v>
      </c>
      <c r="D243" t="s">
        <v>1607</v>
      </c>
    </row>
    <row r="244" spans="1:4" x14ac:dyDescent="0.2">
      <c r="A244" t="str">
        <f t="shared" ca="1" si="1"/>
        <v>ИТОГО ПО ОБЪЕКТУ</v>
      </c>
      <c r="B244" s="127" t="s">
        <v>1344</v>
      </c>
      <c r="C244" s="71" t="s">
        <v>1580</v>
      </c>
      <c r="D244" t="s">
        <v>1608</v>
      </c>
    </row>
    <row r="245" spans="1:4" x14ac:dyDescent="0.2">
      <c r="A245" t="str">
        <f t="shared" ca="1" si="1"/>
        <v xml:space="preserve">         СТРОИТЕЛЬСТВО: ЗАТРАТЫ НА ОБЪЕКТ</v>
      </c>
      <c r="B245" s="24" t="s">
        <v>1309</v>
      </c>
      <c r="C245" t="s">
        <v>1581</v>
      </c>
      <c r="D245" t="s">
        <v>1713</v>
      </c>
    </row>
    <row r="246" spans="1:4" x14ac:dyDescent="0.2">
      <c r="A246" t="str">
        <f t="shared" ca="1" si="1"/>
        <v>Внимание! Конец стадии не может быть позднее конца строительства очереди!</v>
      </c>
      <c r="B246" s="127" t="s">
        <v>1439</v>
      </c>
      <c r="C246" s="71" t="s">
        <v>1582</v>
      </c>
      <c r="D246" t="s">
        <v>1783</v>
      </c>
    </row>
    <row r="247" spans="1:4" x14ac:dyDescent="0.2">
      <c r="A247" t="str">
        <f t="shared" ca="1" si="1"/>
        <v>Стадия строительства №1</v>
      </c>
      <c r="B247" s="45" t="s">
        <v>1022</v>
      </c>
      <c r="C247" s="71" t="s">
        <v>1557</v>
      </c>
      <c r="D247" t="s">
        <v>1784</v>
      </c>
    </row>
    <row r="248" spans="1:4" x14ac:dyDescent="0.2">
      <c r="A248" t="str">
        <f t="shared" ca="1" si="1"/>
        <v>начало работ</v>
      </c>
      <c r="B248" s="45" t="s">
        <v>2525</v>
      </c>
      <c r="C248" t="s">
        <v>1558</v>
      </c>
      <c r="D248" t="s">
        <v>1785</v>
      </c>
    </row>
    <row r="249" spans="1:4" x14ac:dyDescent="0.2">
      <c r="A249" t="str">
        <f t="shared" ca="1" si="1"/>
        <v>конец работ</v>
      </c>
      <c r="B249" s="45" t="s">
        <v>2526</v>
      </c>
      <c r="C249" t="s">
        <v>1749</v>
      </c>
      <c r="D249" t="s">
        <v>1786</v>
      </c>
    </row>
    <row r="250" spans="1:4" x14ac:dyDescent="0.2">
      <c r="A250" t="str">
        <f t="shared" ca="1" si="1"/>
        <v>Площадь, к которой относятся работы</v>
      </c>
      <c r="B250" s="45" t="s">
        <v>1825</v>
      </c>
      <c r="C250" t="s">
        <v>1750</v>
      </c>
      <c r="D250" t="s">
        <v>1787</v>
      </c>
    </row>
    <row r="251" spans="1:4" x14ac:dyDescent="0.2">
      <c r="A251" t="str">
        <f t="shared" ca="1" si="1"/>
        <v>Стоимость одного кв. м (с НДС)</v>
      </c>
      <c r="B251" s="45" t="s">
        <v>1023</v>
      </c>
      <c r="C251" t="s">
        <v>1751</v>
      </c>
      <c r="D251" t="s">
        <v>682</v>
      </c>
    </row>
    <row r="252" spans="1:4" x14ac:dyDescent="0.2">
      <c r="A252" t="str">
        <f t="shared" ca="1" si="1"/>
        <v>Объем выполненных работ</v>
      </c>
      <c r="B252" s="24" t="s">
        <v>868</v>
      </c>
      <c r="C252" t="s">
        <v>1752</v>
      </c>
      <c r="D252" t="s">
        <v>1788</v>
      </c>
    </row>
    <row r="253" spans="1:4" x14ac:dyDescent="0.2">
      <c r="A253" t="str">
        <f t="shared" ca="1" si="1"/>
        <v>Оплата работ</v>
      </c>
      <c r="B253" s="24" t="s">
        <v>869</v>
      </c>
      <c r="C253" t="s">
        <v>1753</v>
      </c>
      <c r="D253" t="s">
        <v>1789</v>
      </c>
    </row>
    <row r="254" spans="1:4" x14ac:dyDescent="0.2">
      <c r="A254" t="str">
        <f t="shared" ca="1" si="1"/>
        <v>Итого: объем выполненных работ</v>
      </c>
      <c r="B254" s="127" t="s">
        <v>870</v>
      </c>
      <c r="C254" t="s">
        <v>1754</v>
      </c>
      <c r="D254" t="s">
        <v>1790</v>
      </c>
    </row>
    <row r="255" spans="1:4" x14ac:dyDescent="0.2">
      <c r="A255" t="str">
        <f t="shared" ca="1" si="1"/>
        <v>Итого: оплата работ</v>
      </c>
      <c r="B255" s="24" t="s">
        <v>784</v>
      </c>
      <c r="C255" t="s">
        <v>1569</v>
      </c>
      <c r="D255" t="s">
        <v>1791</v>
      </c>
    </row>
    <row r="256" spans="1:4" x14ac:dyDescent="0.2">
      <c r="A256" t="str">
        <f t="shared" ca="1" si="1"/>
        <v>Авансы подрядчикам (с НДС)</v>
      </c>
      <c r="B256" s="24" t="s">
        <v>785</v>
      </c>
      <c r="C256" t="s">
        <v>1284</v>
      </c>
      <c r="D256" t="s">
        <v>1792</v>
      </c>
    </row>
    <row r="257" spans="1:4" x14ac:dyDescent="0.2">
      <c r="A257" t="str">
        <f t="shared" ca="1" si="1"/>
        <v xml:space="preserve">    в том числе НДС</v>
      </c>
      <c r="B257" s="24" t="s">
        <v>922</v>
      </c>
      <c r="C257" s="24" t="s">
        <v>1285</v>
      </c>
      <c r="D257" t="s">
        <v>1963</v>
      </c>
    </row>
    <row r="258" spans="1:4" x14ac:dyDescent="0.2">
      <c r="A258" t="str">
        <f t="shared" ca="1" si="1"/>
        <v>Кредиторская задолженность подрядчикам (с НДС)</v>
      </c>
      <c r="B258" s="24" t="s">
        <v>786</v>
      </c>
      <c r="C258" t="s">
        <v>1286</v>
      </c>
      <c r="D258" t="s">
        <v>1964</v>
      </c>
    </row>
    <row r="259" spans="1:4" x14ac:dyDescent="0.2">
      <c r="A259" t="str">
        <f t="shared" ca="1" si="1"/>
        <v>Ранее осуществленные инвестиции</v>
      </c>
      <c r="B259" s="127" t="s">
        <v>880</v>
      </c>
      <c r="C259" t="s">
        <v>1287</v>
      </c>
      <c r="D259" t="s">
        <v>1965</v>
      </c>
    </row>
    <row r="260" spans="1:4" x14ac:dyDescent="0.2">
      <c r="A260" t="str">
        <f t="shared" ca="1" si="1"/>
        <v>НДС к ранее осуществленным инвестициям</v>
      </c>
      <c r="B260" s="24" t="s">
        <v>787</v>
      </c>
      <c r="C260" t="s">
        <v>1793</v>
      </c>
      <c r="D260" t="s">
        <v>1966</v>
      </c>
    </row>
    <row r="261" spans="1:4" x14ac:dyDescent="0.2">
      <c r="A261" t="str">
        <f t="shared" ca="1" si="1"/>
        <v>Рыночная стоимость недостроенного объекта</v>
      </c>
      <c r="B261" s="24" t="s">
        <v>788</v>
      </c>
      <c r="C261" t="s">
        <v>1875</v>
      </c>
      <c r="D261" t="s">
        <v>1967</v>
      </c>
    </row>
    <row r="262" spans="1:4" x14ac:dyDescent="0.2">
      <c r="A262" t="str">
        <f t="shared" ca="1" si="1"/>
        <v xml:space="preserve">         СТРОИТЕЛЬСТВО: ПРИВЛЕЧЕНИЕ ДОЛЬЩИКОВ / СОИНВЕСТОРОВ</v>
      </c>
      <c r="B262" s="24" t="s">
        <v>1310</v>
      </c>
      <c r="C262" s="24" t="s">
        <v>1876</v>
      </c>
      <c r="D262" t="s">
        <v>1658</v>
      </c>
    </row>
    <row r="263" spans="1:4" x14ac:dyDescent="0.2">
      <c r="A263" t="str">
        <f t="shared" ca="1" si="1"/>
        <v>График привлечения дольщиков / соинвесторов</v>
      </c>
      <c r="B263" s="19" t="s">
        <v>802</v>
      </c>
      <c r="C263" t="s">
        <v>1877</v>
      </c>
      <c r="D263" t="s">
        <v>1968</v>
      </c>
    </row>
    <row r="264" spans="1:4" x14ac:dyDescent="0.2">
      <c r="A264" t="str">
        <f t="shared" ca="1" si="1"/>
        <v>График оплаты площадей</v>
      </c>
      <c r="B264" s="19" t="s">
        <v>803</v>
      </c>
      <c r="C264" s="71" t="s">
        <v>1878</v>
      </c>
      <c r="D264" t="s">
        <v>30</v>
      </c>
    </row>
    <row r="265" spans="1:4" x14ac:dyDescent="0.2">
      <c r="A265" t="str">
        <f t="shared" ca="1" si="1"/>
        <v>Стоимость 1 кв. м (без НДС)</v>
      </c>
      <c r="B265" s="19" t="s">
        <v>804</v>
      </c>
      <c r="C265" t="s">
        <v>1879</v>
      </c>
      <c r="D265" t="s">
        <v>31</v>
      </c>
    </row>
    <row r="266" spans="1:4" x14ac:dyDescent="0.2">
      <c r="A266" t="str">
        <f t="shared" ca="1" si="1"/>
        <v xml:space="preserve">    в том числе вознаграждение заказчику</v>
      </c>
      <c r="B266" s="24" t="s">
        <v>805</v>
      </c>
      <c r="C266" t="s">
        <v>1685</v>
      </c>
      <c r="D266" t="s">
        <v>32</v>
      </c>
    </row>
    <row r="267" spans="1:4" x14ac:dyDescent="0.2">
      <c r="A267" t="str">
        <f t="shared" ca="1" si="1"/>
        <v>Поступление финансирования</v>
      </c>
      <c r="B267" s="24" t="s">
        <v>806</v>
      </c>
      <c r="C267" t="s">
        <v>1686</v>
      </c>
      <c r="D267" t="s">
        <v>33</v>
      </c>
    </row>
    <row r="268" spans="1:4" x14ac:dyDescent="0.2">
      <c r="A268" t="str">
        <f t="shared" ca="1" si="1"/>
        <v>Передача площадей</v>
      </c>
      <c r="B268" s="24" t="s">
        <v>914</v>
      </c>
      <c r="C268" t="s">
        <v>1687</v>
      </c>
      <c r="D268" t="s">
        <v>34</v>
      </c>
    </row>
    <row r="269" spans="1:4" x14ac:dyDescent="0.2">
      <c r="A269" t="str">
        <f t="shared" ca="1" si="1"/>
        <v xml:space="preserve">    передача площадей</v>
      </c>
      <c r="B269" s="24" t="s">
        <v>915</v>
      </c>
      <c r="C269" s="24" t="s">
        <v>1688</v>
      </c>
      <c r="D269" t="s">
        <v>35</v>
      </c>
    </row>
    <row r="270" spans="1:4" x14ac:dyDescent="0.2">
      <c r="A270" t="str">
        <f t="shared" ca="1" si="1"/>
        <v>Итого: Поступление финансирования</v>
      </c>
      <c r="B270" s="127" t="s">
        <v>916</v>
      </c>
      <c r="C270" t="s">
        <v>1311</v>
      </c>
      <c r="D270" t="s">
        <v>1971</v>
      </c>
    </row>
    <row r="271" spans="1:4" x14ac:dyDescent="0.2">
      <c r="A271" t="str">
        <f t="shared" ca="1" si="1"/>
        <v>Итого: Передано площадей на сумму</v>
      </c>
      <c r="B271" s="24" t="s">
        <v>917</v>
      </c>
      <c r="C271" t="s">
        <v>1312</v>
      </c>
      <c r="D271" t="s">
        <v>1972</v>
      </c>
    </row>
    <row r="272" spans="1:4" x14ac:dyDescent="0.2">
      <c r="A272" t="str">
        <f t="shared" ca="1" si="1"/>
        <v xml:space="preserve">    передано влощадей в кв. м</v>
      </c>
      <c r="B272" s="24" t="s">
        <v>918</v>
      </c>
      <c r="C272" t="s">
        <v>1313</v>
      </c>
      <c r="D272" t="s">
        <v>1973</v>
      </c>
    </row>
    <row r="273" spans="1:4" x14ac:dyDescent="0.2">
      <c r="A273" t="str">
        <f t="shared" ca="1" si="1"/>
        <v xml:space="preserve">         СТРОИТЕЛЬСТВО: ПРОДАЖА ГОТОВЫХ ПЛОЩАДЕЙ</v>
      </c>
      <c r="B273" s="24" t="s">
        <v>1429</v>
      </c>
      <c r="C273" s="24" t="s">
        <v>563</v>
      </c>
      <c r="D273" t="s">
        <v>1659</v>
      </c>
    </row>
    <row r="274" spans="1:4" x14ac:dyDescent="0.2">
      <c r="A274" t="str">
        <f t="shared" ca="1" si="1"/>
        <v>График привлечения покупателей</v>
      </c>
      <c r="B274" s="19" t="s">
        <v>1345</v>
      </c>
      <c r="C274" s="127" t="s">
        <v>1314</v>
      </c>
      <c r="D274" t="s">
        <v>1974</v>
      </c>
    </row>
    <row r="275" spans="1:4" x14ac:dyDescent="0.2">
      <c r="A275" t="str">
        <f t="shared" ca="1" si="1"/>
        <v>График оплаты площадей</v>
      </c>
      <c r="B275" s="19" t="s">
        <v>803</v>
      </c>
      <c r="C275" s="71" t="s">
        <v>1878</v>
      </c>
      <c r="D275" t="s">
        <v>1975</v>
      </c>
    </row>
    <row r="276" spans="1:4" x14ac:dyDescent="0.2">
      <c r="A276" t="str">
        <f t="shared" ca="1" si="1"/>
        <v>Цены за кв. м (с НДС)</v>
      </c>
      <c r="B276" s="19" t="s">
        <v>919</v>
      </c>
      <c r="C276" t="s">
        <v>1315</v>
      </c>
      <c r="D276" t="s">
        <v>1904</v>
      </c>
    </row>
    <row r="277" spans="1:4" x14ac:dyDescent="0.2">
      <c r="A277" t="str">
        <f t="shared" ca="1" si="1"/>
        <v>Передача проданных площадей покупателям</v>
      </c>
      <c r="B277" s="19" t="s">
        <v>1346</v>
      </c>
      <c r="C277" t="s">
        <v>1316</v>
      </c>
      <c r="D277" t="s">
        <v>1905</v>
      </c>
    </row>
    <row r="278" spans="1:4" x14ac:dyDescent="0.2">
      <c r="A278" t="str">
        <f t="shared" ca="1" si="1"/>
        <v>К оплате от покупателей</v>
      </c>
      <c r="B278" s="45" t="s">
        <v>1026</v>
      </c>
      <c r="C278" t="s">
        <v>1317</v>
      </c>
      <c r="D278" t="s">
        <v>1906</v>
      </c>
    </row>
    <row r="279" spans="1:4" x14ac:dyDescent="0.2">
      <c r="A279" t="str">
        <f t="shared" ref="A279:A285" ca="1" si="2">OFFSET(A279,0,LanguageID)</f>
        <v>Поступления от продаж</v>
      </c>
      <c r="B279" s="19" t="s">
        <v>1093</v>
      </c>
      <c r="C279" t="s">
        <v>1318</v>
      </c>
      <c r="D279" t="s">
        <v>1907</v>
      </c>
    </row>
    <row r="280" spans="1:4" x14ac:dyDescent="0.2">
      <c r="A280" t="str">
        <f t="shared" ca="1" si="2"/>
        <v>Передано площадей на сумму</v>
      </c>
      <c r="B280" s="19" t="s">
        <v>961</v>
      </c>
      <c r="C280" t="s">
        <v>1319</v>
      </c>
      <c r="D280" t="s">
        <v>1908</v>
      </c>
    </row>
    <row r="281" spans="1:4" x14ac:dyDescent="0.2">
      <c r="A281" t="str">
        <f t="shared" ca="1" si="2"/>
        <v>Доля площадей, не облагаемых НДС</v>
      </c>
      <c r="B281" s="19" t="s">
        <v>962</v>
      </c>
      <c r="C281" t="s">
        <v>74</v>
      </c>
      <c r="D281" t="s">
        <v>1909</v>
      </c>
    </row>
    <row r="282" spans="1:4" x14ac:dyDescent="0.2">
      <c r="A282" t="str">
        <f t="shared" ca="1" si="2"/>
        <v>Итого - поступления от продаж</v>
      </c>
      <c r="B282" s="24" t="s">
        <v>990</v>
      </c>
      <c r="C282" t="s">
        <v>75</v>
      </c>
      <c r="D282" t="s">
        <v>1910</v>
      </c>
    </row>
    <row r="283" spans="1:4" x14ac:dyDescent="0.2">
      <c r="A283" t="str">
        <f t="shared" ca="1" si="2"/>
        <v>Итого - стоимость переданных площадей</v>
      </c>
      <c r="B283" s="24" t="s">
        <v>1332</v>
      </c>
      <c r="C283" t="s">
        <v>1312</v>
      </c>
      <c r="D283" t="s">
        <v>1911</v>
      </c>
    </row>
    <row r="284" spans="1:4" x14ac:dyDescent="0.2">
      <c r="A284" t="str">
        <f t="shared" ca="1" si="2"/>
        <v>Передача проданных площадей покупателям</v>
      </c>
      <c r="B284" s="19" t="s">
        <v>1346</v>
      </c>
      <c r="C284" t="s">
        <v>76</v>
      </c>
      <c r="D284" t="s">
        <v>1912</v>
      </c>
    </row>
    <row r="285" spans="1:4" x14ac:dyDescent="0.2">
      <c r="A285" t="str">
        <f t="shared" ca="1" si="2"/>
        <v>Доля площадей, не облагаемых НДС</v>
      </c>
      <c r="B285" s="19" t="s">
        <v>962</v>
      </c>
      <c r="C285" t="s">
        <v>74</v>
      </c>
      <c r="D285" t="s">
        <v>1909</v>
      </c>
    </row>
    <row r="286" spans="1:4" x14ac:dyDescent="0.2">
      <c r="A286" t="str">
        <f t="shared" ca="1" si="1"/>
        <v xml:space="preserve">         СТРОИТЕЛЬСТВО: СДАЧА ПЛОЩАДЕЙ В АРЕНДУ</v>
      </c>
      <c r="B286" s="24" t="s">
        <v>2006</v>
      </c>
      <c r="C286" s="24" t="s">
        <v>77</v>
      </c>
      <c r="D286" t="s">
        <v>1660</v>
      </c>
    </row>
    <row r="287" spans="1:4" x14ac:dyDescent="0.2">
      <c r="A287" t="str">
        <f t="shared" ca="1" si="1"/>
        <v>Ставка, за кв. м в год (с НДС)</v>
      </c>
      <c r="B287" s="19" t="s">
        <v>1333</v>
      </c>
      <c r="C287" t="s">
        <v>78</v>
      </c>
      <c r="D287" t="s">
        <v>1913</v>
      </c>
    </row>
    <row r="288" spans="1:4" x14ac:dyDescent="0.2">
      <c r="A288" t="str">
        <f ca="1">OFFSET(A288,0,LanguageID)</f>
        <v>Доступные для сдачи площади</v>
      </c>
      <c r="B288" s="19" t="s">
        <v>1334</v>
      </c>
      <c r="C288" t="s">
        <v>79</v>
      </c>
      <c r="D288" t="s">
        <v>1914</v>
      </c>
    </row>
    <row r="289" spans="1:4" x14ac:dyDescent="0.2">
      <c r="A289" t="str">
        <f ca="1">OFFSET(A289,0,LanguageID)</f>
        <v>Сдано в аренду</v>
      </c>
      <c r="B289" s="19" t="s">
        <v>1335</v>
      </c>
      <c r="C289" t="s">
        <v>80</v>
      </c>
      <c r="D289" t="s">
        <v>1915</v>
      </c>
    </row>
    <row r="290" spans="1:4" x14ac:dyDescent="0.2">
      <c r="A290" t="str">
        <f ca="1">OFFSET(A290,0,LanguageID)</f>
        <v>Поступления от аренды</v>
      </c>
      <c r="B290" s="19" t="s">
        <v>1336</v>
      </c>
      <c r="C290" t="s">
        <v>81</v>
      </c>
      <c r="D290" t="s">
        <v>1916</v>
      </c>
    </row>
    <row r="291" spans="1:4" x14ac:dyDescent="0.2">
      <c r="A291" t="str">
        <f ca="1">OFFSET(A291,0,LanguageID)</f>
        <v>Итого - поступления от аренды</v>
      </c>
      <c r="B291" s="127" t="s">
        <v>1347</v>
      </c>
      <c r="C291" t="s">
        <v>82</v>
      </c>
      <c r="D291" t="s">
        <v>1917</v>
      </c>
    </row>
    <row r="292" spans="1:4" x14ac:dyDescent="0.2">
      <c r="A292" t="str">
        <f t="shared" ca="1" si="1"/>
        <v xml:space="preserve">         СТРОИТЕЛЬСТВО: БАЛАНС ПО ОБЪЕКТУ</v>
      </c>
      <c r="B292" s="24" t="s">
        <v>1430</v>
      </c>
      <c r="C292" s="24" t="s">
        <v>83</v>
      </c>
      <c r="D292" t="s">
        <v>1661</v>
      </c>
    </row>
    <row r="293" spans="1:4" x14ac:dyDescent="0.2">
      <c r="A293" t="str">
        <f t="shared" ca="1" si="1"/>
        <v>Внимание! Сумма продаваемых долей не может превышать 100%</v>
      </c>
      <c r="B293" s="127" t="s">
        <v>1024</v>
      </c>
      <c r="C293" s="127" t="s">
        <v>84</v>
      </c>
      <c r="D293" t="s">
        <v>1918</v>
      </c>
    </row>
    <row r="294" spans="1:4" x14ac:dyDescent="0.2">
      <c r="A294" t="str">
        <f t="shared" ref="A294:A352" ca="1" si="3">OFFSET(A294,0,LanguageID)</f>
        <v>лет</v>
      </c>
      <c r="B294" s="50" t="s">
        <v>2493</v>
      </c>
      <c r="C294" s="127" t="s">
        <v>85</v>
      </c>
      <c r="D294" t="s">
        <v>1505</v>
      </c>
    </row>
    <row r="295" spans="1:4" x14ac:dyDescent="0.2">
      <c r="A295" t="str">
        <f t="shared" ca="1" si="3"/>
        <v>Оплата строительства объекта</v>
      </c>
      <c r="B295" s="100" t="s">
        <v>891</v>
      </c>
      <c r="C295" t="s">
        <v>86</v>
      </c>
      <c r="D295" t="s">
        <v>1919</v>
      </c>
    </row>
    <row r="296" spans="1:4" x14ac:dyDescent="0.2">
      <c r="A296" t="str">
        <f t="shared" ca="1" si="3"/>
        <v xml:space="preserve">    оплата без НДС</v>
      </c>
      <c r="B296" s="100" t="s">
        <v>892</v>
      </c>
      <c r="C296" s="100" t="s">
        <v>87</v>
      </c>
      <c r="D296" t="s">
        <v>1920</v>
      </c>
    </row>
    <row r="297" spans="1:4" x14ac:dyDescent="0.2">
      <c r="A297" t="str">
        <f t="shared" ca="1" si="3"/>
        <v xml:space="preserve">    НДС</v>
      </c>
      <c r="B297" s="100" t="s">
        <v>2602</v>
      </c>
      <c r="C297" s="100" t="s">
        <v>88</v>
      </c>
      <c r="D297" t="s">
        <v>2017</v>
      </c>
    </row>
    <row r="298" spans="1:4" x14ac:dyDescent="0.2">
      <c r="A298" t="str">
        <f t="shared" ca="1" si="3"/>
        <v xml:space="preserve">   НДС к зачету</v>
      </c>
      <c r="B298" s="100" t="s">
        <v>912</v>
      </c>
      <c r="C298" s="100" t="s">
        <v>89</v>
      </c>
      <c r="D298" t="s">
        <v>2018</v>
      </c>
    </row>
    <row r="299" spans="1:4" x14ac:dyDescent="0.2">
      <c r="A299" t="str">
        <f t="shared" ca="1" si="3"/>
        <v>Выполненный объем работ</v>
      </c>
      <c r="B299" s="100" t="s">
        <v>893</v>
      </c>
      <c r="C299" t="s">
        <v>90</v>
      </c>
      <c r="D299" t="s">
        <v>2019</v>
      </c>
    </row>
    <row r="300" spans="1:4" x14ac:dyDescent="0.2">
      <c r="A300" t="str">
        <f t="shared" ca="1" si="3"/>
        <v xml:space="preserve">    работы без НДС</v>
      </c>
      <c r="B300" s="100" t="s">
        <v>894</v>
      </c>
      <c r="C300" t="s">
        <v>87</v>
      </c>
      <c r="D300" t="s">
        <v>2020</v>
      </c>
    </row>
    <row r="301" spans="1:4" x14ac:dyDescent="0.2">
      <c r="A301" t="str">
        <f t="shared" ca="1" si="3"/>
        <v xml:space="preserve">    зачет НДС</v>
      </c>
      <c r="B301" s="100" t="s">
        <v>511</v>
      </c>
      <c r="C301" t="s">
        <v>91</v>
      </c>
      <c r="D301" t="s">
        <v>2021</v>
      </c>
    </row>
    <row r="302" spans="1:4" x14ac:dyDescent="0.2">
      <c r="A302" t="str">
        <f t="shared" ca="1" si="3"/>
        <v>Авансы подрядчикам (без НДС)</v>
      </c>
      <c r="B302" s="100" t="s">
        <v>895</v>
      </c>
      <c r="C302" t="s">
        <v>1942</v>
      </c>
      <c r="D302" t="s">
        <v>2022</v>
      </c>
    </row>
    <row r="303" spans="1:4" x14ac:dyDescent="0.2">
      <c r="A303" t="str">
        <f t="shared" ca="1" si="3"/>
        <v>Кредиторская задолженность подрядчикам (без НДС)</v>
      </c>
      <c r="B303" s="100" t="s">
        <v>882</v>
      </c>
      <c r="C303" t="s">
        <v>1943</v>
      </c>
      <c r="D303" t="s">
        <v>2023</v>
      </c>
    </row>
    <row r="304" spans="1:4" x14ac:dyDescent="0.2">
      <c r="A304" t="str">
        <f t="shared" ca="1" si="3"/>
        <v>Стоимость завершенного объекта</v>
      </c>
      <c r="B304" s="100" t="s">
        <v>883</v>
      </c>
      <c r="C304" t="s">
        <v>1944</v>
      </c>
      <c r="D304" t="s">
        <v>2024</v>
      </c>
    </row>
    <row r="305" spans="1:4" x14ac:dyDescent="0.2">
      <c r="A305" t="str">
        <f t="shared" ca="1" si="3"/>
        <v xml:space="preserve">    стоимость без НДС</v>
      </c>
      <c r="B305" s="100" t="s">
        <v>884</v>
      </c>
      <c r="C305" t="s">
        <v>87</v>
      </c>
      <c r="D305" t="s">
        <v>2025</v>
      </c>
    </row>
    <row r="306" spans="1:4" x14ac:dyDescent="0.2">
      <c r="A306" t="str">
        <f t="shared" ca="1" si="3"/>
        <v>Доля площадей к передаче дольщикам / соинвесторам</v>
      </c>
      <c r="B306" s="100" t="s">
        <v>902</v>
      </c>
      <c r="C306" t="s">
        <v>1945</v>
      </c>
      <c r="D306" t="s">
        <v>2026</v>
      </c>
    </row>
    <row r="307" spans="1:4" x14ac:dyDescent="0.2">
      <c r="A307" t="str">
        <f t="shared" ca="1" si="3"/>
        <v>Доля площадей к продаже</v>
      </c>
      <c r="B307" s="100" t="s">
        <v>903</v>
      </c>
      <c r="C307" t="s">
        <v>1946</v>
      </c>
      <c r="D307" t="s">
        <v>2027</v>
      </c>
    </row>
    <row r="308" spans="1:4" x14ac:dyDescent="0.2">
      <c r="A308" t="str">
        <f t="shared" ca="1" si="3"/>
        <v>Учет доли объекта для собственного использования</v>
      </c>
      <c r="B308" s="100" t="s">
        <v>904</v>
      </c>
      <c r="C308" t="s">
        <v>1894</v>
      </c>
      <c r="D308" t="s">
        <v>1322</v>
      </c>
    </row>
    <row r="309" spans="1:4" x14ac:dyDescent="0.2">
      <c r="A309" t="str">
        <f t="shared" ca="1" si="3"/>
        <v>Незавершенные инвестиции</v>
      </c>
      <c r="B309" s="100" t="s">
        <v>2374</v>
      </c>
      <c r="C309" t="s">
        <v>1895</v>
      </c>
      <c r="D309" t="s">
        <v>1323</v>
      </c>
    </row>
    <row r="310" spans="1:4" x14ac:dyDescent="0.2">
      <c r="A310" t="str">
        <f t="shared" ca="1" si="3"/>
        <v>Срок амортизации</v>
      </c>
      <c r="B310" s="100" t="s">
        <v>906</v>
      </c>
      <c r="C310" t="s">
        <v>1896</v>
      </c>
      <c r="D310" t="s">
        <v>1324</v>
      </c>
    </row>
    <row r="311" spans="1:4" x14ac:dyDescent="0.2">
      <c r="A311" t="str">
        <f t="shared" ca="1" si="3"/>
        <v xml:space="preserve">    балансовая стоимость</v>
      </c>
      <c r="B311" s="100" t="s">
        <v>924</v>
      </c>
      <c r="C311" t="s">
        <v>1897</v>
      </c>
      <c r="D311" t="s">
        <v>1325</v>
      </c>
    </row>
    <row r="312" spans="1:4" x14ac:dyDescent="0.2">
      <c r="A312" t="str">
        <f t="shared" ca="1" si="3"/>
        <v xml:space="preserve">    амортизация за текущий период</v>
      </c>
      <c r="B312" s="100" t="s">
        <v>1148</v>
      </c>
      <c r="C312" t="s">
        <v>1898</v>
      </c>
      <c r="D312" t="s">
        <v>1326</v>
      </c>
    </row>
    <row r="313" spans="1:4" x14ac:dyDescent="0.2">
      <c r="A313" t="str">
        <f t="shared" ca="1" si="3"/>
        <v xml:space="preserve">    накопленная амортизация</v>
      </c>
      <c r="B313" s="100" t="s">
        <v>2463</v>
      </c>
      <c r="C313" t="s">
        <v>1899</v>
      </c>
      <c r="D313" t="s">
        <v>1327</v>
      </c>
    </row>
    <row r="314" spans="1:4" x14ac:dyDescent="0.2">
      <c r="A314" t="str">
        <f t="shared" ca="1" si="3"/>
        <v xml:space="preserve">    остаточная стоимость</v>
      </c>
      <c r="B314" s="100" t="s">
        <v>2464</v>
      </c>
      <c r="C314" t="s">
        <v>1900</v>
      </c>
      <c r="D314" t="s">
        <v>1328</v>
      </c>
    </row>
    <row r="315" spans="1:4" x14ac:dyDescent="0.2">
      <c r="A315" t="str">
        <f t="shared" ca="1" si="3"/>
        <v>Зачет НДС</v>
      </c>
      <c r="B315" s="100" t="s">
        <v>1149</v>
      </c>
      <c r="C315" t="s">
        <v>1901</v>
      </c>
      <c r="D315" t="s">
        <v>2015</v>
      </c>
    </row>
    <row r="316" spans="1:4" x14ac:dyDescent="0.2">
      <c r="A316" t="str">
        <f t="shared" ca="1" si="3"/>
        <v>Продажа объекта после собственной эксплуатации (без НДС)</v>
      </c>
      <c r="B316" s="100" t="s">
        <v>1440</v>
      </c>
      <c r="C316" t="s">
        <v>1902</v>
      </c>
      <c r="D316" t="s">
        <v>2016</v>
      </c>
    </row>
    <row r="317" spans="1:4" x14ac:dyDescent="0.2">
      <c r="A317" t="str">
        <f t="shared" ca="1" si="3"/>
        <v xml:space="preserve">    продаваемая доля объекта</v>
      </c>
      <c r="B317" s="100" t="s">
        <v>1348</v>
      </c>
      <c r="C317" s="127" t="s">
        <v>1903</v>
      </c>
      <c r="D317" t="s">
        <v>72</v>
      </c>
    </row>
    <row r="318" spans="1:4" x14ac:dyDescent="0.2">
      <c r="A318" t="str">
        <f t="shared" ca="1" si="3"/>
        <v xml:space="preserve">    прибыль / убыток от продажи объекта</v>
      </c>
      <c r="B318" s="16" t="s">
        <v>1150</v>
      </c>
      <c r="C318" t="s">
        <v>138</v>
      </c>
      <c r="D318" t="s">
        <v>73</v>
      </c>
    </row>
    <row r="319" spans="1:4" x14ac:dyDescent="0.2">
      <c r="A319" t="str">
        <f t="shared" ca="1" si="3"/>
        <v xml:space="preserve">    НДС к выручке от продажи объекта</v>
      </c>
      <c r="B319" s="16" t="s">
        <v>1151</v>
      </c>
      <c r="C319" t="s">
        <v>139</v>
      </c>
      <c r="D319" t="s">
        <v>1696</v>
      </c>
    </row>
    <row r="320" spans="1:4" x14ac:dyDescent="0.2">
      <c r="A320" t="str">
        <f t="shared" ca="1" si="3"/>
        <v>Авансы подрядчикам</v>
      </c>
      <c r="B320" s="16" t="s">
        <v>1152</v>
      </c>
      <c r="C320" t="s">
        <v>140</v>
      </c>
      <c r="D320" t="s">
        <v>1697</v>
      </c>
    </row>
    <row r="321" spans="1:4" x14ac:dyDescent="0.2">
      <c r="A321" t="str">
        <f t="shared" ca="1" si="3"/>
        <v>Кредиторская задолженность подрядчикам</v>
      </c>
      <c r="B321" s="16" t="s">
        <v>1153</v>
      </c>
      <c r="C321" t="s">
        <v>140</v>
      </c>
      <c r="D321" t="s">
        <v>1698</v>
      </c>
    </row>
    <row r="322" spans="1:4" x14ac:dyDescent="0.2">
      <c r="A322" t="str">
        <f t="shared" ca="1" si="3"/>
        <v>Учет доли к передаче дольщикам / соинвесторам</v>
      </c>
      <c r="B322" s="46" t="s">
        <v>1154</v>
      </c>
      <c r="C322" t="s">
        <v>18</v>
      </c>
      <c r="D322" t="s">
        <v>1699</v>
      </c>
    </row>
    <row r="323" spans="1:4" x14ac:dyDescent="0.2">
      <c r="A323" t="str">
        <f t="shared" ca="1" si="3"/>
        <v>Незавершенные инвестиции</v>
      </c>
      <c r="B323" s="46" t="s">
        <v>2374</v>
      </c>
      <c r="C323" t="s">
        <v>1895</v>
      </c>
      <c r="D323" t="s">
        <v>1323</v>
      </c>
    </row>
    <row r="324" spans="1:4" x14ac:dyDescent="0.2">
      <c r="A324" t="str">
        <f t="shared" ca="1" si="3"/>
        <v>Здания и сооружения на балансе</v>
      </c>
      <c r="B324" s="46" t="s">
        <v>905</v>
      </c>
      <c r="C324" t="s">
        <v>19</v>
      </c>
      <c r="D324" t="s">
        <v>0</v>
      </c>
    </row>
    <row r="325" spans="1:4" x14ac:dyDescent="0.2">
      <c r="A325" t="str">
        <f t="shared" ca="1" si="3"/>
        <v>Выплаченный, но не зачтенный НДС</v>
      </c>
      <c r="B325" s="46" t="s">
        <v>1266</v>
      </c>
      <c r="C325" t="s">
        <v>20</v>
      </c>
      <c r="D325" t="s">
        <v>1</v>
      </c>
    </row>
    <row r="326" spans="1:4" x14ac:dyDescent="0.2">
      <c r="A326" t="str">
        <f t="shared" ca="1" si="3"/>
        <v>Списание стоимости переданных площадей:</v>
      </c>
      <c r="B326" s="46" t="s">
        <v>1155</v>
      </c>
      <c r="C326" t="s">
        <v>21</v>
      </c>
      <c r="D326" t="s">
        <v>2</v>
      </c>
    </row>
    <row r="327" spans="1:4" x14ac:dyDescent="0.2">
      <c r="A327" t="str">
        <f t="shared" ca="1" si="3"/>
        <v xml:space="preserve">    доля объекта, переданная в текущем периоде</v>
      </c>
      <c r="B327" s="46" t="s">
        <v>1156</v>
      </c>
      <c r="C327" t="s">
        <v>22</v>
      </c>
      <c r="D327" t="s">
        <v>3</v>
      </c>
    </row>
    <row r="328" spans="1:4" x14ac:dyDescent="0.2">
      <c r="A328" t="str">
        <f t="shared" ca="1" si="3"/>
        <v xml:space="preserve">    балансовая стоимость</v>
      </c>
      <c r="B328" s="46" t="s">
        <v>924</v>
      </c>
      <c r="C328" t="s">
        <v>23</v>
      </c>
      <c r="D328" t="s">
        <v>4</v>
      </c>
    </row>
    <row r="329" spans="1:4" x14ac:dyDescent="0.2">
      <c r="A329" t="str">
        <f t="shared" ca="1" si="3"/>
        <v xml:space="preserve">    прибыль/убыток от реализации активов</v>
      </c>
      <c r="B329" s="46" t="s">
        <v>925</v>
      </c>
      <c r="C329" t="s">
        <v>138</v>
      </c>
      <c r="D329" t="s">
        <v>73</v>
      </c>
    </row>
    <row r="330" spans="1:4" x14ac:dyDescent="0.2">
      <c r="A330" t="str">
        <f t="shared" ca="1" si="3"/>
        <v>Стоимость оставшейся доли объекта на начало периода:</v>
      </c>
      <c r="B330" s="46" t="s">
        <v>1025</v>
      </c>
      <c r="C330" t="s">
        <v>1122</v>
      </c>
      <c r="D330" t="s">
        <v>5</v>
      </c>
    </row>
    <row r="331" spans="1:4" x14ac:dyDescent="0.2">
      <c r="A331" t="str">
        <f t="shared" ca="1" si="3"/>
        <v xml:space="preserve">    непроданная доля объекта</v>
      </c>
      <c r="B331" s="46" t="s">
        <v>1157</v>
      </c>
      <c r="C331" t="s">
        <v>24</v>
      </c>
      <c r="D331" t="s">
        <v>6</v>
      </c>
    </row>
    <row r="332" spans="1:4" x14ac:dyDescent="0.2">
      <c r="A332" t="str">
        <f t="shared" ca="1" si="3"/>
        <v xml:space="preserve">    балансовая стоимость</v>
      </c>
      <c r="B332" s="46" t="s">
        <v>924</v>
      </c>
      <c r="C332" t="s">
        <v>23</v>
      </c>
      <c r="D332" t="s">
        <v>4</v>
      </c>
    </row>
    <row r="333" spans="1:4" x14ac:dyDescent="0.2">
      <c r="A333" t="str">
        <f t="shared" ca="1" si="3"/>
        <v>Авансы подрядчикам</v>
      </c>
      <c r="B333" s="46" t="s">
        <v>1152</v>
      </c>
      <c r="C333" t="s">
        <v>140</v>
      </c>
      <c r="D333" t="s">
        <v>1697</v>
      </c>
    </row>
    <row r="334" spans="1:4" x14ac:dyDescent="0.2">
      <c r="A334" t="str">
        <f t="shared" ca="1" si="3"/>
        <v>Кредиторская задолженность подрядчикам</v>
      </c>
      <c r="B334" s="46" t="s">
        <v>1153</v>
      </c>
      <c r="C334" t="s">
        <v>149</v>
      </c>
      <c r="D334" t="s">
        <v>1698</v>
      </c>
    </row>
    <row r="335" spans="1:4" x14ac:dyDescent="0.2">
      <c r="A335" t="str">
        <f t="shared" ca="1" si="3"/>
        <v>Доходы от продажи площадей</v>
      </c>
      <c r="B335" s="16" t="s">
        <v>1158</v>
      </c>
      <c r="C335" t="s">
        <v>150</v>
      </c>
      <c r="D335" t="s">
        <v>1906</v>
      </c>
    </row>
    <row r="336" spans="1:4" x14ac:dyDescent="0.2">
      <c r="A336" t="str">
        <f t="shared" ca="1" si="3"/>
        <v>Поступления от продажи площадей</v>
      </c>
      <c r="B336" s="16" t="s">
        <v>1159</v>
      </c>
      <c r="C336" t="s">
        <v>151</v>
      </c>
      <c r="D336" t="s">
        <v>7</v>
      </c>
    </row>
    <row r="337" spans="1:4" x14ac:dyDescent="0.2">
      <c r="A337" t="str">
        <f t="shared" ca="1" si="3"/>
        <v xml:space="preserve">    доходы без НДС</v>
      </c>
      <c r="B337" s="16" t="s">
        <v>1160</v>
      </c>
      <c r="C337" t="s">
        <v>152</v>
      </c>
      <c r="D337" t="s">
        <v>61</v>
      </c>
    </row>
    <row r="338" spans="1:4" x14ac:dyDescent="0.2">
      <c r="A338" t="str">
        <f t="shared" ca="1" si="3"/>
        <v>Передача проданных площадей</v>
      </c>
      <c r="B338" s="16" t="s">
        <v>1161</v>
      </c>
      <c r="C338" t="s">
        <v>153</v>
      </c>
      <c r="D338" t="s">
        <v>62</v>
      </c>
    </row>
    <row r="339" spans="1:4" x14ac:dyDescent="0.2">
      <c r="A339" t="str">
        <f t="shared" ca="1" si="3"/>
        <v xml:space="preserve">    передача без НДС</v>
      </c>
      <c r="B339" s="16" t="s">
        <v>1162</v>
      </c>
      <c r="C339" t="s">
        <v>154</v>
      </c>
      <c r="D339" t="s">
        <v>63</v>
      </c>
    </row>
    <row r="340" spans="1:4" x14ac:dyDescent="0.2">
      <c r="A340" t="str">
        <f t="shared" ca="1" si="3"/>
        <v>Себестоимость проданных площадей</v>
      </c>
      <c r="B340" s="16" t="s">
        <v>1163</v>
      </c>
      <c r="C340" t="s">
        <v>28</v>
      </c>
      <c r="D340" t="s">
        <v>64</v>
      </c>
    </row>
    <row r="341" spans="1:4" x14ac:dyDescent="0.2">
      <c r="A341" t="str">
        <f t="shared" ca="1" si="3"/>
        <v>Полученные авансы</v>
      </c>
      <c r="B341" s="16" t="s">
        <v>1164</v>
      </c>
      <c r="C341" t="s">
        <v>1395</v>
      </c>
      <c r="D341" t="s">
        <v>1619</v>
      </c>
    </row>
    <row r="342" spans="1:4" x14ac:dyDescent="0.2">
      <c r="A342" t="str">
        <f t="shared" ca="1" si="3"/>
        <v xml:space="preserve">   НДС с авансов</v>
      </c>
      <c r="B342" s="16" t="s">
        <v>1165</v>
      </c>
      <c r="C342" t="s">
        <v>29</v>
      </c>
      <c r="D342" t="s">
        <v>65</v>
      </c>
    </row>
    <row r="343" spans="1:4" x14ac:dyDescent="0.2">
      <c r="A343" t="str">
        <f t="shared" ca="1" si="3"/>
        <v xml:space="preserve">   НДС в бюджет</v>
      </c>
      <c r="B343" s="16" t="s">
        <v>913</v>
      </c>
      <c r="C343" t="s">
        <v>107</v>
      </c>
      <c r="D343" t="s">
        <v>66</v>
      </c>
    </row>
    <row r="344" spans="1:4" x14ac:dyDescent="0.2">
      <c r="A344" t="str">
        <f t="shared" ca="1" si="3"/>
        <v>Дебиторская задолженность</v>
      </c>
      <c r="B344" s="16" t="s">
        <v>2665</v>
      </c>
      <c r="C344" t="s">
        <v>108</v>
      </c>
      <c r="D344" t="s">
        <v>1594</v>
      </c>
    </row>
    <row r="345" spans="1:4" x14ac:dyDescent="0.2">
      <c r="A345" t="str">
        <f t="shared" ca="1" si="3"/>
        <v>Доходы от аренды</v>
      </c>
      <c r="B345" s="16" t="s">
        <v>1166</v>
      </c>
      <c r="C345" t="s">
        <v>81</v>
      </c>
      <c r="D345" t="s">
        <v>1916</v>
      </c>
    </row>
    <row r="346" spans="1:4" x14ac:dyDescent="0.2">
      <c r="A346" t="str">
        <f t="shared" ca="1" si="3"/>
        <v xml:space="preserve">    доходы без НДС</v>
      </c>
      <c r="B346" s="16" t="s">
        <v>1160</v>
      </c>
      <c r="C346" t="s">
        <v>109</v>
      </c>
      <c r="D346" t="s">
        <v>61</v>
      </c>
    </row>
    <row r="347" spans="1:4" x14ac:dyDescent="0.2">
      <c r="A347" t="str">
        <f t="shared" ca="1" si="3"/>
        <v>Учет объекта в текущих активах</v>
      </c>
      <c r="B347" s="16" t="s">
        <v>1187</v>
      </c>
      <c r="C347" t="s">
        <v>110</v>
      </c>
      <c r="D347" t="s">
        <v>67</v>
      </c>
    </row>
    <row r="348" spans="1:4" x14ac:dyDescent="0.2">
      <c r="A348" t="str">
        <f t="shared" ca="1" si="3"/>
        <v>Незавершенное производство</v>
      </c>
      <c r="B348" s="16" t="s">
        <v>2621</v>
      </c>
      <c r="C348" t="s">
        <v>1273</v>
      </c>
      <c r="D348" t="s">
        <v>68</v>
      </c>
    </row>
    <row r="349" spans="1:4" x14ac:dyDescent="0.2">
      <c r="A349" t="str">
        <f t="shared" ca="1" si="3"/>
        <v>Запасы готовой продукции</v>
      </c>
      <c r="B349" s="16" t="s">
        <v>2713</v>
      </c>
      <c r="C349" t="s">
        <v>1380</v>
      </c>
      <c r="D349" t="s">
        <v>1593</v>
      </c>
    </row>
    <row r="350" spans="1:4" x14ac:dyDescent="0.2">
      <c r="A350" t="str">
        <f t="shared" ca="1" si="3"/>
        <v>НДС к ранее осуществленным инвестициям, включаемый в затраты</v>
      </c>
      <c r="B350" s="16" t="s">
        <v>738</v>
      </c>
      <c r="C350" t="s">
        <v>739</v>
      </c>
      <c r="D350" t="s">
        <v>134</v>
      </c>
    </row>
    <row r="351" spans="1:4" x14ac:dyDescent="0.2">
      <c r="A351" t="str">
        <f t="shared" ca="1" si="3"/>
        <v>Авансы подрядчикам</v>
      </c>
      <c r="B351" s="16" t="s">
        <v>1152</v>
      </c>
      <c r="C351" t="s">
        <v>140</v>
      </c>
      <c r="D351" t="s">
        <v>1697</v>
      </c>
    </row>
    <row r="352" spans="1:4" x14ac:dyDescent="0.2">
      <c r="A352" t="str">
        <f t="shared" ca="1" si="3"/>
        <v>Кредиторская задолженность подрядчикам</v>
      </c>
      <c r="B352" s="16" t="s">
        <v>1153</v>
      </c>
      <c r="C352" t="s">
        <v>149</v>
      </c>
      <c r="D352" t="s">
        <v>1698</v>
      </c>
    </row>
    <row r="353" spans="1:4" x14ac:dyDescent="0.2">
      <c r="A353" t="str">
        <f t="shared" ca="1" si="1"/>
        <v xml:space="preserve">         СУЩЕСТВУЮЩИЕ АКТИВЫ ПРОЕКТА</v>
      </c>
      <c r="B353" s="24" t="s">
        <v>1431</v>
      </c>
      <c r="C353" s="24" t="s">
        <v>111</v>
      </c>
      <c r="D353" t="s">
        <v>1662</v>
      </c>
    </row>
    <row r="354" spans="1:4" x14ac:dyDescent="0.2">
      <c r="A354" t="str">
        <f t="shared" ca="1" si="1"/>
        <v>Существующие активы</v>
      </c>
      <c r="B354" s="46" t="s">
        <v>25</v>
      </c>
      <c r="C354" s="127" t="s">
        <v>26</v>
      </c>
      <c r="D354" t="s">
        <v>27</v>
      </c>
    </row>
    <row r="355" spans="1:4" x14ac:dyDescent="0.2">
      <c r="A355" t="str">
        <f t="shared" ref="A355:A370" ca="1" si="4">OFFSET(A355,0,LanguageID)</f>
        <v xml:space="preserve">  Амортизация</v>
      </c>
      <c r="B355" s="23" t="s">
        <v>2304</v>
      </c>
      <c r="C355" s="23" t="s">
        <v>2305</v>
      </c>
      <c r="D355" t="s">
        <v>2306</v>
      </c>
    </row>
    <row r="356" spans="1:4" x14ac:dyDescent="0.2">
      <c r="A356" t="str">
        <f t="shared" ca="1" si="4"/>
        <v>Существующие внеоборотные активы</v>
      </c>
      <c r="B356" s="24" t="s">
        <v>516</v>
      </c>
      <c r="C356" s="23" t="s">
        <v>112</v>
      </c>
      <c r="D356" t="s">
        <v>135</v>
      </c>
    </row>
    <row r="357" spans="1:4" x14ac:dyDescent="0.2">
      <c r="A357" t="str">
        <f t="shared" ca="1" si="4"/>
        <v>Здания и сооружения</v>
      </c>
      <c r="B357" s="24" t="s">
        <v>2433</v>
      </c>
      <c r="C357" t="s">
        <v>113</v>
      </c>
      <c r="D357" t="s">
        <v>136</v>
      </c>
    </row>
    <row r="358" spans="1:4" x14ac:dyDescent="0.2">
      <c r="A358" t="str">
        <f t="shared" ca="1" si="4"/>
        <v xml:space="preserve">    первоначальная стоимость</v>
      </c>
      <c r="B358" s="24" t="s">
        <v>1373</v>
      </c>
      <c r="C358" s="24" t="s">
        <v>114</v>
      </c>
      <c r="D358" t="s">
        <v>137</v>
      </c>
    </row>
    <row r="359" spans="1:4" x14ac:dyDescent="0.2">
      <c r="A359" t="str">
        <f t="shared" ca="1" si="4"/>
        <v xml:space="preserve">    амортизация (линейная),       для срока использования:</v>
      </c>
      <c r="B359" s="24" t="s">
        <v>829</v>
      </c>
      <c r="C359" t="s">
        <v>1976</v>
      </c>
      <c r="D359" t="s">
        <v>2046</v>
      </c>
    </row>
    <row r="360" spans="1:4" x14ac:dyDescent="0.2">
      <c r="A360" t="str">
        <f t="shared" ca="1" si="4"/>
        <v xml:space="preserve">    накопленная амортизация</v>
      </c>
      <c r="B360" s="127" t="s">
        <v>2463</v>
      </c>
      <c r="C360" t="s">
        <v>1899</v>
      </c>
      <c r="D360" t="s">
        <v>1327</v>
      </c>
    </row>
    <row r="361" spans="1:4" x14ac:dyDescent="0.2">
      <c r="A361" t="str">
        <f t="shared" ca="1" si="4"/>
        <v xml:space="preserve">    остаточная стоимость</v>
      </c>
      <c r="B361" s="127" t="s">
        <v>2464</v>
      </c>
      <c r="C361" t="s">
        <v>1900</v>
      </c>
      <c r="D361" t="s">
        <v>1328</v>
      </c>
    </row>
    <row r="362" spans="1:4" x14ac:dyDescent="0.2">
      <c r="A362" t="str">
        <f t="shared" ca="1" si="4"/>
        <v xml:space="preserve">    реализация актива (без НДС)</v>
      </c>
      <c r="B362" s="24" t="s">
        <v>512</v>
      </c>
      <c r="C362" t="s">
        <v>1977</v>
      </c>
      <c r="D362" t="s">
        <v>2047</v>
      </c>
    </row>
    <row r="363" spans="1:4" x14ac:dyDescent="0.2">
      <c r="A363" t="str">
        <f t="shared" ca="1" si="4"/>
        <v xml:space="preserve">    прибыль/убыток от реализации актива</v>
      </c>
      <c r="B363" s="24" t="s">
        <v>513</v>
      </c>
      <c r="C363" t="s">
        <v>1978</v>
      </c>
      <c r="D363" t="s">
        <v>246</v>
      </c>
    </row>
    <row r="364" spans="1:4" x14ac:dyDescent="0.2">
      <c r="A364" t="str">
        <f t="shared" ca="1" si="4"/>
        <v xml:space="preserve">    НДС к выручке от реализации актива</v>
      </c>
      <c r="B364" s="24" t="s">
        <v>514</v>
      </c>
      <c r="C364" t="s">
        <v>1979</v>
      </c>
      <c r="D364" t="s">
        <v>247</v>
      </c>
    </row>
    <row r="365" spans="1:4" x14ac:dyDescent="0.2">
      <c r="A365" t="str">
        <f t="shared" ca="1" si="4"/>
        <v>Земельные участки</v>
      </c>
      <c r="B365" s="24" t="s">
        <v>2434</v>
      </c>
      <c r="C365" t="s">
        <v>1980</v>
      </c>
      <c r="D365" t="s">
        <v>248</v>
      </c>
    </row>
    <row r="366" spans="1:4" x14ac:dyDescent="0.2">
      <c r="A366" t="str">
        <f t="shared" ca="1" si="4"/>
        <v>Нематериальные активы</v>
      </c>
      <c r="B366" s="24" t="s">
        <v>2435</v>
      </c>
      <c r="C366" t="s">
        <v>1981</v>
      </c>
      <c r="D366" t="s">
        <v>249</v>
      </c>
    </row>
    <row r="367" spans="1:4" x14ac:dyDescent="0.2">
      <c r="A367" t="str">
        <f t="shared" ca="1" si="4"/>
        <v>Оборудование и другие активы</v>
      </c>
      <c r="B367" s="24" t="s">
        <v>2436</v>
      </c>
      <c r="C367" t="s">
        <v>1872</v>
      </c>
      <c r="D367" t="s">
        <v>155</v>
      </c>
    </row>
    <row r="368" spans="1:4" x14ac:dyDescent="0.2">
      <c r="A368" t="str">
        <f t="shared" ca="1" si="4"/>
        <v>Существующие расходы будущих периодов</v>
      </c>
      <c r="B368" s="24" t="s">
        <v>1372</v>
      </c>
      <c r="C368" t="s">
        <v>1873</v>
      </c>
      <c r="D368" t="s">
        <v>156</v>
      </c>
    </row>
    <row r="369" spans="1:4" x14ac:dyDescent="0.2">
      <c r="A369" t="str">
        <f t="shared" ca="1" si="4"/>
        <v>Существующие финансовые вложения</v>
      </c>
      <c r="B369" s="24" t="s">
        <v>1000</v>
      </c>
      <c r="C369" t="s">
        <v>1874</v>
      </c>
      <c r="D369" t="s">
        <v>157</v>
      </c>
    </row>
    <row r="370" spans="1:4" x14ac:dyDescent="0.2">
      <c r="A370" t="str">
        <f t="shared" ca="1" si="4"/>
        <v xml:space="preserve">    доходность финансовых вложений</v>
      </c>
      <c r="B370" s="24" t="s">
        <v>831</v>
      </c>
      <c r="C370" t="s">
        <v>1998</v>
      </c>
      <c r="D370" t="s">
        <v>2307</v>
      </c>
    </row>
    <row r="371" spans="1:4" x14ac:dyDescent="0.2">
      <c r="A371" t="str">
        <f t="shared" ca="1" si="1"/>
        <v xml:space="preserve">         ИНВЕСТИЦИИ ПРОЕКТА</v>
      </c>
      <c r="B371" s="24" t="s">
        <v>1432</v>
      </c>
      <c r="C371" s="24" t="s">
        <v>1880</v>
      </c>
      <c r="D371" t="s">
        <v>1742</v>
      </c>
    </row>
    <row r="372" spans="1:4" x14ac:dyDescent="0.2">
      <c r="A372" t="str">
        <f t="shared" ca="1" si="1"/>
        <v>ИТОГО</v>
      </c>
      <c r="B372" t="s">
        <v>2440</v>
      </c>
      <c r="C372" s="127" t="s">
        <v>1580</v>
      </c>
      <c r="D372" t="s">
        <v>158</v>
      </c>
    </row>
    <row r="373" spans="1:4" x14ac:dyDescent="0.2">
      <c r="A373" t="str">
        <f t="shared" ca="1" si="1"/>
        <v>по мере оплаты актива</v>
      </c>
      <c r="B373" t="s">
        <v>808</v>
      </c>
      <c r="C373" s="127" t="s">
        <v>1758</v>
      </c>
      <c r="D373" t="s">
        <v>159</v>
      </c>
    </row>
    <row r="374" spans="1:4" x14ac:dyDescent="0.2">
      <c r="A374" t="str">
        <f t="shared" ca="1" si="1"/>
        <v>после постановки актива на баланс</v>
      </c>
      <c r="B374" t="s">
        <v>809</v>
      </c>
      <c r="C374" t="s">
        <v>1759</v>
      </c>
      <c r="D374" t="s">
        <v>160</v>
      </c>
    </row>
    <row r="375" spans="1:4" x14ac:dyDescent="0.2">
      <c r="A375" t="str">
        <f t="shared" ca="1" si="1"/>
        <v>да</v>
      </c>
      <c r="B375" t="s">
        <v>816</v>
      </c>
      <c r="C375" t="s">
        <v>1760</v>
      </c>
      <c r="D375" t="s">
        <v>161</v>
      </c>
    </row>
    <row r="376" spans="1:4" x14ac:dyDescent="0.2">
      <c r="A376" t="str">
        <f t="shared" ca="1" si="1"/>
        <v>нет</v>
      </c>
      <c r="B376" t="s">
        <v>815</v>
      </c>
      <c r="C376" t="s">
        <v>1761</v>
      </c>
      <c r="D376" t="s">
        <v>162</v>
      </c>
    </row>
    <row r="377" spans="1:4" x14ac:dyDescent="0.2">
      <c r="A377" t="str">
        <f t="shared" ref="A377:A429" ca="1" si="5">OFFSET(A377,0,LanguageID)</f>
        <v>периода</v>
      </c>
      <c r="B377" s="224" t="s">
        <v>1001</v>
      </c>
      <c r="C377" t="s">
        <v>1827</v>
      </c>
      <c r="D377" t="s">
        <v>163</v>
      </c>
    </row>
    <row r="378" spans="1:4" x14ac:dyDescent="0.2">
      <c r="A378" t="str">
        <f t="shared" ca="1" si="5"/>
        <v>период</v>
      </c>
      <c r="B378" s="224" t="s">
        <v>814</v>
      </c>
      <c r="C378" t="s">
        <v>1827</v>
      </c>
      <c r="D378" t="s">
        <v>164</v>
      </c>
    </row>
    <row r="379" spans="1:4" x14ac:dyDescent="0.2">
      <c r="A379" t="str">
        <f t="shared" ca="1" si="5"/>
        <v>Земельные участки</v>
      </c>
      <c r="B379" s="52" t="s">
        <v>2434</v>
      </c>
      <c r="C379" t="s">
        <v>1980</v>
      </c>
      <c r="D379" t="s">
        <v>248</v>
      </c>
    </row>
    <row r="380" spans="1:4" x14ac:dyDescent="0.2">
      <c r="A380" t="str">
        <f t="shared" ca="1" si="5"/>
        <v>Наименование</v>
      </c>
      <c r="B380" s="52" t="s">
        <v>2438</v>
      </c>
      <c r="C380" t="s">
        <v>1762</v>
      </c>
      <c r="D380" t="s">
        <v>165</v>
      </c>
    </row>
    <row r="381" spans="1:4" x14ac:dyDescent="0.2">
      <c r="A381" t="str">
        <f t="shared" ca="1" si="5"/>
        <v xml:space="preserve">    величина платежей</v>
      </c>
      <c r="B381" s="52" t="s">
        <v>810</v>
      </c>
      <c r="C381" t="s">
        <v>1952</v>
      </c>
      <c r="D381" t="s">
        <v>166</v>
      </c>
    </row>
    <row r="382" spans="1:4" x14ac:dyDescent="0.2">
      <c r="A382" t="str">
        <f t="shared" ca="1" si="5"/>
        <v xml:space="preserve">    величина платежей (с НДС)</v>
      </c>
      <c r="B382" s="52" t="s">
        <v>1420</v>
      </c>
      <c r="C382" t="s">
        <v>1953</v>
      </c>
      <c r="D382" t="s">
        <v>167</v>
      </c>
    </row>
    <row r="383" spans="1:4" x14ac:dyDescent="0.2">
      <c r="A383" t="str">
        <f t="shared" ca="1" si="5"/>
        <v xml:space="preserve">    величина платежей (без НДС)</v>
      </c>
      <c r="B383" s="52" t="s">
        <v>308</v>
      </c>
      <c r="C383" t="s">
        <v>44</v>
      </c>
      <c r="D383" t="s">
        <v>307</v>
      </c>
    </row>
    <row r="384" spans="1:4" x14ac:dyDescent="0.2">
      <c r="A384" t="str">
        <f t="shared" ca="1" si="5"/>
        <v xml:space="preserve">    ранее осуществленные инвестиции (без НДС)</v>
      </c>
      <c r="B384" t="s">
        <v>2455</v>
      </c>
      <c r="C384" t="s">
        <v>1954</v>
      </c>
      <c r="D384" t="s">
        <v>168</v>
      </c>
    </row>
    <row r="385" spans="1:4" x14ac:dyDescent="0.2">
      <c r="A385" t="str">
        <f t="shared" ca="1" si="5"/>
        <v xml:space="preserve">    поставить на баланс с</v>
      </c>
      <c r="B385" s="52" t="s">
        <v>2457</v>
      </c>
      <c r="C385" t="s">
        <v>1955</v>
      </c>
      <c r="D385" t="s">
        <v>169</v>
      </c>
    </row>
    <row r="386" spans="1:4" x14ac:dyDescent="0.2">
      <c r="A386" t="str">
        <f t="shared" ca="1" si="5"/>
        <v xml:space="preserve">    сумма платежей без НДС</v>
      </c>
      <c r="B386" s="52" t="s">
        <v>2454</v>
      </c>
      <c r="C386" t="s">
        <v>1956</v>
      </c>
      <c r="D386" t="s">
        <v>170</v>
      </c>
    </row>
    <row r="387" spans="1:4" x14ac:dyDescent="0.2">
      <c r="A387" t="str">
        <f t="shared" ca="1" si="5"/>
        <v xml:space="preserve">    общая стоимость актива (без НДС)</v>
      </c>
      <c r="B387" s="52" t="s">
        <v>2456</v>
      </c>
      <c r="C387" t="s">
        <v>1957</v>
      </c>
      <c r="D387" t="s">
        <v>171</v>
      </c>
    </row>
    <row r="388" spans="1:4" x14ac:dyDescent="0.2">
      <c r="A388" t="str">
        <f t="shared" ca="1" si="5"/>
        <v xml:space="preserve">    полная сумма вложений в актив (без НДС)</v>
      </c>
      <c r="B388" s="52" t="s">
        <v>2458</v>
      </c>
      <c r="C388" t="s">
        <v>1958</v>
      </c>
      <c r="D388" t="s">
        <v>172</v>
      </c>
    </row>
    <row r="389" spans="1:4" x14ac:dyDescent="0.2">
      <c r="A389" t="str">
        <f t="shared" ca="1" si="5"/>
        <v xml:space="preserve">    полная балансовая стоимость</v>
      </c>
      <c r="B389" s="52" t="s">
        <v>2459</v>
      </c>
      <c r="C389" t="s">
        <v>1897</v>
      </c>
      <c r="D389" t="s">
        <v>1325</v>
      </c>
    </row>
    <row r="390" spans="1:4" x14ac:dyDescent="0.2">
      <c r="A390" t="str">
        <f t="shared" ca="1" si="5"/>
        <v xml:space="preserve">    незавершенные инвестиции</v>
      </c>
      <c r="B390" s="52" t="s">
        <v>2460</v>
      </c>
      <c r="C390" t="s">
        <v>1959</v>
      </c>
      <c r="D390" t="s">
        <v>173</v>
      </c>
    </row>
    <row r="391" spans="1:4" x14ac:dyDescent="0.2">
      <c r="A391" t="str">
        <f t="shared" ca="1" si="5"/>
        <v xml:space="preserve">    кредиторская задолженность</v>
      </c>
      <c r="B391" s="52" t="s">
        <v>2461</v>
      </c>
      <c r="C391" t="s">
        <v>1960</v>
      </c>
      <c r="D391" t="s">
        <v>174</v>
      </c>
    </row>
    <row r="392" spans="1:4" x14ac:dyDescent="0.2">
      <c r="A392" t="str">
        <f t="shared" ca="1" si="5"/>
        <v xml:space="preserve">    остаточная стоимость</v>
      </c>
      <c r="B392" s="52" t="s">
        <v>2464</v>
      </c>
      <c r="C392" t="s">
        <v>1900</v>
      </c>
      <c r="D392" t="s">
        <v>1328</v>
      </c>
    </row>
    <row r="393" spans="1:4" x14ac:dyDescent="0.2">
      <c r="A393" t="str">
        <f t="shared" ca="1" si="5"/>
        <v>Здания и сооружения</v>
      </c>
      <c r="B393" s="23" t="s">
        <v>2433</v>
      </c>
      <c r="C393" t="s">
        <v>113</v>
      </c>
      <c r="D393" t="s">
        <v>175</v>
      </c>
    </row>
    <row r="394" spans="1:4" x14ac:dyDescent="0.2">
      <c r="A394" t="str">
        <f t="shared" ca="1" si="5"/>
        <v xml:space="preserve">    амортизация (линейная),       для срока использования:</v>
      </c>
      <c r="B394" t="s">
        <v>829</v>
      </c>
      <c r="C394" t="s">
        <v>1976</v>
      </c>
      <c r="D394" t="s">
        <v>2046</v>
      </c>
    </row>
    <row r="395" spans="1:4" x14ac:dyDescent="0.2">
      <c r="A395" t="str">
        <f t="shared" ca="1" si="5"/>
        <v xml:space="preserve">    амортизация (ускоренная),    для срока использования:</v>
      </c>
      <c r="B395" t="s">
        <v>2462</v>
      </c>
      <c r="C395" t="s">
        <v>1961</v>
      </c>
      <c r="D395" t="s">
        <v>176</v>
      </c>
    </row>
    <row r="396" spans="1:4" x14ac:dyDescent="0.2">
      <c r="A396" t="str">
        <f t="shared" ca="1" si="5"/>
        <v xml:space="preserve">    выплаченный НДС</v>
      </c>
      <c r="B396" t="s">
        <v>2465</v>
      </c>
      <c r="C396" t="s">
        <v>107</v>
      </c>
      <c r="D396" t="s">
        <v>66</v>
      </c>
    </row>
    <row r="397" spans="1:4" x14ac:dyDescent="0.2">
      <c r="A397" t="str">
        <f t="shared" ca="1" si="5"/>
        <v xml:space="preserve">    вариант зачета НДС</v>
      </c>
      <c r="B397" t="s">
        <v>807</v>
      </c>
      <c r="C397" t="s">
        <v>1678</v>
      </c>
      <c r="D397" t="s">
        <v>177</v>
      </c>
    </row>
    <row r="398" spans="1:4" x14ac:dyDescent="0.2">
      <c r="A398" t="str">
        <f t="shared" ca="1" si="5"/>
        <v xml:space="preserve">    накопленная амортизация</v>
      </c>
      <c r="B398" t="s">
        <v>2463</v>
      </c>
      <c r="C398" t="s">
        <v>1899</v>
      </c>
      <c r="D398" t="s">
        <v>1327</v>
      </c>
    </row>
    <row r="399" spans="1:4" x14ac:dyDescent="0.2">
      <c r="A399" t="str">
        <f t="shared" ca="1" si="5"/>
        <v xml:space="preserve">    НДС к ранее осуществленным инвестициям</v>
      </c>
      <c r="B399" t="s">
        <v>2466</v>
      </c>
      <c r="C399" t="s">
        <v>1962</v>
      </c>
      <c r="D399" t="s">
        <v>266</v>
      </c>
    </row>
    <row r="400" spans="1:4" x14ac:dyDescent="0.2">
      <c r="A400" t="str">
        <f t="shared" ca="1" si="5"/>
        <v xml:space="preserve">    зачет НДС</v>
      </c>
      <c r="B400" t="s">
        <v>511</v>
      </c>
      <c r="C400" t="s">
        <v>91</v>
      </c>
      <c r="D400" t="s">
        <v>2021</v>
      </c>
    </row>
    <row r="401" spans="1:4" x14ac:dyDescent="0.2">
      <c r="A401" t="str">
        <f t="shared" ca="1" si="5"/>
        <v xml:space="preserve">    НДС к выручке от реализации актива</v>
      </c>
      <c r="B401" t="s">
        <v>514</v>
      </c>
      <c r="C401" t="s">
        <v>139</v>
      </c>
      <c r="D401" t="s">
        <v>187</v>
      </c>
    </row>
    <row r="402" spans="1:4" x14ac:dyDescent="0.2">
      <c r="A402" t="str">
        <f t="shared" ca="1" si="5"/>
        <v>Оборудование и другие активы</v>
      </c>
      <c r="B402" s="23" t="s">
        <v>2436</v>
      </c>
      <c r="C402" t="s">
        <v>1872</v>
      </c>
      <c r="D402" t="s">
        <v>155</v>
      </c>
    </row>
    <row r="403" spans="1:4" x14ac:dyDescent="0.2">
      <c r="A403" t="str">
        <f t="shared" ca="1" si="5"/>
        <v xml:space="preserve">    импорт?</v>
      </c>
      <c r="B403" s="74" t="s">
        <v>812</v>
      </c>
      <c r="C403" t="s">
        <v>1994</v>
      </c>
      <c r="D403" t="s">
        <v>188</v>
      </c>
    </row>
    <row r="404" spans="1:4" x14ac:dyDescent="0.2">
      <c r="A404" t="str">
        <f t="shared" ca="1" si="5"/>
        <v xml:space="preserve">    пересечение границы при импорте</v>
      </c>
      <c r="B404" s="100" t="s">
        <v>813</v>
      </c>
      <c r="C404" t="s">
        <v>1995</v>
      </c>
      <c r="D404" t="s">
        <v>189</v>
      </c>
    </row>
    <row r="405" spans="1:4" x14ac:dyDescent="0.2">
      <c r="A405" t="str">
        <f t="shared" ca="1" si="5"/>
        <v xml:space="preserve">    импортная пошлина</v>
      </c>
      <c r="B405" s="74" t="s">
        <v>830</v>
      </c>
      <c r="C405" t="s">
        <v>1996</v>
      </c>
      <c r="D405" t="s">
        <v>190</v>
      </c>
    </row>
    <row r="406" spans="1:4" x14ac:dyDescent="0.2">
      <c r="A406" t="str">
        <f t="shared" ca="1" si="5"/>
        <v>Нематериальные активы</v>
      </c>
      <c r="B406" s="52" t="s">
        <v>2435</v>
      </c>
      <c r="C406" t="s">
        <v>1981</v>
      </c>
      <c r="D406" t="s">
        <v>249</v>
      </c>
    </row>
    <row r="407" spans="1:4" x14ac:dyDescent="0.2">
      <c r="A407" t="str">
        <f t="shared" ca="1" si="5"/>
        <v>Финансовые вложения</v>
      </c>
      <c r="B407" s="23" t="s">
        <v>999</v>
      </c>
      <c r="C407" t="s">
        <v>1997</v>
      </c>
      <c r="D407" s="127" t="s">
        <v>1714</v>
      </c>
    </row>
    <row r="408" spans="1:4" x14ac:dyDescent="0.2">
      <c r="A408" t="str">
        <f t="shared" ca="1" si="5"/>
        <v xml:space="preserve">    доходность финансовых вложений</v>
      </c>
      <c r="B408" s="23" t="s">
        <v>831</v>
      </c>
      <c r="C408" t="s">
        <v>1998</v>
      </c>
      <c r="D408" t="s">
        <v>191</v>
      </c>
    </row>
    <row r="409" spans="1:4" x14ac:dyDescent="0.2">
      <c r="A409" t="str">
        <f t="shared" ca="1" si="5"/>
        <v xml:space="preserve">    авансы выданные</v>
      </c>
      <c r="B409" s="48" t="s">
        <v>832</v>
      </c>
      <c r="C409" t="s">
        <v>1999</v>
      </c>
      <c r="D409" t="s">
        <v>192</v>
      </c>
    </row>
    <row r="410" spans="1:4" x14ac:dyDescent="0.2">
      <c r="A410" t="str">
        <f t="shared" ca="1" si="5"/>
        <v>Расходы будущих периодов</v>
      </c>
      <c r="B410" s="23" t="s">
        <v>2437</v>
      </c>
      <c r="C410" t="s">
        <v>1383</v>
      </c>
      <c r="D410" t="s">
        <v>156</v>
      </c>
    </row>
    <row r="411" spans="1:4" x14ac:dyDescent="0.2">
      <c r="A411" t="str">
        <f t="shared" ca="1" si="5"/>
        <v>Проценты по кредитам на инвестиционной фазе</v>
      </c>
      <c r="B411" s="23" t="s">
        <v>920</v>
      </c>
      <c r="C411" t="s">
        <v>2000</v>
      </c>
      <c r="D411" t="s">
        <v>193</v>
      </c>
    </row>
    <row r="412" spans="1:4" x14ac:dyDescent="0.2">
      <c r="A412" t="str">
        <f t="shared" ca="1" si="5"/>
        <v xml:space="preserve">    инвестиционная фаза заканчивается с начала</v>
      </c>
      <c r="B412" s="23" t="s">
        <v>1255</v>
      </c>
      <c r="C412" t="s">
        <v>2001</v>
      </c>
      <c r="D412" t="s">
        <v>194</v>
      </c>
    </row>
    <row r="413" spans="1:4" x14ac:dyDescent="0.2">
      <c r="A413" t="str">
        <f t="shared" ca="1" si="5"/>
        <v xml:space="preserve">    инвестиционная фаза начинается с начала</v>
      </c>
      <c r="B413" s="23" t="s">
        <v>1114</v>
      </c>
      <c r="C413" t="s">
        <v>1078</v>
      </c>
      <c r="D413" s="303" t="s">
        <v>1243</v>
      </c>
    </row>
    <row r="414" spans="1:4" x14ac:dyDescent="0.2">
      <c r="A414" t="str">
        <f t="shared" ca="1" si="5"/>
        <v>Общая величина ранее осуществленных инвестиций</v>
      </c>
      <c r="B414" s="23" t="s">
        <v>921</v>
      </c>
      <c r="C414" t="s">
        <v>2002</v>
      </c>
      <c r="D414" t="s">
        <v>195</v>
      </c>
    </row>
    <row r="415" spans="1:4" x14ac:dyDescent="0.2">
      <c r="A415" t="str">
        <f t="shared" ca="1" si="5"/>
        <v>Незавершенные инвестиции в стартовом балансе</v>
      </c>
      <c r="B415" s="23" t="s">
        <v>688</v>
      </c>
      <c r="C415" t="s">
        <v>2003</v>
      </c>
      <c r="D415" t="s">
        <v>1982</v>
      </c>
    </row>
    <row r="416" spans="1:4" x14ac:dyDescent="0.2">
      <c r="A416" t="str">
        <f t="shared" ca="1" si="5"/>
        <v xml:space="preserve">     НДС к ранее осуществленным инвестициям</v>
      </c>
      <c r="B416" s="19" t="s">
        <v>1265</v>
      </c>
      <c r="C416" t="s">
        <v>1962</v>
      </c>
      <c r="D416" t="s">
        <v>1983</v>
      </c>
    </row>
    <row r="417" spans="1:4" x14ac:dyDescent="0.2">
      <c r="A417" t="str">
        <f t="shared" ca="1" si="5"/>
        <v xml:space="preserve">     НДС к существующим активам</v>
      </c>
      <c r="B417" s="19" t="s">
        <v>1188</v>
      </c>
      <c r="C417" t="s">
        <v>1189</v>
      </c>
      <c r="D417" t="s">
        <v>1190</v>
      </c>
    </row>
    <row r="418" spans="1:4" x14ac:dyDescent="0.2">
      <c r="A418" t="str">
        <f t="shared" ca="1" si="5"/>
        <v>Незавершенные инвестиции по данным текущей таблицы</v>
      </c>
      <c r="B418" s="23" t="s">
        <v>250</v>
      </c>
      <c r="C418" t="s">
        <v>2004</v>
      </c>
      <c r="D418" t="s">
        <v>1984</v>
      </c>
    </row>
    <row r="419" spans="1:4" x14ac:dyDescent="0.2">
      <c r="A419" t="str">
        <f t="shared" ca="1" si="5"/>
        <v>Учитывать при оценке эффективности в сумме</v>
      </c>
      <c r="B419" t="s">
        <v>833</v>
      </c>
      <c r="C419" t="s">
        <v>2005</v>
      </c>
      <c r="D419" t="s">
        <v>1985</v>
      </c>
    </row>
    <row r="420" spans="1:4" x14ac:dyDescent="0.2">
      <c r="A420" t="str">
        <f t="shared" ca="1" si="5"/>
        <v xml:space="preserve"> = Итого: Земельные участки</v>
      </c>
      <c r="B420" s="52" t="s">
        <v>926</v>
      </c>
      <c r="C420" s="52" t="s">
        <v>2008</v>
      </c>
      <c r="D420" t="s">
        <v>1986</v>
      </c>
    </row>
    <row r="421" spans="1:4" x14ac:dyDescent="0.2">
      <c r="A421" t="str">
        <f t="shared" ca="1" si="5"/>
        <v xml:space="preserve"> = Итого: Здания и сооружения</v>
      </c>
      <c r="B421" s="23" t="s">
        <v>923</v>
      </c>
      <c r="C421" s="52" t="s">
        <v>564</v>
      </c>
      <c r="D421" t="s">
        <v>1987</v>
      </c>
    </row>
    <row r="422" spans="1:4" x14ac:dyDescent="0.2">
      <c r="A422" t="str">
        <f t="shared" ca="1" si="5"/>
        <v xml:space="preserve">    авансовая оплата</v>
      </c>
      <c r="B422" s="48" t="s">
        <v>2635</v>
      </c>
      <c r="C422" s="48" t="s">
        <v>2009</v>
      </c>
      <c r="D422" t="s">
        <v>1988</v>
      </c>
    </row>
    <row r="423" spans="1:4" x14ac:dyDescent="0.2">
      <c r="A423" t="str">
        <f t="shared" ca="1" si="5"/>
        <v xml:space="preserve">    амортизация</v>
      </c>
      <c r="B423" s="48" t="s">
        <v>769</v>
      </c>
      <c r="C423" s="48" t="s">
        <v>2010</v>
      </c>
      <c r="D423" t="s">
        <v>1989</v>
      </c>
    </row>
    <row r="424" spans="1:4" x14ac:dyDescent="0.2">
      <c r="A424" t="str">
        <f t="shared" ca="1" si="5"/>
        <v xml:space="preserve">    прибыль/убыток от строительной деятельности</v>
      </c>
      <c r="B424" s="48" t="s">
        <v>1419</v>
      </c>
      <c r="C424" t="s">
        <v>2011</v>
      </c>
      <c r="D424" t="s">
        <v>1990</v>
      </c>
    </row>
    <row r="425" spans="1:4" x14ac:dyDescent="0.2">
      <c r="A425" t="str">
        <f t="shared" ca="1" si="5"/>
        <v xml:space="preserve"> = Итого: Оборудование и другие активы</v>
      </c>
      <c r="B425" s="23" t="s">
        <v>929</v>
      </c>
      <c r="C425" s="52" t="s">
        <v>69</v>
      </c>
      <c r="D425" t="s">
        <v>1991</v>
      </c>
    </row>
    <row r="426" spans="1:4" x14ac:dyDescent="0.2">
      <c r="A426" t="str">
        <f t="shared" ca="1" si="5"/>
        <v xml:space="preserve"> = Итого: Нематериальные активы</v>
      </c>
      <c r="B426" s="52" t="s">
        <v>927</v>
      </c>
      <c r="C426" s="52" t="s">
        <v>70</v>
      </c>
      <c r="D426" t="s">
        <v>1992</v>
      </c>
    </row>
    <row r="427" spans="1:4" x14ac:dyDescent="0.2">
      <c r="A427" t="str">
        <f t="shared" ca="1" si="5"/>
        <v xml:space="preserve"> = Итого: Финансовые вложения</v>
      </c>
      <c r="B427" s="23" t="s">
        <v>928</v>
      </c>
      <c r="C427" s="52" t="s">
        <v>71</v>
      </c>
      <c r="D427" t="s">
        <v>1993</v>
      </c>
    </row>
    <row r="428" spans="1:4" x14ac:dyDescent="0.2">
      <c r="A428" t="str">
        <f t="shared" ca="1" si="5"/>
        <v xml:space="preserve"> = Итого: Расходы будущих периодов</v>
      </c>
      <c r="B428" s="23" t="s">
        <v>930</v>
      </c>
      <c r="C428" s="52" t="s">
        <v>181</v>
      </c>
      <c r="D428" t="s">
        <v>202</v>
      </c>
    </row>
    <row r="429" spans="1:4" x14ac:dyDescent="0.2">
      <c r="A429" t="str">
        <f t="shared" ca="1" si="5"/>
        <v xml:space="preserve"> = Итого: ВСЕ АКТИВЫ</v>
      </c>
      <c r="B429" s="23" t="s">
        <v>931</v>
      </c>
      <c r="C429" s="52" t="s">
        <v>182</v>
      </c>
      <c r="D429" t="s">
        <v>203</v>
      </c>
    </row>
    <row r="430" spans="1:4" x14ac:dyDescent="0.2">
      <c r="A430" t="str">
        <f t="shared" ref="A430:A456" ca="1" si="6">OFFSET(A430,0,LanguageID)</f>
        <v xml:space="preserve">         ЛИЗИНГ</v>
      </c>
      <c r="B430" t="s">
        <v>1106</v>
      </c>
      <c r="C430" t="s">
        <v>183</v>
      </c>
      <c r="D430" t="s">
        <v>1743</v>
      </c>
    </row>
    <row r="431" spans="1:4" x14ac:dyDescent="0.2">
      <c r="A431" t="str">
        <f t="shared" ca="1" si="6"/>
        <v>Наименование</v>
      </c>
      <c r="B431" t="s">
        <v>2438</v>
      </c>
      <c r="C431" t="s">
        <v>1762</v>
      </c>
      <c r="D431" t="s">
        <v>165</v>
      </c>
    </row>
    <row r="432" spans="1:4" x14ac:dyDescent="0.2">
      <c r="A432" t="str">
        <f t="shared" ca="1" si="6"/>
        <v xml:space="preserve">    тип лизинга</v>
      </c>
      <c r="B432" t="s">
        <v>2451</v>
      </c>
      <c r="C432" t="s">
        <v>184</v>
      </c>
      <c r="D432" t="s">
        <v>204</v>
      </c>
    </row>
    <row r="433" spans="1:4" x14ac:dyDescent="0.2">
      <c r="A433" t="str">
        <f t="shared" ca="1" si="6"/>
        <v xml:space="preserve">    № периода ввода в действие оборудования</v>
      </c>
      <c r="B433" t="s">
        <v>531</v>
      </c>
      <c r="C433" t="s">
        <v>185</v>
      </c>
      <c r="D433" t="s">
        <v>205</v>
      </c>
    </row>
    <row r="434" spans="1:4" x14ac:dyDescent="0.2">
      <c r="A434" t="str">
        <f t="shared" ca="1" si="6"/>
        <v xml:space="preserve">    срок лизинга</v>
      </c>
      <c r="B434" t="s">
        <v>532</v>
      </c>
      <c r="C434" t="s">
        <v>186</v>
      </c>
      <c r="D434" t="s">
        <v>206</v>
      </c>
    </row>
    <row r="435" spans="1:4" x14ac:dyDescent="0.2">
      <c r="A435" t="str">
        <f t="shared" ca="1" si="6"/>
        <v>Стоимость объекта (с НДС)</v>
      </c>
      <c r="B435" t="s">
        <v>533</v>
      </c>
      <c r="C435" t="s">
        <v>92</v>
      </c>
      <c r="D435" t="s">
        <v>207</v>
      </c>
    </row>
    <row r="436" spans="1:4" x14ac:dyDescent="0.2">
      <c r="A436" t="str">
        <f t="shared" ca="1" si="6"/>
        <v xml:space="preserve">    амортизационные отчисления</v>
      </c>
      <c r="B436" t="s">
        <v>534</v>
      </c>
      <c r="C436" t="s">
        <v>2010</v>
      </c>
      <c r="D436" t="s">
        <v>1989</v>
      </c>
    </row>
    <row r="437" spans="1:4" x14ac:dyDescent="0.2">
      <c r="A437" t="str">
        <f t="shared" ca="1" si="6"/>
        <v xml:space="preserve">    остаточная стоимость (без НДС)</v>
      </c>
      <c r="B437" t="s">
        <v>535</v>
      </c>
      <c r="C437" t="s">
        <v>93</v>
      </c>
      <c r="D437" t="s">
        <v>208</v>
      </c>
    </row>
    <row r="438" spans="1:4" x14ac:dyDescent="0.2">
      <c r="A438" t="str">
        <f t="shared" ca="1" si="6"/>
        <v xml:space="preserve">    вознаграждение лизингодателю</v>
      </c>
      <c r="B438" t="s">
        <v>2527</v>
      </c>
      <c r="C438" t="s">
        <v>94</v>
      </c>
      <c r="D438" t="s">
        <v>209</v>
      </c>
    </row>
    <row r="439" spans="1:4" x14ac:dyDescent="0.2">
      <c r="A439" t="str">
        <f t="shared" ca="1" si="6"/>
        <v xml:space="preserve">    расчетная величина лизинговых платежей (без НДС)</v>
      </c>
      <c r="B439" t="s">
        <v>2538</v>
      </c>
      <c r="C439" t="s">
        <v>95</v>
      </c>
      <c r="D439" t="s">
        <v>210</v>
      </c>
    </row>
    <row r="440" spans="1:4" x14ac:dyDescent="0.2">
      <c r="A440" t="str">
        <f t="shared" ca="1" si="6"/>
        <v xml:space="preserve">    расчетная величина лизинговых платежей (c НДС)</v>
      </c>
      <c r="B440" t="s">
        <v>732</v>
      </c>
      <c r="C440" t="s">
        <v>96</v>
      </c>
      <c r="D440" t="s">
        <v>178</v>
      </c>
    </row>
    <row r="441" spans="1:4" x14ac:dyDescent="0.2">
      <c r="A441" t="str">
        <f t="shared" ca="1" si="6"/>
        <v>Авансовый платеж (с НДС)</v>
      </c>
      <c r="B441" t="s">
        <v>2564</v>
      </c>
      <c r="C441" t="s">
        <v>97</v>
      </c>
      <c r="D441" t="s">
        <v>179</v>
      </c>
    </row>
    <row r="442" spans="1:4" x14ac:dyDescent="0.2">
      <c r="A442" t="str">
        <f t="shared" ca="1" si="6"/>
        <v>График лизинговых платежей (с НДС)</v>
      </c>
      <c r="B442" s="52" t="s">
        <v>466</v>
      </c>
      <c r="C442" s="204" t="s">
        <v>2115</v>
      </c>
      <c r="D442" s="204" t="s">
        <v>2115</v>
      </c>
    </row>
    <row r="443" spans="1:4" x14ac:dyDescent="0.2">
      <c r="A443" t="str">
        <f t="shared" ca="1" si="6"/>
        <v>Зачет лизинговых платежей в себестоимости (с НДС)</v>
      </c>
      <c r="B443" s="52" t="s">
        <v>2323</v>
      </c>
      <c r="C443" s="204" t="s">
        <v>2116</v>
      </c>
      <c r="D443" s="204" t="s">
        <v>2116</v>
      </c>
    </row>
    <row r="444" spans="1:4" x14ac:dyDescent="0.2">
      <c r="A444" t="str">
        <f t="shared" ca="1" si="6"/>
        <v>зачет лизинговых платежей (без НДС)</v>
      </c>
      <c r="B444" s="52" t="s">
        <v>2324</v>
      </c>
      <c r="C444" s="204" t="s">
        <v>2117</v>
      </c>
      <c r="D444" s="204" t="s">
        <v>2117</v>
      </c>
    </row>
    <row r="445" spans="1:4" x14ac:dyDescent="0.2">
      <c r="A445" t="str">
        <f t="shared" ca="1" si="6"/>
        <v xml:space="preserve">   лизинговые платежи для  расчета графика платежей</v>
      </c>
      <c r="B445" s="52" t="s">
        <v>2508</v>
      </c>
      <c r="C445" s="204" t="s">
        <v>2118</v>
      </c>
      <c r="D445" s="204" t="s">
        <v>2118</v>
      </c>
    </row>
    <row r="446" spans="1:4" x14ac:dyDescent="0.2">
      <c r="A446" t="str">
        <f t="shared" ca="1" si="6"/>
        <v>Реальная величина лизинговых платежей (с НДС)</v>
      </c>
      <c r="B446" t="s">
        <v>2539</v>
      </c>
      <c r="C446" t="s">
        <v>98</v>
      </c>
      <c r="D446" t="s">
        <v>180</v>
      </c>
    </row>
    <row r="447" spans="1:4" x14ac:dyDescent="0.2">
      <c r="A447" t="str">
        <f t="shared" ca="1" si="6"/>
        <v xml:space="preserve">    НДС к платежам</v>
      </c>
      <c r="B447" t="s">
        <v>2529</v>
      </c>
      <c r="C447" t="s">
        <v>88</v>
      </c>
      <c r="D447" t="s">
        <v>2017</v>
      </c>
    </row>
    <row r="448" spans="1:4" x14ac:dyDescent="0.2">
      <c r="A448" t="str">
        <f t="shared" ca="1" si="6"/>
        <v xml:space="preserve">    авансы, уплаченные лизингодателю</v>
      </c>
      <c r="B448" t="s">
        <v>2530</v>
      </c>
      <c r="C448" t="s">
        <v>99</v>
      </c>
      <c r="D448" t="s">
        <v>214</v>
      </c>
    </row>
    <row r="449" spans="1:4" x14ac:dyDescent="0.2">
      <c r="A449" t="str">
        <f t="shared" ca="1" si="6"/>
        <v xml:space="preserve">    арендованные основные средства (ост. стоимость)</v>
      </c>
      <c r="B449" t="s">
        <v>2531</v>
      </c>
      <c r="C449" t="s">
        <v>100</v>
      </c>
      <c r="D449" t="s">
        <v>215</v>
      </c>
    </row>
    <row r="450" spans="1:4" x14ac:dyDescent="0.2">
      <c r="A450" t="str">
        <f t="shared" ca="1" si="6"/>
        <v xml:space="preserve">    налогооблагаемое имущество</v>
      </c>
      <c r="B450" t="s">
        <v>2532</v>
      </c>
      <c r="C450" t="s">
        <v>101</v>
      </c>
      <c r="D450" t="s">
        <v>216</v>
      </c>
    </row>
    <row r="451" spans="1:4" x14ac:dyDescent="0.2">
      <c r="A451" t="str">
        <f t="shared" ca="1" si="6"/>
        <v>Выкуп основных средств по остаточной стоимости</v>
      </c>
      <c r="B451" t="s">
        <v>706</v>
      </c>
      <c r="C451" t="s">
        <v>102</v>
      </c>
      <c r="D451" t="s">
        <v>217</v>
      </c>
    </row>
    <row r="452" spans="1:4" x14ac:dyDescent="0.2">
      <c r="A452" t="str">
        <f t="shared" ca="1" si="6"/>
        <v xml:space="preserve">    балансовая стоимость после выкупа</v>
      </c>
      <c r="B452" t="s">
        <v>707</v>
      </c>
      <c r="C452" t="s">
        <v>103</v>
      </c>
      <c r="D452" t="s">
        <v>218</v>
      </c>
    </row>
    <row r="453" spans="1:4" x14ac:dyDescent="0.2">
      <c r="A453" t="str">
        <f t="shared" ca="1" si="6"/>
        <v xml:space="preserve">    остаточная стоимость после выкупа</v>
      </c>
      <c r="B453" t="s">
        <v>708</v>
      </c>
      <c r="C453" t="s">
        <v>104</v>
      </c>
      <c r="D453" t="s">
        <v>219</v>
      </c>
    </row>
    <row r="454" spans="1:4" x14ac:dyDescent="0.2">
      <c r="A454" t="str">
        <f t="shared" ca="1" si="6"/>
        <v xml:space="preserve">    амортизация средств у лизингополучателя после выкупа</v>
      </c>
      <c r="B454" t="s">
        <v>709</v>
      </c>
      <c r="C454" t="s">
        <v>105</v>
      </c>
      <c r="D454" t="s">
        <v>220</v>
      </c>
    </row>
    <row r="455" spans="1:4" x14ac:dyDescent="0.2">
      <c r="A455" t="str">
        <f t="shared" ca="1" si="6"/>
        <v xml:space="preserve">    НДС уплаченный при выкупе </v>
      </c>
      <c r="B455" t="s">
        <v>710</v>
      </c>
      <c r="C455" t="s">
        <v>106</v>
      </c>
      <c r="D455" t="s">
        <v>221</v>
      </c>
    </row>
    <row r="456" spans="1:4" x14ac:dyDescent="0.2">
      <c r="A456" t="str">
        <f t="shared" ca="1" si="6"/>
        <v xml:space="preserve"> = Итого лизинговые платежи, начисленные, без НДС</v>
      </c>
      <c r="B456" t="s">
        <v>711</v>
      </c>
      <c r="C456" t="s">
        <v>211</v>
      </c>
      <c r="D456" t="s">
        <v>222</v>
      </c>
    </row>
    <row r="457" spans="1:4" x14ac:dyDescent="0.2">
      <c r="A457" t="str">
        <f t="shared" ref="A457:A505" ca="1" si="7">OFFSET(A457,0,LanguageID)</f>
        <v xml:space="preserve"> = Итого лизинговые платежи, начисленные, с НДС</v>
      </c>
      <c r="B457" t="s">
        <v>2617</v>
      </c>
      <c r="C457" t="s">
        <v>212</v>
      </c>
      <c r="D457" t="s">
        <v>223</v>
      </c>
    </row>
    <row r="458" spans="1:4" x14ac:dyDescent="0.2">
      <c r="A458" t="str">
        <f t="shared" ca="1" si="7"/>
        <v xml:space="preserve"> = Итого лизинговые платежи, уплаченные, с НДС</v>
      </c>
      <c r="B458" t="s">
        <v>712</v>
      </c>
      <c r="C458" t="s">
        <v>213</v>
      </c>
      <c r="D458" t="s">
        <v>224</v>
      </c>
    </row>
    <row r="459" spans="1:4" x14ac:dyDescent="0.2">
      <c r="A459" t="str">
        <f t="shared" ca="1" si="7"/>
        <v xml:space="preserve"> = Итого выкуп основных средств, с НДС</v>
      </c>
      <c r="B459" t="s">
        <v>713</v>
      </c>
      <c r="C459" t="s">
        <v>229</v>
      </c>
      <c r="D459" t="s">
        <v>225</v>
      </c>
    </row>
    <row r="460" spans="1:4" x14ac:dyDescent="0.2">
      <c r="A460" t="str">
        <f t="shared" ca="1" si="7"/>
        <v xml:space="preserve">    НДС к лизинговым платежам</v>
      </c>
      <c r="B460" t="s">
        <v>1437</v>
      </c>
      <c r="C460" t="s">
        <v>230</v>
      </c>
      <c r="D460" t="s">
        <v>226</v>
      </c>
    </row>
    <row r="461" spans="1:4" x14ac:dyDescent="0.2">
      <c r="A461" t="str">
        <f t="shared" ca="1" si="7"/>
        <v xml:space="preserve">    НДС к выкупу</v>
      </c>
      <c r="B461" t="s">
        <v>1438</v>
      </c>
      <c r="C461" t="s">
        <v>231</v>
      </c>
      <c r="D461" t="s">
        <v>221</v>
      </c>
    </row>
    <row r="462" spans="1:4" x14ac:dyDescent="0.2">
      <c r="A462" t="str">
        <f t="shared" ca="1" si="7"/>
        <v xml:space="preserve">    авансы, уплаченные лизингодателю</v>
      </c>
      <c r="B462" t="s">
        <v>2530</v>
      </c>
      <c r="C462" t="s">
        <v>99</v>
      </c>
      <c r="D462" t="s">
        <v>214</v>
      </c>
    </row>
    <row r="463" spans="1:4" x14ac:dyDescent="0.2">
      <c r="A463" t="str">
        <f t="shared" ca="1" si="7"/>
        <v xml:space="preserve">    арендованные основные средства </v>
      </c>
      <c r="B463" t="s">
        <v>714</v>
      </c>
      <c r="C463" t="s">
        <v>100</v>
      </c>
      <c r="D463" t="s">
        <v>215</v>
      </c>
    </row>
    <row r="464" spans="1:4" x14ac:dyDescent="0.2">
      <c r="A464" t="str">
        <f t="shared" ca="1" si="7"/>
        <v xml:space="preserve">    налогооблагаемое имущество</v>
      </c>
      <c r="B464" t="s">
        <v>2532</v>
      </c>
      <c r="C464" t="s">
        <v>101</v>
      </c>
      <c r="D464" t="s">
        <v>216</v>
      </c>
    </row>
    <row r="465" spans="1:4" x14ac:dyDescent="0.2">
      <c r="A465" t="str">
        <f t="shared" ca="1" si="7"/>
        <v xml:space="preserve">    балансовая стоимость после выкупа</v>
      </c>
      <c r="B465" t="s">
        <v>707</v>
      </c>
      <c r="C465" t="s">
        <v>103</v>
      </c>
      <c r="D465" t="s">
        <v>218</v>
      </c>
    </row>
    <row r="466" spans="1:4" x14ac:dyDescent="0.2">
      <c r="A466" t="str">
        <f t="shared" ca="1" si="7"/>
        <v xml:space="preserve">    остаточная стоимость после выкупа</v>
      </c>
      <c r="B466" t="s">
        <v>708</v>
      </c>
      <c r="C466" t="s">
        <v>104</v>
      </c>
      <c r="D466" t="s">
        <v>219</v>
      </c>
    </row>
    <row r="467" spans="1:4" x14ac:dyDescent="0.2">
      <c r="A467" t="str">
        <f t="shared" ca="1" si="7"/>
        <v xml:space="preserve">    амортизация средств у лизингополучателя после выкупа</v>
      </c>
      <c r="B467" t="s">
        <v>709</v>
      </c>
      <c r="C467" t="s">
        <v>105</v>
      </c>
      <c r="D467" t="s">
        <v>220</v>
      </c>
    </row>
    <row r="468" spans="1:4" x14ac:dyDescent="0.2">
      <c r="A468" t="str">
        <f t="shared" ca="1" si="7"/>
        <v>с выкупом (учет на балансе лизингодателя)</v>
      </c>
      <c r="B468" t="s">
        <v>715</v>
      </c>
      <c r="C468" t="s">
        <v>2143</v>
      </c>
      <c r="D468" t="s">
        <v>227</v>
      </c>
    </row>
    <row r="469" spans="1:4" x14ac:dyDescent="0.2">
      <c r="A469" t="str">
        <f t="shared" ca="1" si="7"/>
        <v>с выкупом (учет на балансе лизингополучателя)</v>
      </c>
      <c r="B469" t="s">
        <v>716</v>
      </c>
      <c r="C469" t="s">
        <v>2144</v>
      </c>
      <c r="D469" t="s">
        <v>228</v>
      </c>
    </row>
    <row r="470" spans="1:4" x14ac:dyDescent="0.2">
      <c r="A470" t="str">
        <f t="shared" ca="1" si="7"/>
        <v>без выкупа (учет на балансе лизингодателя)</v>
      </c>
      <c r="B470" t="s">
        <v>2561</v>
      </c>
      <c r="C470" t="s">
        <v>2145</v>
      </c>
      <c r="D470" t="s">
        <v>329</v>
      </c>
    </row>
    <row r="471" spans="1:4" x14ac:dyDescent="0.2">
      <c r="A471" t="str">
        <f t="shared" ca="1" si="7"/>
        <v>без выкупа (учет на балансе лизингополучателя)</v>
      </c>
      <c r="B471" t="s">
        <v>2562</v>
      </c>
      <c r="C471" t="s">
        <v>2146</v>
      </c>
      <c r="D471" t="s">
        <v>330</v>
      </c>
    </row>
    <row r="472" spans="1:4" x14ac:dyDescent="0.2">
      <c r="A472" t="str">
        <f t="shared" ca="1" si="7"/>
        <v xml:space="preserve">         ОБОРОТНЫЙ КАПИТАЛ</v>
      </c>
      <c r="B472" t="s">
        <v>1174</v>
      </c>
      <c r="C472" t="s">
        <v>2147</v>
      </c>
      <c r="D472" t="s">
        <v>1744</v>
      </c>
    </row>
    <row r="473" spans="1:4" x14ac:dyDescent="0.2">
      <c r="A473" t="str">
        <f t="shared" ca="1" si="7"/>
        <v>ЗАПАСЫ</v>
      </c>
      <c r="B473" t="s">
        <v>2618</v>
      </c>
      <c r="C473" t="s">
        <v>2148</v>
      </c>
      <c r="D473" t="s">
        <v>331</v>
      </c>
    </row>
    <row r="474" spans="1:4" x14ac:dyDescent="0.2">
      <c r="A474" t="str">
        <f t="shared" ca="1" si="7"/>
        <v>Запасы сырья и материалов</v>
      </c>
      <c r="B474" t="s">
        <v>2712</v>
      </c>
      <c r="C474" t="s">
        <v>1272</v>
      </c>
      <c r="D474" t="s">
        <v>1591</v>
      </c>
    </row>
    <row r="475" spans="1:4" x14ac:dyDescent="0.2">
      <c r="A475" t="str">
        <f t="shared" ca="1" si="7"/>
        <v xml:space="preserve">    среднее время хранения</v>
      </c>
      <c r="B475" t="s">
        <v>2620</v>
      </c>
      <c r="C475" t="s">
        <v>2149</v>
      </c>
      <c r="D475" t="s">
        <v>332</v>
      </c>
    </row>
    <row r="476" spans="1:4" x14ac:dyDescent="0.2">
      <c r="A476" t="str">
        <f t="shared" ca="1" si="7"/>
        <v>Незавершенное производство</v>
      </c>
      <c r="B476" t="s">
        <v>2621</v>
      </c>
      <c r="C476" t="s">
        <v>1273</v>
      </c>
      <c r="D476" t="s">
        <v>1592</v>
      </c>
    </row>
    <row r="477" spans="1:4" x14ac:dyDescent="0.2">
      <c r="A477" t="str">
        <f t="shared" ca="1" si="7"/>
        <v xml:space="preserve">    длительность производственного цикла</v>
      </c>
      <c r="B477" t="s">
        <v>2622</v>
      </c>
      <c r="C477" t="s">
        <v>2150</v>
      </c>
      <c r="D477" t="s">
        <v>333</v>
      </c>
    </row>
    <row r="478" spans="1:4" x14ac:dyDescent="0.2">
      <c r="A478" t="str">
        <f t="shared" ca="1" si="7"/>
        <v>Запасы готовой продукции</v>
      </c>
      <c r="B478" t="s">
        <v>2713</v>
      </c>
      <c r="C478" t="s">
        <v>1380</v>
      </c>
      <c r="D478" t="s">
        <v>1593</v>
      </c>
    </row>
    <row r="479" spans="1:4" x14ac:dyDescent="0.2">
      <c r="A479" t="str">
        <f t="shared" ca="1" si="7"/>
        <v xml:space="preserve">    периодичность отгрузки</v>
      </c>
      <c r="B479" t="s">
        <v>2623</v>
      </c>
      <c r="C479" t="s">
        <v>2151</v>
      </c>
      <c r="D479" t="s">
        <v>334</v>
      </c>
    </row>
    <row r="480" spans="1:4" x14ac:dyDescent="0.2">
      <c r="A480" t="str">
        <f t="shared" ca="1" si="7"/>
        <v xml:space="preserve">    минимальные остатки на складе, на</v>
      </c>
      <c r="B480" t="s">
        <v>2619</v>
      </c>
      <c r="C480" t="s">
        <v>2152</v>
      </c>
      <c r="D480" t="s">
        <v>335</v>
      </c>
    </row>
    <row r="481" spans="1:4" x14ac:dyDescent="0.2">
      <c r="A481" t="str">
        <f t="shared" ca="1" si="7"/>
        <v xml:space="preserve">    среднее время хранения</v>
      </c>
      <c r="B481" t="s">
        <v>2620</v>
      </c>
      <c r="C481" t="s">
        <v>2149</v>
      </c>
      <c r="D481" t="s">
        <v>336</v>
      </c>
    </row>
    <row r="482" spans="1:4" x14ac:dyDescent="0.2">
      <c r="A482" t="str">
        <f t="shared" ca="1" si="7"/>
        <v>РАСЧЕТЫ С ПОКУПАТЕЛЯМИ</v>
      </c>
      <c r="B482" t="s">
        <v>2624</v>
      </c>
      <c r="C482" t="s">
        <v>2153</v>
      </c>
      <c r="D482" t="s">
        <v>337</v>
      </c>
    </row>
    <row r="483" spans="1:4" x14ac:dyDescent="0.2">
      <c r="A483" t="str">
        <f t="shared" ca="1" si="7"/>
        <v>Поступления денег от продаж:</v>
      </c>
      <c r="B483" t="s">
        <v>2625</v>
      </c>
      <c r="C483" t="s">
        <v>2154</v>
      </c>
      <c r="D483" t="s">
        <v>338</v>
      </c>
    </row>
    <row r="484" spans="1:4" x14ac:dyDescent="0.2">
      <c r="A484" t="str">
        <f t="shared" ca="1" si="7"/>
        <v xml:space="preserve">    немедленная оплата</v>
      </c>
      <c r="B484" t="s">
        <v>2626</v>
      </c>
      <c r="C484" t="s">
        <v>2155</v>
      </c>
      <c r="D484" t="s">
        <v>339</v>
      </c>
    </row>
    <row r="485" spans="1:4" x14ac:dyDescent="0.2">
      <c r="A485" t="str">
        <f t="shared" ca="1" si="7"/>
        <v xml:space="preserve">    продажи с предоплатой</v>
      </c>
      <c r="B485" t="s">
        <v>2627</v>
      </c>
      <c r="C485" t="s">
        <v>2156</v>
      </c>
      <c r="D485" t="s">
        <v>52</v>
      </c>
    </row>
    <row r="486" spans="1:4" x14ac:dyDescent="0.2">
      <c r="A486" t="str">
        <f t="shared" ca="1" si="7"/>
        <v xml:space="preserve">    продажи в кредит</v>
      </c>
      <c r="B486" t="s">
        <v>2628</v>
      </c>
      <c r="C486" t="s">
        <v>2157</v>
      </c>
      <c r="D486" t="s">
        <v>53</v>
      </c>
    </row>
    <row r="487" spans="1:4" x14ac:dyDescent="0.2">
      <c r="A487" t="str">
        <f t="shared" ca="1" si="7"/>
        <v>Сумма счетов к получению</v>
      </c>
      <c r="B487" t="s">
        <v>2629</v>
      </c>
      <c r="C487" t="s">
        <v>108</v>
      </c>
      <c r="D487" t="s">
        <v>1594</v>
      </c>
    </row>
    <row r="488" spans="1:4" x14ac:dyDescent="0.2">
      <c r="A488" t="str">
        <f t="shared" ca="1" si="7"/>
        <v xml:space="preserve">    на основе циклов оборачиваемости</v>
      </c>
      <c r="B488" t="s">
        <v>2630</v>
      </c>
      <c r="C488" t="s">
        <v>2158</v>
      </c>
      <c r="D488" t="s">
        <v>54</v>
      </c>
    </row>
    <row r="489" spans="1:4" x14ac:dyDescent="0.2">
      <c r="A489" t="str">
        <f t="shared" ca="1" si="7"/>
        <v xml:space="preserve">    в соответствии с графиком оплаты продукции</v>
      </c>
      <c r="B489" t="s">
        <v>2631</v>
      </c>
      <c r="C489" t="s">
        <v>2159</v>
      </c>
      <c r="D489" t="s">
        <v>55</v>
      </c>
    </row>
    <row r="490" spans="1:4" x14ac:dyDescent="0.2">
      <c r="A490" t="str">
        <f t="shared" ca="1" si="7"/>
        <v>Сумма полученных авансов</v>
      </c>
      <c r="B490" t="s">
        <v>2632</v>
      </c>
      <c r="C490" t="s">
        <v>1395</v>
      </c>
      <c r="D490" t="s">
        <v>56</v>
      </c>
    </row>
    <row r="491" spans="1:4" x14ac:dyDescent="0.2">
      <c r="A491" t="str">
        <f t="shared" ca="1" si="7"/>
        <v xml:space="preserve">    на основе циклов оборачиваемости (c НДС на аванс)</v>
      </c>
      <c r="B491" t="s">
        <v>423</v>
      </c>
      <c r="C491" t="s">
        <v>2158</v>
      </c>
      <c r="D491" t="s">
        <v>54</v>
      </c>
    </row>
    <row r="492" spans="1:4" x14ac:dyDescent="0.2">
      <c r="A492" t="str">
        <f t="shared" ca="1" si="7"/>
        <v xml:space="preserve">    в соответствии с графиком оплаты продукции</v>
      </c>
      <c r="B492" t="s">
        <v>2631</v>
      </c>
      <c r="C492" t="s">
        <v>2159</v>
      </c>
      <c r="D492" t="s">
        <v>55</v>
      </c>
    </row>
    <row r="493" spans="1:4" x14ac:dyDescent="0.2">
      <c r="A493" t="str">
        <f t="shared" ca="1" si="7"/>
        <v>РАСЧЕТЫ С ПОСТАВЩИКАМИ</v>
      </c>
      <c r="B493" t="s">
        <v>2633</v>
      </c>
      <c r="C493" t="s">
        <v>2160</v>
      </c>
      <c r="D493" t="s">
        <v>57</v>
      </c>
    </row>
    <row r="494" spans="1:4" x14ac:dyDescent="0.2">
      <c r="A494" t="str">
        <f t="shared" ca="1" si="7"/>
        <v>Оплата материалов и комплектующих:</v>
      </c>
      <c r="B494" t="s">
        <v>2634</v>
      </c>
      <c r="C494" t="s">
        <v>2161</v>
      </c>
      <c r="D494" t="s">
        <v>58</v>
      </c>
    </row>
    <row r="495" spans="1:4" x14ac:dyDescent="0.2">
      <c r="A495" t="str">
        <f t="shared" ca="1" si="7"/>
        <v xml:space="preserve">    немедленная оплата</v>
      </c>
      <c r="B495" t="s">
        <v>2626</v>
      </c>
      <c r="C495" t="s">
        <v>2162</v>
      </c>
      <c r="D495" t="s">
        <v>59</v>
      </c>
    </row>
    <row r="496" spans="1:4" x14ac:dyDescent="0.2">
      <c r="A496" t="str">
        <f t="shared" ca="1" si="7"/>
        <v xml:space="preserve">    авансовая оплата</v>
      </c>
      <c r="B496" t="s">
        <v>2635</v>
      </c>
      <c r="C496" t="s">
        <v>1999</v>
      </c>
      <c r="D496" t="s">
        <v>60</v>
      </c>
    </row>
    <row r="497" spans="1:4" x14ac:dyDescent="0.2">
      <c r="A497" t="str">
        <f t="shared" ca="1" si="7"/>
        <v xml:space="preserve">    оплата в кредит</v>
      </c>
      <c r="B497" t="s">
        <v>2636</v>
      </c>
      <c r="C497" t="s">
        <v>2163</v>
      </c>
      <c r="D497" t="s">
        <v>232</v>
      </c>
    </row>
    <row r="498" spans="1:4" x14ac:dyDescent="0.2">
      <c r="A498" t="str">
        <f t="shared" ca="1" si="7"/>
        <v>Сумма счетов к оплате</v>
      </c>
      <c r="B498" t="s">
        <v>2637</v>
      </c>
      <c r="C498" t="s">
        <v>2164</v>
      </c>
      <c r="D498" t="s">
        <v>233</v>
      </c>
    </row>
    <row r="499" spans="1:4" x14ac:dyDescent="0.2">
      <c r="A499" t="str">
        <f t="shared" ca="1" si="7"/>
        <v xml:space="preserve">    на основе циклов оборачиваемости</v>
      </c>
      <c r="B499" t="s">
        <v>2630</v>
      </c>
      <c r="C499" t="s">
        <v>2158</v>
      </c>
      <c r="D499" t="s">
        <v>54</v>
      </c>
    </row>
    <row r="500" spans="1:4" x14ac:dyDescent="0.2">
      <c r="A500" t="str">
        <f t="shared" ca="1" si="7"/>
        <v xml:space="preserve">    в соответствии с графиком оплаты затрат</v>
      </c>
      <c r="B500" t="s">
        <v>1367</v>
      </c>
      <c r="C500" t="s">
        <v>2159</v>
      </c>
      <c r="D500" t="s">
        <v>234</v>
      </c>
    </row>
    <row r="501" spans="1:4" x14ac:dyDescent="0.2">
      <c r="A501" t="str">
        <f t="shared" ca="1" si="7"/>
        <v>Сумма уплаченных авансов</v>
      </c>
      <c r="B501" t="s">
        <v>2646</v>
      </c>
      <c r="C501" t="s">
        <v>2048</v>
      </c>
      <c r="D501" t="s">
        <v>235</v>
      </c>
    </row>
    <row r="502" spans="1:4" x14ac:dyDescent="0.2">
      <c r="A502" t="str">
        <f t="shared" ca="1" si="7"/>
        <v xml:space="preserve">    на основе циклов оборачиваемости</v>
      </c>
      <c r="B502" t="s">
        <v>2630</v>
      </c>
      <c r="C502" t="s">
        <v>2158</v>
      </c>
      <c r="D502" t="s">
        <v>54</v>
      </c>
    </row>
    <row r="503" spans="1:4" x14ac:dyDescent="0.2">
      <c r="A503" t="str">
        <f t="shared" ca="1" si="7"/>
        <v xml:space="preserve">    в соответствии с графиком оплаты материалов</v>
      </c>
      <c r="B503" t="s">
        <v>2638</v>
      </c>
      <c r="C503" t="s">
        <v>2159</v>
      </c>
      <c r="D503" t="s">
        <v>234</v>
      </c>
    </row>
    <row r="504" spans="1:4" x14ac:dyDescent="0.2">
      <c r="A504" t="str">
        <f t="shared" ca="1" si="7"/>
        <v>РАСЧЕТЫ С БЮДЖЕТОМ</v>
      </c>
      <c r="B504" t="s">
        <v>717</v>
      </c>
      <c r="C504" t="s">
        <v>2049</v>
      </c>
      <c r="D504" t="s">
        <v>236</v>
      </c>
    </row>
    <row r="505" spans="1:4" x14ac:dyDescent="0.2">
      <c r="A505" t="str">
        <f t="shared" ca="1" si="7"/>
        <v>По НДС</v>
      </c>
      <c r="B505" t="s">
        <v>718</v>
      </c>
      <c r="C505" t="s">
        <v>49</v>
      </c>
      <c r="D505" t="s">
        <v>237</v>
      </c>
    </row>
    <row r="506" spans="1:4" x14ac:dyDescent="0.2">
      <c r="A506" t="str">
        <f t="shared" ref="A506:A535" ca="1" si="8">OFFSET(A506,0,LanguageID)</f>
        <v>По акцизам и экспортным пошлинам</v>
      </c>
      <c r="B506" t="s">
        <v>719</v>
      </c>
      <c r="C506" t="s">
        <v>1632</v>
      </c>
      <c r="D506" t="s">
        <v>238</v>
      </c>
    </row>
    <row r="507" spans="1:4" x14ac:dyDescent="0.2">
      <c r="A507" t="str">
        <f t="shared" ca="1" si="8"/>
        <v>По импортным пошлинам</v>
      </c>
      <c r="B507" t="s">
        <v>720</v>
      </c>
      <c r="C507" t="s">
        <v>1633</v>
      </c>
      <c r="D507" t="s">
        <v>239</v>
      </c>
    </row>
    <row r="508" spans="1:4" x14ac:dyDescent="0.2">
      <c r="A508" t="str">
        <f t="shared" ca="1" si="8"/>
        <v>По налогу на прибыль</v>
      </c>
      <c r="B508" t="s">
        <v>721</v>
      </c>
      <c r="C508" t="s">
        <v>50</v>
      </c>
      <c r="D508" t="s">
        <v>1646</v>
      </c>
    </row>
    <row r="509" spans="1:4" x14ac:dyDescent="0.2">
      <c r="A509" t="str">
        <f t="shared" ca="1" si="8"/>
        <v>По прочим налогам и платежам</v>
      </c>
      <c r="B509" t="s">
        <v>722</v>
      </c>
      <c r="C509" t="s">
        <v>51</v>
      </c>
      <c r="D509" t="s">
        <v>240</v>
      </c>
    </row>
    <row r="510" spans="1:4" x14ac:dyDescent="0.2">
      <c r="A510" t="str">
        <f t="shared" ca="1" si="8"/>
        <v>РАСЧЕТЫ С ПЕРСОНАЛОМ</v>
      </c>
      <c r="B510" t="s">
        <v>723</v>
      </c>
      <c r="C510" t="s">
        <v>2031</v>
      </c>
      <c r="D510" t="s">
        <v>241</v>
      </c>
    </row>
    <row r="511" spans="1:4" x14ac:dyDescent="0.2">
      <c r="A511" t="str">
        <f t="shared" ca="1" si="8"/>
        <v>Текущая задолженность по заработной плате</v>
      </c>
      <c r="B511" t="s">
        <v>724</v>
      </c>
      <c r="C511" t="s">
        <v>2032</v>
      </c>
      <c r="D511" t="s">
        <v>242</v>
      </c>
    </row>
    <row r="512" spans="1:4" x14ac:dyDescent="0.2">
      <c r="A512" t="str">
        <f t="shared" ca="1" si="8"/>
        <v xml:space="preserve">    частота выплаты заработной платы</v>
      </c>
      <c r="B512" t="s">
        <v>725</v>
      </c>
      <c r="C512" t="s">
        <v>2033</v>
      </c>
      <c r="D512" t="s">
        <v>243</v>
      </c>
    </row>
    <row r="513" spans="1:4" x14ac:dyDescent="0.2">
      <c r="A513" t="str">
        <f t="shared" ca="1" si="8"/>
        <v>РЕЗЕРВ ДЕНЕЖНЫХ СРЕДСТВ</v>
      </c>
      <c r="B513" t="s">
        <v>726</v>
      </c>
      <c r="C513" t="s">
        <v>1689</v>
      </c>
      <c r="D513" t="s">
        <v>244</v>
      </c>
    </row>
    <row r="514" spans="1:4" x14ac:dyDescent="0.2">
      <c r="A514" t="str">
        <f t="shared" ca="1" si="8"/>
        <v>Резерв средств на обеспечение текущих расчетов</v>
      </c>
      <c r="B514" t="s">
        <v>727</v>
      </c>
      <c r="C514" t="s">
        <v>1690</v>
      </c>
      <c r="D514" t="s">
        <v>141</v>
      </c>
    </row>
    <row r="515" spans="1:4" x14ac:dyDescent="0.2">
      <c r="A515" t="str">
        <f t="shared" ca="1" si="8"/>
        <v xml:space="preserve">    создавать?</v>
      </c>
      <c r="B515" t="s">
        <v>728</v>
      </c>
      <c r="C515" t="s">
        <v>1691</v>
      </c>
      <c r="D515" t="s">
        <v>142</v>
      </c>
    </row>
    <row r="516" spans="1:4" x14ac:dyDescent="0.2">
      <c r="A516" t="str">
        <f t="shared" ca="1" si="8"/>
        <v xml:space="preserve">    покрытие потребности</v>
      </c>
      <c r="B516" t="s">
        <v>729</v>
      </c>
      <c r="C516" t="s">
        <v>1692</v>
      </c>
      <c r="D516" t="s">
        <v>143</v>
      </c>
    </row>
    <row r="517" spans="1:4" x14ac:dyDescent="0.2">
      <c r="A517" t="str">
        <f t="shared" ca="1" si="8"/>
        <v>Итого текущих активов</v>
      </c>
      <c r="B517" t="s">
        <v>730</v>
      </c>
      <c r="C517" t="s">
        <v>1693</v>
      </c>
      <c r="D517" t="s">
        <v>144</v>
      </c>
    </row>
    <row r="518" spans="1:4" x14ac:dyDescent="0.2">
      <c r="A518" t="str">
        <f t="shared" ca="1" si="8"/>
        <v>Итого текущих обязательств</v>
      </c>
      <c r="B518" t="s">
        <v>2586</v>
      </c>
      <c r="C518" t="s">
        <v>2012</v>
      </c>
      <c r="D518" t="s">
        <v>145</v>
      </c>
    </row>
    <row r="519" spans="1:4" x14ac:dyDescent="0.2">
      <c r="A519" t="str">
        <f t="shared" ca="1" si="8"/>
        <v>Оборотный капитал компании</v>
      </c>
      <c r="B519" t="s">
        <v>2587</v>
      </c>
      <c r="C519" t="s">
        <v>2013</v>
      </c>
      <c r="D519" t="s">
        <v>146</v>
      </c>
    </row>
    <row r="520" spans="1:4" x14ac:dyDescent="0.2">
      <c r="A520" t="str">
        <f t="shared" ca="1" si="8"/>
        <v>Изменение чистого оборотного капитала</v>
      </c>
      <c r="B520" t="s">
        <v>2656</v>
      </c>
      <c r="C520" t="s">
        <v>2014</v>
      </c>
      <c r="D520" t="s">
        <v>147</v>
      </c>
    </row>
    <row r="521" spans="1:4" x14ac:dyDescent="0.2">
      <c r="A521" t="str">
        <f t="shared" ca="1" si="8"/>
        <v>Прирост, учтенный в операционных денежных потоках</v>
      </c>
      <c r="B521" t="s">
        <v>2588</v>
      </c>
      <c r="C521" t="s">
        <v>115</v>
      </c>
      <c r="D521" t="s">
        <v>148</v>
      </c>
    </row>
    <row r="522" spans="1:4" x14ac:dyDescent="0.2">
      <c r="A522" t="str">
        <f t="shared" ca="1" si="8"/>
        <v>Инвестиции в чистый оборотный капитал</v>
      </c>
      <c r="B522" t="s">
        <v>2589</v>
      </c>
      <c r="C522" t="s">
        <v>116</v>
      </c>
      <c r="D522" t="s">
        <v>327</v>
      </c>
    </row>
    <row r="523" spans="1:4" x14ac:dyDescent="0.2">
      <c r="A523" t="str">
        <f t="shared" ca="1" si="8"/>
        <v>доля</v>
      </c>
      <c r="B523" t="s">
        <v>2590</v>
      </c>
      <c r="C523" t="s">
        <v>117</v>
      </c>
      <c r="D523" t="s">
        <v>328</v>
      </c>
    </row>
    <row r="524" spans="1:4" x14ac:dyDescent="0.2">
      <c r="A524" t="str">
        <f t="shared" ca="1" si="8"/>
        <v>срок, дн.</v>
      </c>
      <c r="B524" t="s">
        <v>2591</v>
      </c>
      <c r="C524" t="s">
        <v>118</v>
      </c>
      <c r="D524" t="s">
        <v>2034</v>
      </c>
    </row>
    <row r="525" spans="1:4" x14ac:dyDescent="0.2">
      <c r="A525" t="str">
        <f t="shared" ca="1" si="8"/>
        <v>Создавать резерв</v>
      </c>
      <c r="B525" t="s">
        <v>2593</v>
      </c>
      <c r="C525" t="s">
        <v>119</v>
      </c>
      <c r="D525" t="s">
        <v>2035</v>
      </c>
    </row>
    <row r="526" spans="1:4" x14ac:dyDescent="0.2">
      <c r="A526" t="str">
        <f t="shared" ca="1" si="8"/>
        <v>Не создавать резерв</v>
      </c>
      <c r="B526" t="s">
        <v>2649</v>
      </c>
      <c r="C526" t="s">
        <v>120</v>
      </c>
      <c r="D526" t="s">
        <v>2036</v>
      </c>
    </row>
    <row r="527" spans="1:4" x14ac:dyDescent="0.2">
      <c r="A527" t="str">
        <f t="shared" ca="1" si="8"/>
        <v xml:space="preserve">         ПЛАН РЕАЛИЗАЦИИ</v>
      </c>
      <c r="B527" t="s">
        <v>1107</v>
      </c>
      <c r="C527" t="s">
        <v>121</v>
      </c>
      <c r="D527" t="s">
        <v>1745</v>
      </c>
    </row>
    <row r="528" spans="1:4" x14ac:dyDescent="0.2">
      <c r="A528" t="str">
        <f t="shared" ca="1" si="8"/>
        <v>Наименование продукта</v>
      </c>
      <c r="B528" t="s">
        <v>2595</v>
      </c>
      <c r="C528" t="s">
        <v>122</v>
      </c>
      <c r="D528" t="s">
        <v>2037</v>
      </c>
    </row>
    <row r="529" spans="1:4" x14ac:dyDescent="0.2">
      <c r="A529" t="str">
        <f t="shared" ca="1" si="8"/>
        <v>Номинальный объем</v>
      </c>
      <c r="B529" t="s">
        <v>2596</v>
      </c>
      <c r="C529" t="s">
        <v>123</v>
      </c>
      <c r="D529" t="s">
        <v>2038</v>
      </c>
    </row>
    <row r="530" spans="1:4" x14ac:dyDescent="0.2">
      <c r="A530" t="str">
        <f t="shared" ca="1" si="8"/>
        <v>ед.</v>
      </c>
      <c r="B530" t="s">
        <v>2597</v>
      </c>
      <c r="C530" t="s">
        <v>124</v>
      </c>
      <c r="D530" t="s">
        <v>2039</v>
      </c>
    </row>
    <row r="531" spans="1:4" x14ac:dyDescent="0.2">
      <c r="A531" t="str">
        <f t="shared" ca="1" si="8"/>
        <v>Средний коэффициент загрузки производства</v>
      </c>
      <c r="B531" t="s">
        <v>2598</v>
      </c>
      <c r="C531" t="s">
        <v>125</v>
      </c>
      <c r="D531" t="s">
        <v>2040</v>
      </c>
    </row>
    <row r="532" spans="1:4" x14ac:dyDescent="0.2">
      <c r="A532" t="str">
        <f t="shared" ca="1" si="8"/>
        <v xml:space="preserve">         ОБЪЕМЫ РЕАЛИЗАЦИИ (в единицах)</v>
      </c>
      <c r="B532" t="s">
        <v>1362</v>
      </c>
      <c r="C532" t="s">
        <v>126</v>
      </c>
      <c r="D532" t="s">
        <v>1747</v>
      </c>
    </row>
    <row r="533" spans="1:4" x14ac:dyDescent="0.2">
      <c r="A533" t="str">
        <f t="shared" ca="1" si="8"/>
        <v xml:space="preserve">         ЦЕНА РЕАЛИЗАЦИИ (за единицу, с НДС)</v>
      </c>
      <c r="B533" t="s">
        <v>1363</v>
      </c>
      <c r="C533" t="s">
        <v>127</v>
      </c>
      <c r="D533" t="s">
        <v>1748</v>
      </c>
    </row>
    <row r="534" spans="1:4" x14ac:dyDescent="0.2">
      <c r="A534" t="str">
        <f t="shared" ca="1" si="8"/>
        <v xml:space="preserve">    цена без НДС и акцизов</v>
      </c>
      <c r="B534" t="s">
        <v>2599</v>
      </c>
      <c r="C534" t="s">
        <v>128</v>
      </c>
      <c r="D534" t="s">
        <v>2041</v>
      </c>
    </row>
    <row r="535" spans="1:4" x14ac:dyDescent="0.2">
      <c r="A535" t="str">
        <f t="shared" ca="1" si="8"/>
        <v xml:space="preserve">    акцизы</v>
      </c>
      <c r="B535" t="s">
        <v>2600</v>
      </c>
      <c r="C535" t="s">
        <v>36</v>
      </c>
      <c r="D535" t="s">
        <v>2042</v>
      </c>
    </row>
    <row r="536" spans="1:4" x14ac:dyDescent="0.2">
      <c r="A536" t="str">
        <f t="shared" ref="A536:A615" ca="1" si="9">OFFSET(A536,0,LanguageID)</f>
        <v xml:space="preserve">    налог с продаж</v>
      </c>
      <c r="B536" t="s">
        <v>2601</v>
      </c>
      <c r="C536" t="s">
        <v>37</v>
      </c>
      <c r="D536" t="s">
        <v>2043</v>
      </c>
    </row>
    <row r="537" spans="1:4" x14ac:dyDescent="0.2">
      <c r="A537" t="str">
        <f t="shared" ca="1" si="9"/>
        <v xml:space="preserve">    НДС</v>
      </c>
      <c r="B537" t="s">
        <v>2602</v>
      </c>
      <c r="C537" t="s">
        <v>88</v>
      </c>
      <c r="D537" t="s">
        <v>2017</v>
      </c>
    </row>
    <row r="538" spans="1:4" x14ac:dyDescent="0.2">
      <c r="A538" t="str">
        <f t="shared" ca="1" si="9"/>
        <v>Адвалорные</v>
      </c>
      <c r="B538" t="s">
        <v>2603</v>
      </c>
      <c r="C538" t="s">
        <v>38</v>
      </c>
      <c r="D538" t="s">
        <v>2044</v>
      </c>
    </row>
    <row r="539" spans="1:4" x14ac:dyDescent="0.2">
      <c r="A539" t="str">
        <f t="shared" ca="1" si="9"/>
        <v>Твердые</v>
      </c>
      <c r="B539" t="s">
        <v>2604</v>
      </c>
      <c r="C539" t="s">
        <v>39</v>
      </c>
      <c r="D539" t="s">
        <v>2045</v>
      </c>
    </row>
    <row r="540" spans="1:4" x14ac:dyDescent="0.2">
      <c r="A540" t="str">
        <f t="shared" ca="1" si="9"/>
        <v xml:space="preserve">         ДОХОДЫ ОТ ПРОДАЖ</v>
      </c>
      <c r="B540" t="s">
        <v>1364</v>
      </c>
      <c r="C540" t="s">
        <v>40</v>
      </c>
      <c r="D540" t="s">
        <v>1746</v>
      </c>
    </row>
    <row r="541" spans="1:4" x14ac:dyDescent="0.2">
      <c r="A541" t="str">
        <f t="shared" ca="1" si="9"/>
        <v xml:space="preserve">    к оплате от покупателей (без НДС)</v>
      </c>
      <c r="B541" t="s">
        <v>2605</v>
      </c>
      <c r="C541" t="s">
        <v>41</v>
      </c>
      <c r="D541" t="s">
        <v>253</v>
      </c>
    </row>
    <row r="542" spans="1:4" x14ac:dyDescent="0.2">
      <c r="A542" t="str">
        <f t="shared" ca="1" si="9"/>
        <v xml:space="preserve">    в т.ч. акцизов, налогов и пошлин</v>
      </c>
      <c r="B542" t="s">
        <v>2606</v>
      </c>
      <c r="C542" t="s">
        <v>42</v>
      </c>
      <c r="D542" t="s">
        <v>254</v>
      </c>
    </row>
    <row r="543" spans="1:4" x14ac:dyDescent="0.2">
      <c r="A543" t="str">
        <f t="shared" ca="1" si="9"/>
        <v xml:space="preserve">    НДС на поставленную продукцию</v>
      </c>
      <c r="B543" t="s">
        <v>2607</v>
      </c>
      <c r="C543" t="s">
        <v>43</v>
      </c>
      <c r="D543" t="s">
        <v>255</v>
      </c>
    </row>
    <row r="544" spans="1:4" x14ac:dyDescent="0.2">
      <c r="A544" t="str">
        <f t="shared" ca="1" si="9"/>
        <v xml:space="preserve">    график оплаты (без НДС)</v>
      </c>
      <c r="B544" t="s">
        <v>2608</v>
      </c>
      <c r="C544" t="s">
        <v>44</v>
      </c>
      <c r="D544" t="s">
        <v>256</v>
      </c>
    </row>
    <row r="545" spans="1:4" x14ac:dyDescent="0.2">
      <c r="A545" t="str">
        <f t="shared" ca="1" si="9"/>
        <v xml:space="preserve">    полученный НДС</v>
      </c>
      <c r="B545" t="s">
        <v>2609</v>
      </c>
      <c r="C545" t="s">
        <v>45</v>
      </c>
      <c r="D545" t="s">
        <v>257</v>
      </c>
    </row>
    <row r="546" spans="1:4" x14ac:dyDescent="0.2">
      <c r="A546" t="str">
        <f t="shared" ca="1" si="9"/>
        <v xml:space="preserve">    дебиторская задолженность</v>
      </c>
      <c r="B546" t="s">
        <v>2610</v>
      </c>
      <c r="C546" t="s">
        <v>46</v>
      </c>
      <c r="D546" t="s">
        <v>258</v>
      </c>
    </row>
    <row r="547" spans="1:4" x14ac:dyDescent="0.2">
      <c r="A547" t="str">
        <f t="shared" ca="1" si="9"/>
        <v xml:space="preserve">    полученные авансы</v>
      </c>
      <c r="B547" t="s">
        <v>749</v>
      </c>
      <c r="C547" t="s">
        <v>47</v>
      </c>
      <c r="D547" t="s">
        <v>267</v>
      </c>
    </row>
    <row r="548" spans="1:4" x14ac:dyDescent="0.2">
      <c r="A548" t="str">
        <f t="shared" ca="1" si="9"/>
        <v xml:space="preserve"> = Итого</v>
      </c>
      <c r="B548" t="s">
        <v>750</v>
      </c>
      <c r="C548" t="s">
        <v>48</v>
      </c>
      <c r="D548" t="s">
        <v>268</v>
      </c>
    </row>
    <row r="549" spans="1:4" x14ac:dyDescent="0.2">
      <c r="A549" t="str">
        <f t="shared" ca="1" si="9"/>
        <v xml:space="preserve">         ОБЪЕМЫ ПРОИЗВОДСТВА (в единицах)</v>
      </c>
      <c r="B549" t="s">
        <v>1167</v>
      </c>
      <c r="C549" t="s">
        <v>1947</v>
      </c>
      <c r="D549" t="s">
        <v>1470</v>
      </c>
    </row>
    <row r="550" spans="1:4" x14ac:dyDescent="0.2">
      <c r="A550" t="str">
        <f t="shared" ca="1" si="9"/>
        <v xml:space="preserve">    план производства</v>
      </c>
      <c r="B550" t="s">
        <v>1113</v>
      </c>
      <c r="C550" t="s">
        <v>1948</v>
      </c>
      <c r="D550" t="s">
        <v>269</v>
      </c>
    </row>
    <row r="551" spans="1:4" x14ac:dyDescent="0.2">
      <c r="A551" t="str">
        <f t="shared" ca="1" si="9"/>
        <v xml:space="preserve">    план реализации</v>
      </c>
      <c r="B551" s="52" t="s">
        <v>1079</v>
      </c>
      <c r="C551" t="s">
        <v>1949</v>
      </c>
      <c r="D551" t="s">
        <v>270</v>
      </c>
    </row>
    <row r="552" spans="1:4" x14ac:dyDescent="0.2">
      <c r="A552" t="str">
        <f t="shared" ca="1" si="9"/>
        <v xml:space="preserve">    склад готовой продукции</v>
      </c>
      <c r="B552" s="52" t="s">
        <v>1080</v>
      </c>
      <c r="C552" t="s">
        <v>1950</v>
      </c>
      <c r="D552" t="s">
        <v>271</v>
      </c>
    </row>
    <row r="553" spans="1:4" x14ac:dyDescent="0.2">
      <c r="A553" t="str">
        <f t="shared" ca="1" si="9"/>
        <v xml:space="preserve">    незавершенное производство</v>
      </c>
      <c r="B553" s="52" t="s">
        <v>1416</v>
      </c>
      <c r="C553" t="s">
        <v>1951</v>
      </c>
      <c r="D553" t="s">
        <v>272</v>
      </c>
    </row>
    <row r="554" spans="1:4" x14ac:dyDescent="0.2">
      <c r="A554" t="str">
        <f t="shared" ca="1" si="9"/>
        <v>Мало!</v>
      </c>
      <c r="B554" s="52" t="s">
        <v>424</v>
      </c>
      <c r="C554" t="s">
        <v>425</v>
      </c>
      <c r="D554" t="s">
        <v>273</v>
      </c>
    </row>
    <row r="555" spans="1:4" x14ac:dyDescent="0.2">
      <c r="A555" t="str">
        <f t="shared" ca="1" si="9"/>
        <v xml:space="preserve">         РАСХОД СЫРЬЯ И МАТЕРИАЛОВ (в единицах)</v>
      </c>
      <c r="B555" t="s">
        <v>1168</v>
      </c>
      <c r="C555" t="s">
        <v>1694</v>
      </c>
      <c r="D555" t="s">
        <v>1274</v>
      </c>
    </row>
    <row r="556" spans="1:4" x14ac:dyDescent="0.2">
      <c r="A556" t="str">
        <f t="shared" ca="1" si="9"/>
        <v>Наименование материала</v>
      </c>
      <c r="B556" t="s">
        <v>1084</v>
      </c>
      <c r="C556" t="s">
        <v>1085</v>
      </c>
      <c r="D556" t="s">
        <v>274</v>
      </c>
    </row>
    <row r="557" spans="1:4" x14ac:dyDescent="0.2">
      <c r="A557" t="str">
        <f t="shared" ca="1" si="9"/>
        <v>Плановый расход на единицу продукции</v>
      </c>
      <c r="B557" t="s">
        <v>1081</v>
      </c>
      <c r="C557" t="s">
        <v>1695</v>
      </c>
      <c r="D557" t="s">
        <v>275</v>
      </c>
    </row>
    <row r="558" spans="1:4" x14ac:dyDescent="0.2">
      <c r="A558" t="str">
        <f t="shared" ca="1" si="9"/>
        <v xml:space="preserve">         ЦЕНА СЫРЬЯ И МАТЕРИАЛОВ (за единицу, с НДС)</v>
      </c>
      <c r="B558" t="s">
        <v>1169</v>
      </c>
      <c r="C558" t="s">
        <v>2234</v>
      </c>
      <c r="D558" t="s">
        <v>422</v>
      </c>
    </row>
    <row r="559" spans="1:4" x14ac:dyDescent="0.2">
      <c r="A559" t="str">
        <f t="shared" ca="1" si="9"/>
        <v xml:space="preserve">    цена без НДС</v>
      </c>
      <c r="B559" t="s">
        <v>751</v>
      </c>
      <c r="C559" t="s">
        <v>290</v>
      </c>
      <c r="D559" t="s">
        <v>276</v>
      </c>
    </row>
    <row r="560" spans="1:4" x14ac:dyDescent="0.2">
      <c r="A560" t="str">
        <f t="shared" ca="1" si="9"/>
        <v xml:space="preserve">    в том числе импортная пошлина</v>
      </c>
      <c r="B560" t="s">
        <v>752</v>
      </c>
      <c r="C560" t="s">
        <v>291</v>
      </c>
      <c r="D560" t="s">
        <v>277</v>
      </c>
    </row>
    <row r="561" spans="1:4" x14ac:dyDescent="0.2">
      <c r="A561" t="str">
        <f t="shared" ca="1" si="9"/>
        <v xml:space="preserve">    НДС</v>
      </c>
      <c r="B561" t="s">
        <v>2602</v>
      </c>
      <c r="C561" t="s">
        <v>88</v>
      </c>
      <c r="D561" t="s">
        <v>2017</v>
      </c>
    </row>
    <row r="562" spans="1:4" x14ac:dyDescent="0.2">
      <c r="A562" t="str">
        <f t="shared" ca="1" si="9"/>
        <v xml:space="preserve">         ЗАТРАТЫ НА СЫРЬЕ И МАТЕРИАЛЫ</v>
      </c>
      <c r="B562" t="s">
        <v>1170</v>
      </c>
      <c r="C562" t="s">
        <v>292</v>
      </c>
      <c r="D562" t="s">
        <v>1275</v>
      </c>
    </row>
    <row r="563" spans="1:4" x14ac:dyDescent="0.2">
      <c r="A563" t="str">
        <f t="shared" ca="1" si="9"/>
        <v xml:space="preserve">    среднее время хранения</v>
      </c>
      <c r="B563" t="s">
        <v>2620</v>
      </c>
      <c r="C563" t="s">
        <v>2149</v>
      </c>
      <c r="D563" t="s">
        <v>332</v>
      </c>
    </row>
    <row r="564" spans="1:4" x14ac:dyDescent="0.2">
      <c r="A564" t="str">
        <f t="shared" ca="1" si="9"/>
        <v xml:space="preserve">    затраты на сырье и материалы без НДС</v>
      </c>
      <c r="B564" t="s">
        <v>753</v>
      </c>
      <c r="C564" t="s">
        <v>87</v>
      </c>
      <c r="D564" t="s">
        <v>276</v>
      </c>
    </row>
    <row r="565" spans="1:4" x14ac:dyDescent="0.2">
      <c r="A565" t="str">
        <f t="shared" ca="1" si="9"/>
        <v xml:space="preserve">    в том числе импортная пошлина</v>
      </c>
      <c r="B565" t="s">
        <v>752</v>
      </c>
      <c r="C565" t="s">
        <v>291</v>
      </c>
      <c r="D565" t="s">
        <v>277</v>
      </c>
    </row>
    <row r="566" spans="1:4" x14ac:dyDescent="0.2">
      <c r="A566" t="str">
        <f t="shared" ca="1" si="9"/>
        <v xml:space="preserve">    закуплено сырья и материалов на сумму (без НДС)</v>
      </c>
      <c r="B566" t="s">
        <v>2691</v>
      </c>
      <c r="C566" t="s">
        <v>293</v>
      </c>
      <c r="D566" t="s">
        <v>2258</v>
      </c>
    </row>
    <row r="567" spans="1:4" x14ac:dyDescent="0.2">
      <c r="A567" t="str">
        <f t="shared" ca="1" si="9"/>
        <v xml:space="preserve">    зачет НДС</v>
      </c>
      <c r="B567" t="s">
        <v>511</v>
      </c>
      <c r="C567" t="s">
        <v>91</v>
      </c>
      <c r="D567" t="s">
        <v>2021</v>
      </c>
    </row>
    <row r="568" spans="1:4" x14ac:dyDescent="0.2">
      <c r="A568" t="str">
        <f t="shared" ca="1" si="9"/>
        <v xml:space="preserve">    запасы на основе периодов оборота</v>
      </c>
      <c r="B568" t="s">
        <v>1375</v>
      </c>
      <c r="C568" t="s">
        <v>294</v>
      </c>
      <c r="D568" t="s">
        <v>2259</v>
      </c>
    </row>
    <row r="569" spans="1:4" x14ac:dyDescent="0.2">
      <c r="A569" t="str">
        <f t="shared" ca="1" si="9"/>
        <v xml:space="preserve">    запасы на основе графика оплаты</v>
      </c>
      <c r="B569" t="s">
        <v>1376</v>
      </c>
      <c r="C569" t="s">
        <v>295</v>
      </c>
      <c r="D569" t="s">
        <v>2260</v>
      </c>
    </row>
    <row r="570" spans="1:4" x14ac:dyDescent="0.2">
      <c r="A570" t="str">
        <f t="shared" ca="1" si="9"/>
        <v xml:space="preserve">    оплачено сырья и материалов (без НДС)</v>
      </c>
      <c r="B570" t="s">
        <v>2571</v>
      </c>
      <c r="C570" t="s">
        <v>296</v>
      </c>
      <c r="D570" t="s">
        <v>2261</v>
      </c>
    </row>
    <row r="571" spans="1:4" x14ac:dyDescent="0.2">
      <c r="A571" t="str">
        <f t="shared" ca="1" si="9"/>
        <v xml:space="preserve">    выплаченный НДС</v>
      </c>
      <c r="B571" t="s">
        <v>2465</v>
      </c>
      <c r="C571" t="s">
        <v>107</v>
      </c>
      <c r="D571" t="s">
        <v>66</v>
      </c>
    </row>
    <row r="572" spans="1:4" x14ac:dyDescent="0.2">
      <c r="A572" t="str">
        <f t="shared" ca="1" si="9"/>
        <v xml:space="preserve">    кредиторская задолженность</v>
      </c>
      <c r="B572" t="s">
        <v>2461</v>
      </c>
      <c r="C572" t="s">
        <v>1960</v>
      </c>
      <c r="D572" t="s">
        <v>174</v>
      </c>
    </row>
    <row r="573" spans="1:4" x14ac:dyDescent="0.2">
      <c r="A573" t="str">
        <f t="shared" ca="1" si="9"/>
        <v xml:space="preserve">    выплаченные авансы</v>
      </c>
      <c r="B573" t="s">
        <v>701</v>
      </c>
      <c r="C573" t="s">
        <v>1999</v>
      </c>
      <c r="D573" t="s">
        <v>267</v>
      </c>
    </row>
    <row r="574" spans="1:4" x14ac:dyDescent="0.2">
      <c r="A574" t="str">
        <f t="shared" ca="1" si="9"/>
        <v xml:space="preserve">    списано затрат на реализованную продукцию</v>
      </c>
      <c r="B574" t="s">
        <v>1082</v>
      </c>
      <c r="C574" t="s">
        <v>297</v>
      </c>
      <c r="D574" t="s">
        <v>2262</v>
      </c>
    </row>
    <row r="575" spans="1:4" x14ac:dyDescent="0.2">
      <c r="A575" t="str">
        <f t="shared" ca="1" si="9"/>
        <v xml:space="preserve">    остаток затрат на складе готовой продукции</v>
      </c>
      <c r="B575" t="s">
        <v>1083</v>
      </c>
      <c r="C575" t="s">
        <v>298</v>
      </c>
      <c r="D575" t="s">
        <v>2263</v>
      </c>
    </row>
    <row r="576" spans="1:4" x14ac:dyDescent="0.2">
      <c r="A576" t="str">
        <f t="shared" ca="1" si="9"/>
        <v xml:space="preserve">    остаток затрат в незавершенном производстве</v>
      </c>
      <c r="B576" t="s">
        <v>1087</v>
      </c>
      <c r="C576" t="s">
        <v>299</v>
      </c>
      <c r="D576" t="s">
        <v>355</v>
      </c>
    </row>
    <row r="577" spans="1:4" x14ac:dyDescent="0.2">
      <c r="A577" t="str">
        <f t="shared" ca="1" si="9"/>
        <v xml:space="preserve">         ПРОЧИЕ ПЕРЕМЕННЫЕ ЗАТРАТЫ</v>
      </c>
      <c r="B577" t="s">
        <v>1171</v>
      </c>
      <c r="C577" t="s">
        <v>300</v>
      </c>
      <c r="D577" t="s">
        <v>1276</v>
      </c>
    </row>
    <row r="578" spans="1:4" x14ac:dyDescent="0.2">
      <c r="A578" t="str">
        <f t="shared" ca="1" si="9"/>
        <v>Наименование</v>
      </c>
      <c r="B578" t="s">
        <v>2438</v>
      </c>
      <c r="C578" t="s">
        <v>1086</v>
      </c>
      <c r="D578" t="s">
        <v>356</v>
      </c>
    </row>
    <row r="579" spans="1:4" x14ac:dyDescent="0.2">
      <c r="A579" t="str">
        <f t="shared" ca="1" si="9"/>
        <v xml:space="preserve">    затраты без НДС</v>
      </c>
      <c r="B579" t="s">
        <v>1068</v>
      </c>
      <c r="C579" t="s">
        <v>301</v>
      </c>
      <c r="D579" t="s">
        <v>357</v>
      </c>
    </row>
    <row r="580" spans="1:4" x14ac:dyDescent="0.2">
      <c r="A580" t="str">
        <f t="shared" ca="1" si="9"/>
        <v>Плановый расход на единицу продукции</v>
      </c>
      <c r="B580" s="52" t="s">
        <v>1081</v>
      </c>
      <c r="C580" t="s">
        <v>1695</v>
      </c>
      <c r="D580" t="s">
        <v>358</v>
      </c>
    </row>
    <row r="581" spans="1:4" x14ac:dyDescent="0.2">
      <c r="A581" t="str">
        <f t="shared" ca="1" si="9"/>
        <v>Расход за период</v>
      </c>
      <c r="B581" s="52" t="s">
        <v>1340</v>
      </c>
      <c r="C581" t="s">
        <v>302</v>
      </c>
      <c r="D581" t="s">
        <v>359</v>
      </c>
    </row>
    <row r="582" spans="1:4" x14ac:dyDescent="0.2">
      <c r="A582" t="str">
        <f t="shared" ca="1" si="9"/>
        <v xml:space="preserve">    оплачено расходов (без НДС)</v>
      </c>
      <c r="B582" t="s">
        <v>1341</v>
      </c>
      <c r="C582" t="s">
        <v>303</v>
      </c>
      <c r="D582" t="s">
        <v>360</v>
      </c>
    </row>
    <row r="583" spans="1:4" x14ac:dyDescent="0.2">
      <c r="A583" t="str">
        <f t="shared" ca="1" si="9"/>
        <v xml:space="preserve">         ПЕРСОНАЛ И ЗАРАБОТНАЯ ПЛАТА</v>
      </c>
      <c r="B583" t="s">
        <v>1172</v>
      </c>
      <c r="C583" t="s">
        <v>304</v>
      </c>
      <c r="D583" t="s">
        <v>1277</v>
      </c>
    </row>
    <row r="584" spans="1:4" x14ac:dyDescent="0.2">
      <c r="A584" t="str">
        <f t="shared" ca="1" si="9"/>
        <v>Основной производственный персонал</v>
      </c>
      <c r="B584" t="s">
        <v>702</v>
      </c>
      <c r="C584" t="s">
        <v>305</v>
      </c>
      <c r="D584" t="s">
        <v>361</v>
      </c>
    </row>
    <row r="585" spans="1:4" x14ac:dyDescent="0.2">
      <c r="A585" t="str">
        <f t="shared" ca="1" si="9"/>
        <v>Вспомогательный производственный персонал</v>
      </c>
      <c r="B585" t="s">
        <v>703</v>
      </c>
      <c r="C585" t="s">
        <v>306</v>
      </c>
      <c r="D585" t="s">
        <v>362</v>
      </c>
    </row>
    <row r="586" spans="1:4" x14ac:dyDescent="0.2">
      <c r="A586" t="str">
        <f t="shared" ca="1" si="9"/>
        <v>Административный персонал</v>
      </c>
      <c r="B586" t="s">
        <v>704</v>
      </c>
      <c r="C586" t="s">
        <v>196</v>
      </c>
      <c r="D586" t="s">
        <v>2366</v>
      </c>
    </row>
    <row r="587" spans="1:4" x14ac:dyDescent="0.2">
      <c r="A587" t="str">
        <f t="shared" ca="1" si="9"/>
        <v>Коммерческий персонал</v>
      </c>
      <c r="B587" t="s">
        <v>705</v>
      </c>
      <c r="C587" t="s">
        <v>197</v>
      </c>
      <c r="D587" t="s">
        <v>2367</v>
      </c>
    </row>
    <row r="588" spans="1:4" x14ac:dyDescent="0.2">
      <c r="A588" t="str">
        <f t="shared" ca="1" si="9"/>
        <v>Общая численность персонала</v>
      </c>
      <c r="B588" t="s">
        <v>2611</v>
      </c>
      <c r="C588" t="s">
        <v>198</v>
      </c>
      <c r="D588" t="s">
        <v>2368</v>
      </c>
    </row>
    <row r="589" spans="1:4" x14ac:dyDescent="0.2">
      <c r="A589" t="str">
        <f t="shared" ca="1" si="9"/>
        <v>Месячный оклад</v>
      </c>
      <c r="B589" t="s">
        <v>2702</v>
      </c>
      <c r="C589" t="s">
        <v>199</v>
      </c>
      <c r="D589" t="s">
        <v>2369</v>
      </c>
    </row>
    <row r="590" spans="1:4" x14ac:dyDescent="0.2">
      <c r="A590" t="str">
        <f t="shared" ca="1" si="9"/>
        <v>Количество</v>
      </c>
      <c r="B590" t="s">
        <v>2703</v>
      </c>
      <c r="C590" t="s">
        <v>200</v>
      </c>
      <c r="D590" t="s">
        <v>2370</v>
      </c>
    </row>
    <row r="591" spans="1:4" x14ac:dyDescent="0.2">
      <c r="A591" t="str">
        <f t="shared" ca="1" si="9"/>
        <v>Мес. оклад</v>
      </c>
      <c r="B591" t="s">
        <v>2612</v>
      </c>
      <c r="C591" t="s">
        <v>199</v>
      </c>
      <c r="D591" t="s">
        <v>2369</v>
      </c>
    </row>
    <row r="592" spans="1:4" x14ac:dyDescent="0.2">
      <c r="A592" t="str">
        <f t="shared" ca="1" si="9"/>
        <v>чел.</v>
      </c>
      <c r="B592" t="s">
        <v>2613</v>
      </c>
      <c r="C592" t="s">
        <v>201</v>
      </c>
      <c r="D592" t="s">
        <v>309</v>
      </c>
    </row>
    <row r="593" spans="1:4" s="48" customFormat="1" x14ac:dyDescent="0.2">
      <c r="A593" s="48" t="str">
        <f t="shared" ca="1" si="9"/>
        <v>Начисленные страховые взносы в фонды</v>
      </c>
      <c r="B593" s="100" t="s">
        <v>694</v>
      </c>
      <c r="C593" s="301" t="s">
        <v>2573</v>
      </c>
      <c r="D593" s="48" t="s">
        <v>310</v>
      </c>
    </row>
    <row r="594" spans="1:4" x14ac:dyDescent="0.2">
      <c r="A594" t="str">
        <f t="shared" ca="1" si="9"/>
        <v xml:space="preserve">    - на зарплату основного произв. персонала</v>
      </c>
      <c r="B594" s="16" t="s">
        <v>2704</v>
      </c>
      <c r="C594" s="16" t="s">
        <v>311</v>
      </c>
      <c r="D594" t="s">
        <v>363</v>
      </c>
    </row>
    <row r="595" spans="1:4" x14ac:dyDescent="0.2">
      <c r="A595" t="str">
        <f t="shared" ca="1" si="9"/>
        <v xml:space="preserve">    - на зарплату вспомогательного произв. персонала</v>
      </c>
      <c r="B595" s="16" t="s">
        <v>992</v>
      </c>
      <c r="C595" s="16" t="s">
        <v>312</v>
      </c>
      <c r="D595" t="s">
        <v>364</v>
      </c>
    </row>
    <row r="596" spans="1:4" x14ac:dyDescent="0.2">
      <c r="A596" t="str">
        <f t="shared" ca="1" si="9"/>
        <v xml:space="preserve">    - на зарплату административного персонала</v>
      </c>
      <c r="B596" s="16" t="s">
        <v>692</v>
      </c>
      <c r="C596" s="16" t="s">
        <v>313</v>
      </c>
      <c r="D596" t="s">
        <v>365</v>
      </c>
    </row>
    <row r="597" spans="1:4" x14ac:dyDescent="0.2">
      <c r="A597" t="str">
        <f t="shared" ca="1" si="9"/>
        <v xml:space="preserve">    - на зарплату коммерческого персонала</v>
      </c>
      <c r="B597" s="16" t="s">
        <v>2523</v>
      </c>
      <c r="C597" s="16" t="s">
        <v>314</v>
      </c>
      <c r="D597" t="s">
        <v>2178</v>
      </c>
    </row>
    <row r="598" spans="1:4" s="48" customFormat="1" x14ac:dyDescent="0.2">
      <c r="A598" s="48" t="str">
        <f t="shared" ca="1" si="9"/>
        <v>Расходы на зарплату с учетом страховых взносов</v>
      </c>
      <c r="B598" s="100" t="s">
        <v>695</v>
      </c>
      <c r="C598" s="301" t="s">
        <v>2574</v>
      </c>
      <c r="D598" s="48" t="s">
        <v>401</v>
      </c>
    </row>
    <row r="599" spans="1:4" x14ac:dyDescent="0.2">
      <c r="A599" t="str">
        <f t="shared" ca="1" si="9"/>
        <v xml:space="preserve">         ТЕКУЩИЕ ЗАТРАТЫ</v>
      </c>
      <c r="B599" s="16" t="s">
        <v>1173</v>
      </c>
      <c r="C599" t="s">
        <v>315</v>
      </c>
      <c r="D599" t="s">
        <v>1278</v>
      </c>
    </row>
    <row r="600" spans="1:4" x14ac:dyDescent="0.2">
      <c r="A600" t="str">
        <f t="shared" ca="1" si="9"/>
        <v>Прочие переменные затраты</v>
      </c>
      <c r="B600" s="16" t="s">
        <v>1069</v>
      </c>
      <c r="C600" s="16" t="s">
        <v>316</v>
      </c>
      <c r="D600" t="s">
        <v>402</v>
      </c>
    </row>
    <row r="601" spans="1:4" x14ac:dyDescent="0.2">
      <c r="A601" t="str">
        <f t="shared" ca="1" si="9"/>
        <v>Прямые производственные расходы</v>
      </c>
      <c r="B601" t="s">
        <v>755</v>
      </c>
      <c r="C601" t="s">
        <v>317</v>
      </c>
      <c r="D601" t="s">
        <v>403</v>
      </c>
    </row>
    <row r="602" spans="1:4" x14ac:dyDescent="0.2">
      <c r="A602" t="str">
        <f t="shared" ca="1" si="9"/>
        <v>Общие производственные расходы</v>
      </c>
      <c r="B602" t="s">
        <v>754</v>
      </c>
      <c r="C602" t="s">
        <v>318</v>
      </c>
      <c r="D602" t="s">
        <v>404</v>
      </c>
    </row>
    <row r="603" spans="1:4" x14ac:dyDescent="0.2">
      <c r="A603" t="str">
        <f t="shared" ca="1" si="9"/>
        <v>Административные расходы</v>
      </c>
      <c r="B603" t="s">
        <v>1002</v>
      </c>
      <c r="C603" t="s">
        <v>319</v>
      </c>
      <c r="D603" t="s">
        <v>405</v>
      </c>
    </row>
    <row r="604" spans="1:4" x14ac:dyDescent="0.2">
      <c r="A604" t="str">
        <f t="shared" ca="1" si="9"/>
        <v>Коммерческие расходы</v>
      </c>
      <c r="B604" t="s">
        <v>1003</v>
      </c>
      <c r="C604" t="s">
        <v>320</v>
      </c>
      <c r="D604" t="s">
        <v>406</v>
      </c>
    </row>
    <row r="605" spans="1:4" x14ac:dyDescent="0.2">
      <c r="A605" t="str">
        <f t="shared" ca="1" si="9"/>
        <v>Коммерческие расходы как % от продаж</v>
      </c>
      <c r="B605" t="s">
        <v>1004</v>
      </c>
      <c r="C605" t="s">
        <v>321</v>
      </c>
      <c r="D605" t="s">
        <v>407</v>
      </c>
    </row>
    <row r="606" spans="1:4" x14ac:dyDescent="0.2">
      <c r="A606" t="str">
        <f t="shared" ca="1" si="9"/>
        <v xml:space="preserve">    Производственные расходы</v>
      </c>
      <c r="B606" t="s">
        <v>1005</v>
      </c>
      <c r="C606" t="s">
        <v>322</v>
      </c>
      <c r="D606" t="s">
        <v>408</v>
      </c>
    </row>
    <row r="607" spans="1:4" x14ac:dyDescent="0.2">
      <c r="A607" t="str">
        <f t="shared" ca="1" si="9"/>
        <v xml:space="preserve">        сумма без НДС</v>
      </c>
      <c r="B607" t="s">
        <v>1006</v>
      </c>
      <c r="C607" t="s">
        <v>323</v>
      </c>
      <c r="D607" t="s">
        <v>409</v>
      </c>
    </row>
    <row r="608" spans="1:4" x14ac:dyDescent="0.2">
      <c r="A608" t="str">
        <f t="shared" ca="1" si="9"/>
        <v xml:space="preserve">        НДС</v>
      </c>
      <c r="B608" t="s">
        <v>1007</v>
      </c>
      <c r="C608" t="s">
        <v>324</v>
      </c>
      <c r="D608" t="s">
        <v>410</v>
      </c>
    </row>
    <row r="609" spans="1:4" x14ac:dyDescent="0.2">
      <c r="A609" t="str">
        <f t="shared" ca="1" si="9"/>
        <v xml:space="preserve">    Административные расходы</v>
      </c>
      <c r="B609" t="s">
        <v>1008</v>
      </c>
      <c r="C609" t="s">
        <v>325</v>
      </c>
      <c r="D609" t="s">
        <v>411</v>
      </c>
    </row>
    <row r="610" spans="1:4" x14ac:dyDescent="0.2">
      <c r="A610" t="str">
        <f t="shared" ca="1" si="9"/>
        <v xml:space="preserve">    Коммерческие расходы</v>
      </c>
      <c r="B610" t="s">
        <v>1009</v>
      </c>
      <c r="C610" t="s">
        <v>326</v>
      </c>
      <c r="D610" t="s">
        <v>412</v>
      </c>
    </row>
    <row r="611" spans="1:4" x14ac:dyDescent="0.2">
      <c r="A611" t="str">
        <f t="shared" ca="1" si="9"/>
        <v>Расходы на материалы и комплектующие</v>
      </c>
      <c r="B611" t="s">
        <v>1010</v>
      </c>
      <c r="C611" t="s">
        <v>2139</v>
      </c>
      <c r="D611" t="s">
        <v>413</v>
      </c>
    </row>
    <row r="612" spans="1:4" x14ac:dyDescent="0.2">
      <c r="A612" t="str">
        <f t="shared" ca="1" si="9"/>
        <v>Зарплата основного производственного персонала</v>
      </c>
      <c r="B612" s="16" t="s">
        <v>1011</v>
      </c>
      <c r="C612" t="s">
        <v>2140</v>
      </c>
      <c r="D612" t="s">
        <v>414</v>
      </c>
    </row>
    <row r="613" spans="1:4" s="48" customFormat="1" x14ac:dyDescent="0.2">
      <c r="A613" s="48" t="str">
        <f t="shared" ca="1" si="9"/>
        <v>Страховые взносы на зарплату основного произв. персонала</v>
      </c>
      <c r="B613" s="100" t="s">
        <v>696</v>
      </c>
      <c r="C613" s="301" t="s">
        <v>2575</v>
      </c>
      <c r="D613" s="48" t="s">
        <v>415</v>
      </c>
    </row>
    <row r="614" spans="1:4" s="48" customFormat="1" x14ac:dyDescent="0.2">
      <c r="A614" s="48" t="str">
        <f t="shared" ca="1" si="9"/>
        <v>Зарплата вспомогательного произв. персонала</v>
      </c>
      <c r="B614" s="100" t="s">
        <v>756</v>
      </c>
      <c r="C614" s="48" t="s">
        <v>2141</v>
      </c>
      <c r="D614" s="48" t="s">
        <v>2320</v>
      </c>
    </row>
    <row r="615" spans="1:4" s="48" customFormat="1" x14ac:dyDescent="0.2">
      <c r="A615" s="48" t="str">
        <f t="shared" ca="1" si="9"/>
        <v>Страховые взносы на зарплату вспомогательного произв. персонала</v>
      </c>
      <c r="B615" s="100" t="s">
        <v>697</v>
      </c>
      <c r="C615" s="301" t="s">
        <v>2576</v>
      </c>
      <c r="D615" s="48" t="s">
        <v>2321</v>
      </c>
    </row>
    <row r="616" spans="1:4" s="48" customFormat="1" x14ac:dyDescent="0.2">
      <c r="A616" s="48" t="str">
        <f t="shared" ref="A616:A690" ca="1" si="10">OFFSET(A616,0,LanguageID)</f>
        <v>Зарплата коммерческого персонала</v>
      </c>
      <c r="B616" s="100" t="s">
        <v>757</v>
      </c>
      <c r="C616" s="48" t="s">
        <v>2142</v>
      </c>
      <c r="D616" s="48" t="s">
        <v>2322</v>
      </c>
    </row>
    <row r="617" spans="1:4" s="48" customFormat="1" x14ac:dyDescent="0.2">
      <c r="A617" s="48" t="str">
        <f t="shared" ca="1" si="10"/>
        <v>Страховые взносы на зарплату коммерческого персонала</v>
      </c>
      <c r="B617" s="100" t="s">
        <v>698</v>
      </c>
      <c r="C617" s="301" t="s">
        <v>2577</v>
      </c>
      <c r="D617" s="48" t="s">
        <v>2202</v>
      </c>
    </row>
    <row r="618" spans="1:4" s="48" customFormat="1" x14ac:dyDescent="0.2">
      <c r="A618" s="48" t="str">
        <f t="shared" ca="1" si="10"/>
        <v>Зарплата административного персонала</v>
      </c>
      <c r="B618" s="100" t="s">
        <v>758</v>
      </c>
      <c r="C618" s="48" t="s">
        <v>2363</v>
      </c>
      <c r="D618" s="48" t="s">
        <v>2203</v>
      </c>
    </row>
    <row r="619" spans="1:4" s="48" customFormat="1" x14ac:dyDescent="0.2">
      <c r="A619" s="48" t="str">
        <f t="shared" ca="1" si="10"/>
        <v>Страховые взносы на зарплату административного персонала</v>
      </c>
      <c r="B619" s="100" t="s">
        <v>699</v>
      </c>
      <c r="C619" s="301" t="s">
        <v>2578</v>
      </c>
      <c r="D619" s="48" t="s">
        <v>2204</v>
      </c>
    </row>
    <row r="620" spans="1:4" x14ac:dyDescent="0.2">
      <c r="A620" t="str">
        <f t="shared" ca="1" si="10"/>
        <v>в том числе НДС</v>
      </c>
      <c r="B620" s="16" t="s">
        <v>759</v>
      </c>
      <c r="C620" t="s">
        <v>2364</v>
      </c>
      <c r="D620" t="s">
        <v>2205</v>
      </c>
    </row>
    <row r="621" spans="1:4" x14ac:dyDescent="0.2">
      <c r="A621" t="str">
        <f t="shared" ca="1" si="10"/>
        <v>Амортизация</v>
      </c>
      <c r="B621" s="16" t="s">
        <v>760</v>
      </c>
      <c r="C621" t="s">
        <v>2179</v>
      </c>
      <c r="D621" t="s">
        <v>2206</v>
      </c>
    </row>
    <row r="622" spans="1:4" x14ac:dyDescent="0.2">
      <c r="A622" t="str">
        <f t="shared" ca="1" si="10"/>
        <v>Земельный и другие налоги, относимые на текущие затраты</v>
      </c>
      <c r="B622" s="16" t="s">
        <v>761</v>
      </c>
      <c r="C622" t="s">
        <v>2180</v>
      </c>
      <c r="D622" t="s">
        <v>2080</v>
      </c>
    </row>
    <row r="623" spans="1:4" x14ac:dyDescent="0.2">
      <c r="A623" t="str">
        <f t="shared" ca="1" si="10"/>
        <v xml:space="preserve"> = Итого: затраты в отчете о прибылях и убытках</v>
      </c>
      <c r="B623" t="s">
        <v>763</v>
      </c>
      <c r="C623" t="s">
        <v>2181</v>
      </c>
      <c r="D623" t="s">
        <v>2081</v>
      </c>
    </row>
    <row r="624" spans="1:4" x14ac:dyDescent="0.2">
      <c r="A624" t="str">
        <f t="shared" ca="1" si="10"/>
        <v xml:space="preserve">    материалы и комплектующие</v>
      </c>
      <c r="B624" t="s">
        <v>764</v>
      </c>
      <c r="C624" t="s">
        <v>2182</v>
      </c>
      <c r="D624" t="s">
        <v>2082</v>
      </c>
    </row>
    <row r="625" spans="1:4" x14ac:dyDescent="0.2">
      <c r="A625" t="str">
        <f t="shared" ca="1" si="10"/>
        <v xml:space="preserve">    прочие переменные затраты</v>
      </c>
      <c r="B625" t="s">
        <v>1070</v>
      </c>
      <c r="C625" t="s">
        <v>2183</v>
      </c>
      <c r="D625" t="s">
        <v>2083</v>
      </c>
    </row>
    <row r="626" spans="1:4" x14ac:dyDescent="0.2">
      <c r="A626" t="str">
        <f t="shared" ca="1" si="10"/>
        <v xml:space="preserve">    оплата труда</v>
      </c>
      <c r="B626" t="s">
        <v>765</v>
      </c>
      <c r="C626" t="s">
        <v>2184</v>
      </c>
      <c r="D626" t="s">
        <v>2084</v>
      </c>
    </row>
    <row r="627" spans="1:4" x14ac:dyDescent="0.2">
      <c r="A627" t="str">
        <f t="shared" ca="1" si="10"/>
        <v xml:space="preserve">    оплата производственного персонала</v>
      </c>
      <c r="B627" s="23" t="s">
        <v>2174</v>
      </c>
      <c r="C627" s="23" t="s">
        <v>2175</v>
      </c>
      <c r="D627" t="s">
        <v>381</v>
      </c>
    </row>
    <row r="628" spans="1:4" x14ac:dyDescent="0.2">
      <c r="A628" t="str">
        <f t="shared" ca="1" si="10"/>
        <v xml:space="preserve">    оплата административного и коммерческого персонала</v>
      </c>
      <c r="B628" s="23" t="s">
        <v>2176</v>
      </c>
      <c r="C628" s="23" t="s">
        <v>2177</v>
      </c>
      <c r="D628" t="s">
        <v>2073</v>
      </c>
    </row>
    <row r="629" spans="1:4" x14ac:dyDescent="0.2">
      <c r="A629" t="str">
        <f t="shared" ca="1" si="10"/>
        <v xml:space="preserve">    налоги, относимые на текущие затраты</v>
      </c>
      <c r="B629" t="s">
        <v>766</v>
      </c>
      <c r="C629" t="s">
        <v>2185</v>
      </c>
      <c r="D629" t="s">
        <v>2224</v>
      </c>
    </row>
    <row r="630" spans="1:4" x14ac:dyDescent="0.2">
      <c r="A630" t="str">
        <f t="shared" ca="1" si="10"/>
        <v xml:space="preserve">    производственные расходы</v>
      </c>
      <c r="B630" t="s">
        <v>767</v>
      </c>
      <c r="C630" t="s">
        <v>2186</v>
      </c>
      <c r="D630" t="s">
        <v>408</v>
      </c>
    </row>
    <row r="631" spans="1:4" x14ac:dyDescent="0.2">
      <c r="A631" t="str">
        <f t="shared" ca="1" si="10"/>
        <v xml:space="preserve">    начисленные лизинговые платежи</v>
      </c>
      <c r="B631" t="s">
        <v>768</v>
      </c>
      <c r="C631" t="s">
        <v>2187</v>
      </c>
      <c r="D631" t="s">
        <v>2225</v>
      </c>
    </row>
    <row r="632" spans="1:4" x14ac:dyDescent="0.2">
      <c r="A632" t="str">
        <f t="shared" ca="1" si="10"/>
        <v xml:space="preserve">    амортизация</v>
      </c>
      <c r="B632" t="s">
        <v>769</v>
      </c>
      <c r="C632" t="s">
        <v>2010</v>
      </c>
      <c r="D632" t="s">
        <v>2226</v>
      </c>
    </row>
    <row r="633" spans="1:4" x14ac:dyDescent="0.2">
      <c r="A633" t="str">
        <f t="shared" ca="1" si="10"/>
        <v xml:space="preserve">    коммерческие расходы</v>
      </c>
      <c r="B633" t="s">
        <v>770</v>
      </c>
      <c r="C633" t="s">
        <v>2188</v>
      </c>
      <c r="D633" t="s">
        <v>2227</v>
      </c>
    </row>
    <row r="634" spans="1:4" x14ac:dyDescent="0.2">
      <c r="A634" t="str">
        <f t="shared" ca="1" si="10"/>
        <v xml:space="preserve">    административные расходы</v>
      </c>
      <c r="B634" t="s">
        <v>773</v>
      </c>
      <c r="C634" t="s">
        <v>2189</v>
      </c>
      <c r="D634" t="s">
        <v>412</v>
      </c>
    </row>
    <row r="635" spans="1:4" x14ac:dyDescent="0.2">
      <c r="A635" t="str">
        <f t="shared" ca="1" si="10"/>
        <v xml:space="preserve"> = Итого: оплата текущих расходов</v>
      </c>
      <c r="B635" t="s">
        <v>774</v>
      </c>
      <c r="C635" t="s">
        <v>2190</v>
      </c>
      <c r="D635" t="s">
        <v>2228</v>
      </c>
    </row>
    <row r="636" spans="1:4" s="48" customFormat="1" x14ac:dyDescent="0.2">
      <c r="A636" s="48" t="str">
        <f t="shared" ca="1" si="10"/>
        <v xml:space="preserve">    Страховые взносы в социальные фонды</v>
      </c>
      <c r="B636" s="52" t="s">
        <v>693</v>
      </c>
      <c r="C636" s="301" t="s">
        <v>2572</v>
      </c>
      <c r="D636" s="48" t="s">
        <v>2074</v>
      </c>
    </row>
    <row r="637" spans="1:4" x14ac:dyDescent="0.2">
      <c r="A637" t="str">
        <f t="shared" ca="1" si="10"/>
        <v xml:space="preserve">    Производственные расходы</v>
      </c>
      <c r="B637" t="s">
        <v>1005</v>
      </c>
      <c r="C637" t="s">
        <v>322</v>
      </c>
      <c r="D637" t="s">
        <v>408</v>
      </c>
    </row>
    <row r="638" spans="1:4" x14ac:dyDescent="0.2">
      <c r="A638" t="str">
        <f t="shared" ca="1" si="10"/>
        <v xml:space="preserve">        сумма без НДС</v>
      </c>
      <c r="B638" t="s">
        <v>1006</v>
      </c>
      <c r="C638" t="s">
        <v>323</v>
      </c>
      <c r="D638" t="s">
        <v>2229</v>
      </c>
    </row>
    <row r="639" spans="1:4" x14ac:dyDescent="0.2">
      <c r="A639" t="str">
        <f t="shared" ca="1" si="10"/>
        <v xml:space="preserve">        НДС</v>
      </c>
      <c r="B639" t="s">
        <v>1007</v>
      </c>
      <c r="C639" t="s">
        <v>324</v>
      </c>
      <c r="D639" t="s">
        <v>2230</v>
      </c>
    </row>
    <row r="640" spans="1:4" x14ac:dyDescent="0.2">
      <c r="A640" t="str">
        <f t="shared" ca="1" si="10"/>
        <v xml:space="preserve">    Административные расходы</v>
      </c>
      <c r="B640" t="s">
        <v>1008</v>
      </c>
      <c r="C640" t="s">
        <v>325</v>
      </c>
      <c r="D640" t="s">
        <v>416</v>
      </c>
    </row>
    <row r="641" spans="1:4" x14ac:dyDescent="0.2">
      <c r="A641" t="str">
        <f t="shared" ca="1" si="10"/>
        <v xml:space="preserve">    Коммерческие расходы</v>
      </c>
      <c r="B641" t="s">
        <v>1009</v>
      </c>
      <c r="C641" t="s">
        <v>326</v>
      </c>
      <c r="D641" t="s">
        <v>417</v>
      </c>
    </row>
    <row r="642" spans="1:4" x14ac:dyDescent="0.2">
      <c r="A642" t="str">
        <f t="shared" ca="1" si="10"/>
        <v xml:space="preserve">    Материалы и комплектующие</v>
      </c>
      <c r="B642" t="s">
        <v>775</v>
      </c>
      <c r="C642" t="s">
        <v>2191</v>
      </c>
      <c r="D642" t="s">
        <v>418</v>
      </c>
    </row>
    <row r="643" spans="1:4" x14ac:dyDescent="0.2">
      <c r="A643" t="str">
        <f t="shared" ca="1" si="10"/>
        <v xml:space="preserve">    Оплата труда</v>
      </c>
      <c r="B643" t="s">
        <v>2171</v>
      </c>
      <c r="C643" t="s">
        <v>2172</v>
      </c>
      <c r="D643" t="s">
        <v>2173</v>
      </c>
    </row>
    <row r="644" spans="1:4" x14ac:dyDescent="0.2">
      <c r="A644" t="str">
        <f t="shared" ca="1" si="10"/>
        <v xml:space="preserve">         СОБСТВЕННЫЙ КАПИТАЛ</v>
      </c>
      <c r="B644" s="16" t="s">
        <v>1175</v>
      </c>
      <c r="C644" s="16" t="s">
        <v>2192</v>
      </c>
      <c r="D644" t="s">
        <v>1279</v>
      </c>
    </row>
    <row r="645" spans="1:4" x14ac:dyDescent="0.2">
      <c r="A645" t="str">
        <f t="shared" ca="1" si="10"/>
        <v>Средства собственников</v>
      </c>
      <c r="B645" t="s">
        <v>857</v>
      </c>
      <c r="C645" t="s">
        <v>2193</v>
      </c>
      <c r="D645" t="s">
        <v>419</v>
      </c>
    </row>
    <row r="646" spans="1:4" x14ac:dyDescent="0.2">
      <c r="A646" t="str">
        <f t="shared" ca="1" si="10"/>
        <v>Собственник 1</v>
      </c>
      <c r="B646" t="s">
        <v>858</v>
      </c>
      <c r="C646" t="s">
        <v>2194</v>
      </c>
      <c r="D646" t="s">
        <v>420</v>
      </c>
    </row>
    <row r="647" spans="1:4" x14ac:dyDescent="0.2">
      <c r="A647" t="str">
        <f t="shared" ca="1" si="10"/>
        <v>Собственник 2</v>
      </c>
      <c r="B647" t="s">
        <v>859</v>
      </c>
      <c r="C647" t="s">
        <v>2195</v>
      </c>
      <c r="D647" t="s">
        <v>421</v>
      </c>
    </row>
    <row r="648" spans="1:4" x14ac:dyDescent="0.2">
      <c r="A648" t="str">
        <f t="shared" ca="1" si="10"/>
        <v>Собственник 3</v>
      </c>
      <c r="B648" t="s">
        <v>860</v>
      </c>
      <c r="C648" t="s">
        <v>2196</v>
      </c>
      <c r="D648" t="s">
        <v>2325</v>
      </c>
    </row>
    <row r="649" spans="1:4" x14ac:dyDescent="0.2">
      <c r="A649" t="str">
        <f t="shared" ca="1" si="10"/>
        <v>Собственник 4</v>
      </c>
      <c r="B649" t="s">
        <v>861</v>
      </c>
      <c r="C649" t="s">
        <v>2197</v>
      </c>
      <c r="D649" t="s">
        <v>2326</v>
      </c>
    </row>
    <row r="650" spans="1:4" x14ac:dyDescent="0.2">
      <c r="A650" t="str">
        <f t="shared" ca="1" si="10"/>
        <v>Собственник 5</v>
      </c>
      <c r="B650" t="s">
        <v>862</v>
      </c>
      <c r="C650" t="s">
        <v>2198</v>
      </c>
      <c r="D650" t="s">
        <v>2327</v>
      </c>
    </row>
    <row r="651" spans="1:4" x14ac:dyDescent="0.2">
      <c r="A651" t="str">
        <f t="shared" ca="1" si="10"/>
        <v>Средства от текущей деятельности</v>
      </c>
      <c r="B651" t="s">
        <v>1056</v>
      </c>
      <c r="C651" t="s">
        <v>2199</v>
      </c>
      <c r="D651" t="s">
        <v>2328</v>
      </c>
    </row>
    <row r="652" spans="1:4" x14ac:dyDescent="0.2">
      <c r="A652" t="str">
        <f t="shared" ca="1" si="10"/>
        <v xml:space="preserve">    то же, в основной валюте</v>
      </c>
      <c r="B652" t="s">
        <v>1410</v>
      </c>
      <c r="C652" t="s">
        <v>2200</v>
      </c>
      <c r="D652" t="s">
        <v>2339</v>
      </c>
    </row>
    <row r="653" spans="1:4" x14ac:dyDescent="0.2">
      <c r="A653" t="str">
        <f t="shared" ca="1" si="10"/>
        <v>Целевое финансирование</v>
      </c>
      <c r="B653" t="s">
        <v>2376</v>
      </c>
      <c r="C653" t="s">
        <v>1390</v>
      </c>
      <c r="D653" t="s">
        <v>1701</v>
      </c>
    </row>
    <row r="654" spans="1:4" x14ac:dyDescent="0.2">
      <c r="A654" t="str">
        <f t="shared" ca="1" si="10"/>
        <v>Средства от инвесторов строительства</v>
      </c>
      <c r="B654" t="s">
        <v>863</v>
      </c>
      <c r="C654" t="s">
        <v>2248</v>
      </c>
      <c r="D654" t="s">
        <v>2340</v>
      </c>
    </row>
    <row r="655" spans="1:4" x14ac:dyDescent="0.2">
      <c r="A655" t="str">
        <f t="shared" ca="1" si="10"/>
        <v>Справка: Остаток средств на счете (текущий проект)</v>
      </c>
      <c r="B655" t="s">
        <v>864</v>
      </c>
      <c r="C655" s="217" t="s">
        <v>2249</v>
      </c>
      <c r="D655" t="s">
        <v>2341</v>
      </c>
    </row>
    <row r="656" spans="1:4" x14ac:dyDescent="0.2">
      <c r="A656" t="str">
        <f t="shared" ca="1" si="10"/>
        <v>Справка: Остаток средств на счете (без учета операционной деятельности)</v>
      </c>
      <c r="B656" t="s">
        <v>2028</v>
      </c>
      <c r="C656" t="s">
        <v>2029</v>
      </c>
      <c r="D656" t="s">
        <v>2030</v>
      </c>
    </row>
    <row r="657" spans="1:4" x14ac:dyDescent="0.2">
      <c r="A657" t="str">
        <f t="shared" ca="1" si="10"/>
        <v>Справка: Остаток средств на счете (портфель проектов)</v>
      </c>
      <c r="B657" t="s">
        <v>865</v>
      </c>
      <c r="C657" s="217" t="s">
        <v>2078</v>
      </c>
      <c r="D657" t="s">
        <v>454</v>
      </c>
    </row>
    <row r="658" spans="1:4" x14ac:dyDescent="0.2">
      <c r="A658" t="str">
        <f t="shared" ca="1" si="10"/>
        <v xml:space="preserve">         КРЕДИТЫ</v>
      </c>
      <c r="B658" s="16" t="s">
        <v>1176</v>
      </c>
      <c r="C658" s="16" t="s">
        <v>2079</v>
      </c>
      <c r="D658" t="s">
        <v>1280</v>
      </c>
    </row>
    <row r="659" spans="1:4" x14ac:dyDescent="0.2">
      <c r="A659" t="str">
        <f t="shared" ca="1" si="10"/>
        <v>Тип кредита</v>
      </c>
      <c r="B659" t="s">
        <v>866</v>
      </c>
      <c r="C659" t="s">
        <v>2170</v>
      </c>
      <c r="D659" t="s">
        <v>455</v>
      </c>
    </row>
    <row r="660" spans="1:4" x14ac:dyDescent="0.2">
      <c r="A660" t="str">
        <f t="shared" ca="1" si="10"/>
        <v>Валюта кредита</v>
      </c>
      <c r="B660" t="s">
        <v>867</v>
      </c>
      <c r="C660" t="s">
        <v>259</v>
      </c>
      <c r="D660" t="s">
        <v>2350</v>
      </c>
    </row>
    <row r="661" spans="1:4" x14ac:dyDescent="0.2">
      <c r="A661" t="str">
        <f t="shared" ca="1" si="10"/>
        <v>Годовая процентная ставка</v>
      </c>
      <c r="B661" t="s">
        <v>2692</v>
      </c>
      <c r="C661" t="s">
        <v>260</v>
      </c>
      <c r="D661" t="s">
        <v>2351</v>
      </c>
    </row>
    <row r="662" spans="1:4" x14ac:dyDescent="0.2">
      <c r="A662" t="str">
        <f t="shared" ca="1" si="10"/>
        <v>Отсрочка выплаты процентов</v>
      </c>
      <c r="B662" t="s">
        <v>2693</v>
      </c>
      <c r="C662" t="s">
        <v>261</v>
      </c>
      <c r="D662" t="s">
        <v>2352</v>
      </c>
    </row>
    <row r="663" spans="1:4" x14ac:dyDescent="0.2">
      <c r="A663" t="str">
        <f t="shared" ca="1" si="10"/>
        <v>Поступление денег от кредита</v>
      </c>
      <c r="B663" t="s">
        <v>2694</v>
      </c>
      <c r="C663" t="s">
        <v>262</v>
      </c>
      <c r="D663" t="s">
        <v>2353</v>
      </c>
    </row>
    <row r="664" spans="1:4" x14ac:dyDescent="0.2">
      <c r="A664" t="str">
        <f t="shared" ca="1" si="10"/>
        <v>Погашение основного долга</v>
      </c>
      <c r="B664" t="s">
        <v>2695</v>
      </c>
      <c r="C664" t="s">
        <v>263</v>
      </c>
      <c r="D664" t="s">
        <v>2354</v>
      </c>
    </row>
    <row r="665" spans="1:4" x14ac:dyDescent="0.2">
      <c r="A665" t="str">
        <f t="shared" ca="1" si="10"/>
        <v>Начисленные проценты</v>
      </c>
      <c r="B665" t="s">
        <v>966</v>
      </c>
      <c r="C665" t="s">
        <v>264</v>
      </c>
      <c r="D665" t="s">
        <v>2355</v>
      </c>
    </row>
    <row r="666" spans="1:4" x14ac:dyDescent="0.2">
      <c r="A666" t="str">
        <f t="shared" ca="1" si="10"/>
        <v>Выплаченные проценты</v>
      </c>
      <c r="B666" t="s">
        <v>2696</v>
      </c>
      <c r="C666" t="s">
        <v>265</v>
      </c>
      <c r="D666" t="s">
        <v>2356</v>
      </c>
    </row>
    <row r="667" spans="1:4" x14ac:dyDescent="0.2">
      <c r="A667" t="str">
        <f t="shared" ca="1" si="10"/>
        <v>Задолженность с учетом отсроченных процентов</v>
      </c>
      <c r="B667" t="s">
        <v>1225</v>
      </c>
      <c r="C667" t="s">
        <v>1226</v>
      </c>
      <c r="D667" t="s">
        <v>1226</v>
      </c>
    </row>
    <row r="668" spans="1:4" x14ac:dyDescent="0.2">
      <c r="A668" t="str">
        <f t="shared" ca="1" si="10"/>
        <v>Задолженность на конец текущего периода</v>
      </c>
      <c r="B668" t="s">
        <v>2697</v>
      </c>
      <c r="C668" t="s">
        <v>2085</v>
      </c>
      <c r="D668" t="s">
        <v>2357</v>
      </c>
    </row>
    <row r="669" spans="1:4" x14ac:dyDescent="0.2">
      <c r="A669" t="str">
        <f t="shared" ca="1" si="10"/>
        <v xml:space="preserve">    в том числе по процентам</v>
      </c>
      <c r="B669" t="s">
        <v>972</v>
      </c>
      <c r="C669" t="s">
        <v>2086</v>
      </c>
      <c r="D669" t="s">
        <v>2358</v>
      </c>
    </row>
    <row r="670" spans="1:4" x14ac:dyDescent="0.2">
      <c r="A670" t="str">
        <f t="shared" ca="1" si="10"/>
        <v xml:space="preserve">    интервал, в котором впервые взят кредит</v>
      </c>
      <c r="B670" t="s">
        <v>1228</v>
      </c>
      <c r="C670" t="s">
        <v>2087</v>
      </c>
      <c r="D670" t="s">
        <v>2359</v>
      </c>
    </row>
    <row r="671" spans="1:4" x14ac:dyDescent="0.2">
      <c r="A671" t="str">
        <f t="shared" ca="1" si="10"/>
        <v xml:space="preserve">    проценты, выплачиваемые из прибыли</v>
      </c>
      <c r="B671" t="s">
        <v>2698</v>
      </c>
      <c r="C671" t="s">
        <v>1970</v>
      </c>
      <c r="D671" t="s">
        <v>1770</v>
      </c>
    </row>
    <row r="672" spans="1:4" x14ac:dyDescent="0.2">
      <c r="A672" t="str">
        <f t="shared" ca="1" si="10"/>
        <v xml:space="preserve">    проценты начисленные</v>
      </c>
      <c r="B672" t="s">
        <v>965</v>
      </c>
      <c r="C672" t="s">
        <v>2088</v>
      </c>
      <c r="D672" t="s">
        <v>2360</v>
      </c>
    </row>
    <row r="673" spans="1:4" x14ac:dyDescent="0.2">
      <c r="A673" t="str">
        <f t="shared" ca="1" si="10"/>
        <v xml:space="preserve"> = Итого: Поступления от кредитов</v>
      </c>
      <c r="B673" t="s">
        <v>2699</v>
      </c>
      <c r="C673" t="s">
        <v>2089</v>
      </c>
      <c r="D673" t="s">
        <v>2361</v>
      </c>
    </row>
    <row r="674" spans="1:4" x14ac:dyDescent="0.2">
      <c r="A674" t="str">
        <f t="shared" ca="1" si="10"/>
        <v xml:space="preserve"> = Итого: Погашение кредитов</v>
      </c>
      <c r="B674" t="s">
        <v>2700</v>
      </c>
      <c r="C674" t="s">
        <v>2090</v>
      </c>
      <c r="D674" t="s">
        <v>2362</v>
      </c>
    </row>
    <row r="675" spans="1:4" x14ac:dyDescent="0.2">
      <c r="A675" t="str">
        <f t="shared" ca="1" si="10"/>
        <v xml:space="preserve"> = Итого: Начисление процентов</v>
      </c>
      <c r="B675" t="s">
        <v>934</v>
      </c>
      <c r="C675" t="s">
        <v>2091</v>
      </c>
      <c r="D675" t="s">
        <v>2235</v>
      </c>
    </row>
    <row r="676" spans="1:4" x14ac:dyDescent="0.2">
      <c r="A676" t="str">
        <f t="shared" ca="1" si="10"/>
        <v xml:space="preserve"> = Итого: Выплата процентов</v>
      </c>
      <c r="B676" t="s">
        <v>2701</v>
      </c>
      <c r="C676" t="s">
        <v>2092</v>
      </c>
      <c r="D676" t="s">
        <v>2236</v>
      </c>
    </row>
    <row r="677" spans="1:4" x14ac:dyDescent="0.2">
      <c r="A677" t="str">
        <f t="shared" ca="1" si="10"/>
        <v xml:space="preserve">    проценты, выплачиваемые из прибыли</v>
      </c>
      <c r="B677" t="s">
        <v>2698</v>
      </c>
      <c r="C677" t="s">
        <v>1970</v>
      </c>
      <c r="D677" t="s">
        <v>1770</v>
      </c>
    </row>
    <row r="678" spans="1:4" x14ac:dyDescent="0.2">
      <c r="A678" t="str">
        <f t="shared" ca="1" si="10"/>
        <v xml:space="preserve"> = Итого: Задолженность по кредитам</v>
      </c>
      <c r="B678" t="s">
        <v>963</v>
      </c>
      <c r="C678" t="s">
        <v>2093</v>
      </c>
      <c r="D678" t="s">
        <v>2237</v>
      </c>
    </row>
    <row r="679" spans="1:4" x14ac:dyDescent="0.2">
      <c r="A679" t="str">
        <f t="shared" ca="1" si="10"/>
        <v xml:space="preserve">    задолженность по кредитам на оборотный капитал</v>
      </c>
      <c r="B679" t="s">
        <v>935</v>
      </c>
      <c r="C679" t="s">
        <v>2094</v>
      </c>
      <c r="D679" t="s">
        <v>2238</v>
      </c>
    </row>
    <row r="680" spans="1:4" x14ac:dyDescent="0.2">
      <c r="A680" t="str">
        <f t="shared" ca="1" si="10"/>
        <v xml:space="preserve">    задолженность по инвестиционным кредитам</v>
      </c>
      <c r="B680" t="s">
        <v>964</v>
      </c>
      <c r="C680" t="s">
        <v>2095</v>
      </c>
      <c r="D680" t="s">
        <v>2239</v>
      </c>
    </row>
    <row r="681" spans="1:4" x14ac:dyDescent="0.2">
      <c r="A681" t="str">
        <f t="shared" ca="1" si="10"/>
        <v>Кредит на пополнение оборотных средств</v>
      </c>
      <c r="B681" t="s">
        <v>901</v>
      </c>
      <c r="C681" t="s">
        <v>2096</v>
      </c>
      <c r="D681" t="s">
        <v>2240</v>
      </c>
    </row>
    <row r="682" spans="1:4" x14ac:dyDescent="0.2">
      <c r="A682" t="str">
        <f t="shared" ca="1" si="10"/>
        <v>Инвестиционный кредит</v>
      </c>
      <c r="B682" t="s">
        <v>970</v>
      </c>
      <c r="C682" t="s">
        <v>2097</v>
      </c>
      <c r="D682" t="s">
        <v>2241</v>
      </c>
    </row>
    <row r="683" spans="1:4" x14ac:dyDescent="0.2">
      <c r="A683" t="str">
        <f t="shared" ca="1" si="10"/>
        <v>Инвестиционный кредит из федерального бюджета</v>
      </c>
      <c r="B683" t="s">
        <v>968</v>
      </c>
      <c r="C683" t="s">
        <v>2098</v>
      </c>
      <c r="D683" t="s">
        <v>2231</v>
      </c>
    </row>
    <row r="684" spans="1:4" x14ac:dyDescent="0.2">
      <c r="A684" t="str">
        <f t="shared" ca="1" si="10"/>
        <v>Инвестиционный кредит из регионального бюджета</v>
      </c>
      <c r="B684" t="s">
        <v>969</v>
      </c>
      <c r="C684" t="s">
        <v>2099</v>
      </c>
      <c r="D684" t="s">
        <v>2232</v>
      </c>
    </row>
    <row r="685" spans="1:4" x14ac:dyDescent="0.2">
      <c r="A685" t="str">
        <f t="shared" ca="1" si="10"/>
        <v>Общий коэффициент покрытия долга (текущий проект)</v>
      </c>
      <c r="B685" t="s">
        <v>1045</v>
      </c>
      <c r="C685" t="s">
        <v>1046</v>
      </c>
      <c r="D685" t="s">
        <v>1047</v>
      </c>
    </row>
    <row r="686" spans="1:4" x14ac:dyDescent="0.2">
      <c r="A686" t="str">
        <f t="shared" ca="1" si="10"/>
        <v>Общий коэффициент покрытия долга (портфель проектов)</v>
      </c>
      <c r="B686" t="s">
        <v>1048</v>
      </c>
      <c r="C686" t="s">
        <v>1049</v>
      </c>
      <c r="D686" t="s">
        <v>1050</v>
      </c>
    </row>
    <row r="687" spans="1:4" x14ac:dyDescent="0.2">
      <c r="A687" t="str">
        <f t="shared" ca="1" si="10"/>
        <v>разы</v>
      </c>
      <c r="B687" t="s">
        <v>1177</v>
      </c>
      <c r="C687" t="s">
        <v>1887</v>
      </c>
      <c r="D687" t="s">
        <v>1924</v>
      </c>
    </row>
    <row r="688" spans="1:4" x14ac:dyDescent="0.2">
      <c r="A688" t="str">
        <f t="shared" ca="1" si="10"/>
        <v>Существующие кредиты</v>
      </c>
      <c r="B688" t="s">
        <v>1178</v>
      </c>
      <c r="C688" t="s">
        <v>2101</v>
      </c>
      <c r="D688" t="s">
        <v>2119</v>
      </c>
    </row>
    <row r="689" spans="1:4" x14ac:dyDescent="0.2">
      <c r="A689" t="str">
        <f t="shared" ca="1" si="10"/>
        <v>Новые кредиты</v>
      </c>
      <c r="B689" t="s">
        <v>1179</v>
      </c>
      <c r="C689" t="s">
        <v>2102</v>
      </c>
      <c r="D689" t="s">
        <v>2120</v>
      </c>
    </row>
    <row r="690" spans="1:4" x14ac:dyDescent="0.2">
      <c r="A690" t="str">
        <f t="shared" ca="1" si="10"/>
        <v xml:space="preserve">    проценты по новым инвестиционным кредитам</v>
      </c>
      <c r="B690" s="23" t="s">
        <v>909</v>
      </c>
      <c r="C690" s="23" t="s">
        <v>2103</v>
      </c>
      <c r="D690" t="s">
        <v>2121</v>
      </c>
    </row>
    <row r="691" spans="1:4" x14ac:dyDescent="0.2">
      <c r="A691" t="str">
        <f ca="1">OFFSET(A691,0,LanguageID)</f>
        <v xml:space="preserve">         СВОДНЫЙ ОТЧЕТ ОБ ИНВЕСТИЦИЯХ В ПРОЕКТ</v>
      </c>
      <c r="B691" s="16" t="s">
        <v>1377</v>
      </c>
      <c r="C691" s="16" t="s">
        <v>2104</v>
      </c>
      <c r="D691" t="s">
        <v>1281</v>
      </c>
    </row>
    <row r="692" spans="1:4" x14ac:dyDescent="0.2">
      <c r="A692" t="str">
        <f t="shared" ref="A692:A797" ca="1" si="11">OFFSET(A692,0,LanguageID)</f>
        <v>Потребность в инвестициях</v>
      </c>
      <c r="B692" s="23" t="s">
        <v>1051</v>
      </c>
      <c r="C692" t="s">
        <v>2348</v>
      </c>
      <c r="D692" s="52" t="s">
        <v>1715</v>
      </c>
    </row>
    <row r="693" spans="1:4" x14ac:dyDescent="0.2">
      <c r="A693" t="str">
        <f t="shared" ca="1" si="11"/>
        <v>Инвестиции в земельные участки</v>
      </c>
      <c r="B693" s="23" t="s">
        <v>1055</v>
      </c>
      <c r="C693" t="s">
        <v>2349</v>
      </c>
      <c r="D693" t="s">
        <v>2122</v>
      </c>
    </row>
    <row r="694" spans="1:4" x14ac:dyDescent="0.2">
      <c r="A694" t="str">
        <f t="shared" ca="1" si="11"/>
        <v>Инвестиции в нематериальные активы</v>
      </c>
      <c r="B694" s="23" t="s">
        <v>1052</v>
      </c>
      <c r="C694" t="s">
        <v>340</v>
      </c>
      <c r="D694" t="s">
        <v>2123</v>
      </c>
    </row>
    <row r="695" spans="1:4" x14ac:dyDescent="0.2">
      <c r="A695" t="str">
        <f t="shared" ca="1" si="11"/>
        <v>Инвестиции в финансовые активы</v>
      </c>
      <c r="B695" s="23" t="s">
        <v>907</v>
      </c>
      <c r="C695" t="s">
        <v>341</v>
      </c>
      <c r="D695" t="s">
        <v>2124</v>
      </c>
    </row>
    <row r="696" spans="1:4" x14ac:dyDescent="0.2">
      <c r="A696" t="str">
        <f t="shared" ca="1" si="11"/>
        <v>Инвестиции в здания и сооружения</v>
      </c>
      <c r="B696" s="23" t="s">
        <v>1067</v>
      </c>
      <c r="C696" t="s">
        <v>342</v>
      </c>
      <c r="D696" t="s">
        <v>2125</v>
      </c>
    </row>
    <row r="697" spans="1:4" x14ac:dyDescent="0.2">
      <c r="A697" t="str">
        <f t="shared" ca="1" si="11"/>
        <v>Инвестиции в оборудование и прочие активы</v>
      </c>
      <c r="B697" s="23" t="s">
        <v>1053</v>
      </c>
      <c r="C697" t="s">
        <v>343</v>
      </c>
      <c r="D697" t="s">
        <v>2126</v>
      </c>
    </row>
    <row r="698" spans="1:4" x14ac:dyDescent="0.2">
      <c r="A698" t="str">
        <f t="shared" ca="1" si="11"/>
        <v>Инвестиции в финансовые активы</v>
      </c>
      <c r="B698" s="23" t="s">
        <v>907</v>
      </c>
      <c r="C698" t="s">
        <v>341</v>
      </c>
      <c r="D698" t="s">
        <v>2124</v>
      </c>
    </row>
    <row r="699" spans="1:4" x14ac:dyDescent="0.2">
      <c r="A699" t="str">
        <f t="shared" ca="1" si="11"/>
        <v>Оплата расходов будущих периодов</v>
      </c>
      <c r="B699" s="23" t="s">
        <v>2303</v>
      </c>
      <c r="C699" t="s">
        <v>344</v>
      </c>
      <c r="D699" t="s">
        <v>2127</v>
      </c>
    </row>
    <row r="700" spans="1:4" x14ac:dyDescent="0.2">
      <c r="A700" t="str">
        <f t="shared" ca="1" si="11"/>
        <v>Прирост чистого оборотного капитала</v>
      </c>
      <c r="B700" s="23" t="s">
        <v>456</v>
      </c>
      <c r="C700" t="s">
        <v>116</v>
      </c>
      <c r="D700" t="s">
        <v>327</v>
      </c>
    </row>
    <row r="701" spans="1:4" x14ac:dyDescent="0.2">
      <c r="A701" t="str">
        <f t="shared" ca="1" si="11"/>
        <v>Привлечение финансирования</v>
      </c>
      <c r="B701" s="23" t="s">
        <v>1342</v>
      </c>
      <c r="C701" t="s">
        <v>345</v>
      </c>
      <c r="D701" t="s">
        <v>2128</v>
      </c>
    </row>
    <row r="702" spans="1:4" x14ac:dyDescent="0.2">
      <c r="A702" t="str">
        <f t="shared" ca="1" si="11"/>
        <v>Возврат финансирования</v>
      </c>
      <c r="B702" s="23" t="s">
        <v>1343</v>
      </c>
      <c r="C702" t="s">
        <v>346</v>
      </c>
      <c r="D702" t="s">
        <v>2129</v>
      </c>
    </row>
    <row r="703" spans="1:4" x14ac:dyDescent="0.2">
      <c r="A703" t="str">
        <f t="shared" ca="1" si="11"/>
        <v>Дивиденды</v>
      </c>
      <c r="B703" s="23" t="s">
        <v>1057</v>
      </c>
      <c r="C703" t="s">
        <v>347</v>
      </c>
      <c r="D703" t="s">
        <v>2130</v>
      </c>
    </row>
    <row r="704" spans="1:4" x14ac:dyDescent="0.2">
      <c r="A704" t="str">
        <f t="shared" ca="1" si="11"/>
        <v>Лизинговые платежи</v>
      </c>
      <c r="B704" s="23" t="s">
        <v>1058</v>
      </c>
      <c r="C704" t="s">
        <v>2242</v>
      </c>
      <c r="D704" t="s">
        <v>2131</v>
      </c>
    </row>
    <row r="705" spans="1:4" x14ac:dyDescent="0.2">
      <c r="A705" t="str">
        <f t="shared" ca="1" si="11"/>
        <v>Возврат кредитов</v>
      </c>
      <c r="B705" s="23" t="s">
        <v>1059</v>
      </c>
      <c r="C705" s="216" t="s">
        <v>2243</v>
      </c>
      <c r="D705" t="s">
        <v>2354</v>
      </c>
    </row>
    <row r="706" spans="1:4" x14ac:dyDescent="0.2">
      <c r="A706" t="str">
        <f t="shared" ca="1" si="11"/>
        <v>Минимальный остаток средств на счете</v>
      </c>
      <c r="B706" s="23" t="s">
        <v>1060</v>
      </c>
      <c r="C706" t="s">
        <v>2244</v>
      </c>
      <c r="D706" t="s">
        <v>2132</v>
      </c>
    </row>
    <row r="707" spans="1:4" x14ac:dyDescent="0.2">
      <c r="A707" t="str">
        <f t="shared" ca="1" si="11"/>
        <v xml:space="preserve">         ОТЧЕТ О ПРИБЫЛЯХ И УБЫТКАХ</v>
      </c>
      <c r="B707" s="16" t="s">
        <v>1283</v>
      </c>
      <c r="C707" s="16" t="s">
        <v>2245</v>
      </c>
      <c r="D707" t="s">
        <v>1288</v>
      </c>
    </row>
    <row r="708" spans="1:4" x14ac:dyDescent="0.2">
      <c r="A708" t="str">
        <f t="shared" ca="1" si="11"/>
        <v>Выручка (нетто)</v>
      </c>
      <c r="B708" s="23" t="s">
        <v>1061</v>
      </c>
      <c r="C708" t="s">
        <v>2246</v>
      </c>
      <c r="D708" t="s">
        <v>2133</v>
      </c>
    </row>
    <row r="709" spans="1:4" x14ac:dyDescent="0.2">
      <c r="A709" t="str">
        <f t="shared" ca="1" si="11"/>
        <v>Себестоимость</v>
      </c>
      <c r="B709" s="23" t="s">
        <v>2276</v>
      </c>
      <c r="C709" t="s">
        <v>2277</v>
      </c>
      <c r="D709" s="48" t="s">
        <v>1244</v>
      </c>
    </row>
    <row r="710" spans="1:4" x14ac:dyDescent="0.2">
      <c r="A710" t="str">
        <f t="shared" ca="1" si="11"/>
        <v>в том числе</v>
      </c>
      <c r="B710" s="23" t="s">
        <v>1089</v>
      </c>
      <c r="C710" t="s">
        <v>2247</v>
      </c>
      <c r="D710" t="s">
        <v>2134</v>
      </c>
    </row>
    <row r="711" spans="1:4" x14ac:dyDescent="0.2">
      <c r="A711" t="str">
        <f t="shared" ca="1" si="11"/>
        <v xml:space="preserve">    Сырье и материалы</v>
      </c>
      <c r="B711" s="23" t="s">
        <v>2281</v>
      </c>
      <c r="C711" s="23" t="s">
        <v>2051</v>
      </c>
      <c r="D711" t="s">
        <v>2082</v>
      </c>
    </row>
    <row r="712" spans="1:4" x14ac:dyDescent="0.2">
      <c r="A712" t="str">
        <f t="shared" ca="1" si="11"/>
        <v xml:space="preserve">    Прочие переменные расходы</v>
      </c>
      <c r="B712" s="23" t="s">
        <v>2282</v>
      </c>
      <c r="C712" s="23" t="s">
        <v>2052</v>
      </c>
      <c r="D712" t="s">
        <v>2083</v>
      </c>
    </row>
    <row r="713" spans="1:4" x14ac:dyDescent="0.2">
      <c r="A713" t="str">
        <f t="shared" ca="1" si="11"/>
        <v xml:space="preserve">    Оплата производственного персонала</v>
      </c>
      <c r="B713" s="23" t="s">
        <v>2283</v>
      </c>
      <c r="C713" s="23" t="s">
        <v>348</v>
      </c>
      <c r="D713" t="s">
        <v>381</v>
      </c>
    </row>
    <row r="714" spans="1:4" x14ac:dyDescent="0.2">
      <c r="A714" t="str">
        <f t="shared" ca="1" si="11"/>
        <v xml:space="preserve">    Лизинговые платежи</v>
      </c>
      <c r="B714" s="23" t="s">
        <v>2284</v>
      </c>
      <c r="C714" t="s">
        <v>349</v>
      </c>
      <c r="D714" t="s">
        <v>2225</v>
      </c>
    </row>
    <row r="715" spans="1:4" x14ac:dyDescent="0.2">
      <c r="A715" t="str">
        <f t="shared" ca="1" si="11"/>
        <v xml:space="preserve">    Прочие производственные расходы</v>
      </c>
      <c r="B715" s="23" t="s">
        <v>2285</v>
      </c>
      <c r="C715" t="s">
        <v>350</v>
      </c>
      <c r="D715" t="s">
        <v>382</v>
      </c>
    </row>
    <row r="716" spans="1:4" x14ac:dyDescent="0.2">
      <c r="A716" t="str">
        <f t="shared" ca="1" si="11"/>
        <v>Валовая прибыль</v>
      </c>
      <c r="B716" s="23" t="s">
        <v>1062</v>
      </c>
      <c r="C716" t="s">
        <v>351</v>
      </c>
      <c r="D716" t="s">
        <v>383</v>
      </c>
    </row>
    <row r="717" spans="1:4" x14ac:dyDescent="0.2">
      <c r="A717" t="str">
        <f t="shared" ca="1" si="11"/>
        <v>Оплата административного и коммерческого персонала</v>
      </c>
      <c r="B717" s="23" t="s">
        <v>2279</v>
      </c>
      <c r="C717" s="23" t="s">
        <v>352</v>
      </c>
      <c r="D717" t="s">
        <v>384</v>
      </c>
    </row>
    <row r="718" spans="1:4" x14ac:dyDescent="0.2">
      <c r="A718" t="str">
        <f t="shared" ca="1" si="11"/>
        <v>Административные расходы</v>
      </c>
      <c r="B718" s="23" t="s">
        <v>1002</v>
      </c>
      <c r="C718" t="s">
        <v>319</v>
      </c>
      <c r="D718" t="s">
        <v>405</v>
      </c>
    </row>
    <row r="719" spans="1:4" x14ac:dyDescent="0.2">
      <c r="A719" t="str">
        <f t="shared" ca="1" si="11"/>
        <v>Коммерческие расходы</v>
      </c>
      <c r="B719" s="23" t="s">
        <v>1003</v>
      </c>
      <c r="C719" t="s">
        <v>320</v>
      </c>
      <c r="D719" t="s">
        <v>406</v>
      </c>
    </row>
    <row r="720" spans="1:4" x14ac:dyDescent="0.2">
      <c r="A720" t="str">
        <f t="shared" ca="1" si="11"/>
        <v>Налоги, кроме налога на прибыль</v>
      </c>
      <c r="B720" s="23" t="s">
        <v>2289</v>
      </c>
      <c r="C720" t="s">
        <v>2290</v>
      </c>
      <c r="D720" s="48" t="s">
        <v>1245</v>
      </c>
    </row>
    <row r="721" spans="1:4" x14ac:dyDescent="0.2">
      <c r="A721" t="str">
        <f t="shared" ca="1" si="11"/>
        <v>Прибыль (убыток) от операционной деятельности</v>
      </c>
      <c r="B721" s="23" t="s">
        <v>2278</v>
      </c>
      <c r="C721" t="s">
        <v>353</v>
      </c>
      <c r="D721" s="48" t="s">
        <v>1246</v>
      </c>
    </row>
    <row r="722" spans="1:4" x14ac:dyDescent="0.2">
      <c r="A722" t="str">
        <f t="shared" ca="1" si="11"/>
        <v>Налоги, относимые на финансовые результаты</v>
      </c>
      <c r="B722" s="23" t="s">
        <v>1092</v>
      </c>
      <c r="C722" t="s">
        <v>354</v>
      </c>
      <c r="D722" t="s">
        <v>385</v>
      </c>
    </row>
    <row r="723" spans="1:4" x14ac:dyDescent="0.2">
      <c r="A723" t="str">
        <f t="shared" ca="1" si="11"/>
        <v>Прибыль / убыток от реализации внеоборотных активов</v>
      </c>
      <c r="B723" s="23" t="s">
        <v>910</v>
      </c>
      <c r="C723" t="s">
        <v>2165</v>
      </c>
      <c r="D723" t="s">
        <v>386</v>
      </c>
    </row>
    <row r="724" spans="1:4" x14ac:dyDescent="0.2">
      <c r="A724" t="str">
        <f t="shared" ca="1" si="11"/>
        <v>Прибыль / убыток от строительной деятельности</v>
      </c>
      <c r="B724" s="23" t="s">
        <v>1418</v>
      </c>
      <c r="C724" t="s">
        <v>2166</v>
      </c>
      <c r="D724" t="s">
        <v>387</v>
      </c>
    </row>
    <row r="725" spans="1:4" x14ac:dyDescent="0.2">
      <c r="A725" t="str">
        <f t="shared" ca="1" si="11"/>
        <v>Курсовые разницы</v>
      </c>
      <c r="B725" s="23" t="s">
        <v>1088</v>
      </c>
      <c r="C725" t="s">
        <v>2167</v>
      </c>
      <c r="D725" t="s">
        <v>388</v>
      </c>
    </row>
    <row r="726" spans="1:4" x14ac:dyDescent="0.2">
      <c r="A726" t="str">
        <f t="shared" ca="1" si="11"/>
        <v>Прочие доходы</v>
      </c>
      <c r="B726" s="23" t="s">
        <v>1118</v>
      </c>
      <c r="C726" t="s">
        <v>2168</v>
      </c>
      <c r="D726" t="s">
        <v>389</v>
      </c>
    </row>
    <row r="727" spans="1:4" x14ac:dyDescent="0.2">
      <c r="A727" t="str">
        <f t="shared" ca="1" si="11"/>
        <v>Прочие расходы</v>
      </c>
      <c r="B727" s="23" t="s">
        <v>1119</v>
      </c>
      <c r="C727" t="s">
        <v>2169</v>
      </c>
      <c r="D727" t="s">
        <v>390</v>
      </c>
    </row>
    <row r="728" spans="1:4" x14ac:dyDescent="0.2">
      <c r="A728" t="str">
        <f t="shared" ca="1" si="11"/>
        <v>Прибыль до налога, процентов и амортизации (EBITDA)</v>
      </c>
      <c r="B728" s="23" t="s">
        <v>2287</v>
      </c>
      <c r="C728" t="s">
        <v>245</v>
      </c>
      <c r="D728" t="s">
        <v>391</v>
      </c>
    </row>
    <row r="729" spans="1:4" x14ac:dyDescent="0.2">
      <c r="A729" t="str">
        <f t="shared" ca="1" si="11"/>
        <v xml:space="preserve">    Амортизация</v>
      </c>
      <c r="B729" s="23" t="s">
        <v>2286</v>
      </c>
      <c r="C729" t="s">
        <v>2179</v>
      </c>
      <c r="D729" t="s">
        <v>2206</v>
      </c>
    </row>
    <row r="730" spans="1:4" x14ac:dyDescent="0.2">
      <c r="A730" t="str">
        <f t="shared" ca="1" si="11"/>
        <v>Прибыль до процентов и налога (EBIT)</v>
      </c>
      <c r="B730" s="23" t="s">
        <v>2288</v>
      </c>
      <c r="C730" t="s">
        <v>129</v>
      </c>
      <c r="D730" t="s">
        <v>392</v>
      </c>
    </row>
    <row r="731" spans="1:4" x14ac:dyDescent="0.2">
      <c r="A731" t="str">
        <f t="shared" ca="1" si="11"/>
        <v>Проценты</v>
      </c>
      <c r="B731" s="23" t="s">
        <v>1063</v>
      </c>
      <c r="C731" t="s">
        <v>130</v>
      </c>
      <c r="D731" t="s">
        <v>393</v>
      </c>
    </row>
    <row r="732" spans="1:4" x14ac:dyDescent="0.2">
      <c r="A732" t="str">
        <f t="shared" ca="1" si="11"/>
        <v>Прибыль до налогообложения</v>
      </c>
      <c r="B732" s="23" t="s">
        <v>1199</v>
      </c>
      <c r="C732" t="s">
        <v>131</v>
      </c>
      <c r="D732" t="s">
        <v>394</v>
      </c>
    </row>
    <row r="733" spans="1:4" x14ac:dyDescent="0.2">
      <c r="A733" t="str">
        <f t="shared" ca="1" si="11"/>
        <v>Налог на прибыль</v>
      </c>
      <c r="B733" s="23" t="s">
        <v>1064</v>
      </c>
      <c r="C733" t="s">
        <v>50</v>
      </c>
      <c r="D733" t="s">
        <v>1646</v>
      </c>
    </row>
    <row r="734" spans="1:4" x14ac:dyDescent="0.2">
      <c r="A734" t="str">
        <f t="shared" ca="1" si="11"/>
        <v>Чистая прибыль (убыток)</v>
      </c>
      <c r="B734" s="23" t="s">
        <v>1090</v>
      </c>
      <c r="C734" t="s">
        <v>132</v>
      </c>
      <c r="D734" t="s">
        <v>395</v>
      </c>
    </row>
    <row r="735" spans="1:4" x14ac:dyDescent="0.2">
      <c r="A735" t="str">
        <f t="shared" ca="1" si="11"/>
        <v>График: Выручка</v>
      </c>
      <c r="B735" t="s">
        <v>2268</v>
      </c>
      <c r="C735" t="s">
        <v>2269</v>
      </c>
      <c r="D735" s="48" t="s">
        <v>1247</v>
      </c>
    </row>
    <row r="736" spans="1:4" x14ac:dyDescent="0.2">
      <c r="A736" t="str">
        <f t="shared" ca="1" si="11"/>
        <v>График: Чистая прибыль</v>
      </c>
      <c r="B736" t="s">
        <v>2270</v>
      </c>
      <c r="C736" t="s">
        <v>2271</v>
      </c>
      <c r="D736" t="s">
        <v>396</v>
      </c>
    </row>
    <row r="737" spans="1:4" x14ac:dyDescent="0.2">
      <c r="A737" t="str">
        <f t="shared" ca="1" si="11"/>
        <v xml:space="preserve">         ПРИЛОЖЕНИЕ К ОТЧЕТУ О ПРИБЫЛЯХ И УБЫТКАХ</v>
      </c>
      <c r="B737" s="16" t="s">
        <v>1117</v>
      </c>
      <c r="C737" s="16" t="s">
        <v>133</v>
      </c>
      <c r="D737" t="s">
        <v>1289</v>
      </c>
    </row>
    <row r="738" spans="1:4" x14ac:dyDescent="0.2">
      <c r="A738" t="str">
        <f t="shared" ca="1" si="11"/>
        <v>Прочие доходы (без НДС)</v>
      </c>
      <c r="B738" s="23" t="s">
        <v>1337</v>
      </c>
      <c r="C738" t="s">
        <v>2053</v>
      </c>
      <c r="D738" t="s">
        <v>397</v>
      </c>
    </row>
    <row r="739" spans="1:4" x14ac:dyDescent="0.2">
      <c r="A739" t="str">
        <f t="shared" ca="1" si="11"/>
        <v xml:space="preserve">   НДС</v>
      </c>
      <c r="B739" s="23" t="s">
        <v>871</v>
      </c>
      <c r="C739" s="23" t="s">
        <v>2054</v>
      </c>
      <c r="D739" t="s">
        <v>2017</v>
      </c>
    </row>
    <row r="740" spans="1:4" x14ac:dyDescent="0.2">
      <c r="A740" t="str">
        <f t="shared" ca="1" si="11"/>
        <v>Прочие расходы (без НДС)</v>
      </c>
      <c r="B740" s="23" t="s">
        <v>1338</v>
      </c>
      <c r="C740" t="s">
        <v>2055</v>
      </c>
      <c r="D740" t="s">
        <v>398</v>
      </c>
    </row>
    <row r="741" spans="1:4" x14ac:dyDescent="0.2">
      <c r="A741" t="str">
        <f t="shared" ca="1" si="11"/>
        <v>Курсовые разницы</v>
      </c>
      <c r="B741" s="23" t="s">
        <v>1088</v>
      </c>
      <c r="C741" t="s">
        <v>2167</v>
      </c>
      <c r="D741" t="s">
        <v>388</v>
      </c>
    </row>
    <row r="742" spans="1:4" x14ac:dyDescent="0.2">
      <c r="A742" t="str">
        <f t="shared" ca="1" si="11"/>
        <v>Дивиденды</v>
      </c>
      <c r="B742" s="23" t="s">
        <v>1057</v>
      </c>
      <c r="C742" t="s">
        <v>347</v>
      </c>
      <c r="D742" t="s">
        <v>2130</v>
      </c>
    </row>
    <row r="743" spans="1:4" x14ac:dyDescent="0.2">
      <c r="A743" s="23" t="str">
        <f t="shared" ca="1" si="11"/>
        <v>Нераспределенная прибыль (за период)</v>
      </c>
      <c r="B743" s="23" t="s">
        <v>1421</v>
      </c>
      <c r="C743" s="216" t="s">
        <v>2056</v>
      </c>
      <c r="D743" t="s">
        <v>399</v>
      </c>
    </row>
    <row r="744" spans="1:4" x14ac:dyDescent="0.2">
      <c r="A744" s="23" t="str">
        <f t="shared" ca="1" si="11"/>
        <v>Нераспределенная прибыль (на начало периода, нарастающим итогом)</v>
      </c>
      <c r="B744" s="23" t="s">
        <v>1301</v>
      </c>
      <c r="C744" s="216" t="s">
        <v>2057</v>
      </c>
      <c r="D744" t="s">
        <v>400</v>
      </c>
    </row>
    <row r="745" spans="1:4" x14ac:dyDescent="0.2">
      <c r="A745" s="23" t="str">
        <f t="shared" ca="1" si="11"/>
        <v>Нераспределенная прибыль (на конец периода, нарастающим итогом)</v>
      </c>
      <c r="B745" s="23" t="s">
        <v>1302</v>
      </c>
      <c r="C745" s="216" t="s">
        <v>2058</v>
      </c>
      <c r="D745" t="s">
        <v>508</v>
      </c>
    </row>
    <row r="746" spans="1:4" x14ac:dyDescent="0.2">
      <c r="A746" t="str">
        <f t="shared" ca="1" si="11"/>
        <v xml:space="preserve">         ОТЧЕТ О ДВИЖЕНИИ ДЕНЕЖНЫХ СРЕДСТВ</v>
      </c>
      <c r="B746" s="16" t="s">
        <v>1428</v>
      </c>
      <c r="C746" s="16" t="s">
        <v>2059</v>
      </c>
      <c r="D746" t="s">
        <v>1290</v>
      </c>
    </row>
    <row r="747" spans="1:4" x14ac:dyDescent="0.2">
      <c r="A747" t="str">
        <f t="shared" ca="1" si="11"/>
        <v>Поступления от продаж</v>
      </c>
      <c r="B747" t="s">
        <v>1093</v>
      </c>
      <c r="C747" t="s">
        <v>2060</v>
      </c>
      <c r="D747" t="s">
        <v>509</v>
      </c>
    </row>
    <row r="748" spans="1:4" x14ac:dyDescent="0.2">
      <c r="A748" t="str">
        <f t="shared" ca="1" si="11"/>
        <v>Затраты на материалы и комплектующие</v>
      </c>
      <c r="B748" t="s">
        <v>1094</v>
      </c>
      <c r="C748" t="s">
        <v>2061</v>
      </c>
      <c r="D748" t="s">
        <v>510</v>
      </c>
    </row>
    <row r="749" spans="1:4" x14ac:dyDescent="0.2">
      <c r="A749" t="str">
        <f t="shared" ca="1" si="11"/>
        <v>Зарплата</v>
      </c>
      <c r="B749" t="s">
        <v>1095</v>
      </c>
      <c r="C749" t="s">
        <v>2062</v>
      </c>
      <c r="D749" t="s">
        <v>670</v>
      </c>
    </row>
    <row r="750" spans="1:4" x14ac:dyDescent="0.2">
      <c r="A750" t="str">
        <f t="shared" ca="1" si="11"/>
        <v>Общие затраты</v>
      </c>
      <c r="B750" t="s">
        <v>1096</v>
      </c>
      <c r="C750" t="s">
        <v>2063</v>
      </c>
      <c r="D750" t="s">
        <v>671</v>
      </c>
    </row>
    <row r="751" spans="1:4" x14ac:dyDescent="0.2">
      <c r="A751" t="str">
        <f t="shared" ca="1" si="11"/>
        <v>Налоги</v>
      </c>
      <c r="B751" t="s">
        <v>1097</v>
      </c>
      <c r="C751" t="s">
        <v>2064</v>
      </c>
      <c r="D751" t="s">
        <v>672</v>
      </c>
    </row>
    <row r="752" spans="1:4" x14ac:dyDescent="0.2">
      <c r="A752" t="str">
        <f t="shared" ca="1" si="11"/>
        <v>Выплата процентов по кредитам</v>
      </c>
      <c r="B752" t="s">
        <v>1098</v>
      </c>
      <c r="C752" t="s">
        <v>265</v>
      </c>
      <c r="D752" t="s">
        <v>2356</v>
      </c>
    </row>
    <row r="753" spans="1:4" x14ac:dyDescent="0.2">
      <c r="A753" t="str">
        <f t="shared" ca="1" si="11"/>
        <v>Прочие поступления</v>
      </c>
      <c r="B753" t="s">
        <v>1099</v>
      </c>
      <c r="C753" t="s">
        <v>2065</v>
      </c>
      <c r="D753" t="s">
        <v>673</v>
      </c>
    </row>
    <row r="754" spans="1:4" x14ac:dyDescent="0.2">
      <c r="A754" t="str">
        <f t="shared" ca="1" si="11"/>
        <v>Прочие затраты</v>
      </c>
      <c r="B754" t="s">
        <v>1100</v>
      </c>
      <c r="C754" t="s">
        <v>2066</v>
      </c>
      <c r="D754" t="s">
        <v>674</v>
      </c>
    </row>
    <row r="755" spans="1:4" x14ac:dyDescent="0.2">
      <c r="A755" t="str">
        <f t="shared" ca="1" si="11"/>
        <v>Денежные потоки от операционной деятельности</v>
      </c>
      <c r="B755" t="s">
        <v>1101</v>
      </c>
      <c r="C755" t="s">
        <v>2067</v>
      </c>
      <c r="D755" t="s">
        <v>675</v>
      </c>
    </row>
    <row r="756" spans="1:4" x14ac:dyDescent="0.2">
      <c r="A756" t="str">
        <f t="shared" ca="1" si="11"/>
        <v>Выручка от реализации активов</v>
      </c>
      <c r="B756" t="s">
        <v>1102</v>
      </c>
      <c r="C756" t="s">
        <v>2068</v>
      </c>
      <c r="D756" t="s">
        <v>2365</v>
      </c>
    </row>
    <row r="757" spans="1:4" x14ac:dyDescent="0.2">
      <c r="A757" t="str">
        <f t="shared" ca="1" si="11"/>
        <v>Денежные потоки от инвестиционной деятельности</v>
      </c>
      <c r="B757" t="s">
        <v>1103</v>
      </c>
      <c r="C757" t="s">
        <v>2069</v>
      </c>
      <c r="D757" t="s">
        <v>2371</v>
      </c>
    </row>
    <row r="758" spans="1:4" x14ac:dyDescent="0.2">
      <c r="A758" t="str">
        <f t="shared" ca="1" si="11"/>
        <v>Поступления собственного капитала</v>
      </c>
      <c r="B758" t="s">
        <v>2664</v>
      </c>
      <c r="C758" t="s">
        <v>2070</v>
      </c>
      <c r="D758" t="s">
        <v>2372</v>
      </c>
    </row>
    <row r="759" spans="1:4" x14ac:dyDescent="0.2">
      <c r="A759" t="str">
        <f t="shared" ca="1" si="11"/>
        <v>Целевое финансирование</v>
      </c>
      <c r="B759" t="s">
        <v>2376</v>
      </c>
      <c r="C759" t="s">
        <v>1390</v>
      </c>
      <c r="D759" t="s">
        <v>1701</v>
      </c>
    </row>
    <row r="760" spans="1:4" x14ac:dyDescent="0.2">
      <c r="A760" t="str">
        <f t="shared" ca="1" si="11"/>
        <v>Поступления кредитов</v>
      </c>
      <c r="B760" t="s">
        <v>1104</v>
      </c>
      <c r="C760" s="216" t="s">
        <v>2071</v>
      </c>
      <c r="D760" t="s">
        <v>459</v>
      </c>
    </row>
    <row r="761" spans="1:4" x14ac:dyDescent="0.2">
      <c r="A761" t="str">
        <f t="shared" ca="1" si="11"/>
        <v>Возврат кредитов</v>
      </c>
      <c r="B761" t="s">
        <v>1059</v>
      </c>
      <c r="C761" s="216" t="s">
        <v>2243</v>
      </c>
      <c r="D761" t="s">
        <v>2207</v>
      </c>
    </row>
    <row r="762" spans="1:4" x14ac:dyDescent="0.2">
      <c r="A762" t="str">
        <f t="shared" ca="1" si="11"/>
        <v>Лизинговые платежи</v>
      </c>
      <c r="B762" t="s">
        <v>1058</v>
      </c>
      <c r="C762" t="s">
        <v>2242</v>
      </c>
      <c r="D762" t="s">
        <v>2208</v>
      </c>
    </row>
    <row r="763" spans="1:4" x14ac:dyDescent="0.2">
      <c r="A763" t="str">
        <f t="shared" ca="1" si="11"/>
        <v>Выплата дивидендов</v>
      </c>
      <c r="B763" t="s">
        <v>1105</v>
      </c>
      <c r="C763" t="s">
        <v>2072</v>
      </c>
      <c r="D763" t="s">
        <v>2209</v>
      </c>
    </row>
    <row r="764" spans="1:4" x14ac:dyDescent="0.2">
      <c r="A764" t="str">
        <f t="shared" ca="1" si="11"/>
        <v>Денежные потоки от финансовой деятельности</v>
      </c>
      <c r="B764" t="s">
        <v>2661</v>
      </c>
      <c r="C764" s="216" t="s">
        <v>281</v>
      </c>
      <c r="D764" t="s">
        <v>2210</v>
      </c>
    </row>
    <row r="765" spans="1:4" x14ac:dyDescent="0.2">
      <c r="A765" t="str">
        <f t="shared" ca="1" si="11"/>
        <v>Суммарный денежный поток за период</v>
      </c>
      <c r="B765" t="s">
        <v>2662</v>
      </c>
      <c r="C765" s="216" t="s">
        <v>282</v>
      </c>
      <c r="D765" t="s">
        <v>2211</v>
      </c>
    </row>
    <row r="766" spans="1:4" x14ac:dyDescent="0.2">
      <c r="A766" t="str">
        <f t="shared" ca="1" si="11"/>
        <v>Денежные средства на начало периода</v>
      </c>
      <c r="B766" t="s">
        <v>911</v>
      </c>
      <c r="C766" s="216" t="s">
        <v>283</v>
      </c>
      <c r="D766" t="s">
        <v>2212</v>
      </c>
    </row>
    <row r="767" spans="1:4" x14ac:dyDescent="0.2">
      <c r="A767" t="str">
        <f t="shared" ca="1" si="11"/>
        <v>Денежные средства на конец периода</v>
      </c>
      <c r="B767" t="s">
        <v>2663</v>
      </c>
      <c r="C767" s="216" t="s">
        <v>284</v>
      </c>
      <c r="D767" t="s">
        <v>2213</v>
      </c>
    </row>
    <row r="768" spans="1:4" x14ac:dyDescent="0.2">
      <c r="A768" t="str">
        <f t="shared" ca="1" si="11"/>
        <v>График: Движение денежных средств</v>
      </c>
      <c r="B768" t="s">
        <v>973</v>
      </c>
      <c r="C768" s="216" t="s">
        <v>285</v>
      </c>
      <c r="D768" t="s">
        <v>2214</v>
      </c>
    </row>
    <row r="769" spans="1:4" x14ac:dyDescent="0.2">
      <c r="A769" t="str">
        <f t="shared" ca="1" si="11"/>
        <v>График: Остаток денежных средств</v>
      </c>
      <c r="B769" t="s">
        <v>974</v>
      </c>
      <c r="C769" s="216" t="s">
        <v>286</v>
      </c>
      <c r="D769" t="s">
        <v>2215</v>
      </c>
    </row>
    <row r="770" spans="1:4" x14ac:dyDescent="0.2">
      <c r="A770" t="str">
        <f t="shared" ca="1" si="11"/>
        <v xml:space="preserve">         БАЛАНС</v>
      </c>
      <c r="B770" s="16" t="s">
        <v>1378</v>
      </c>
      <c r="C770" s="16" t="s">
        <v>287</v>
      </c>
      <c r="D770" t="s">
        <v>1291</v>
      </c>
    </row>
    <row r="771" spans="1:4" x14ac:dyDescent="0.2">
      <c r="A771" t="str">
        <f t="shared" ca="1" si="11"/>
        <v>Денежные средства</v>
      </c>
      <c r="B771" t="s">
        <v>2483</v>
      </c>
      <c r="C771" s="216" t="s">
        <v>1386</v>
      </c>
      <c r="D771" t="s">
        <v>2216</v>
      </c>
    </row>
    <row r="772" spans="1:4" x14ac:dyDescent="0.2">
      <c r="A772" t="str">
        <f t="shared" ca="1" si="11"/>
        <v>Дебиторская задолженность</v>
      </c>
      <c r="B772" t="s">
        <v>2665</v>
      </c>
      <c r="C772" s="216" t="s">
        <v>108</v>
      </c>
      <c r="D772" t="s">
        <v>1594</v>
      </c>
    </row>
    <row r="773" spans="1:4" x14ac:dyDescent="0.2">
      <c r="A773" t="str">
        <f t="shared" ca="1" si="11"/>
        <v>Авансы уплаченные</v>
      </c>
      <c r="B773" t="s">
        <v>2666</v>
      </c>
      <c r="C773" s="216" t="s">
        <v>2048</v>
      </c>
      <c r="D773" t="s">
        <v>235</v>
      </c>
    </row>
    <row r="774" spans="1:4" x14ac:dyDescent="0.2">
      <c r="A774" t="str">
        <f t="shared" ca="1" si="11"/>
        <v>Готовая продукция</v>
      </c>
      <c r="B774" t="s">
        <v>2667</v>
      </c>
      <c r="C774" s="216" t="s">
        <v>1380</v>
      </c>
      <c r="D774" t="s">
        <v>1593</v>
      </c>
    </row>
    <row r="775" spans="1:4" x14ac:dyDescent="0.2">
      <c r="A775" t="str">
        <f t="shared" ca="1" si="11"/>
        <v>Незавершенное производство</v>
      </c>
      <c r="B775" t="s">
        <v>2621</v>
      </c>
      <c r="C775" s="216" t="s">
        <v>1273</v>
      </c>
      <c r="D775" t="s">
        <v>1592</v>
      </c>
    </row>
    <row r="776" spans="1:4" x14ac:dyDescent="0.2">
      <c r="A776" t="str">
        <f t="shared" ca="1" si="11"/>
        <v>Материалы и комплектующие</v>
      </c>
      <c r="B776" t="s">
        <v>2668</v>
      </c>
      <c r="C776" s="216" t="s">
        <v>1272</v>
      </c>
      <c r="D776" t="s">
        <v>1591</v>
      </c>
    </row>
    <row r="777" spans="1:4" x14ac:dyDescent="0.2">
      <c r="A777" t="str">
        <f t="shared" ca="1" si="11"/>
        <v>НДС на приобретенные товары</v>
      </c>
      <c r="B777" t="s">
        <v>2669</v>
      </c>
      <c r="C777" s="216" t="s">
        <v>1555</v>
      </c>
      <c r="D777" t="s">
        <v>2217</v>
      </c>
    </row>
    <row r="778" spans="1:4" x14ac:dyDescent="0.2">
      <c r="A778" t="str">
        <f t="shared" ca="1" si="11"/>
        <v>Расходы будущих периодов</v>
      </c>
      <c r="B778" t="s">
        <v>2437</v>
      </c>
      <c r="C778" s="216" t="s">
        <v>1383</v>
      </c>
      <c r="D778" t="s">
        <v>156</v>
      </c>
    </row>
    <row r="779" spans="1:4" x14ac:dyDescent="0.2">
      <c r="A779" t="str">
        <f t="shared" ca="1" si="11"/>
        <v>Прочие оборотные активы</v>
      </c>
      <c r="B779" t="s">
        <v>2670</v>
      </c>
      <c r="C779" s="216" t="s">
        <v>288</v>
      </c>
      <c r="D779" t="s">
        <v>2218</v>
      </c>
    </row>
    <row r="780" spans="1:4" x14ac:dyDescent="0.2">
      <c r="A780" t="str">
        <f t="shared" ca="1" si="11"/>
        <v>Суммарные оборотные активы</v>
      </c>
      <c r="B780" t="s">
        <v>2671</v>
      </c>
      <c r="C780" s="216" t="s">
        <v>1693</v>
      </c>
      <c r="D780" t="s">
        <v>144</v>
      </c>
    </row>
    <row r="781" spans="1:4" x14ac:dyDescent="0.2">
      <c r="A781" t="str">
        <f t="shared" ca="1" si="11"/>
        <v>Внеоборотные активы</v>
      </c>
      <c r="B781" t="s">
        <v>2711</v>
      </c>
      <c r="C781" s="216" t="s">
        <v>1673</v>
      </c>
      <c r="D781" t="s">
        <v>1583</v>
      </c>
    </row>
    <row r="782" spans="1:4" x14ac:dyDescent="0.2">
      <c r="A782" t="str">
        <f t="shared" ca="1" si="11"/>
        <v xml:space="preserve">    земельные участки</v>
      </c>
      <c r="B782" t="s">
        <v>995</v>
      </c>
      <c r="C782" t="s">
        <v>289</v>
      </c>
      <c r="D782" t="s">
        <v>2219</v>
      </c>
    </row>
    <row r="783" spans="1:4" x14ac:dyDescent="0.2">
      <c r="A783" t="str">
        <f t="shared" ca="1" si="11"/>
        <v xml:space="preserve">    здания и сооружения</v>
      </c>
      <c r="B783" t="s">
        <v>817</v>
      </c>
      <c r="C783" t="s">
        <v>2105</v>
      </c>
      <c r="D783" t="s">
        <v>2220</v>
      </c>
    </row>
    <row r="784" spans="1:4" x14ac:dyDescent="0.2">
      <c r="A784" t="str">
        <f t="shared" ca="1" si="11"/>
        <v xml:space="preserve">    нематериальные активы</v>
      </c>
      <c r="B784" t="s">
        <v>996</v>
      </c>
      <c r="C784" t="s">
        <v>2106</v>
      </c>
      <c r="D784" t="s">
        <v>2221</v>
      </c>
    </row>
    <row r="785" spans="1:4" x14ac:dyDescent="0.2">
      <c r="A785" t="str">
        <f t="shared" ca="1" si="11"/>
        <v xml:space="preserve">    оборудование и прочие активы</v>
      </c>
      <c r="B785" t="s">
        <v>818</v>
      </c>
      <c r="C785" t="s">
        <v>2107</v>
      </c>
      <c r="D785" t="s">
        <v>2222</v>
      </c>
    </row>
    <row r="786" spans="1:4" x14ac:dyDescent="0.2">
      <c r="A786" t="str">
        <f t="shared" ca="1" si="11"/>
        <v>Финансовые вложения</v>
      </c>
      <c r="B786" t="s">
        <v>999</v>
      </c>
      <c r="C786" t="s">
        <v>1997</v>
      </c>
      <c r="D786" t="s">
        <v>157</v>
      </c>
    </row>
    <row r="787" spans="1:4" x14ac:dyDescent="0.2">
      <c r="A787" t="str">
        <f t="shared" ca="1" si="11"/>
        <v>Незавершенные капиталовложения</v>
      </c>
      <c r="B787" t="s">
        <v>819</v>
      </c>
      <c r="C787" s="216" t="s">
        <v>1895</v>
      </c>
      <c r="D787" t="s">
        <v>1589</v>
      </c>
    </row>
    <row r="788" spans="1:4" x14ac:dyDescent="0.2">
      <c r="A788" t="str">
        <f t="shared" ca="1" si="11"/>
        <v>Суммарные внеоборотные активы</v>
      </c>
      <c r="B788" t="s">
        <v>820</v>
      </c>
      <c r="C788" s="216" t="s">
        <v>2108</v>
      </c>
      <c r="D788" t="s">
        <v>2223</v>
      </c>
    </row>
    <row r="789" spans="1:4" x14ac:dyDescent="0.2">
      <c r="A789" t="str">
        <f t="shared" ca="1" si="11"/>
        <v xml:space="preserve"> = ИТОГО АКТИВОВ</v>
      </c>
      <c r="B789" t="s">
        <v>821</v>
      </c>
      <c r="C789" s="216" t="s">
        <v>2109</v>
      </c>
      <c r="D789" t="s">
        <v>519</v>
      </c>
    </row>
    <row r="790" spans="1:4" x14ac:dyDescent="0.2">
      <c r="A790" t="str">
        <f t="shared" ca="1" si="11"/>
        <v>Кредиторская задолженность</v>
      </c>
      <c r="B790" t="s">
        <v>822</v>
      </c>
      <c r="C790" s="216" t="s">
        <v>2164</v>
      </c>
      <c r="D790" t="s">
        <v>233</v>
      </c>
    </row>
    <row r="791" spans="1:4" x14ac:dyDescent="0.2">
      <c r="A791" t="str">
        <f t="shared" ca="1" si="11"/>
        <v xml:space="preserve">    за поставленные товары</v>
      </c>
      <c r="B791" t="s">
        <v>823</v>
      </c>
      <c r="C791" s="216" t="s">
        <v>2110</v>
      </c>
      <c r="D791" t="s">
        <v>520</v>
      </c>
    </row>
    <row r="792" spans="1:4" x14ac:dyDescent="0.2">
      <c r="A792" t="str">
        <f t="shared" ca="1" si="11"/>
        <v xml:space="preserve">    за внеоборотные активы</v>
      </c>
      <c r="B792" t="s">
        <v>997</v>
      </c>
      <c r="C792" s="216" t="s">
        <v>2111</v>
      </c>
      <c r="D792" t="s">
        <v>521</v>
      </c>
    </row>
    <row r="793" spans="1:4" x14ac:dyDescent="0.2">
      <c r="A793" t="str">
        <f t="shared" ca="1" si="11"/>
        <v>Расчеты с бюджетом</v>
      </c>
      <c r="B793" t="s">
        <v>824</v>
      </c>
      <c r="C793" s="216" t="s">
        <v>2112</v>
      </c>
      <c r="D793" t="s">
        <v>522</v>
      </c>
    </row>
    <row r="794" spans="1:4" x14ac:dyDescent="0.2">
      <c r="A794" t="str">
        <f t="shared" ca="1" si="11"/>
        <v>Расчеты с персоналом</v>
      </c>
      <c r="B794" t="s">
        <v>825</v>
      </c>
      <c r="C794" s="216" t="s">
        <v>2032</v>
      </c>
      <c r="D794" t="s">
        <v>242</v>
      </c>
    </row>
    <row r="795" spans="1:4" x14ac:dyDescent="0.2">
      <c r="A795" t="str">
        <f t="shared" ca="1" si="11"/>
        <v>Авансы покупателей</v>
      </c>
      <c r="B795" t="s">
        <v>826</v>
      </c>
      <c r="C795" s="216" t="s">
        <v>1395</v>
      </c>
      <c r="D795" t="s">
        <v>56</v>
      </c>
    </row>
    <row r="796" spans="1:4" x14ac:dyDescent="0.2">
      <c r="A796" t="str">
        <f t="shared" ca="1" si="11"/>
        <v>Краткосрочные кредиты</v>
      </c>
      <c r="B796" t="s">
        <v>827</v>
      </c>
      <c r="C796" s="216" t="s">
        <v>2113</v>
      </c>
      <c r="D796" t="s">
        <v>523</v>
      </c>
    </row>
    <row r="797" spans="1:4" x14ac:dyDescent="0.2">
      <c r="A797" t="str">
        <f t="shared" ca="1" si="11"/>
        <v>Прочие краткосрочные обязательства</v>
      </c>
      <c r="B797" t="s">
        <v>828</v>
      </c>
      <c r="C797" s="216" t="s">
        <v>2114</v>
      </c>
      <c r="D797" t="s">
        <v>524</v>
      </c>
    </row>
    <row r="798" spans="1:4" x14ac:dyDescent="0.2">
      <c r="A798" t="str">
        <f t="shared" ref="A798:A971" ca="1" si="12">OFFSET(A798,0,LanguageID)</f>
        <v>Суммарные краткосрочные обязательства</v>
      </c>
      <c r="B798" t="s">
        <v>1108</v>
      </c>
      <c r="C798" s="216" t="s">
        <v>251</v>
      </c>
      <c r="D798" t="s">
        <v>145</v>
      </c>
    </row>
    <row r="799" spans="1:4" x14ac:dyDescent="0.2">
      <c r="A799" t="str">
        <f t="shared" ca="1" si="12"/>
        <v>Долгосрочные обязательства</v>
      </c>
      <c r="B799" t="s">
        <v>1109</v>
      </c>
      <c r="C799" s="216" t="s">
        <v>252</v>
      </c>
      <c r="D799" t="s">
        <v>525</v>
      </c>
    </row>
    <row r="800" spans="1:4" x14ac:dyDescent="0.2">
      <c r="A800" t="str">
        <f t="shared" ca="1" si="12"/>
        <v>Средства собственников</v>
      </c>
      <c r="B800" t="s">
        <v>857</v>
      </c>
      <c r="C800" s="216" t="s">
        <v>2135</v>
      </c>
      <c r="D800" t="s">
        <v>526</v>
      </c>
    </row>
    <row r="801" spans="1:4" x14ac:dyDescent="0.2">
      <c r="A801" t="str">
        <f t="shared" ca="1" si="12"/>
        <v>Нераспределенная прибыль</v>
      </c>
      <c r="B801" t="s">
        <v>1091</v>
      </c>
      <c r="C801" s="216" t="s">
        <v>2136</v>
      </c>
      <c r="D801" t="s">
        <v>527</v>
      </c>
    </row>
    <row r="802" spans="1:4" x14ac:dyDescent="0.2">
      <c r="A802" t="str">
        <f t="shared" ca="1" si="12"/>
        <v>Прочие источники финансирования</v>
      </c>
      <c r="B802" t="s">
        <v>1110</v>
      </c>
      <c r="C802" s="216" t="s">
        <v>2137</v>
      </c>
      <c r="D802" t="s">
        <v>528</v>
      </c>
    </row>
    <row r="803" spans="1:4" x14ac:dyDescent="0.2">
      <c r="A803" t="str">
        <f t="shared" ca="1" si="12"/>
        <v>Суммарный собственный капитал</v>
      </c>
      <c r="B803" t="s">
        <v>1111</v>
      </c>
      <c r="C803" s="216" t="s">
        <v>2138</v>
      </c>
      <c r="D803" t="s">
        <v>529</v>
      </c>
    </row>
    <row r="804" spans="1:4" x14ac:dyDescent="0.2">
      <c r="A804" t="str">
        <f t="shared" ca="1" si="12"/>
        <v xml:space="preserve"> = ИТОГО ПАССИВОВ</v>
      </c>
      <c r="B804" t="s">
        <v>993</v>
      </c>
      <c r="C804" s="216" t="s">
        <v>438</v>
      </c>
      <c r="D804" t="s">
        <v>530</v>
      </c>
    </row>
    <row r="805" spans="1:4" x14ac:dyDescent="0.2">
      <c r="A805" t="str">
        <f t="shared" ca="1" si="12"/>
        <v>Контроль сходимости баланса</v>
      </c>
      <c r="B805" t="s">
        <v>994</v>
      </c>
      <c r="C805" s="216" t="s">
        <v>1398</v>
      </c>
      <c r="D805" t="s">
        <v>2342</v>
      </c>
    </row>
    <row r="806" spans="1:4" x14ac:dyDescent="0.2">
      <c r="A806" t="str">
        <f t="shared" ca="1" si="12"/>
        <v>Внимание! Баланс не сходится!</v>
      </c>
      <c r="B806" t="s">
        <v>1371</v>
      </c>
      <c r="C806" s="216" t="s">
        <v>439</v>
      </c>
      <c r="D806" t="s">
        <v>2343</v>
      </c>
    </row>
    <row r="807" spans="1:4" x14ac:dyDescent="0.2">
      <c r="A807" t="str">
        <f t="shared" ca="1" si="12"/>
        <v>График: Активы проекта</v>
      </c>
      <c r="B807" t="s">
        <v>975</v>
      </c>
      <c r="C807" s="216" t="s">
        <v>440</v>
      </c>
      <c r="D807" t="s">
        <v>2344</v>
      </c>
    </row>
    <row r="808" spans="1:4" x14ac:dyDescent="0.2">
      <c r="A808" t="str">
        <f t="shared" ca="1" si="12"/>
        <v>График: Пассивы проекта</v>
      </c>
      <c r="B808" t="s">
        <v>976</v>
      </c>
      <c r="C808" s="216" t="s">
        <v>441</v>
      </c>
      <c r="D808" t="s">
        <v>2345</v>
      </c>
    </row>
    <row r="809" spans="1:4" x14ac:dyDescent="0.2">
      <c r="A809" t="str">
        <f t="shared" ca="1" si="12"/>
        <v xml:space="preserve">         ПОКАЗАТЕЛИ ФИНАНСОВОЙ СОСТОЯТЕЛЬНОСТИ</v>
      </c>
      <c r="B809" s="16" t="s">
        <v>1379</v>
      </c>
      <c r="C809" s="16" t="s">
        <v>442</v>
      </c>
      <c r="D809" t="s">
        <v>1292</v>
      </c>
    </row>
    <row r="810" spans="1:4" x14ac:dyDescent="0.2">
      <c r="A810" t="str">
        <f t="shared" ca="1" si="12"/>
        <v>Рентабельность активов</v>
      </c>
      <c r="B810" t="s">
        <v>932</v>
      </c>
      <c r="C810" s="216" t="s">
        <v>443</v>
      </c>
      <c r="D810" t="s">
        <v>2346</v>
      </c>
    </row>
    <row r="811" spans="1:4" x14ac:dyDescent="0.2">
      <c r="A811" t="str">
        <f t="shared" ca="1" si="12"/>
        <v>Рентабельность собственного капитала</v>
      </c>
      <c r="B811" t="s">
        <v>933</v>
      </c>
      <c r="C811" s="216" t="s">
        <v>444</v>
      </c>
      <c r="D811" t="s">
        <v>2347</v>
      </c>
    </row>
    <row r="812" spans="1:4" x14ac:dyDescent="0.2">
      <c r="A812" t="str">
        <f t="shared" ca="1" si="12"/>
        <v>Рентабельность внеоборотных активов</v>
      </c>
      <c r="B812" t="s">
        <v>1039</v>
      </c>
      <c r="C812" s="216" t="s">
        <v>445</v>
      </c>
      <c r="D812" t="s">
        <v>663</v>
      </c>
    </row>
    <row r="813" spans="1:4" x14ac:dyDescent="0.2">
      <c r="A813" t="str">
        <f t="shared" ca="1" si="12"/>
        <v>Прямые расходы к выручке от реализации</v>
      </c>
      <c r="B813" t="s">
        <v>1193</v>
      </c>
      <c r="C813" s="216" t="s">
        <v>446</v>
      </c>
      <c r="D813" t="s">
        <v>664</v>
      </c>
    </row>
    <row r="814" spans="1:4" x14ac:dyDescent="0.2">
      <c r="A814" t="str">
        <f t="shared" ca="1" si="12"/>
        <v>Прибыльность продаж</v>
      </c>
      <c r="B814" t="s">
        <v>1028</v>
      </c>
      <c r="C814" s="216" t="s">
        <v>447</v>
      </c>
      <c r="D814" t="s">
        <v>665</v>
      </c>
    </row>
    <row r="815" spans="1:4" x14ac:dyDescent="0.2">
      <c r="A815" t="str">
        <f t="shared" ca="1" si="12"/>
        <v>Доля постоянных  затрат</v>
      </c>
      <c r="B815" s="118" t="s">
        <v>1029</v>
      </c>
      <c r="C815" s="218" t="s">
        <v>448</v>
      </c>
      <c r="D815" t="s">
        <v>666</v>
      </c>
    </row>
    <row r="816" spans="1:4" x14ac:dyDescent="0.2">
      <c r="A816" t="str">
        <f t="shared" ca="1" si="12"/>
        <v>Точка безубыточности</v>
      </c>
      <c r="B816" t="s">
        <v>1030</v>
      </c>
      <c r="C816" s="218" t="s">
        <v>449</v>
      </c>
      <c r="D816" t="s">
        <v>667</v>
      </c>
    </row>
    <row r="817" spans="1:4" x14ac:dyDescent="0.2">
      <c r="A817" t="str">
        <f t="shared" ca="1" si="12"/>
        <v>"Запас прочности"</v>
      </c>
      <c r="B817" t="s">
        <v>1031</v>
      </c>
      <c r="C817" s="218" t="s">
        <v>450</v>
      </c>
      <c r="D817" t="s">
        <v>668</v>
      </c>
    </row>
    <row r="818" spans="1:4" x14ac:dyDescent="0.2">
      <c r="A818" t="str">
        <f t="shared" ca="1" si="12"/>
        <v>Рентабельность по EBITDA</v>
      </c>
      <c r="B818" t="s">
        <v>1194</v>
      </c>
      <c r="C818" s="219" t="s">
        <v>2250</v>
      </c>
      <c r="D818" t="s">
        <v>669</v>
      </c>
    </row>
    <row r="819" spans="1:4" x14ac:dyDescent="0.2">
      <c r="A819" t="str">
        <f t="shared" ca="1" si="12"/>
        <v>Рентабельность по EBIT</v>
      </c>
      <c r="B819" t="s">
        <v>1195</v>
      </c>
      <c r="C819" s="219" t="s">
        <v>2251</v>
      </c>
      <c r="D819" t="s">
        <v>2333</v>
      </c>
    </row>
    <row r="820" spans="1:4" x14ac:dyDescent="0.2">
      <c r="A820" t="str">
        <f t="shared" ca="1" si="12"/>
        <v xml:space="preserve">Рентабельность по чистой прибыли </v>
      </c>
      <c r="B820" t="s">
        <v>1032</v>
      </c>
      <c r="C820" s="216" t="s">
        <v>2252</v>
      </c>
      <c r="D820" t="s">
        <v>2334</v>
      </c>
    </row>
    <row r="821" spans="1:4" x14ac:dyDescent="0.2">
      <c r="A821" t="str">
        <f t="shared" ca="1" si="12"/>
        <v>Эффективная ставка налога на прибыль</v>
      </c>
      <c r="B821" t="s">
        <v>1213</v>
      </c>
      <c r="C821" s="219" t="s">
        <v>2253</v>
      </c>
      <c r="D821" t="s">
        <v>2335</v>
      </c>
    </row>
    <row r="822" spans="1:4" x14ac:dyDescent="0.2">
      <c r="A822" t="str">
        <f t="shared" ca="1" si="12"/>
        <v>Коэффициент общей ликвидности</v>
      </c>
      <c r="B822" t="s">
        <v>1033</v>
      </c>
      <c r="C822" t="s">
        <v>2254</v>
      </c>
      <c r="D822" t="s">
        <v>2336</v>
      </c>
    </row>
    <row r="823" spans="1:4" x14ac:dyDescent="0.2">
      <c r="A823" t="str">
        <f t="shared" ca="1" si="12"/>
        <v>Чистый оборотный капитал</v>
      </c>
      <c r="B823" t="s">
        <v>1034</v>
      </c>
      <c r="C823" t="s">
        <v>2013</v>
      </c>
      <c r="D823" t="s">
        <v>2337</v>
      </c>
    </row>
    <row r="824" spans="1:4" x14ac:dyDescent="0.2">
      <c r="A824" t="str">
        <f t="shared" ca="1" si="12"/>
        <v>Коэффициент общей платежеспособности</v>
      </c>
      <c r="B824" t="s">
        <v>1035</v>
      </c>
      <c r="C824" t="s">
        <v>2255</v>
      </c>
      <c r="D824" t="s">
        <v>2338</v>
      </c>
    </row>
    <row r="825" spans="1:4" x14ac:dyDescent="0.2">
      <c r="A825" t="str">
        <f t="shared" ca="1" si="12"/>
        <v>Коэффициент автономии</v>
      </c>
      <c r="B825" t="s">
        <v>1036</v>
      </c>
      <c r="C825" t="s">
        <v>2256</v>
      </c>
      <c r="D825" t="s">
        <v>467</v>
      </c>
    </row>
    <row r="826" spans="1:4" x14ac:dyDescent="0.2">
      <c r="A826" t="str">
        <f t="shared" ca="1" si="12"/>
        <v>Доля долгосрочных кредитов в валюте баланса</v>
      </c>
      <c r="B826" t="s">
        <v>1037</v>
      </c>
      <c r="C826" t="s">
        <v>2257</v>
      </c>
      <c r="D826" t="s">
        <v>2401</v>
      </c>
    </row>
    <row r="827" spans="1:4" x14ac:dyDescent="0.2">
      <c r="A827" t="str">
        <f t="shared" ca="1" si="12"/>
        <v>Общий коэффициент покрытия долга</v>
      </c>
      <c r="B827" t="s">
        <v>936</v>
      </c>
      <c r="C827" t="s">
        <v>2100</v>
      </c>
      <c r="D827" t="s">
        <v>2233</v>
      </c>
    </row>
    <row r="828" spans="1:4" x14ac:dyDescent="0.2">
      <c r="A828" t="str">
        <f t="shared" ca="1" si="12"/>
        <v>Покрытие процентов по кредитам</v>
      </c>
      <c r="B828" t="s">
        <v>1038</v>
      </c>
      <c r="C828" t="s">
        <v>468</v>
      </c>
      <c r="D828" t="s">
        <v>2402</v>
      </c>
    </row>
    <row r="829" spans="1:4" x14ac:dyDescent="0.2">
      <c r="A829" t="str">
        <f t="shared" ca="1" si="12"/>
        <v>График: Рентабельность активов</v>
      </c>
      <c r="B829" t="s">
        <v>1196</v>
      </c>
      <c r="C829" t="s">
        <v>469</v>
      </c>
      <c r="D829" t="s">
        <v>2403</v>
      </c>
    </row>
    <row r="830" spans="1:4" x14ac:dyDescent="0.2">
      <c r="A830" t="str">
        <f t="shared" ca="1" si="12"/>
        <v>График: Прибыльность продаж</v>
      </c>
      <c r="B830" t="s">
        <v>1197</v>
      </c>
      <c r="C830" s="216" t="s">
        <v>470</v>
      </c>
      <c r="D830" t="s">
        <v>2404</v>
      </c>
    </row>
    <row r="831" spans="1:4" x14ac:dyDescent="0.2">
      <c r="A831" t="str">
        <f t="shared" ca="1" si="12"/>
        <v>График: Рентабельность по EBITDA</v>
      </c>
      <c r="B831" t="s">
        <v>1198</v>
      </c>
      <c r="C831" s="219" t="s">
        <v>471</v>
      </c>
      <c r="D831" t="s">
        <v>2405</v>
      </c>
    </row>
    <row r="832" spans="1:4" x14ac:dyDescent="0.2">
      <c r="A832" t="str">
        <f t="shared" ca="1" si="12"/>
        <v xml:space="preserve">         ЭФФЕКТИВНОСТЬ ПОЛНЫХ ИНВЕСТИЦИОННЫХ ЗАТРАТ</v>
      </c>
      <c r="B832" s="16" t="s">
        <v>1209</v>
      </c>
      <c r="C832" s="16" t="s">
        <v>472</v>
      </c>
      <c r="D832" t="s">
        <v>1293</v>
      </c>
    </row>
    <row r="833" spans="1:4" x14ac:dyDescent="0.2">
      <c r="A833" t="str">
        <f t="shared" ca="1" si="12"/>
        <v>Да</v>
      </c>
      <c r="B833" t="s">
        <v>2708</v>
      </c>
      <c r="C833" t="s">
        <v>1663</v>
      </c>
      <c r="D833" t="s">
        <v>1857</v>
      </c>
    </row>
    <row r="834" spans="1:4" x14ac:dyDescent="0.2">
      <c r="A834" t="str">
        <f t="shared" ca="1" si="12"/>
        <v>Нет</v>
      </c>
      <c r="B834" t="s">
        <v>2709</v>
      </c>
      <c r="C834" t="s">
        <v>1664</v>
      </c>
      <c r="D834" t="s">
        <v>1858</v>
      </c>
    </row>
    <row r="835" spans="1:4" x14ac:dyDescent="0.2">
      <c r="A835" t="str">
        <f t="shared" ca="1" si="12"/>
        <v>года</v>
      </c>
      <c r="B835" t="s">
        <v>977</v>
      </c>
      <c r="C835" t="s">
        <v>85</v>
      </c>
      <c r="D835" t="s">
        <v>2406</v>
      </c>
    </row>
    <row r="836" spans="1:4" x14ac:dyDescent="0.2">
      <c r="A836" t="str">
        <f t="shared" ca="1" si="12"/>
        <v>(реальная - без учета инфляции)</v>
      </c>
      <c r="B836" s="74" t="s">
        <v>978</v>
      </c>
      <c r="C836" t="s">
        <v>473</v>
      </c>
      <c r="D836" t="s">
        <v>2407</v>
      </c>
    </row>
    <row r="837" spans="1:4" x14ac:dyDescent="0.2">
      <c r="A837" t="str">
        <f t="shared" ca="1" si="12"/>
        <v>(номинальная - с учетом инфляции)</v>
      </c>
      <c r="B837" s="74" t="s">
        <v>984</v>
      </c>
      <c r="C837" t="s">
        <v>474</v>
      </c>
      <c r="D837" t="s">
        <v>2408</v>
      </c>
    </row>
    <row r="838" spans="1:4" x14ac:dyDescent="0.2">
      <c r="A838" t="str">
        <f t="shared" ca="1" si="12"/>
        <v>Учитывать ранее осуществленные инвестиции</v>
      </c>
      <c r="B838" s="127" t="s">
        <v>1018</v>
      </c>
      <c r="C838" t="s">
        <v>475</v>
      </c>
      <c r="D838" t="s">
        <v>2409</v>
      </c>
    </row>
    <row r="839" spans="1:4" x14ac:dyDescent="0.2">
      <c r="A839" t="str">
        <f t="shared" ca="1" si="12"/>
        <v>Учитывать остаточную стоимость проекта</v>
      </c>
      <c r="B839" s="127" t="s">
        <v>872</v>
      </c>
      <c r="C839" t="s">
        <v>476</v>
      </c>
      <c r="D839" t="s">
        <v>595</v>
      </c>
    </row>
    <row r="840" spans="1:4" x14ac:dyDescent="0.2">
      <c r="A840" t="str">
        <f t="shared" ca="1" si="12"/>
        <v>Валюта расчетов:</v>
      </c>
      <c r="B840" s="127" t="s">
        <v>873</v>
      </c>
      <c r="C840" t="s">
        <v>477</v>
      </c>
      <c r="D840" t="s">
        <v>596</v>
      </c>
    </row>
    <row r="841" spans="1:4" x14ac:dyDescent="0.2">
      <c r="A841" t="str">
        <f t="shared" ca="1" si="12"/>
        <v>Годовая ставка дисконтирования:</v>
      </c>
      <c r="B841" s="127" t="s">
        <v>874</v>
      </c>
      <c r="C841" t="s">
        <v>478</v>
      </c>
      <c r="D841" t="s">
        <v>597</v>
      </c>
    </row>
    <row r="842" spans="1:4" x14ac:dyDescent="0.2">
      <c r="A842" t="str">
        <f t="shared" ca="1" si="12"/>
        <v xml:space="preserve">    ставка дисконтирования на расчетный период</v>
      </c>
      <c r="B842" s="127" t="s">
        <v>875</v>
      </c>
      <c r="C842" t="s">
        <v>479</v>
      </c>
      <c r="D842" t="s">
        <v>598</v>
      </c>
    </row>
    <row r="843" spans="1:4" x14ac:dyDescent="0.2">
      <c r="A843" t="str">
        <f t="shared" ca="1" si="12"/>
        <v xml:space="preserve">    коэффициент дисконта для потока на начало периода</v>
      </c>
      <c r="B843" s="127" t="s">
        <v>1258</v>
      </c>
      <c r="C843" t="s">
        <v>480</v>
      </c>
      <c r="D843" t="s">
        <v>599</v>
      </c>
    </row>
    <row r="844" spans="1:4" x14ac:dyDescent="0.2">
      <c r="A844" t="str">
        <f t="shared" ca="1" si="12"/>
        <v xml:space="preserve">    коэффициент дисконта для потока на конец периода</v>
      </c>
      <c r="B844" s="127" t="s">
        <v>1257</v>
      </c>
      <c r="C844" t="s">
        <v>481</v>
      </c>
      <c r="D844" t="s">
        <v>600</v>
      </c>
    </row>
    <row r="845" spans="1:4" x14ac:dyDescent="0.2">
      <c r="A845" t="str">
        <f t="shared" ca="1" si="12"/>
        <v>Учитываемые денежные потоки проекта:</v>
      </c>
      <c r="B845" s="127" t="s">
        <v>877</v>
      </c>
      <c r="C845" t="s">
        <v>482</v>
      </c>
      <c r="D845" t="s">
        <v>601</v>
      </c>
    </row>
    <row r="846" spans="1:4" x14ac:dyDescent="0.2">
      <c r="A846" t="str">
        <f t="shared" ca="1" si="12"/>
        <v>Денежные потоки от операционной деятельности</v>
      </c>
      <c r="B846" s="127" t="s">
        <v>1101</v>
      </c>
      <c r="C846" t="s">
        <v>2067</v>
      </c>
      <c r="D846" t="s">
        <v>602</v>
      </c>
    </row>
    <row r="847" spans="1:4" x14ac:dyDescent="0.2">
      <c r="A847" t="str">
        <f t="shared" ca="1" si="12"/>
        <v xml:space="preserve">    за исключением процентов по кредитам</v>
      </c>
      <c r="B847" s="127" t="s">
        <v>878</v>
      </c>
      <c r="C847" t="s">
        <v>483</v>
      </c>
      <c r="D847" t="s">
        <v>603</v>
      </c>
    </row>
    <row r="848" spans="1:4" x14ac:dyDescent="0.2">
      <c r="A848" t="str">
        <f t="shared" ca="1" si="12"/>
        <v>Денежные потоки от инвестиционной деятельности</v>
      </c>
      <c r="B848" s="127" t="s">
        <v>1103</v>
      </c>
      <c r="C848" t="s">
        <v>2069</v>
      </c>
      <c r="D848" t="s">
        <v>2371</v>
      </c>
    </row>
    <row r="849" spans="1:4" x14ac:dyDescent="0.2">
      <c r="A849" t="str">
        <f t="shared" ca="1" si="12"/>
        <v>Поступления собственного капитала</v>
      </c>
      <c r="B849" s="127" t="s">
        <v>2664</v>
      </c>
      <c r="C849" t="s">
        <v>2070</v>
      </c>
      <c r="D849" t="s">
        <v>2372</v>
      </c>
    </row>
    <row r="850" spans="1:4" x14ac:dyDescent="0.2">
      <c r="A850" t="str">
        <f t="shared" ca="1" si="12"/>
        <v>Поступления целевого финансирования</v>
      </c>
      <c r="B850" s="127" t="s">
        <v>879</v>
      </c>
      <c r="C850" t="s">
        <v>1390</v>
      </c>
      <c r="D850" t="s">
        <v>1701</v>
      </c>
    </row>
    <row r="851" spans="1:4" x14ac:dyDescent="0.2">
      <c r="A851" t="str">
        <f t="shared" ca="1" si="12"/>
        <v>Поступления кредитов</v>
      </c>
      <c r="B851" s="127" t="s">
        <v>1104</v>
      </c>
      <c r="C851" s="216" t="s">
        <v>2071</v>
      </c>
      <c r="D851" t="s">
        <v>459</v>
      </c>
    </row>
    <row r="852" spans="1:4" x14ac:dyDescent="0.2">
      <c r="A852" t="str">
        <f t="shared" ca="1" si="12"/>
        <v>Возврат кредитов</v>
      </c>
      <c r="B852" s="127" t="s">
        <v>1059</v>
      </c>
      <c r="C852" s="216" t="s">
        <v>2243</v>
      </c>
      <c r="D852" t="s">
        <v>2207</v>
      </c>
    </row>
    <row r="853" spans="1:4" x14ac:dyDescent="0.2">
      <c r="A853" t="str">
        <f t="shared" ca="1" si="12"/>
        <v>Лизинговые платежи</v>
      </c>
      <c r="B853" s="127" t="s">
        <v>1058</v>
      </c>
      <c r="C853" t="s">
        <v>2242</v>
      </c>
      <c r="D853" t="s">
        <v>2208</v>
      </c>
    </row>
    <row r="854" spans="1:4" x14ac:dyDescent="0.2">
      <c r="A854" t="str">
        <f t="shared" ca="1" si="12"/>
        <v>Выплата дивидендов</v>
      </c>
      <c r="B854" s="127" t="s">
        <v>1105</v>
      </c>
      <c r="C854" t="s">
        <v>2072</v>
      </c>
      <c r="D854" t="s">
        <v>2209</v>
      </c>
    </row>
    <row r="855" spans="1:4" x14ac:dyDescent="0.2">
      <c r="A855" t="str">
        <f t="shared" ca="1" si="12"/>
        <v>Ранее осуществленные инвестиции</v>
      </c>
      <c r="B855" s="127" t="s">
        <v>880</v>
      </c>
      <c r="C855" t="s">
        <v>1287</v>
      </c>
      <c r="D855" t="s">
        <v>604</v>
      </c>
    </row>
    <row r="856" spans="1:4" ht="12" customHeight="1" x14ac:dyDescent="0.2">
      <c r="A856" t="str">
        <f t="shared" ca="1" si="12"/>
        <v>Остаточная стоимость проекта</v>
      </c>
      <c r="B856" s="127" t="s">
        <v>881</v>
      </c>
      <c r="C856" t="s">
        <v>484</v>
      </c>
      <c r="D856" t="s">
        <v>605</v>
      </c>
    </row>
    <row r="857" spans="1:4" x14ac:dyDescent="0.2">
      <c r="A857" t="str">
        <f t="shared" ca="1" si="12"/>
        <v>Чистый денежный поток</v>
      </c>
      <c r="B857" s="127" t="s">
        <v>797</v>
      </c>
      <c r="C857" t="s">
        <v>485</v>
      </c>
      <c r="D857" t="s">
        <v>606</v>
      </c>
    </row>
    <row r="858" spans="1:4" x14ac:dyDescent="0.2">
      <c r="A858" t="str">
        <f t="shared" ca="1" si="12"/>
        <v>Дисконтированный чистый денежный поток</v>
      </c>
      <c r="B858" s="127" t="s">
        <v>798</v>
      </c>
      <c r="C858" t="s">
        <v>486</v>
      </c>
      <c r="D858" t="s">
        <v>607</v>
      </c>
    </row>
    <row r="859" spans="1:4" x14ac:dyDescent="0.2">
      <c r="A859" t="str">
        <f t="shared" ca="1" si="12"/>
        <v>Дисконтированный поток нарастающим итогом</v>
      </c>
      <c r="B859" s="127" t="s">
        <v>799</v>
      </c>
      <c r="C859" t="s">
        <v>487</v>
      </c>
      <c r="D859" t="s">
        <v>608</v>
      </c>
    </row>
    <row r="860" spans="1:4" x14ac:dyDescent="0.2">
      <c r="A860" t="str">
        <f t="shared" ca="1" si="12"/>
        <v>Простой срок окупаемости</v>
      </c>
      <c r="B860" s="127" t="s">
        <v>800</v>
      </c>
      <c r="C860" t="s">
        <v>488</v>
      </c>
      <c r="D860" t="s">
        <v>609</v>
      </c>
    </row>
    <row r="861" spans="1:4" x14ac:dyDescent="0.2">
      <c r="A861" t="str">
        <f t="shared" ca="1" si="12"/>
        <v xml:space="preserve">    недисконтированный поток нарастающим итогом</v>
      </c>
      <c r="B861" s="127" t="s">
        <v>801</v>
      </c>
      <c r="C861" t="s">
        <v>489</v>
      </c>
      <c r="D861" t="s">
        <v>610</v>
      </c>
    </row>
    <row r="862" spans="1:4" x14ac:dyDescent="0.2">
      <c r="A862" t="str">
        <f t="shared" ca="1" si="12"/>
        <v xml:space="preserve">    знак остатка денежных средств</v>
      </c>
      <c r="B862" s="127" t="s">
        <v>885</v>
      </c>
      <c r="C862" t="s">
        <v>490</v>
      </c>
      <c r="D862" t="s">
        <v>611</v>
      </c>
    </row>
    <row r="863" spans="1:4" x14ac:dyDescent="0.2">
      <c r="A863" t="str">
        <f t="shared" ca="1" si="12"/>
        <v xml:space="preserve">    знак остатка денежных средств (с конца)</v>
      </c>
      <c r="B863" s="127" t="s">
        <v>886</v>
      </c>
      <c r="C863" t="s">
        <v>490</v>
      </c>
      <c r="D863" t="s">
        <v>612</v>
      </c>
    </row>
    <row r="864" spans="1:4" x14ac:dyDescent="0.2">
      <c r="A864" t="str">
        <f t="shared" ca="1" si="12"/>
        <v>Чистая приведенная стоимость (NPV)</v>
      </c>
      <c r="B864" s="127" t="s">
        <v>887</v>
      </c>
      <c r="C864" t="s">
        <v>491</v>
      </c>
      <c r="D864" t="s">
        <v>613</v>
      </c>
    </row>
    <row r="865" spans="1:4" x14ac:dyDescent="0.2">
      <c r="A865" t="str">
        <f t="shared" ca="1" si="12"/>
        <v>Дисконтированный срок окупаемости (PBP)</v>
      </c>
      <c r="B865" s="127" t="s">
        <v>888</v>
      </c>
      <c r="C865" t="s">
        <v>492</v>
      </c>
      <c r="D865" t="s">
        <v>614</v>
      </c>
    </row>
    <row r="866" spans="1:4" x14ac:dyDescent="0.2">
      <c r="A866" t="str">
        <f t="shared" ca="1" si="12"/>
        <v xml:space="preserve">    знак остатка дисконтированных денежных средств</v>
      </c>
      <c r="B866" s="127" t="s">
        <v>889</v>
      </c>
      <c r="C866" t="s">
        <v>2410</v>
      </c>
      <c r="D866" t="s">
        <v>615</v>
      </c>
    </row>
    <row r="867" spans="1:4" x14ac:dyDescent="0.2">
      <c r="A867" t="str">
        <f t="shared" ca="1" si="12"/>
        <v xml:space="preserve">    знак остатка дисконтированных денежных средств (с конца)</v>
      </c>
      <c r="B867" s="127" t="s">
        <v>890</v>
      </c>
      <c r="C867" t="s">
        <v>2410</v>
      </c>
      <c r="D867" t="s">
        <v>616</v>
      </c>
    </row>
    <row r="868" spans="1:4" x14ac:dyDescent="0.2">
      <c r="A868" t="str">
        <f t="shared" ca="1" si="12"/>
        <v>Внутренняя норма рентабельности (IRR)</v>
      </c>
      <c r="B868" s="127" t="s">
        <v>1013</v>
      </c>
      <c r="C868" t="s">
        <v>2411</v>
      </c>
      <c r="D868" t="s">
        <v>617</v>
      </c>
    </row>
    <row r="869" spans="1:4" x14ac:dyDescent="0.2">
      <c r="A869" t="str">
        <f t="shared" ca="1" si="12"/>
        <v>Норма доходности дисконтированных затрат (PI)</v>
      </c>
      <c r="B869" s="127" t="s">
        <v>985</v>
      </c>
      <c r="C869" t="s">
        <v>2412</v>
      </c>
      <c r="D869" t="s">
        <v>618</v>
      </c>
    </row>
    <row r="870" spans="1:4" x14ac:dyDescent="0.2">
      <c r="A870" t="str">
        <f t="shared" ca="1" si="12"/>
        <v xml:space="preserve">    притоки</v>
      </c>
      <c r="B870" s="127" t="s">
        <v>986</v>
      </c>
      <c r="C870" t="s">
        <v>2413</v>
      </c>
      <c r="D870" t="s">
        <v>619</v>
      </c>
    </row>
    <row r="871" spans="1:4" x14ac:dyDescent="0.2">
      <c r="A871" t="str">
        <f t="shared" ca="1" si="12"/>
        <v xml:space="preserve">    дисконтированные притоки</v>
      </c>
      <c r="B871" s="127" t="s">
        <v>987</v>
      </c>
      <c r="C871" t="s">
        <v>2414</v>
      </c>
      <c r="D871" t="s">
        <v>620</v>
      </c>
    </row>
    <row r="872" spans="1:4" x14ac:dyDescent="0.2">
      <c r="A872" t="str">
        <f t="shared" ca="1" si="12"/>
        <v xml:space="preserve">    оттоки</v>
      </c>
      <c r="B872" s="127" t="s">
        <v>988</v>
      </c>
      <c r="C872" t="s">
        <v>1123</v>
      </c>
      <c r="D872" t="s">
        <v>2467</v>
      </c>
    </row>
    <row r="873" spans="1:4" x14ac:dyDescent="0.2">
      <c r="A873" t="str">
        <f t="shared" ca="1" si="12"/>
        <v xml:space="preserve">    дисконтированные оттоки</v>
      </c>
      <c r="B873" s="127" t="s">
        <v>989</v>
      </c>
      <c r="C873" t="s">
        <v>1124</v>
      </c>
      <c r="D873" t="s">
        <v>2468</v>
      </c>
    </row>
    <row r="874" spans="1:4" x14ac:dyDescent="0.2">
      <c r="A874" t="str">
        <f t="shared" ca="1" si="12"/>
        <v>Модифицированная IRR (MIRR)</v>
      </c>
      <c r="B874" s="127" t="s">
        <v>1014</v>
      </c>
      <c r="C874" t="s">
        <v>2415</v>
      </c>
      <c r="D874" t="s">
        <v>2469</v>
      </c>
    </row>
    <row r="875" spans="1:4" x14ac:dyDescent="0.2">
      <c r="A875" t="str">
        <f t="shared" ca="1" si="12"/>
        <v>Ставка реинвестирования доходов</v>
      </c>
      <c r="B875" s="127" t="s">
        <v>1015</v>
      </c>
      <c r="C875" s="48" t="s">
        <v>2416</v>
      </c>
      <c r="D875" t="s">
        <v>2470</v>
      </c>
    </row>
    <row r="876" spans="1:4" x14ac:dyDescent="0.2">
      <c r="A876" t="str">
        <f t="shared" ca="1" si="12"/>
        <v>Ставка дисконтирования инвестиционных затрат</v>
      </c>
      <c r="B876" s="127" t="s">
        <v>1017</v>
      </c>
      <c r="C876" t="s">
        <v>2417</v>
      </c>
      <c r="D876" t="s">
        <v>2471</v>
      </c>
    </row>
    <row r="877" spans="1:4" x14ac:dyDescent="0.2">
      <c r="A877" t="str">
        <f t="shared" ca="1" si="12"/>
        <v>График: Окупаемость проекта (для полных инвестиционных затрат)</v>
      </c>
      <c r="B877" s="74" t="s">
        <v>1407</v>
      </c>
      <c r="C877" t="s">
        <v>2418</v>
      </c>
      <c r="D877" t="s">
        <v>2472</v>
      </c>
    </row>
    <row r="878" spans="1:4" x14ac:dyDescent="0.2">
      <c r="A878" t="str">
        <f t="shared" ca="1" si="12"/>
        <v xml:space="preserve">         ЭФФЕКТИВНОСТЬ ДЛЯ СОБСТВЕННОГО КАПИТАЛА</v>
      </c>
      <c r="B878" s="16" t="s">
        <v>1210</v>
      </c>
      <c r="C878" t="s">
        <v>2419</v>
      </c>
      <c r="D878" t="s">
        <v>1294</v>
      </c>
    </row>
    <row r="879" spans="1:4" x14ac:dyDescent="0.2">
      <c r="A879" t="str">
        <f t="shared" ca="1" si="12"/>
        <v>График: Окупаемость проекта (для собственного капитала)</v>
      </c>
      <c r="B879" s="16" t="s">
        <v>1408</v>
      </c>
      <c r="C879" t="s">
        <v>2420</v>
      </c>
      <c r="D879" t="s">
        <v>2473</v>
      </c>
    </row>
    <row r="880" spans="1:4" x14ac:dyDescent="0.2">
      <c r="A880" t="str">
        <f t="shared" ca="1" si="12"/>
        <v xml:space="preserve">         ЭФФЕКТИВНОСТЬ ДЛЯ БАНКА</v>
      </c>
      <c r="B880" s="16" t="s">
        <v>1211</v>
      </c>
      <c r="C880" t="s">
        <v>2291</v>
      </c>
      <c r="D880" t="s">
        <v>1295</v>
      </c>
    </row>
    <row r="881" spans="1:4" x14ac:dyDescent="0.2">
      <c r="A881" t="str">
        <f t="shared" ca="1" si="12"/>
        <v>График: Окупаемость проекта (для банка)</v>
      </c>
      <c r="B881" s="16" t="s">
        <v>1409</v>
      </c>
      <c r="C881" t="s">
        <v>2292</v>
      </c>
      <c r="D881" t="s">
        <v>2308</v>
      </c>
    </row>
    <row r="882" spans="1:4" x14ac:dyDescent="0.2">
      <c r="A882" t="str">
        <f t="shared" ca="1" si="12"/>
        <v xml:space="preserve">         ОЦЕНКА БИЗНЕСА</v>
      </c>
      <c r="B882" s="16" t="s">
        <v>1212</v>
      </c>
      <c r="C882" t="s">
        <v>2293</v>
      </c>
      <c r="D882" t="s">
        <v>1296</v>
      </c>
    </row>
    <row r="883" spans="1:4" x14ac:dyDescent="0.2">
      <c r="A883" t="str">
        <f t="shared" ca="1" si="12"/>
        <v xml:space="preserve">    коэффициент дисконта на середину периода</v>
      </c>
      <c r="B883" t="s">
        <v>1303</v>
      </c>
      <c r="C883" t="s">
        <v>2294</v>
      </c>
      <c r="D883" t="s">
        <v>2309</v>
      </c>
    </row>
    <row r="884" spans="1:4" x14ac:dyDescent="0.2">
      <c r="A884" t="str">
        <f t="shared" ca="1" si="12"/>
        <v>Долгосрочные темпы роста в постпрогнозный период</v>
      </c>
      <c r="B884" s="23" t="s">
        <v>1412</v>
      </c>
      <c r="C884" t="s">
        <v>2295</v>
      </c>
      <c r="D884" t="s">
        <v>2310</v>
      </c>
    </row>
    <row r="885" spans="1:4" ht="12.75" customHeight="1" x14ac:dyDescent="0.2">
      <c r="A885" t="str">
        <f t="shared" ca="1" si="12"/>
        <v xml:space="preserve">    в пересчете на период, равный шагу проекта</v>
      </c>
      <c r="B885" s="23" t="s">
        <v>1019</v>
      </c>
      <c r="C885" t="s">
        <v>2296</v>
      </c>
      <c r="D885" t="s">
        <v>2311</v>
      </c>
    </row>
    <row r="886" spans="1:4" x14ac:dyDescent="0.2">
      <c r="A886" t="str">
        <f t="shared" ca="1" si="12"/>
        <v>Денежный поток для собственного капитала</v>
      </c>
      <c r="B886" s="23" t="s">
        <v>1411</v>
      </c>
      <c r="C886" t="s">
        <v>2297</v>
      </c>
      <c r="D886" t="s">
        <v>2312</v>
      </c>
    </row>
    <row r="887" spans="1:4" x14ac:dyDescent="0.2">
      <c r="A887" t="str">
        <f t="shared" ca="1" si="12"/>
        <v>Чистая прибыль</v>
      </c>
      <c r="B887" s="23" t="s">
        <v>1413</v>
      </c>
      <c r="C887" t="s">
        <v>2298</v>
      </c>
      <c r="D887" t="s">
        <v>2313</v>
      </c>
    </row>
    <row r="888" spans="1:4" x14ac:dyDescent="0.2">
      <c r="A888" t="str">
        <f t="shared" ca="1" si="12"/>
        <v>Амортизация</v>
      </c>
      <c r="B888" s="23" t="s">
        <v>760</v>
      </c>
      <c r="C888" t="s">
        <v>2179</v>
      </c>
      <c r="D888" t="s">
        <v>2206</v>
      </c>
    </row>
    <row r="889" spans="1:4" x14ac:dyDescent="0.2">
      <c r="A889" t="str">
        <f t="shared" ca="1" si="12"/>
        <v>Изменение чистого оборотного капитала</v>
      </c>
      <c r="B889" s="23" t="s">
        <v>2656</v>
      </c>
      <c r="C889" t="s">
        <v>2014</v>
      </c>
      <c r="D889" t="s">
        <v>147</v>
      </c>
    </row>
    <row r="890" spans="1:4" x14ac:dyDescent="0.2">
      <c r="A890" t="str">
        <f t="shared" ca="1" si="12"/>
        <v>Инвестиции</v>
      </c>
      <c r="B890" s="23" t="s">
        <v>1414</v>
      </c>
      <c r="C890" t="s">
        <v>2299</v>
      </c>
      <c r="D890" t="s">
        <v>327</v>
      </c>
    </row>
    <row r="891" spans="1:4" x14ac:dyDescent="0.2">
      <c r="A891" t="str">
        <f t="shared" ca="1" si="12"/>
        <v>Изменение долгосрочной задолженности</v>
      </c>
      <c r="B891" s="23" t="s">
        <v>1415</v>
      </c>
      <c r="C891" t="s">
        <v>2300</v>
      </c>
      <c r="D891" t="s">
        <v>2314</v>
      </c>
    </row>
    <row r="892" spans="1:4" x14ac:dyDescent="0.2">
      <c r="A892" t="str">
        <f t="shared" ca="1" si="12"/>
        <v>Дисконтированный денежный поток</v>
      </c>
      <c r="B892" s="23" t="s">
        <v>1259</v>
      </c>
      <c r="C892" t="s">
        <v>2301</v>
      </c>
      <c r="D892" t="s">
        <v>2315</v>
      </c>
    </row>
    <row r="893" spans="1:4" x14ac:dyDescent="0.2">
      <c r="A893" t="str">
        <f t="shared" ca="1" si="12"/>
        <v>Продленная стоимость проекта</v>
      </c>
      <c r="B893" s="23" t="s">
        <v>1260</v>
      </c>
      <c r="C893" t="s">
        <v>2302</v>
      </c>
      <c r="D893" t="s">
        <v>2316</v>
      </c>
    </row>
    <row r="894" spans="1:4" x14ac:dyDescent="0.2">
      <c r="A894" t="str">
        <f t="shared" ca="1" si="12"/>
        <v>Посленалоговая операционная прибыль (NOPLAT)</v>
      </c>
      <c r="B894" s="23" t="s">
        <v>1263</v>
      </c>
      <c r="C894" t="s">
        <v>433</v>
      </c>
      <c r="D894" t="s">
        <v>2317</v>
      </c>
    </row>
    <row r="895" spans="1:4" x14ac:dyDescent="0.2">
      <c r="A895" t="str">
        <f t="shared" ca="1" si="12"/>
        <v>Дисконтированная продленная стоимость</v>
      </c>
      <c r="B895" s="23" t="s">
        <v>1261</v>
      </c>
      <c r="C895" t="s">
        <v>434</v>
      </c>
      <c r="D895" t="s">
        <v>2318</v>
      </c>
    </row>
    <row r="896" spans="1:4" x14ac:dyDescent="0.2">
      <c r="A896" t="str">
        <f t="shared" ca="1" si="12"/>
        <v>Итого стоимость бизнеса</v>
      </c>
      <c r="B896" s="23" t="s">
        <v>1262</v>
      </c>
      <c r="C896" t="s">
        <v>435</v>
      </c>
      <c r="D896" t="s">
        <v>2319</v>
      </c>
    </row>
    <row r="897" spans="1:4" x14ac:dyDescent="0.2">
      <c r="A897" t="str">
        <f t="shared" ca="1" si="12"/>
        <v xml:space="preserve">         БЮДЖЕТНАЯ ЭФФЕКТИВНОСТЬ</v>
      </c>
      <c r="B897" s="16" t="s">
        <v>1115</v>
      </c>
      <c r="C897" t="s">
        <v>436</v>
      </c>
      <c r="D897" t="s">
        <v>1297</v>
      </c>
    </row>
    <row r="898" spans="1:4" x14ac:dyDescent="0.2">
      <c r="A898" t="str">
        <f t="shared" ca="1" si="12"/>
        <v>федеральный</v>
      </c>
      <c r="B898" t="s">
        <v>1299</v>
      </c>
      <c r="C898" t="s">
        <v>437</v>
      </c>
      <c r="D898" t="s">
        <v>493</v>
      </c>
    </row>
    <row r="899" spans="1:4" x14ac:dyDescent="0.2">
      <c r="A899" t="str">
        <f t="shared" ca="1" si="12"/>
        <v>территории</v>
      </c>
      <c r="B899" t="s">
        <v>1300</v>
      </c>
      <c r="C899" t="s">
        <v>2329</v>
      </c>
      <c r="D899" t="s">
        <v>494</v>
      </c>
    </row>
    <row r="900" spans="1:4" x14ac:dyDescent="0.2">
      <c r="A900" t="str">
        <f t="shared" ca="1" si="12"/>
        <v>Доли налоговых поступлений в бюджеты разных уровней</v>
      </c>
      <c r="B900" s="23" t="s">
        <v>1298</v>
      </c>
      <c r="C900" s="216" t="s">
        <v>2330</v>
      </c>
      <c r="D900" t="s">
        <v>495</v>
      </c>
    </row>
    <row r="901" spans="1:4" x14ac:dyDescent="0.2">
      <c r="A901" t="str">
        <f t="shared" ca="1" si="12"/>
        <v>Налог на добавленную стоимость</v>
      </c>
      <c r="B901" s="23" t="s">
        <v>1441</v>
      </c>
      <c r="C901" s="216" t="s">
        <v>2331</v>
      </c>
      <c r="D901" t="s">
        <v>237</v>
      </c>
    </row>
    <row r="902" spans="1:4" x14ac:dyDescent="0.2">
      <c r="A902" t="str">
        <f t="shared" ca="1" si="12"/>
        <v>Налог на прибыль</v>
      </c>
      <c r="B902" s="23" t="s">
        <v>1064</v>
      </c>
      <c r="C902" s="216" t="s">
        <v>50</v>
      </c>
      <c r="D902" t="s">
        <v>1646</v>
      </c>
    </row>
    <row r="903" spans="1:4" s="48" customFormat="1" x14ac:dyDescent="0.2">
      <c r="A903" s="48" t="str">
        <f t="shared" ca="1" si="12"/>
        <v>Страховые взносы в социальные фонды</v>
      </c>
      <c r="B903" s="52" t="s">
        <v>700</v>
      </c>
      <c r="C903" s="301" t="s">
        <v>2579</v>
      </c>
      <c r="D903" s="48" t="s">
        <v>496</v>
      </c>
    </row>
    <row r="904" spans="1:4" x14ac:dyDescent="0.2">
      <c r="A904" t="str">
        <f t="shared" ca="1" si="12"/>
        <v>Акцизы и экспортные пошлины</v>
      </c>
      <c r="B904" s="23" t="s">
        <v>1071</v>
      </c>
      <c r="C904" s="216" t="s">
        <v>1632</v>
      </c>
      <c r="D904" t="s">
        <v>1649</v>
      </c>
    </row>
    <row r="905" spans="1:4" x14ac:dyDescent="0.2">
      <c r="A905" t="str">
        <f t="shared" ca="1" si="12"/>
        <v>Импортная пошлина</v>
      </c>
      <c r="B905" s="23" t="s">
        <v>1442</v>
      </c>
      <c r="C905" s="216" t="s">
        <v>1633</v>
      </c>
      <c r="D905" t="s">
        <v>1650</v>
      </c>
    </row>
    <row r="906" spans="1:4" x14ac:dyDescent="0.2">
      <c r="A906" t="str">
        <f t="shared" ca="1" si="12"/>
        <v>Подоходный налог</v>
      </c>
      <c r="B906" s="23" t="s">
        <v>1443</v>
      </c>
      <c r="C906" s="216" t="s">
        <v>2332</v>
      </c>
      <c r="D906" t="s">
        <v>497</v>
      </c>
    </row>
    <row r="907" spans="1:4" x14ac:dyDescent="0.2">
      <c r="A907" t="str">
        <f t="shared" ca="1" si="12"/>
        <v>Земельный налог</v>
      </c>
      <c r="B907" s="23" t="s">
        <v>748</v>
      </c>
      <c r="C907" s="216" t="s">
        <v>1604</v>
      </c>
      <c r="D907" t="s">
        <v>1836</v>
      </c>
    </row>
    <row r="908" spans="1:4" x14ac:dyDescent="0.2">
      <c r="A908" t="str">
        <f t="shared" ca="1" si="12"/>
        <v>Налог на имущество</v>
      </c>
      <c r="B908" s="23" t="s">
        <v>2677</v>
      </c>
      <c r="C908" s="216" t="s">
        <v>1479</v>
      </c>
      <c r="D908" t="s">
        <v>498</v>
      </c>
    </row>
    <row r="909" spans="1:4" x14ac:dyDescent="0.2">
      <c r="A909" t="str">
        <f t="shared" ca="1" si="12"/>
        <v>Единый налог на вмененный доход</v>
      </c>
      <c r="B909" s="23" t="s">
        <v>1513</v>
      </c>
      <c r="C909" s="216" t="s">
        <v>451</v>
      </c>
      <c r="D909" t="s">
        <v>499</v>
      </c>
    </row>
    <row r="910" spans="1:4" x14ac:dyDescent="0.2">
      <c r="A910" t="str">
        <f t="shared" ca="1" si="12"/>
        <v>Упрощенная система налогообложения</v>
      </c>
      <c r="B910" s="23" t="s">
        <v>1514</v>
      </c>
      <c r="C910" s="216" t="s">
        <v>452</v>
      </c>
      <c r="D910" t="s">
        <v>11</v>
      </c>
    </row>
    <row r="911" spans="1:4" x14ac:dyDescent="0.2">
      <c r="A911" t="str">
        <f t="shared" ca="1" si="12"/>
        <v>Ставка налога на доходы физических лиц</v>
      </c>
      <c r="B911" s="23" t="s">
        <v>1444</v>
      </c>
      <c r="C911" s="216" t="s">
        <v>453</v>
      </c>
      <c r="D911" t="s">
        <v>500</v>
      </c>
    </row>
    <row r="912" spans="1:4" x14ac:dyDescent="0.2">
      <c r="A912" t="str">
        <f t="shared" ca="1" si="12"/>
        <v>Налоговые поступления в федеральный бюджет</v>
      </c>
      <c r="B912" s="23" t="s">
        <v>1445</v>
      </c>
      <c r="C912" s="216" t="s">
        <v>366</v>
      </c>
      <c r="D912" t="s">
        <v>501</v>
      </c>
    </row>
    <row r="913" spans="1:4" x14ac:dyDescent="0.2">
      <c r="A913" t="str">
        <f t="shared" ca="1" si="12"/>
        <v>Налоговые поступления в территориальный бюджет</v>
      </c>
      <c r="B913" s="23" t="s">
        <v>1446</v>
      </c>
      <c r="C913" s="216" t="s">
        <v>367</v>
      </c>
      <c r="D913" t="s">
        <v>502</v>
      </c>
    </row>
    <row r="914" spans="1:4" x14ac:dyDescent="0.2">
      <c r="A914" t="str">
        <f t="shared" ca="1" si="12"/>
        <v>Бюджетное финансирование</v>
      </c>
      <c r="B914" s="23" t="s">
        <v>1447</v>
      </c>
      <c r="C914" s="216" t="s">
        <v>368</v>
      </c>
      <c r="D914" t="s">
        <v>503</v>
      </c>
    </row>
    <row r="915" spans="1:4" x14ac:dyDescent="0.2">
      <c r="A915" t="str">
        <f t="shared" ca="1" si="12"/>
        <v>Федеральный бюджет</v>
      </c>
      <c r="B915" s="11" t="s">
        <v>1448</v>
      </c>
      <c r="C915" s="220" t="s">
        <v>369</v>
      </c>
      <c r="D915" t="s">
        <v>504</v>
      </c>
    </row>
    <row r="916" spans="1:4" x14ac:dyDescent="0.2">
      <c r="A916" t="str">
        <f t="shared" ca="1" si="12"/>
        <v xml:space="preserve">    целевое финансирование</v>
      </c>
      <c r="B916" s="115" t="s">
        <v>1449</v>
      </c>
      <c r="C916" s="216" t="s">
        <v>370</v>
      </c>
      <c r="D916" t="s">
        <v>505</v>
      </c>
    </row>
    <row r="917" spans="1:4" x14ac:dyDescent="0.2">
      <c r="A917" t="str">
        <f t="shared" ca="1" si="12"/>
        <v xml:space="preserve">    кредиты выданные</v>
      </c>
      <c r="B917" s="115" t="s">
        <v>1450</v>
      </c>
      <c r="C917" s="216" t="s">
        <v>371</v>
      </c>
      <c r="D917" t="s">
        <v>506</v>
      </c>
    </row>
    <row r="918" spans="1:4" x14ac:dyDescent="0.2">
      <c r="A918" t="str">
        <f t="shared" ca="1" si="12"/>
        <v xml:space="preserve">    возврат кредитов</v>
      </c>
      <c r="B918" s="115" t="s">
        <v>1507</v>
      </c>
      <c r="C918" s="216" t="s">
        <v>372</v>
      </c>
      <c r="D918" t="s">
        <v>507</v>
      </c>
    </row>
    <row r="919" spans="1:4" x14ac:dyDescent="0.2">
      <c r="A919" t="str">
        <f t="shared" ca="1" si="12"/>
        <v xml:space="preserve">    проценты по выданным кредитам</v>
      </c>
      <c r="B919" s="115" t="s">
        <v>1508</v>
      </c>
      <c r="C919" s="216" t="s">
        <v>373</v>
      </c>
      <c r="D919" t="s">
        <v>537</v>
      </c>
    </row>
    <row r="920" spans="1:4" x14ac:dyDescent="0.2">
      <c r="A920" t="str">
        <f t="shared" ca="1" si="12"/>
        <v>Территориальный бюджет</v>
      </c>
      <c r="B920" s="180" t="s">
        <v>1509</v>
      </c>
      <c r="C920" s="220" t="s">
        <v>374</v>
      </c>
      <c r="D920" t="s">
        <v>538</v>
      </c>
    </row>
    <row r="921" spans="1:4" x14ac:dyDescent="0.2">
      <c r="A921" t="str">
        <f t="shared" ca="1" si="12"/>
        <v>Доходы бюджетов</v>
      </c>
      <c r="B921" s="207" t="s">
        <v>1510</v>
      </c>
      <c r="C921" s="216" t="s">
        <v>2330</v>
      </c>
      <c r="D921" t="s">
        <v>536</v>
      </c>
    </row>
    <row r="922" spans="1:4" x14ac:dyDescent="0.2">
      <c r="A922" t="str">
        <f t="shared" ca="1" si="12"/>
        <v>Суммарные денежные потоки федерального бюджета</v>
      </c>
      <c r="B922" s="207" t="s">
        <v>1511</v>
      </c>
      <c r="C922" s="216" t="s">
        <v>375</v>
      </c>
      <c r="D922" t="s">
        <v>2714</v>
      </c>
    </row>
    <row r="923" spans="1:4" x14ac:dyDescent="0.2">
      <c r="A923" t="str">
        <f t="shared" ca="1" si="12"/>
        <v>Суммарные денежные потоки территориального бюджета</v>
      </c>
      <c r="B923" s="207" t="s">
        <v>1512</v>
      </c>
      <c r="C923" s="216" t="s">
        <v>376</v>
      </c>
      <c r="D923" t="s">
        <v>2715</v>
      </c>
    </row>
    <row r="924" spans="1:4" x14ac:dyDescent="0.2">
      <c r="A924" t="str">
        <f t="shared" ca="1" si="12"/>
        <v>Годовая ставка дисконтирования:</v>
      </c>
      <c r="B924" s="207" t="s">
        <v>874</v>
      </c>
      <c r="C924" s="216" t="s">
        <v>377</v>
      </c>
      <c r="D924" t="s">
        <v>2716</v>
      </c>
    </row>
    <row r="925" spans="1:4" x14ac:dyDescent="0.2">
      <c r="A925" t="str">
        <f t="shared" ca="1" si="12"/>
        <v xml:space="preserve">    ставка дисконтирования на расчетный период</v>
      </c>
      <c r="B925" s="207" t="s">
        <v>875</v>
      </c>
      <c r="C925" t="s">
        <v>479</v>
      </c>
      <c r="D925" t="s">
        <v>598</v>
      </c>
    </row>
    <row r="926" spans="1:4" x14ac:dyDescent="0.2">
      <c r="A926" t="str">
        <f t="shared" ca="1" si="12"/>
        <v xml:space="preserve">    коэффициент дисконта</v>
      </c>
      <c r="B926" s="207" t="s">
        <v>876</v>
      </c>
      <c r="C926" t="s">
        <v>378</v>
      </c>
      <c r="D926" t="s">
        <v>557</v>
      </c>
    </row>
    <row r="927" spans="1:4" x14ac:dyDescent="0.2">
      <c r="A927" t="str">
        <f t="shared" ca="1" si="12"/>
        <v>Дисконтированные потоки федерального бюджета</v>
      </c>
      <c r="B927" s="207" t="s">
        <v>1515</v>
      </c>
      <c r="C927" s="216" t="s">
        <v>379</v>
      </c>
      <c r="D927" t="s">
        <v>677</v>
      </c>
    </row>
    <row r="928" spans="1:4" x14ac:dyDescent="0.2">
      <c r="A928" t="str">
        <f t="shared" ca="1" si="12"/>
        <v>Дисконтированные потоки территориального бюджета</v>
      </c>
      <c r="B928" s="207" t="s">
        <v>1516</v>
      </c>
      <c r="C928" s="216" t="s">
        <v>380</v>
      </c>
      <c r="D928" t="s">
        <v>678</v>
      </c>
    </row>
    <row r="929" spans="1:4" x14ac:dyDescent="0.2">
      <c r="A929" t="str">
        <f t="shared" ca="1" si="12"/>
        <v>NPV федерального бюджета</v>
      </c>
      <c r="B929" s="23" t="s">
        <v>426</v>
      </c>
      <c r="C929" s="216" t="s">
        <v>428</v>
      </c>
      <c r="D929" t="s">
        <v>679</v>
      </c>
    </row>
    <row r="930" spans="1:4" x14ac:dyDescent="0.2">
      <c r="A930" t="str">
        <f t="shared" ca="1" si="12"/>
        <v>NPV территориального бюджета</v>
      </c>
      <c r="B930" s="299" t="s">
        <v>427</v>
      </c>
      <c r="C930" s="216" t="s">
        <v>429</v>
      </c>
      <c r="D930" t="s">
        <v>680</v>
      </c>
    </row>
    <row r="931" spans="1:4" x14ac:dyDescent="0.2">
      <c r="A931" t="str">
        <f t="shared" ca="1" si="12"/>
        <v xml:space="preserve">         ОСНОВНЫЕ ПОКАЗАТЕЛИ ПРОЕКТА</v>
      </c>
      <c r="B931" s="16" t="s">
        <v>1116</v>
      </c>
      <c r="C931" t="s">
        <v>539</v>
      </c>
      <c r="D931" t="s">
        <v>681</v>
      </c>
    </row>
    <row r="932" spans="1:4" x14ac:dyDescent="0.2">
      <c r="A932" t="str">
        <f t="shared" ca="1" si="12"/>
        <v>Выручка от реализации (без НДС)</v>
      </c>
      <c r="B932" t="s">
        <v>1517</v>
      </c>
      <c r="C932" t="s">
        <v>540</v>
      </c>
      <c r="D932" t="s">
        <v>2520</v>
      </c>
    </row>
    <row r="933" spans="1:4" x14ac:dyDescent="0.2">
      <c r="A933" t="str">
        <f t="shared" ca="1" si="12"/>
        <v>Затраты на производство (без НДС)</v>
      </c>
      <c r="B933" t="s">
        <v>1518</v>
      </c>
      <c r="C933" t="s">
        <v>541</v>
      </c>
      <c r="D933" t="s">
        <v>2521</v>
      </c>
    </row>
    <row r="934" spans="1:4" x14ac:dyDescent="0.2">
      <c r="A934" t="str">
        <f t="shared" ca="1" si="12"/>
        <v>Инвестции во внеоборотные активы</v>
      </c>
      <c r="B934" s="19" t="s">
        <v>1519</v>
      </c>
      <c r="C934" t="s">
        <v>542</v>
      </c>
      <c r="D934" t="s">
        <v>2534</v>
      </c>
    </row>
    <row r="935" spans="1:4" x14ac:dyDescent="0.2">
      <c r="A935" t="str">
        <f t="shared" ca="1" si="12"/>
        <v>Инвестиции в оборотный капитал</v>
      </c>
      <c r="B935" s="19" t="s">
        <v>1054</v>
      </c>
      <c r="C935" t="s">
        <v>116</v>
      </c>
      <c r="D935" t="s">
        <v>327</v>
      </c>
    </row>
    <row r="936" spans="1:4" x14ac:dyDescent="0.2">
      <c r="A936" t="str">
        <f t="shared" ca="1" si="12"/>
        <v>Собственные средства и целевое финансирование</v>
      </c>
      <c r="B936" s="19" t="s">
        <v>1651</v>
      </c>
      <c r="C936" t="s">
        <v>543</v>
      </c>
      <c r="D936" t="s">
        <v>2535</v>
      </c>
    </row>
    <row r="937" spans="1:4" x14ac:dyDescent="0.2">
      <c r="A937" t="str">
        <f t="shared" ca="1" si="12"/>
        <v>Привлечение кредитов</v>
      </c>
      <c r="B937" t="s">
        <v>1652</v>
      </c>
      <c r="C937" s="216" t="s">
        <v>544</v>
      </c>
      <c r="D937" t="s">
        <v>2540</v>
      </c>
    </row>
    <row r="938" spans="1:4" x14ac:dyDescent="0.2">
      <c r="A938" t="str">
        <f t="shared" ca="1" si="12"/>
        <v>Погашение кредитов</v>
      </c>
      <c r="B938" t="s">
        <v>1653</v>
      </c>
      <c r="C938" s="216" t="s">
        <v>545</v>
      </c>
      <c r="D938" t="s">
        <v>2207</v>
      </c>
    </row>
    <row r="939" spans="1:4" x14ac:dyDescent="0.2">
      <c r="A939" t="str">
        <f t="shared" ca="1" si="12"/>
        <v>Выплата процентов по кредитам</v>
      </c>
      <c r="B939" t="s">
        <v>1098</v>
      </c>
      <c r="C939" s="216" t="s">
        <v>130</v>
      </c>
      <c r="D939" t="s">
        <v>393</v>
      </c>
    </row>
    <row r="940" spans="1:4" x14ac:dyDescent="0.2">
      <c r="A940" t="str">
        <f t="shared" ca="1" si="12"/>
        <v>Эффективность полных инвестиционных затрат</v>
      </c>
      <c r="B940" s="24" t="s">
        <v>1654</v>
      </c>
      <c r="C940" s="216" t="s">
        <v>546</v>
      </c>
      <c r="D940" t="s">
        <v>2541</v>
      </c>
    </row>
    <row r="941" spans="1:4" x14ac:dyDescent="0.2">
      <c r="A941" t="str">
        <f t="shared" ca="1" si="12"/>
        <v>Эффективность для собственного капитала</v>
      </c>
      <c r="B941" s="23" t="s">
        <v>1655</v>
      </c>
      <c r="C941" s="216" t="s">
        <v>444</v>
      </c>
      <c r="D941" t="s">
        <v>2542</v>
      </c>
    </row>
    <row r="942" spans="1:4" x14ac:dyDescent="0.2">
      <c r="A942" t="str">
        <f t="shared" ca="1" si="12"/>
        <v>Эффективность для банка</v>
      </c>
      <c r="B942" s="23" t="s">
        <v>1656</v>
      </c>
      <c r="C942" s="216" t="s">
        <v>547</v>
      </c>
      <c r="D942" t="s">
        <v>2543</v>
      </c>
    </row>
    <row r="943" spans="1:4" x14ac:dyDescent="0.2">
      <c r="A943" t="str">
        <f t="shared" ca="1" si="12"/>
        <v xml:space="preserve">         АНАЛИЗ ЧУВСТВИТЕЛЬНОСТИ</v>
      </c>
      <c r="B943" s="16" t="s">
        <v>2007</v>
      </c>
      <c r="C943" t="s">
        <v>548</v>
      </c>
      <c r="D943" t="s">
        <v>1520</v>
      </c>
    </row>
    <row r="944" spans="1:4" x14ac:dyDescent="0.2">
      <c r="A944" t="str">
        <f t="shared" ca="1" si="12"/>
        <v>Портфель проектов компании</v>
      </c>
      <c r="B944" s="16" t="s">
        <v>1214</v>
      </c>
      <c r="C944" t="s">
        <v>549</v>
      </c>
      <c r="D944" t="s">
        <v>2544</v>
      </c>
    </row>
    <row r="945" spans="1:4" x14ac:dyDescent="0.2">
      <c r="A945" t="str">
        <f t="shared" ca="1" si="12"/>
        <v xml:space="preserve">         СОСТАВ ПОРТФЕЛЯ</v>
      </c>
      <c r="B945" s="16" t="s">
        <v>982</v>
      </c>
      <c r="C945" s="16" t="s">
        <v>550</v>
      </c>
      <c r="D945" t="s">
        <v>1521</v>
      </c>
    </row>
    <row r="946" spans="1:4" x14ac:dyDescent="0.2">
      <c r="A946" t="str">
        <f t="shared" ca="1" si="12"/>
        <v>Название компании:</v>
      </c>
      <c r="B946" s="52" t="s">
        <v>1451</v>
      </c>
      <c r="C946" t="s">
        <v>551</v>
      </c>
      <c r="D946" t="s">
        <v>2545</v>
      </c>
    </row>
    <row r="947" spans="1:4" x14ac:dyDescent="0.2">
      <c r="A947" t="str">
        <f t="shared" ca="1" si="12"/>
        <v>Компания без названия</v>
      </c>
      <c r="B947" s="52" t="s">
        <v>1452</v>
      </c>
      <c r="C947" t="s">
        <v>552</v>
      </c>
      <c r="D947" t="s">
        <v>2546</v>
      </c>
    </row>
    <row r="948" spans="1:4" x14ac:dyDescent="0.2">
      <c r="A948" t="str">
        <f t="shared" ca="1" si="12"/>
        <v>Список проектов</v>
      </c>
      <c r="B948" s="52" t="s">
        <v>1360</v>
      </c>
      <c r="C948" t="s">
        <v>1361</v>
      </c>
      <c r="D948" t="s">
        <v>2547</v>
      </c>
    </row>
    <row r="949" spans="1:4" x14ac:dyDescent="0.2">
      <c r="A949" t="str">
        <f t="shared" ca="1" si="12"/>
        <v>Учитывать?</v>
      </c>
      <c r="B949" s="16" t="s">
        <v>1215</v>
      </c>
      <c r="C949" t="s">
        <v>553</v>
      </c>
      <c r="D949" t="s">
        <v>2548</v>
      </c>
    </row>
    <row r="950" spans="1:4" x14ac:dyDescent="0.2">
      <c r="A950" t="str">
        <f t="shared" ca="1" si="12"/>
        <v>Источник</v>
      </c>
      <c r="B950" s="16" t="s">
        <v>981</v>
      </c>
      <c r="C950" t="s">
        <v>554</v>
      </c>
      <c r="D950" t="s">
        <v>2549</v>
      </c>
    </row>
    <row r="951" spans="1:4" x14ac:dyDescent="0.2">
      <c r="A951" t="str">
        <f t="shared" ca="1" si="12"/>
        <v>Последнее обновление проектов из внешних книг:</v>
      </c>
      <c r="B951" s="221" t="s">
        <v>1216</v>
      </c>
      <c r="C951" t="s">
        <v>555</v>
      </c>
      <c r="D951" t="s">
        <v>2550</v>
      </c>
    </row>
    <row r="952" spans="1:4" x14ac:dyDescent="0.2">
      <c r="A952" t="str">
        <f t="shared" ca="1" si="12"/>
        <v>Параметры бюджета портфеля проектов</v>
      </c>
      <c r="B952" s="221" t="s">
        <v>1217</v>
      </c>
      <c r="C952" t="s">
        <v>556</v>
      </c>
      <c r="D952" t="s">
        <v>2551</v>
      </c>
    </row>
    <row r="953" spans="1:4" x14ac:dyDescent="0.2">
      <c r="A953" t="str">
        <f t="shared" ca="1" si="12"/>
        <v>Дата начала первого периода</v>
      </c>
      <c r="B953" s="221" t="s">
        <v>1218</v>
      </c>
      <c r="C953" t="s">
        <v>460</v>
      </c>
      <c r="D953" t="s">
        <v>2552</v>
      </c>
    </row>
    <row r="954" spans="1:4" x14ac:dyDescent="0.2">
      <c r="A954" t="str">
        <f t="shared" ca="1" si="12"/>
        <v>Длительность</v>
      </c>
      <c r="B954" s="221" t="s">
        <v>1219</v>
      </c>
      <c r="C954" t="s">
        <v>461</v>
      </c>
      <c r="D954" t="s">
        <v>2553</v>
      </c>
    </row>
    <row r="955" spans="1:4" x14ac:dyDescent="0.2">
      <c r="A955" t="str">
        <f t="shared" ca="1" si="12"/>
        <v>Шаг планирования</v>
      </c>
      <c r="B955" s="221" t="s">
        <v>584</v>
      </c>
      <c r="C955" t="s">
        <v>1206</v>
      </c>
      <c r="D955" t="s">
        <v>2554</v>
      </c>
    </row>
    <row r="956" spans="1:4" x14ac:dyDescent="0.2">
      <c r="A956" t="str">
        <f t="shared" ca="1" si="12"/>
        <v>Валюта для отображения результатов</v>
      </c>
      <c r="B956" s="221" t="s">
        <v>588</v>
      </c>
      <c r="C956" t="s">
        <v>958</v>
      </c>
      <c r="D956" t="s">
        <v>1491</v>
      </c>
    </row>
    <row r="957" spans="1:4" x14ac:dyDescent="0.2">
      <c r="A957" t="str">
        <f t="shared" ca="1" si="12"/>
        <v>Периоды осуществления проектов</v>
      </c>
      <c r="B957" s="221" t="s">
        <v>1220</v>
      </c>
      <c r="C957" t="s">
        <v>462</v>
      </c>
      <c r="D957" t="s">
        <v>2555</v>
      </c>
    </row>
    <row r="958" spans="1:4" x14ac:dyDescent="0.2">
      <c r="A958" t="str">
        <f t="shared" ca="1" si="12"/>
        <v>с периода</v>
      </c>
      <c r="B958" s="221" t="s">
        <v>1221</v>
      </c>
      <c r="C958" t="s">
        <v>463</v>
      </c>
      <c r="D958" t="s">
        <v>2556</v>
      </c>
    </row>
    <row r="959" spans="1:4" x14ac:dyDescent="0.2">
      <c r="A959" t="str">
        <f t="shared" ca="1" si="12"/>
        <v>по период</v>
      </c>
      <c r="B959" s="16" t="s">
        <v>1222</v>
      </c>
      <c r="C959" t="s">
        <v>464</v>
      </c>
      <c r="D959" t="s">
        <v>2557</v>
      </c>
    </row>
    <row r="960" spans="1:4" x14ac:dyDescent="0.2">
      <c r="A960" t="str">
        <f t="shared" ca="1" si="12"/>
        <v>Год начала бюджета</v>
      </c>
      <c r="B960" t="s">
        <v>1223</v>
      </c>
      <c r="C960" t="s">
        <v>465</v>
      </c>
      <c r="D960" t="s">
        <v>2558</v>
      </c>
    </row>
    <row r="961" spans="1:4" x14ac:dyDescent="0.2">
      <c r="A961" t="str">
        <f t="shared" ca="1" si="12"/>
        <v>Месяц начала бюджета</v>
      </c>
      <c r="B961" t="s">
        <v>1224</v>
      </c>
      <c r="C961" t="s">
        <v>558</v>
      </c>
      <c r="D961" t="s">
        <v>2559</v>
      </c>
    </row>
    <row r="962" spans="1:4" x14ac:dyDescent="0.2">
      <c r="A962" t="str">
        <f t="shared" ca="1" si="12"/>
        <v>Номера периодов</v>
      </c>
      <c r="B962" t="s">
        <v>2486</v>
      </c>
      <c r="C962" t="s">
        <v>1667</v>
      </c>
      <c r="D962" t="s">
        <v>2560</v>
      </c>
    </row>
    <row r="963" spans="1:4" x14ac:dyDescent="0.2">
      <c r="A963" t="str">
        <f t="shared" ca="1" si="12"/>
        <v>Наименования периодов без учета дат</v>
      </c>
      <c r="B963" t="s">
        <v>2487</v>
      </c>
      <c r="C963" t="s">
        <v>1668</v>
      </c>
      <c r="D963" t="s">
        <v>2509</v>
      </c>
    </row>
    <row r="964" spans="1:4" x14ac:dyDescent="0.2">
      <c r="A964" t="str">
        <f t="shared" ca="1" si="12"/>
        <v>Дата начала периода</v>
      </c>
      <c r="B964" t="s">
        <v>2488</v>
      </c>
      <c r="C964" t="s">
        <v>1669</v>
      </c>
      <c r="D964" t="s">
        <v>2510</v>
      </c>
    </row>
    <row r="965" spans="1:4" x14ac:dyDescent="0.2">
      <c r="A965" t="str">
        <f t="shared" ca="1" si="12"/>
        <v>Наименования периодов с учетом дат</v>
      </c>
      <c r="B965" t="s">
        <v>2489</v>
      </c>
      <c r="C965" t="s">
        <v>1670</v>
      </c>
      <c r="D965" t="s">
        <v>2511</v>
      </c>
    </row>
    <row r="966" spans="1:4" x14ac:dyDescent="0.2">
      <c r="A966" t="str">
        <f t="shared" ca="1" si="12"/>
        <v xml:space="preserve">         ПЕРЕСЧЕТ НАЛОГА НА ПРИБЫЛЬ</v>
      </c>
      <c r="B966" t="s">
        <v>1282</v>
      </c>
      <c r="C966" t="s">
        <v>559</v>
      </c>
      <c r="D966" t="s">
        <v>1522</v>
      </c>
    </row>
    <row r="967" spans="1:4" x14ac:dyDescent="0.2">
      <c r="A967" t="str">
        <f t="shared" ca="1" si="12"/>
        <v>Пересчитать налог</v>
      </c>
      <c r="B967" s="16" t="s">
        <v>1475</v>
      </c>
      <c r="C967" t="s">
        <v>560</v>
      </c>
      <c r="D967" t="s">
        <v>2512</v>
      </c>
    </row>
    <row r="968" spans="1:4" x14ac:dyDescent="0.2">
      <c r="A968" t="str">
        <f t="shared" ca="1" si="12"/>
        <v>Не пересчитывать налог</v>
      </c>
      <c r="B968" s="16" t="s">
        <v>1120</v>
      </c>
      <c r="C968" t="s">
        <v>561</v>
      </c>
      <c r="D968" t="s">
        <v>2513</v>
      </c>
    </row>
    <row r="969" spans="1:4" x14ac:dyDescent="0.2">
      <c r="A969" t="str">
        <f t="shared" ca="1" si="12"/>
        <v>График: Суммарная выручка проектов</v>
      </c>
      <c r="B969" t="s">
        <v>2274</v>
      </c>
      <c r="C969" t="s">
        <v>2275</v>
      </c>
      <c r="D969" t="s">
        <v>2514</v>
      </c>
    </row>
    <row r="970" spans="1:4" x14ac:dyDescent="0.2">
      <c r="A970" t="str">
        <f t="shared" ca="1" si="12"/>
        <v>График: Прибыль проектов</v>
      </c>
      <c r="B970" t="s">
        <v>1417</v>
      </c>
      <c r="C970" t="s">
        <v>2497</v>
      </c>
      <c r="D970" t="s">
        <v>2515</v>
      </c>
    </row>
    <row r="971" spans="1:4" x14ac:dyDescent="0.2">
      <c r="A971" t="str">
        <f t="shared" ca="1" si="12"/>
        <v>Налог на прибыль по консолидированной отчетности</v>
      </c>
      <c r="B971" t="s">
        <v>980</v>
      </c>
      <c r="C971" t="s">
        <v>2498</v>
      </c>
      <c r="D971" t="s">
        <v>2516</v>
      </c>
    </row>
    <row r="972" spans="1:4" x14ac:dyDescent="0.2">
      <c r="A972" t="str">
        <f t="shared" ref="A972:A1034" ca="1" si="13">OFFSET(A972,0,LanguageID)</f>
        <v>Ставка налога на прибыль</v>
      </c>
      <c r="B972" t="s">
        <v>983</v>
      </c>
      <c r="C972" t="s">
        <v>2499</v>
      </c>
      <c r="D972" t="s">
        <v>2517</v>
      </c>
    </row>
    <row r="973" spans="1:4" x14ac:dyDescent="0.2">
      <c r="A973" t="str">
        <f t="shared" ca="1" si="13"/>
        <v xml:space="preserve">         СВОДНЫЙ ОТЧЕТ ОБ ИНВЕСТИЦИЯХ В ПРОЕКТ</v>
      </c>
      <c r="B973" t="s">
        <v>1377</v>
      </c>
      <c r="C973" s="16" t="s">
        <v>2201</v>
      </c>
      <c r="D973" t="s">
        <v>1281</v>
      </c>
    </row>
    <row r="974" spans="1:4" x14ac:dyDescent="0.2">
      <c r="A974" t="str">
        <f t="shared" ca="1" si="13"/>
        <v xml:space="preserve">         СВОДНЫЙ ОТЧЕТ О ПРИБЫЛЯХ И УБЫТКАХ</v>
      </c>
      <c r="B974" t="s">
        <v>1304</v>
      </c>
      <c r="C974" s="16" t="s">
        <v>2500</v>
      </c>
      <c r="D974" t="s">
        <v>1523</v>
      </c>
    </row>
    <row r="975" spans="1:4" x14ac:dyDescent="0.2">
      <c r="A975" t="str">
        <f t="shared" ca="1" si="13"/>
        <v xml:space="preserve">         СВОДНЫЙ ОТЧЕТ О ДВИЖЕНИИ ДЕНЕЖНЫХ СРЕДСТВ</v>
      </c>
      <c r="B975" t="s">
        <v>1305</v>
      </c>
      <c r="C975" s="16" t="s">
        <v>2501</v>
      </c>
      <c r="D975" t="s">
        <v>1524</v>
      </c>
    </row>
    <row r="976" spans="1:4" x14ac:dyDescent="0.2">
      <c r="A976" t="str">
        <f t="shared" ca="1" si="13"/>
        <v xml:space="preserve">         СВОДНЫЙ БАЛАНС</v>
      </c>
      <c r="B976" t="s">
        <v>1422</v>
      </c>
      <c r="C976" s="16" t="s">
        <v>2536</v>
      </c>
      <c r="D976" t="s">
        <v>1525</v>
      </c>
    </row>
    <row r="977" spans="1:4" x14ac:dyDescent="0.2">
      <c r="A977" t="str">
        <f t="shared" ca="1" si="13"/>
        <v>График: Активы проектов</v>
      </c>
      <c r="B977" t="s">
        <v>1423</v>
      </c>
      <c r="C977" s="216" t="s">
        <v>2537</v>
      </c>
      <c r="D977" t="s">
        <v>2518</v>
      </c>
    </row>
    <row r="978" spans="1:4" x14ac:dyDescent="0.2">
      <c r="A978" t="str">
        <f t="shared" ca="1" si="13"/>
        <v>График: Пассивы проектов</v>
      </c>
      <c r="B978" t="s">
        <v>1424</v>
      </c>
      <c r="C978" s="216" t="s">
        <v>2502</v>
      </c>
      <c r="D978" t="s">
        <v>2519</v>
      </c>
    </row>
    <row r="979" spans="1:4" x14ac:dyDescent="0.2">
      <c r="A979" t="str">
        <f t="shared" ca="1" si="13"/>
        <v xml:space="preserve">         СВОДНЫЕ ПОКАЗАТЕЛИ ФИНАНСОВОЙ СОСТОЯТЕЛЬНОСТИ</v>
      </c>
      <c r="B979" t="s">
        <v>1425</v>
      </c>
      <c r="C979" s="16" t="s">
        <v>2503</v>
      </c>
      <c r="D979" t="s">
        <v>1526</v>
      </c>
    </row>
    <row r="980" spans="1:4" x14ac:dyDescent="0.2">
      <c r="A980" t="str">
        <f t="shared" ca="1" si="13"/>
        <v>График: Окупаемость проектов (для полных инвестиционных затрат)</v>
      </c>
      <c r="B980" s="74" t="s">
        <v>1426</v>
      </c>
      <c r="C980" s="204" t="s">
        <v>2504</v>
      </c>
      <c r="D980" t="s">
        <v>623</v>
      </c>
    </row>
    <row r="981" spans="1:4" x14ac:dyDescent="0.2">
      <c r="A981" t="str">
        <f t="shared" ca="1" si="13"/>
        <v>График: Окупаемость проектов (для собственного капитала)</v>
      </c>
      <c r="B981" s="74" t="s">
        <v>1427</v>
      </c>
      <c r="C981" s="204" t="s">
        <v>2505</v>
      </c>
      <c r="D981" t="s">
        <v>624</v>
      </c>
    </row>
    <row r="982" spans="1:4" x14ac:dyDescent="0.2">
      <c r="A982" t="str">
        <f t="shared" ca="1" si="13"/>
        <v>График: Окупаемость проектов (для банка)</v>
      </c>
      <c r="B982" s="74" t="s">
        <v>1191</v>
      </c>
      <c r="C982" s="204" t="s">
        <v>2506</v>
      </c>
      <c r="D982" t="s">
        <v>625</v>
      </c>
    </row>
    <row r="983" spans="1:4" x14ac:dyDescent="0.2">
      <c r="A983" t="str">
        <f t="shared" ca="1" si="13"/>
        <v xml:space="preserve">         ОСНОВНЫЕ ПОКАЗАТЕЛИ ПРОЕКТОВ</v>
      </c>
      <c r="B983" t="s">
        <v>1192</v>
      </c>
      <c r="C983" s="204" t="s">
        <v>2507</v>
      </c>
      <c r="D983" t="s">
        <v>1527</v>
      </c>
    </row>
    <row r="984" spans="1:4" x14ac:dyDescent="0.2">
      <c r="A984" t="str">
        <f t="shared" ca="1" si="13"/>
        <v>Изменяемый параметр</v>
      </c>
      <c r="B984" t="s">
        <v>1229</v>
      </c>
      <c r="C984" s="204" t="s">
        <v>1125</v>
      </c>
      <c r="D984" t="s">
        <v>626</v>
      </c>
    </row>
    <row r="985" spans="1:4" x14ac:dyDescent="0.2">
      <c r="A985" t="str">
        <f t="shared" ca="1" si="13"/>
        <v>В интервале</v>
      </c>
      <c r="B985" t="s">
        <v>1231</v>
      </c>
      <c r="C985" s="204" t="s">
        <v>1126</v>
      </c>
      <c r="D985" t="s">
        <v>627</v>
      </c>
    </row>
    <row r="986" spans="1:4" x14ac:dyDescent="0.2">
      <c r="A986" t="str">
        <f t="shared" ca="1" si="13"/>
        <v xml:space="preserve">от: </v>
      </c>
      <c r="B986" t="s">
        <v>1232</v>
      </c>
      <c r="C986" s="204" t="s">
        <v>1127</v>
      </c>
      <c r="D986" t="s">
        <v>628</v>
      </c>
    </row>
    <row r="987" spans="1:4" x14ac:dyDescent="0.2">
      <c r="A987" t="str">
        <f t="shared" ca="1" si="13"/>
        <v xml:space="preserve">с шагом: </v>
      </c>
      <c r="B987" t="s">
        <v>1233</v>
      </c>
      <c r="C987" s="204" t="s">
        <v>1128</v>
      </c>
      <c r="D987" t="s">
        <v>629</v>
      </c>
    </row>
    <row r="988" spans="1:4" x14ac:dyDescent="0.2">
      <c r="A988" t="str">
        <f t="shared" ca="1" si="13"/>
        <v>Итоговый показатель</v>
      </c>
      <c r="B988" t="s">
        <v>1230</v>
      </c>
      <c r="C988" s="204" t="s">
        <v>1129</v>
      </c>
      <c r="D988" t="s">
        <v>630</v>
      </c>
    </row>
    <row r="989" spans="1:4" x14ac:dyDescent="0.2">
      <c r="A989" t="str">
        <f t="shared" ca="1" si="13"/>
        <v>Таблица рассчитанных значений</v>
      </c>
      <c r="B989" t="s">
        <v>1234</v>
      </c>
      <c r="C989" s="204" t="s">
        <v>1130</v>
      </c>
      <c r="D989" t="s">
        <v>631</v>
      </c>
    </row>
    <row r="990" spans="1:4" x14ac:dyDescent="0.2">
      <c r="A990" t="str">
        <f t="shared" ca="1" si="13"/>
        <v>Значение</v>
      </c>
      <c r="B990" t="s">
        <v>1235</v>
      </c>
      <c r="C990" s="204" t="s">
        <v>554</v>
      </c>
      <c r="D990" t="s">
        <v>632</v>
      </c>
    </row>
    <row r="991" spans="1:4" x14ac:dyDescent="0.2">
      <c r="A991" t="str">
        <f t="shared" ca="1" si="13"/>
        <v>Результат</v>
      </c>
      <c r="B991" t="s">
        <v>1236</v>
      </c>
      <c r="C991" s="204" t="s">
        <v>1131</v>
      </c>
      <c r="D991" t="s">
        <v>633</v>
      </c>
    </row>
    <row r="992" spans="1:4" x14ac:dyDescent="0.2">
      <c r="A992" t="str">
        <f t="shared" ca="1" si="13"/>
        <v>График: Анализ чувствительности</v>
      </c>
      <c r="B992" t="s">
        <v>1359</v>
      </c>
      <c r="C992" s="204" t="s">
        <v>1132</v>
      </c>
      <c r="D992" t="s">
        <v>634</v>
      </c>
    </row>
    <row r="993" spans="1:4" x14ac:dyDescent="0.2">
      <c r="A993" t="str">
        <f t="shared" ca="1" si="13"/>
        <v>Параметры анализа чувствительности</v>
      </c>
      <c r="B993" t="s">
        <v>1237</v>
      </c>
      <c r="C993" s="204" t="s">
        <v>1133</v>
      </c>
      <c r="D993" t="s">
        <v>2533</v>
      </c>
    </row>
    <row r="994" spans="1:4" x14ac:dyDescent="0.2">
      <c r="A994" t="str">
        <f t="shared" ca="1" si="13"/>
        <v>Объем реализации (в единицах продукции)</v>
      </c>
      <c r="B994" t="s">
        <v>1457</v>
      </c>
      <c r="C994" s="204" t="s">
        <v>1134</v>
      </c>
      <c r="D994" t="s">
        <v>621</v>
      </c>
    </row>
    <row r="995" spans="1:4" x14ac:dyDescent="0.2">
      <c r="A995" t="str">
        <f t="shared" ca="1" si="13"/>
        <v>Цена реализации</v>
      </c>
      <c r="B995" t="s">
        <v>2522</v>
      </c>
      <c r="C995" s="204" t="s">
        <v>1135</v>
      </c>
      <c r="D995" t="s">
        <v>622</v>
      </c>
    </row>
    <row r="996" spans="1:4" x14ac:dyDescent="0.2">
      <c r="A996" t="str">
        <f t="shared" ca="1" si="13"/>
        <v>Текущие затраты</v>
      </c>
      <c r="B996" s="16" t="s">
        <v>1027</v>
      </c>
      <c r="C996" t="s">
        <v>2075</v>
      </c>
      <c r="D996" t="s">
        <v>2076</v>
      </c>
    </row>
    <row r="997" spans="1:4" x14ac:dyDescent="0.2">
      <c r="A997" t="str">
        <f t="shared" ca="1" si="13"/>
        <v>Общая величина инвестиций</v>
      </c>
      <c r="B997" t="s">
        <v>2565</v>
      </c>
      <c r="C997" s="204" t="s">
        <v>2566</v>
      </c>
      <c r="D997" t="s">
        <v>2442</v>
      </c>
    </row>
    <row r="998" spans="1:4" x14ac:dyDescent="0.2">
      <c r="A998" t="str">
        <f t="shared" ca="1" si="13"/>
        <v>Ставка дисконтирования</v>
      </c>
      <c r="B998" t="s">
        <v>1238</v>
      </c>
      <c r="C998" s="204" t="s">
        <v>377</v>
      </c>
      <c r="D998" t="s">
        <v>2716</v>
      </c>
    </row>
    <row r="999" spans="1:4" x14ac:dyDescent="0.2">
      <c r="A999" t="str">
        <f t="shared" ca="1" si="13"/>
        <v>&lt;конец списка изменяемых параметров&gt;</v>
      </c>
      <c r="B999" t="s">
        <v>1239</v>
      </c>
      <c r="C999" s="204" t="s">
        <v>1136</v>
      </c>
      <c r="D999" t="s">
        <v>2443</v>
      </c>
    </row>
    <row r="1000" spans="1:4" x14ac:dyDescent="0.2">
      <c r="A1000" t="str">
        <f t="shared" ca="1" si="13"/>
        <v>NPV для полных инвестиционных затрат</v>
      </c>
      <c r="B1000" t="s">
        <v>1240</v>
      </c>
      <c r="C1000" s="204" t="s">
        <v>1137</v>
      </c>
      <c r="D1000" t="s">
        <v>2444</v>
      </c>
    </row>
    <row r="1001" spans="1:4" x14ac:dyDescent="0.2">
      <c r="A1001" t="str">
        <f t="shared" ca="1" si="13"/>
        <v>NPV для собственного капитала</v>
      </c>
      <c r="B1001" t="s">
        <v>1241</v>
      </c>
      <c r="C1001" s="204" t="s">
        <v>1138</v>
      </c>
      <c r="D1001" t="s">
        <v>2445</v>
      </c>
    </row>
    <row r="1002" spans="1:4" x14ac:dyDescent="0.2">
      <c r="A1002" t="str">
        <f t="shared" ca="1" si="13"/>
        <v>NPV для банка</v>
      </c>
      <c r="B1002" t="s">
        <v>1242</v>
      </c>
      <c r="C1002" s="204" t="s">
        <v>1139</v>
      </c>
      <c r="D1002" t="s">
        <v>2446</v>
      </c>
    </row>
    <row r="1003" spans="1:4" x14ac:dyDescent="0.2">
      <c r="A1003" t="str">
        <f t="shared" ca="1" si="13"/>
        <v>Суммарная чистая прибыль</v>
      </c>
      <c r="B1003" t="s">
        <v>1349</v>
      </c>
      <c r="C1003" s="204" t="s">
        <v>1140</v>
      </c>
      <c r="D1003" t="s">
        <v>2447</v>
      </c>
    </row>
    <row r="1004" spans="1:4" x14ac:dyDescent="0.2">
      <c r="A1004" t="str">
        <f t="shared" ca="1" si="13"/>
        <v>&lt;конец списка анализируемых результатов&gt;</v>
      </c>
      <c r="B1004" t="s">
        <v>1350</v>
      </c>
      <c r="C1004" s="204" t="s">
        <v>1136</v>
      </c>
      <c r="D1004" t="s">
        <v>635</v>
      </c>
    </row>
    <row r="1005" spans="1:4" x14ac:dyDescent="0.2">
      <c r="A1005" t="str">
        <f t="shared" ca="1" si="13"/>
        <v>Область</v>
      </c>
      <c r="B1005" t="s">
        <v>1351</v>
      </c>
      <c r="C1005" s="204" t="s">
        <v>1126</v>
      </c>
      <c r="D1005" t="s">
        <v>636</v>
      </c>
    </row>
    <row r="1006" spans="1:4" x14ac:dyDescent="0.2">
      <c r="A1006" t="str">
        <f t="shared" ca="1" si="13"/>
        <v>от планового значения</v>
      </c>
      <c r="B1006" t="s">
        <v>1353</v>
      </c>
      <c r="C1006" s="204" t="s">
        <v>1141</v>
      </c>
      <c r="D1006" t="s">
        <v>637</v>
      </c>
    </row>
    <row r="1007" spans="1:4" x14ac:dyDescent="0.2">
      <c r="A1007" t="str">
        <f t="shared" ca="1" si="13"/>
        <v>Начисленные налоги специальных режимов обложения</v>
      </c>
      <c r="B1007" t="s">
        <v>1474</v>
      </c>
      <c r="C1007" s="204" t="s">
        <v>1142</v>
      </c>
      <c r="D1007" s="48" t="s">
        <v>1248</v>
      </c>
    </row>
    <row r="1008" spans="1:4" x14ac:dyDescent="0.2">
      <c r="A1008" t="str">
        <f t="shared" ca="1" si="13"/>
        <v>Учитывать</v>
      </c>
      <c r="B1008" t="s">
        <v>1867</v>
      </c>
      <c r="C1008" s="204" t="s">
        <v>1143</v>
      </c>
      <c r="D1008" t="s">
        <v>638</v>
      </c>
    </row>
    <row r="1009" spans="1:4" x14ac:dyDescent="0.2">
      <c r="A1009" t="str">
        <f t="shared" ca="1" si="13"/>
        <v>Нет</v>
      </c>
      <c r="B1009" t="s">
        <v>2709</v>
      </c>
      <c r="C1009" s="204" t="s">
        <v>1144</v>
      </c>
      <c r="D1009" t="s">
        <v>1858</v>
      </c>
    </row>
    <row r="1010" spans="1:4" x14ac:dyDescent="0.2">
      <c r="A1010" t="str">
        <f t="shared" ca="1" si="13"/>
        <v>Вычитать</v>
      </c>
      <c r="B1010" t="s">
        <v>1866</v>
      </c>
      <c r="C1010" s="204" t="s">
        <v>1145</v>
      </c>
      <c r="D1010" s="48" t="s">
        <v>1249</v>
      </c>
    </row>
    <row r="1011" spans="1:4" x14ac:dyDescent="0.2">
      <c r="A1011" t="str">
        <f t="shared" ca="1" si="13"/>
        <v>Баланс не сходится!</v>
      </c>
      <c r="B1011" t="s">
        <v>1146</v>
      </c>
      <c r="C1011" s="204" t="s">
        <v>1147</v>
      </c>
      <c r="D1011" t="s">
        <v>639</v>
      </c>
    </row>
    <row r="1012" spans="1:4" x14ac:dyDescent="0.2">
      <c r="A1012" t="str">
        <f t="shared" ca="1" si="13"/>
        <v>График: Движение денег по кредитам</v>
      </c>
      <c r="B1012" t="s">
        <v>457</v>
      </c>
      <c r="C1012" s="204" t="s">
        <v>458</v>
      </c>
      <c r="D1012" s="48" t="s">
        <v>1250</v>
      </c>
    </row>
    <row r="1013" spans="1:4" x14ac:dyDescent="0.2">
      <c r="A1013" t="str">
        <f t="shared" ca="1" si="13"/>
        <v>График: Остаток задолженности по кредитам</v>
      </c>
      <c r="B1013" t="s">
        <v>2264</v>
      </c>
      <c r="C1013" s="204" t="s">
        <v>2265</v>
      </c>
      <c r="D1013" s="48" t="s">
        <v>1251</v>
      </c>
    </row>
    <row r="1014" spans="1:4" x14ac:dyDescent="0.2">
      <c r="A1014" t="str">
        <f t="shared" ca="1" si="13"/>
        <v>График: Поступления от продаж</v>
      </c>
      <c r="B1014" t="s">
        <v>2266</v>
      </c>
      <c r="C1014" s="204" t="s">
        <v>2267</v>
      </c>
      <c r="D1014" s="48" t="s">
        <v>1252</v>
      </c>
    </row>
    <row r="1015" spans="1:4" x14ac:dyDescent="0.2">
      <c r="A1015" t="str">
        <f t="shared" ca="1" si="13"/>
        <v>График: EBITDA</v>
      </c>
      <c r="B1015" t="s">
        <v>2272</v>
      </c>
      <c r="C1015" s="204" t="s">
        <v>2273</v>
      </c>
      <c r="D1015" t="s">
        <v>640</v>
      </c>
    </row>
    <row r="1016" spans="1:4" x14ac:dyDescent="0.2">
      <c r="A1016" t="str">
        <f t="shared" ca="1" si="13"/>
        <v>Ранее осуществленные инвестиции</v>
      </c>
      <c r="B1016" t="s">
        <v>880</v>
      </c>
      <c r="C1016" t="s">
        <v>1287</v>
      </c>
      <c r="D1016" t="s">
        <v>604</v>
      </c>
    </row>
    <row r="1017" spans="1:4" x14ac:dyDescent="0.2">
      <c r="A1017" t="str">
        <f t="shared" ca="1" si="13"/>
        <v>Затраты на строительство объекта</v>
      </c>
      <c r="B1017" t="s">
        <v>2567</v>
      </c>
      <c r="C1017" s="204" t="s">
        <v>2568</v>
      </c>
      <c r="D1017" t="s">
        <v>683</v>
      </c>
    </row>
    <row r="1018" spans="1:4" x14ac:dyDescent="0.2">
      <c r="A1018" t="str">
        <f t="shared" ca="1" si="13"/>
        <v>Доходы от продажи площадей</v>
      </c>
      <c r="B1018" t="s">
        <v>1158</v>
      </c>
      <c r="C1018" s="204" t="s">
        <v>687</v>
      </c>
    </row>
    <row r="1019" spans="1:4" x14ac:dyDescent="0.2">
      <c r="A1019" t="str">
        <f t="shared" ca="1" si="13"/>
        <v>Доходы от аренды</v>
      </c>
      <c r="B1019" t="s">
        <v>1166</v>
      </c>
      <c r="C1019" t="s">
        <v>81</v>
      </c>
      <c r="D1019" t="s">
        <v>1916</v>
      </c>
    </row>
    <row r="1020" spans="1:4" x14ac:dyDescent="0.2">
      <c r="A1020" t="str">
        <f t="shared" ca="1" si="13"/>
        <v>Доходы от продажи дольщикам</v>
      </c>
      <c r="B1020" t="s">
        <v>685</v>
      </c>
      <c r="C1020" s="204" t="s">
        <v>686</v>
      </c>
    </row>
    <row r="1021" spans="1:4" x14ac:dyDescent="0.2">
      <c r="A1021" t="str">
        <f t="shared" ca="1" si="13"/>
        <v>Не обнулять баланс проекта после его окончания</v>
      </c>
      <c r="B1021" t="s">
        <v>1559</v>
      </c>
      <c r="C1021" s="204" t="s">
        <v>1560</v>
      </c>
      <c r="D1021" s="204" t="s">
        <v>1560</v>
      </c>
    </row>
    <row r="1022" spans="1:4" x14ac:dyDescent="0.2">
      <c r="A1022" t="str">
        <f t="shared" ca="1" si="13"/>
        <v>Да, не обнулять</v>
      </c>
      <c r="B1022" t="s">
        <v>1561</v>
      </c>
      <c r="C1022" s="204" t="s">
        <v>1563</v>
      </c>
      <c r="D1022" s="204" t="s">
        <v>1563</v>
      </c>
    </row>
    <row r="1023" spans="1:4" x14ac:dyDescent="0.2">
      <c r="A1023" t="str">
        <f t="shared" ca="1" si="13"/>
        <v>Нет, обнулять</v>
      </c>
      <c r="B1023" t="s">
        <v>1562</v>
      </c>
      <c r="C1023" s="204" t="s">
        <v>1564</v>
      </c>
      <c r="D1023" s="204" t="s">
        <v>1564</v>
      </c>
    </row>
    <row r="1024" spans="1:4" x14ac:dyDescent="0.2">
      <c r="A1024" t="str">
        <f t="shared" ca="1" si="13"/>
        <v xml:space="preserve">         АНАЛИЗ СЕБЕСТОИМОСТИ</v>
      </c>
      <c r="B1024" t="s">
        <v>1180</v>
      </c>
      <c r="C1024" t="s">
        <v>1181</v>
      </c>
      <c r="D1024" t="s">
        <v>1181</v>
      </c>
    </row>
    <row r="1025" spans="1:4" s="48" customFormat="1" x14ac:dyDescent="0.2">
      <c r="A1025" s="48" t="str">
        <f t="shared" ca="1" si="13"/>
        <v>База распределения постоянных расходов</v>
      </c>
      <c r="B1025" s="48" t="s">
        <v>896</v>
      </c>
      <c r="C1025" s="301" t="s">
        <v>2580</v>
      </c>
      <c r="D1025" s="301" t="s">
        <v>2580</v>
      </c>
    </row>
    <row r="1026" spans="1:4" x14ac:dyDescent="0.2">
      <c r="A1026" t="str">
        <f t="shared" ca="1" si="13"/>
        <v>Затраты на сырье и материалы</v>
      </c>
      <c r="B1026" t="s">
        <v>1183</v>
      </c>
      <c r="C1026" t="s">
        <v>2139</v>
      </c>
      <c r="D1026" t="s">
        <v>1275</v>
      </c>
    </row>
    <row r="1027" spans="1:4" x14ac:dyDescent="0.2">
      <c r="A1027" t="str">
        <f ca="1">OFFSET(A1027,0,LanguageID)</f>
        <v>Переменные затраты</v>
      </c>
      <c r="B1027" t="s">
        <v>1182</v>
      </c>
      <c r="C1027" s="16" t="s">
        <v>949</v>
      </c>
      <c r="D1027" t="s">
        <v>1184</v>
      </c>
    </row>
    <row r="1028" spans="1:4" x14ac:dyDescent="0.2">
      <c r="A1028" t="str">
        <f t="shared" ca="1" si="13"/>
        <v>Выручка</v>
      </c>
      <c r="B1028" t="s">
        <v>1186</v>
      </c>
      <c r="C1028" t="s">
        <v>1317</v>
      </c>
      <c r="D1028" t="s">
        <v>1185</v>
      </c>
    </row>
    <row r="1029" spans="1:4" x14ac:dyDescent="0.2">
      <c r="A1029" t="str">
        <f t="shared" ca="1" si="13"/>
        <v>Себестоимость единицы</v>
      </c>
      <c r="B1029" t="s">
        <v>937</v>
      </c>
      <c r="C1029" t="s">
        <v>953</v>
      </c>
      <c r="D1029" t="s">
        <v>953</v>
      </c>
    </row>
    <row r="1030" spans="1:4" x14ac:dyDescent="0.2">
      <c r="A1030" t="str">
        <f t="shared" ca="1" si="13"/>
        <v xml:space="preserve">    Итого затраты</v>
      </c>
      <c r="B1030" t="s">
        <v>1755</v>
      </c>
      <c r="C1030" t="s">
        <v>1756</v>
      </c>
      <c r="D1030" t="s">
        <v>1757</v>
      </c>
    </row>
    <row r="1031" spans="1:4" x14ac:dyDescent="0.2">
      <c r="A1031" t="str">
        <f t="shared" ca="1" si="13"/>
        <v xml:space="preserve">    сырье и материалы</v>
      </c>
      <c r="B1031" s="23" t="s">
        <v>938</v>
      </c>
      <c r="C1031" s="23" t="s">
        <v>2182</v>
      </c>
      <c r="D1031" t="s">
        <v>2082</v>
      </c>
    </row>
    <row r="1032" spans="1:4" x14ac:dyDescent="0.2">
      <c r="A1032" t="str">
        <f t="shared" ca="1" si="13"/>
        <v xml:space="preserve">    прочие переменные расходы</v>
      </c>
      <c r="B1032" s="23" t="s">
        <v>939</v>
      </c>
      <c r="C1032" s="23" t="s">
        <v>2183</v>
      </c>
      <c r="D1032" t="s">
        <v>2083</v>
      </c>
    </row>
    <row r="1033" spans="1:4" x14ac:dyDescent="0.2">
      <c r="A1033" t="str">
        <f t="shared" ca="1" si="13"/>
        <v xml:space="preserve">    лизинговые платежи</v>
      </c>
      <c r="B1033" s="23" t="s">
        <v>941</v>
      </c>
      <c r="C1033" t="s">
        <v>2187</v>
      </c>
      <c r="D1033" t="s">
        <v>2225</v>
      </c>
    </row>
    <row r="1034" spans="1:4" x14ac:dyDescent="0.2">
      <c r="A1034" t="str">
        <f t="shared" ca="1" si="13"/>
        <v xml:space="preserve">    прочие производственные расходы</v>
      </c>
      <c r="B1034" s="23" t="s">
        <v>940</v>
      </c>
      <c r="C1034" t="s">
        <v>942</v>
      </c>
      <c r="D1034" t="s">
        <v>944</v>
      </c>
    </row>
    <row r="1035" spans="1:4" x14ac:dyDescent="0.2">
      <c r="A1035" t="str">
        <f t="shared" ref="A1035:A1046" ca="1" si="14">OFFSET(A1035,0,LanguageID)</f>
        <v xml:space="preserve">    административные расходы</v>
      </c>
      <c r="B1035" s="23" t="s">
        <v>773</v>
      </c>
      <c r="C1035" t="s">
        <v>943</v>
      </c>
      <c r="D1035" t="s">
        <v>945</v>
      </c>
    </row>
    <row r="1036" spans="1:4" x14ac:dyDescent="0.2">
      <c r="A1036" t="str">
        <f t="shared" ca="1" si="14"/>
        <v xml:space="preserve">    коммерческие расходы</v>
      </c>
      <c r="B1036" s="23" t="s">
        <v>770</v>
      </c>
      <c r="C1036" t="s">
        <v>2189</v>
      </c>
      <c r="D1036" t="s">
        <v>946</v>
      </c>
    </row>
    <row r="1037" spans="1:4" ht="12" customHeight="1" x14ac:dyDescent="0.2">
      <c r="A1037" t="str">
        <f t="shared" ca="1" si="14"/>
        <v xml:space="preserve">    амортизация</v>
      </c>
      <c r="B1037" s="23" t="s">
        <v>769</v>
      </c>
      <c r="C1037" s="23" t="s">
        <v>2010</v>
      </c>
      <c r="D1037" t="s">
        <v>1989</v>
      </c>
    </row>
    <row r="1038" spans="1:4" s="48" customFormat="1" x14ac:dyDescent="0.2">
      <c r="A1038" s="48" t="str">
        <f t="shared" ca="1" si="14"/>
        <v xml:space="preserve">    переменные затраты</v>
      </c>
      <c r="B1038" s="52" t="s">
        <v>948</v>
      </c>
      <c r="C1038" s="100" t="s">
        <v>950</v>
      </c>
      <c r="D1038" s="48" t="s">
        <v>951</v>
      </c>
    </row>
    <row r="1039" spans="1:4" s="48" customFormat="1" x14ac:dyDescent="0.2">
      <c r="A1039" s="48" t="str">
        <f t="shared" ca="1" si="14"/>
        <v xml:space="preserve">    постоянные затраты</v>
      </c>
      <c r="B1039" s="52" t="s">
        <v>947</v>
      </c>
      <c r="C1039" s="100" t="s">
        <v>952</v>
      </c>
      <c r="D1039" s="100" t="s">
        <v>952</v>
      </c>
    </row>
    <row r="1040" spans="1:4" s="48" customFormat="1" x14ac:dyDescent="0.2">
      <c r="A1040" s="48" t="str">
        <f t="shared" ca="1" si="14"/>
        <v xml:space="preserve">    коэффициент распределения постоянных расходов</v>
      </c>
      <c r="B1040" s="52" t="s">
        <v>897</v>
      </c>
      <c r="C1040" s="301" t="s">
        <v>2581</v>
      </c>
      <c r="D1040" s="301" t="s">
        <v>2581</v>
      </c>
    </row>
    <row r="1041" spans="1:4" s="48" customFormat="1" x14ac:dyDescent="0.2">
      <c r="A1041" s="48" t="str">
        <f t="shared" ca="1" si="14"/>
        <v>Маржинальная прибыль</v>
      </c>
      <c r="B1041" s="52" t="s">
        <v>954</v>
      </c>
      <c r="C1041" s="301" t="s">
        <v>2582</v>
      </c>
      <c r="D1041" s="301" t="s">
        <v>2582</v>
      </c>
    </row>
    <row r="1042" spans="1:4" s="48" customFormat="1" x14ac:dyDescent="0.2">
      <c r="A1042" s="48" t="str">
        <f t="shared" ca="1" si="14"/>
        <v>Ценовой коэффициент</v>
      </c>
      <c r="B1042" s="52" t="s">
        <v>898</v>
      </c>
      <c r="C1042" s="301" t="s">
        <v>2583</v>
      </c>
      <c r="D1042" s="301" t="s">
        <v>2583</v>
      </c>
    </row>
    <row r="1043" spans="1:4" s="48" customFormat="1" x14ac:dyDescent="0.2">
      <c r="A1043" s="48" t="str">
        <f t="shared" ca="1" si="14"/>
        <v xml:space="preserve">    постоянные затраты на единицу</v>
      </c>
      <c r="B1043" s="52" t="s">
        <v>900</v>
      </c>
      <c r="C1043" s="301" t="s">
        <v>2584</v>
      </c>
      <c r="D1043" s="301" t="s">
        <v>2584</v>
      </c>
    </row>
    <row r="1044" spans="1:4" s="48" customFormat="1" x14ac:dyDescent="0.2">
      <c r="A1044" s="48" t="str">
        <f t="shared" ca="1" si="14"/>
        <v xml:space="preserve">    переменные затраты на единицу</v>
      </c>
      <c r="B1044" s="52" t="s">
        <v>899</v>
      </c>
      <c r="C1044" s="301" t="s">
        <v>2585</v>
      </c>
      <c r="D1044" s="301" t="s">
        <v>2585</v>
      </c>
    </row>
    <row r="1045" spans="1:4" x14ac:dyDescent="0.2">
      <c r="A1045" s="48" t="str">
        <f t="shared" ca="1" si="14"/>
        <v>Рентабельность</v>
      </c>
      <c r="B1045" s="52" t="s">
        <v>280</v>
      </c>
      <c r="C1045" t="s">
        <v>279</v>
      </c>
      <c r="D1045" t="s">
        <v>279</v>
      </c>
    </row>
    <row r="1046" spans="1:4" x14ac:dyDescent="0.2">
      <c r="A1046" s="48" t="str">
        <f t="shared" ca="1" si="14"/>
        <v xml:space="preserve">                нарастающим итогом</v>
      </c>
      <c r="B1046" s="52" t="s">
        <v>2569</v>
      </c>
      <c r="C1046" s="301" t="s">
        <v>2570</v>
      </c>
      <c r="D1046" s="301" t="s">
        <v>2570</v>
      </c>
    </row>
  </sheetData>
  <phoneticPr fontId="13" type="noConversion"/>
  <pageMargins left="0.7" right="0.7" top="0.75" bottom="0.75" header="0.3" footer="0.3"/>
  <pageSetup paperSize="9" orientation="portrait" verticalDpi="20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65"/>
  <sheetViews>
    <sheetView view="pageBreakPreview" zoomScaleNormal="100" zoomScaleSheetLayoutView="100" workbookViewId="0">
      <selection activeCell="A7" sqref="A7"/>
    </sheetView>
  </sheetViews>
  <sheetFormatPr defaultRowHeight="15" x14ac:dyDescent="0.3"/>
  <cols>
    <col min="1" max="1" width="59.1640625" style="333" customWidth="1"/>
    <col min="2" max="3" width="22.5" style="334" customWidth="1"/>
    <col min="4" max="4" width="14" style="333" customWidth="1"/>
  </cols>
  <sheetData>
    <row r="1" spans="1:5" ht="15.75" thickBot="1" x14ac:dyDescent="0.35">
      <c r="A1" s="671" t="s">
        <v>2874</v>
      </c>
      <c r="B1" s="671"/>
      <c r="C1" s="671"/>
    </row>
    <row r="2" spans="1:5" x14ac:dyDescent="0.3">
      <c r="A2" s="345" t="s">
        <v>2764</v>
      </c>
      <c r="B2" s="344" t="s">
        <v>2908</v>
      </c>
      <c r="C2" s="344" t="s">
        <v>2909</v>
      </c>
      <c r="D2" s="340"/>
    </row>
    <row r="3" spans="1:5" x14ac:dyDescent="0.3">
      <c r="A3" s="343" t="s">
        <v>2762</v>
      </c>
      <c r="B3" s="341">
        <f>SUM(B5:B10)</f>
        <v>10503592.288135594</v>
      </c>
      <c r="C3" s="341">
        <f>B3*1.23</f>
        <v>12919418.51440678</v>
      </c>
      <c r="D3" s="340"/>
    </row>
    <row r="4" spans="1:5" x14ac:dyDescent="0.3">
      <c r="A4" s="342" t="s">
        <v>2761</v>
      </c>
      <c r="B4" s="341"/>
      <c r="C4" s="341"/>
      <c r="D4" s="340"/>
    </row>
    <row r="5" spans="1:5" x14ac:dyDescent="0.3">
      <c r="A5" s="339" t="s">
        <v>2760</v>
      </c>
      <c r="B5" s="337">
        <v>6693915</v>
      </c>
      <c r="C5" s="337">
        <f t="shared" ref="C5:C10" si="0">B5*1.23</f>
        <v>8233515.4500000002</v>
      </c>
      <c r="D5" s="340"/>
    </row>
    <row r="6" spans="1:5" x14ac:dyDescent="0.3">
      <c r="A6" s="339" t="s">
        <v>2759</v>
      </c>
      <c r="B6" s="337">
        <v>904300</v>
      </c>
      <c r="C6" s="337">
        <f t="shared" si="0"/>
        <v>1112289</v>
      </c>
    </row>
    <row r="7" spans="1:5" x14ac:dyDescent="0.3">
      <c r="A7" s="338" t="s">
        <v>2758</v>
      </c>
      <c r="B7" s="337">
        <v>383500</v>
      </c>
      <c r="C7" s="337">
        <f t="shared" si="0"/>
        <v>471705</v>
      </c>
    </row>
    <row r="8" spans="1:5" x14ac:dyDescent="0.3">
      <c r="A8" s="338" t="s">
        <v>2910</v>
      </c>
      <c r="B8" s="337">
        <v>1426320</v>
      </c>
      <c r="C8" s="337">
        <f t="shared" si="0"/>
        <v>1754373.5999999999</v>
      </c>
    </row>
    <row r="9" spans="1:5" x14ac:dyDescent="0.3">
      <c r="A9" s="338" t="s">
        <v>2911</v>
      </c>
      <c r="B9" s="337">
        <v>726320</v>
      </c>
      <c r="C9" s="337">
        <f t="shared" si="0"/>
        <v>893373.6</v>
      </c>
    </row>
    <row r="10" spans="1:5" ht="45" x14ac:dyDescent="0.3">
      <c r="A10" s="432" t="s">
        <v>2912</v>
      </c>
      <c r="B10" s="337">
        <f>435700/1.18</f>
        <v>369237.28813559323</v>
      </c>
      <c r="C10" s="337">
        <f t="shared" si="0"/>
        <v>454161.86440677964</v>
      </c>
      <c r="E10" t="s">
        <v>2906</v>
      </c>
    </row>
    <row r="11" spans="1:5" x14ac:dyDescent="0.3">
      <c r="A11" s="343" t="s">
        <v>2869</v>
      </c>
      <c r="B11" s="448">
        <f>C11/1.23</f>
        <v>81300.813008130077</v>
      </c>
      <c r="C11" s="425">
        <v>100000</v>
      </c>
    </row>
    <row r="12" spans="1:5" x14ac:dyDescent="0.3">
      <c r="A12" s="343" t="s">
        <v>3003</v>
      </c>
      <c r="B12" s="448">
        <f>C12/1.23</f>
        <v>162601.62601626015</v>
      </c>
      <c r="C12" s="425">
        <v>200000</v>
      </c>
    </row>
    <row r="13" spans="1:5" x14ac:dyDescent="0.3">
      <c r="A13" s="343" t="s">
        <v>573</v>
      </c>
      <c r="B13" s="448"/>
      <c r="C13" s="425"/>
    </row>
    <row r="14" spans="1:5" x14ac:dyDescent="0.3">
      <c r="A14" s="665" t="s">
        <v>2763</v>
      </c>
      <c r="B14" s="448">
        <f>C14/1.23</f>
        <v>2065170.7317073171</v>
      </c>
      <c r="C14" s="425">
        <f>280*Расходы!B16</f>
        <v>2540160</v>
      </c>
    </row>
    <row r="15" spans="1:5" ht="30" x14ac:dyDescent="0.3">
      <c r="A15" s="665" t="s">
        <v>2881</v>
      </c>
      <c r="B15" s="448">
        <f>C15/1.23</f>
        <v>405658.53658536589</v>
      </c>
      <c r="C15" s="425">
        <f>55*Расходы!B16</f>
        <v>498960</v>
      </c>
    </row>
    <row r="16" spans="1:5" x14ac:dyDescent="0.3">
      <c r="A16" s="343" t="s">
        <v>2871</v>
      </c>
      <c r="B16" s="448">
        <f>SUM(B5:B15)*3%</f>
        <v>396549.71986358002</v>
      </c>
      <c r="C16" s="448">
        <f>SUM(C5:C11)*3%</f>
        <v>390582.55543220334</v>
      </c>
    </row>
    <row r="17" spans="1:4" hidden="1" x14ac:dyDescent="0.3">
      <c r="A17" s="343"/>
      <c r="B17" s="448"/>
      <c r="C17" s="341"/>
    </row>
    <row r="18" spans="1:4" ht="14.25" customHeight="1" x14ac:dyDescent="0.3">
      <c r="A18" s="343" t="s">
        <v>2870</v>
      </c>
      <c r="B18" s="448">
        <f ca="1">C18/1.23</f>
        <v>466048.27576903324</v>
      </c>
      <c r="C18" s="341">
        <f ca="1">Проект!J494*1000+Проект!K494*1000</f>
        <v>573239.37919591088</v>
      </c>
    </row>
    <row r="19" spans="1:4" ht="15.75" thickBot="1" x14ac:dyDescent="0.35">
      <c r="A19" s="336" t="s">
        <v>2440</v>
      </c>
      <c r="B19" s="335">
        <f ca="1">SUM(B5:B18)</f>
        <v>14080921.991085282</v>
      </c>
      <c r="C19" s="335">
        <f ca="1">SUM(C5:C18)</f>
        <v>17222360.449034892</v>
      </c>
    </row>
    <row r="21" spans="1:4" x14ac:dyDescent="0.3">
      <c r="C21" s="334">
        <f ca="1">C19-B19</f>
        <v>3141438.4579496104</v>
      </c>
    </row>
    <row r="22" spans="1:4" x14ac:dyDescent="0.3">
      <c r="D22" s="333">
        <f ca="1">C19/1.23*0.23</f>
        <v>3220441.3847788824</v>
      </c>
    </row>
    <row r="24" spans="1:4" x14ac:dyDescent="0.3">
      <c r="A24" s="333" t="str">
        <f>A3</f>
        <v>Оборудование</v>
      </c>
      <c r="B24" s="334">
        <f>C3</f>
        <v>12919418.51440678</v>
      </c>
    </row>
    <row r="25" spans="1:4" x14ac:dyDescent="0.3">
      <c r="A25" s="333" t="str">
        <f>A18</f>
        <v>Закупка необходимого запаса сырья</v>
      </c>
      <c r="B25" s="334">
        <f ca="1">C18</f>
        <v>573239.37919591088</v>
      </c>
    </row>
    <row r="26" spans="1:4" x14ac:dyDescent="0.3">
      <c r="A26" s="333" t="s">
        <v>2882</v>
      </c>
      <c r="B26" s="334">
        <f>C16</f>
        <v>390582.55543220334</v>
      </c>
    </row>
    <row r="27" spans="1:4" x14ac:dyDescent="0.3">
      <c r="A27" s="333" t="str">
        <f>A12</f>
        <v>Покупка земли (2 га)</v>
      </c>
      <c r="B27" s="334">
        <f>C12</f>
        <v>200000</v>
      </c>
    </row>
    <row r="28" spans="1:4" x14ac:dyDescent="0.3">
      <c r="A28" s="333" t="str">
        <f>A13</f>
        <v xml:space="preserve">Строительство </v>
      </c>
      <c r="B28" s="334">
        <f>C14+C15</f>
        <v>3039120</v>
      </c>
    </row>
    <row r="29" spans="1:4" x14ac:dyDescent="0.3">
      <c r="A29" s="333" t="str">
        <f>A11</f>
        <v>Получение разрешительной документации</v>
      </c>
      <c r="B29" s="334">
        <f>C11</f>
        <v>100000</v>
      </c>
    </row>
    <row r="56" spans="1:4" ht="15.75" thickBot="1" x14ac:dyDescent="0.25">
      <c r="A56" s="433" t="s">
        <v>2885</v>
      </c>
      <c r="B56" s="433" t="s">
        <v>2886</v>
      </c>
      <c r="C56" s="433"/>
      <c r="D56"/>
    </row>
    <row r="57" spans="1:4" ht="15.75" thickBot="1" x14ac:dyDescent="0.25">
      <c r="A57" s="434" t="s">
        <v>2890</v>
      </c>
      <c r="B57" s="434">
        <v>1</v>
      </c>
      <c r="C57" s="447"/>
      <c r="D57"/>
    </row>
    <row r="58" spans="1:4" ht="15.75" thickBot="1" x14ac:dyDescent="0.35">
      <c r="A58" s="333" t="s">
        <v>2905</v>
      </c>
      <c r="B58" s="434">
        <v>1</v>
      </c>
      <c r="C58" s="447"/>
      <c r="D58"/>
    </row>
    <row r="59" spans="1:4" ht="15.75" thickBot="1" x14ac:dyDescent="0.35">
      <c r="A59" s="333" t="s">
        <v>2763</v>
      </c>
      <c r="B59" s="435">
        <v>2</v>
      </c>
      <c r="C59" s="435"/>
      <c r="D59"/>
    </row>
    <row r="60" spans="1:4" x14ac:dyDescent="0.3">
      <c r="A60" s="333" t="s">
        <v>2881</v>
      </c>
      <c r="B60" s="436">
        <v>1</v>
      </c>
      <c r="C60" s="436"/>
      <c r="D60"/>
    </row>
    <row r="61" spans="1:4" x14ac:dyDescent="0.3">
      <c r="A61" s="333" t="s">
        <v>2888</v>
      </c>
      <c r="B61" s="436">
        <v>1</v>
      </c>
      <c r="C61" s="436"/>
      <c r="D61"/>
    </row>
    <row r="62" spans="1:4" x14ac:dyDescent="0.3">
      <c r="A62" s="333" t="s">
        <v>2889</v>
      </c>
      <c r="B62" s="436">
        <v>4</v>
      </c>
      <c r="C62" s="436"/>
      <c r="D62"/>
    </row>
    <row r="63" spans="1:4" x14ac:dyDescent="0.3">
      <c r="A63" s="333" t="s">
        <v>2869</v>
      </c>
      <c r="B63" s="437">
        <v>1</v>
      </c>
      <c r="C63" s="437"/>
      <c r="D63"/>
    </row>
    <row r="64" spans="1:4" x14ac:dyDescent="0.3">
      <c r="A64" s="333" t="s">
        <v>2870</v>
      </c>
      <c r="B64" s="437">
        <v>4</v>
      </c>
      <c r="C64" s="437"/>
      <c r="D64"/>
    </row>
    <row r="65" spans="1:3" x14ac:dyDescent="0.3">
      <c r="A65" s="333" t="s">
        <v>2887</v>
      </c>
      <c r="B65" s="437">
        <v>5</v>
      </c>
      <c r="C65" s="437"/>
    </row>
  </sheetData>
  <mergeCells count="1">
    <mergeCell ref="A1:C1"/>
  </mergeCells>
  <pageMargins left="0.7" right="0.7" top="0.75" bottom="0.75" header="0.3" footer="0.3"/>
  <pageSetup paperSize="9" scale="8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Q46"/>
  <sheetViews>
    <sheetView view="pageBreakPreview" topLeftCell="A19" zoomScale="80" zoomScaleNormal="100" zoomScaleSheetLayoutView="80" workbookViewId="0">
      <selection activeCell="F34" sqref="F34"/>
    </sheetView>
  </sheetViews>
  <sheetFormatPr defaultRowHeight="16.5" x14ac:dyDescent="0.3"/>
  <cols>
    <col min="1" max="1" width="9.83203125" style="635" customWidth="1"/>
    <col min="2" max="4" width="15.33203125" style="635" customWidth="1"/>
    <col min="5" max="5" width="16.6640625" style="635" hidden="1" customWidth="1"/>
    <col min="6" max="6" width="25.1640625" style="635" customWidth="1"/>
    <col min="7" max="12" width="15.33203125" style="331" customWidth="1"/>
    <col min="13" max="17" width="15.33203125" customWidth="1"/>
    <col min="18" max="32" width="15.33203125" bestFit="1" customWidth="1"/>
    <col min="33" max="43" width="9.33203125" style="332"/>
  </cols>
  <sheetData>
    <row r="1" spans="1:6" ht="17.25" x14ac:dyDescent="0.35">
      <c r="A1" s="674" t="s">
        <v>2875</v>
      </c>
      <c r="B1" s="674"/>
      <c r="C1" s="674"/>
      <c r="D1" s="674"/>
      <c r="E1" s="674"/>
    </row>
    <row r="2" spans="1:6" ht="38.25" customHeight="1" thickBot="1" x14ac:dyDescent="0.4">
      <c r="A2" s="677" t="s">
        <v>2718</v>
      </c>
      <c r="B2" s="677"/>
      <c r="C2" s="677"/>
      <c r="D2" s="677"/>
      <c r="E2" s="677"/>
    </row>
    <row r="3" spans="1:6" ht="12.75" customHeight="1" x14ac:dyDescent="0.2">
      <c r="A3" s="678" t="s">
        <v>2719</v>
      </c>
      <c r="B3" s="680" t="s">
        <v>2720</v>
      </c>
      <c r="C3" s="672" t="s">
        <v>2721</v>
      </c>
      <c r="D3" s="683" t="s">
        <v>2883</v>
      </c>
      <c r="E3" s="672" t="s">
        <v>2903</v>
      </c>
      <c r="F3" s="672" t="s">
        <v>2903</v>
      </c>
    </row>
    <row r="4" spans="1:6" ht="30.75" customHeight="1" thickBot="1" x14ac:dyDescent="0.25">
      <c r="A4" s="679"/>
      <c r="B4" s="681"/>
      <c r="C4" s="682"/>
      <c r="D4" s="684"/>
      <c r="E4" s="673"/>
      <c r="F4" s="673"/>
    </row>
    <row r="5" spans="1:6" ht="18.75" thickTop="1" thickBot="1" x14ac:dyDescent="0.4">
      <c r="A5" s="636">
        <v>1</v>
      </c>
      <c r="B5" s="637" t="s">
        <v>2722</v>
      </c>
      <c r="C5" s="638">
        <v>8</v>
      </c>
      <c r="D5" s="638">
        <f>C5*12</f>
        <v>96</v>
      </c>
      <c r="E5" s="639">
        <f>Калькуляция!B24</f>
        <v>6499.1012208490711</v>
      </c>
      <c r="F5" s="639">
        <f>E5</f>
        <v>6499.1012208490711</v>
      </c>
    </row>
    <row r="6" spans="1:6" ht="17.25" x14ac:dyDescent="0.35">
      <c r="A6" s="640">
        <v>2</v>
      </c>
      <c r="B6" s="641" t="s">
        <v>2723</v>
      </c>
      <c r="C6" s="642">
        <v>10</v>
      </c>
      <c r="D6" s="642">
        <f t="shared" ref="D6:D18" si="0">C6*12</f>
        <v>120</v>
      </c>
      <c r="E6" s="639">
        <f>Калькуляция!C24</f>
        <v>5579.5290533911111</v>
      </c>
      <c r="F6" s="639">
        <f t="shared" ref="F6:F18" si="1">E6</f>
        <v>5579.5290533911111</v>
      </c>
    </row>
    <row r="7" spans="1:6" ht="17.25" x14ac:dyDescent="0.35">
      <c r="A7" s="643">
        <v>3</v>
      </c>
      <c r="B7" s="644" t="s">
        <v>2724</v>
      </c>
      <c r="C7" s="645">
        <v>10</v>
      </c>
      <c r="D7" s="645">
        <f t="shared" si="0"/>
        <v>120</v>
      </c>
      <c r="E7" s="639">
        <f>Калькуляция!D24</f>
        <v>6454.5141346350165</v>
      </c>
      <c r="F7" s="639">
        <f t="shared" si="1"/>
        <v>6454.5141346350165</v>
      </c>
    </row>
    <row r="8" spans="1:6" ht="17.25" x14ac:dyDescent="0.35">
      <c r="A8" s="643">
        <v>4</v>
      </c>
      <c r="B8" s="644" t="s">
        <v>2725</v>
      </c>
      <c r="C8" s="645">
        <v>10</v>
      </c>
      <c r="D8" s="645">
        <f t="shared" si="0"/>
        <v>120</v>
      </c>
      <c r="E8" s="639">
        <f>Калькуляция!E24</f>
        <v>7280.9743531816266</v>
      </c>
      <c r="F8" s="639">
        <f t="shared" si="1"/>
        <v>7280.9743531816266</v>
      </c>
    </row>
    <row r="9" spans="1:6" ht="18" thickBot="1" x14ac:dyDescent="0.4">
      <c r="A9" s="646">
        <v>5</v>
      </c>
      <c r="B9" s="647" t="s">
        <v>2726</v>
      </c>
      <c r="C9" s="648">
        <v>10</v>
      </c>
      <c r="D9" s="648">
        <f t="shared" si="0"/>
        <v>120</v>
      </c>
      <c r="E9" s="639">
        <f>Калькуляция!F24</f>
        <v>8360.9217615847192</v>
      </c>
      <c r="F9" s="639">
        <f t="shared" si="1"/>
        <v>8360.9217615847192</v>
      </c>
    </row>
    <row r="10" spans="1:6" ht="17.25" x14ac:dyDescent="0.35">
      <c r="A10" s="649">
        <v>6</v>
      </c>
      <c r="B10" s="650" t="s">
        <v>2727</v>
      </c>
      <c r="C10" s="651">
        <v>4</v>
      </c>
      <c r="D10" s="651">
        <f t="shared" si="0"/>
        <v>48</v>
      </c>
      <c r="E10" s="639">
        <f>Калькуляция!G24</f>
        <v>5579.5290533911111</v>
      </c>
      <c r="F10" s="639">
        <f t="shared" si="1"/>
        <v>5579.5290533911111</v>
      </c>
    </row>
    <row r="11" spans="1:6" ht="17.25" x14ac:dyDescent="0.35">
      <c r="A11" s="643">
        <v>7</v>
      </c>
      <c r="B11" s="644" t="s">
        <v>2728</v>
      </c>
      <c r="C11" s="645">
        <v>4</v>
      </c>
      <c r="D11" s="645">
        <f t="shared" si="0"/>
        <v>48</v>
      </c>
      <c r="E11" s="639">
        <f>Калькуляция!H24</f>
        <v>6454.5141346350165</v>
      </c>
      <c r="F11" s="639">
        <f t="shared" si="1"/>
        <v>6454.5141346350165</v>
      </c>
    </row>
    <row r="12" spans="1:6" ht="17.25" x14ac:dyDescent="0.35">
      <c r="A12" s="643">
        <v>8</v>
      </c>
      <c r="B12" s="644" t="s">
        <v>2729</v>
      </c>
      <c r="C12" s="645">
        <v>4</v>
      </c>
      <c r="D12" s="645">
        <f t="shared" si="0"/>
        <v>48</v>
      </c>
      <c r="E12" s="639">
        <f>Калькуляция!I24</f>
        <v>7280.9743531816266</v>
      </c>
      <c r="F12" s="639">
        <f t="shared" si="1"/>
        <v>7280.9743531816266</v>
      </c>
    </row>
    <row r="13" spans="1:6" ht="18" thickBot="1" x14ac:dyDescent="0.4">
      <c r="A13" s="652">
        <v>9</v>
      </c>
      <c r="B13" s="653" t="s">
        <v>2730</v>
      </c>
      <c r="C13" s="654">
        <v>4</v>
      </c>
      <c r="D13" s="654">
        <f t="shared" si="0"/>
        <v>48</v>
      </c>
      <c r="E13" s="639">
        <f>Калькуляция!J24</f>
        <v>8360.9217615847192</v>
      </c>
      <c r="F13" s="639">
        <f t="shared" si="1"/>
        <v>8360.9217615847192</v>
      </c>
    </row>
    <row r="14" spans="1:6" ht="17.25" x14ac:dyDescent="0.35">
      <c r="A14" s="640">
        <v>10</v>
      </c>
      <c r="B14" s="641" t="s">
        <v>2731</v>
      </c>
      <c r="C14" s="642">
        <v>4</v>
      </c>
      <c r="D14" s="642">
        <f t="shared" si="0"/>
        <v>48</v>
      </c>
      <c r="E14" s="639">
        <f>Калькуляция!K24</f>
        <v>9643.0116877676319</v>
      </c>
      <c r="F14" s="639">
        <f t="shared" si="1"/>
        <v>9643.0116877676319</v>
      </c>
    </row>
    <row r="15" spans="1:6" ht="17.25" x14ac:dyDescent="0.35">
      <c r="A15" s="643">
        <v>11</v>
      </c>
      <c r="B15" s="644" t="s">
        <v>2732</v>
      </c>
      <c r="C15" s="645">
        <v>5</v>
      </c>
      <c r="D15" s="645">
        <f t="shared" si="0"/>
        <v>60</v>
      </c>
      <c r="E15" s="639">
        <f>Калькуляция!L24</f>
        <v>11410.10852211798</v>
      </c>
      <c r="F15" s="639">
        <f t="shared" si="1"/>
        <v>11410.10852211798</v>
      </c>
    </row>
    <row r="16" spans="1:6" ht="17.25" x14ac:dyDescent="0.35">
      <c r="A16" s="643">
        <v>12</v>
      </c>
      <c r="B16" s="644" t="s">
        <v>2733</v>
      </c>
      <c r="C16" s="645">
        <v>5</v>
      </c>
      <c r="D16" s="645">
        <f t="shared" si="0"/>
        <v>60</v>
      </c>
      <c r="E16" s="639">
        <f>Калькуляция!M24</f>
        <v>11780.963106796542</v>
      </c>
      <c r="F16" s="639">
        <f t="shared" si="1"/>
        <v>11780.963106796542</v>
      </c>
    </row>
    <row r="17" spans="1:6" ht="18" thickBot="1" x14ac:dyDescent="0.4">
      <c r="A17" s="646">
        <v>13</v>
      </c>
      <c r="B17" s="647" t="s">
        <v>2734</v>
      </c>
      <c r="C17" s="648">
        <v>4</v>
      </c>
      <c r="D17" s="648">
        <f t="shared" si="0"/>
        <v>48</v>
      </c>
      <c r="E17" s="639">
        <f>Калькуляция!N24</f>
        <v>11699.541686471512</v>
      </c>
      <c r="F17" s="639">
        <f t="shared" si="1"/>
        <v>11699.541686471512</v>
      </c>
    </row>
    <row r="18" spans="1:6" ht="18" thickBot="1" x14ac:dyDescent="0.4">
      <c r="A18" s="655">
        <v>14</v>
      </c>
      <c r="B18" s="656" t="s">
        <v>2735</v>
      </c>
      <c r="C18" s="657">
        <v>8</v>
      </c>
      <c r="D18" s="657">
        <f t="shared" si="0"/>
        <v>96</v>
      </c>
      <c r="E18" s="639">
        <f>Калькуляция!O24</f>
        <v>15422.061938214965</v>
      </c>
      <c r="F18" s="639">
        <f t="shared" si="1"/>
        <v>15422.061938214965</v>
      </c>
    </row>
    <row r="19" spans="1:6" ht="18" thickBot="1" x14ac:dyDescent="0.4">
      <c r="A19" s="675" t="s">
        <v>2440</v>
      </c>
      <c r="B19" s="676"/>
      <c r="C19" s="658">
        <f>SUM(C5:C18)</f>
        <v>90</v>
      </c>
      <c r="D19" s="658">
        <f>SUM(D5:D18)</f>
        <v>1080</v>
      </c>
      <c r="E19" s="659"/>
      <c r="F19" s="658"/>
    </row>
    <row r="21" spans="1:6" ht="17.25" thickBot="1" x14ac:dyDescent="0.35"/>
    <row r="22" spans="1:6" ht="12.75" customHeight="1" x14ac:dyDescent="0.3">
      <c r="A22" s="678" t="s">
        <v>2719</v>
      </c>
      <c r="B22" s="680" t="s">
        <v>2919</v>
      </c>
      <c r="C22" s="672" t="s">
        <v>2721</v>
      </c>
      <c r="D22" s="683" t="s">
        <v>2883</v>
      </c>
      <c r="F22" s="672" t="s">
        <v>2903</v>
      </c>
    </row>
    <row r="23" spans="1:6" ht="23.25" customHeight="1" thickBot="1" x14ac:dyDescent="0.35">
      <c r="A23" s="679"/>
      <c r="B23" s="681" t="s">
        <v>2757</v>
      </c>
      <c r="C23" s="682"/>
      <c r="D23" s="684"/>
      <c r="F23" s="673"/>
    </row>
    <row r="24" spans="1:6" ht="13.5" customHeight="1" thickTop="1" x14ac:dyDescent="0.35">
      <c r="A24" s="643">
        <v>1</v>
      </c>
      <c r="B24" s="643">
        <v>54</v>
      </c>
      <c r="C24" s="644">
        <v>2</v>
      </c>
      <c r="D24" s="645">
        <f t="shared" ref="D24:D33" si="2">C24*12</f>
        <v>24</v>
      </c>
      <c r="E24" s="660"/>
      <c r="F24" s="639">
        <f>Калькуляция!B50</f>
        <v>2225.9462370325205</v>
      </c>
    </row>
    <row r="25" spans="1:6" ht="17.25" x14ac:dyDescent="0.35">
      <c r="A25" s="643">
        <v>2</v>
      </c>
      <c r="B25" s="643">
        <v>76</v>
      </c>
      <c r="C25" s="644">
        <v>3</v>
      </c>
      <c r="D25" s="645">
        <f t="shared" si="2"/>
        <v>36</v>
      </c>
      <c r="E25" s="660"/>
      <c r="F25" s="639">
        <f>Калькуляция!C50</f>
        <v>5200.7141561711724</v>
      </c>
    </row>
    <row r="26" spans="1:6" ht="17.25" x14ac:dyDescent="0.35">
      <c r="A26" s="643">
        <v>3</v>
      </c>
      <c r="B26" s="643">
        <v>95</v>
      </c>
      <c r="C26" s="644">
        <v>5</v>
      </c>
      <c r="D26" s="645">
        <f t="shared" si="2"/>
        <v>60</v>
      </c>
      <c r="E26" s="660"/>
      <c r="F26" s="639">
        <f>Калькуляция!D50</f>
        <v>7709.6508505801576</v>
      </c>
    </row>
    <row r="27" spans="1:6" ht="17.25" x14ac:dyDescent="0.35">
      <c r="A27" s="643">
        <v>4</v>
      </c>
      <c r="B27" s="643">
        <v>106</v>
      </c>
      <c r="C27" s="644">
        <v>10</v>
      </c>
      <c r="D27" s="645">
        <f t="shared" si="2"/>
        <v>120</v>
      </c>
      <c r="E27" s="660"/>
      <c r="F27" s="639">
        <f>Калькуляция!E50</f>
        <v>9843.4872739035382</v>
      </c>
    </row>
    <row r="28" spans="1:6" ht="17.25" x14ac:dyDescent="0.35">
      <c r="A28" s="643">
        <v>4</v>
      </c>
      <c r="B28" s="643">
        <v>120</v>
      </c>
      <c r="C28" s="644">
        <v>10</v>
      </c>
      <c r="D28" s="645">
        <f t="shared" si="2"/>
        <v>120</v>
      </c>
      <c r="E28" s="660"/>
      <c r="F28" s="639">
        <f>Калькуляция!F50</f>
        <v>12138.235676452428</v>
      </c>
    </row>
    <row r="29" spans="1:6" ht="17.25" x14ac:dyDescent="0.35">
      <c r="A29" s="643">
        <v>4</v>
      </c>
      <c r="B29" s="643">
        <v>165</v>
      </c>
      <c r="C29" s="644">
        <v>8</v>
      </c>
      <c r="D29" s="645">
        <f t="shared" si="2"/>
        <v>96</v>
      </c>
      <c r="E29" s="660"/>
      <c r="F29" s="639">
        <f>Калькуляция!G50</f>
        <v>23929.614846301814</v>
      </c>
    </row>
    <row r="30" spans="1:6" ht="17.25" x14ac:dyDescent="0.35">
      <c r="A30" s="643">
        <v>4</v>
      </c>
      <c r="B30" s="643">
        <v>172</v>
      </c>
      <c r="C30" s="644">
        <v>25</v>
      </c>
      <c r="D30" s="645">
        <f t="shared" si="2"/>
        <v>300</v>
      </c>
      <c r="E30" s="660"/>
      <c r="F30" s="639">
        <f>Калькуляция!H50</f>
        <v>26464.980023186017</v>
      </c>
    </row>
    <row r="31" spans="1:6" ht="17.25" x14ac:dyDescent="0.35">
      <c r="A31" s="643">
        <v>4</v>
      </c>
      <c r="B31" s="643">
        <v>195</v>
      </c>
      <c r="C31" s="644">
        <v>7</v>
      </c>
      <c r="D31" s="645">
        <f t="shared" si="2"/>
        <v>84</v>
      </c>
      <c r="E31" s="660"/>
      <c r="F31" s="639">
        <f>Калькуляция!I50</f>
        <v>36286.867739587702</v>
      </c>
    </row>
    <row r="32" spans="1:6" ht="17.25" x14ac:dyDescent="0.35">
      <c r="A32" s="643">
        <v>4</v>
      </c>
      <c r="B32" s="643">
        <v>215</v>
      </c>
      <c r="C32" s="644">
        <v>4</v>
      </c>
      <c r="D32" s="645">
        <f t="shared" si="2"/>
        <v>48</v>
      </c>
      <c r="E32" s="660"/>
      <c r="F32" s="639">
        <f>Калькуляция!J50</f>
        <v>35996.113755847859</v>
      </c>
    </row>
    <row r="33" spans="1:6" ht="17.25" x14ac:dyDescent="0.35">
      <c r="A33" s="643">
        <v>4</v>
      </c>
      <c r="B33" s="643">
        <v>240</v>
      </c>
      <c r="C33" s="644">
        <v>6</v>
      </c>
      <c r="D33" s="645">
        <f t="shared" si="2"/>
        <v>72</v>
      </c>
      <c r="E33" s="660"/>
      <c r="F33" s="639">
        <f>Калькуляция!K50</f>
        <v>35807.081620500059</v>
      </c>
    </row>
    <row r="34" spans="1:6" ht="18" thickBot="1" x14ac:dyDescent="0.4">
      <c r="A34" s="675" t="s">
        <v>2918</v>
      </c>
      <c r="B34" s="676"/>
      <c r="C34" s="658">
        <f>SUM(C24:C33)</f>
        <v>80</v>
      </c>
      <c r="D34" s="658">
        <f>SUM(D24:D33)</f>
        <v>960</v>
      </c>
      <c r="E34" s="661"/>
      <c r="F34" s="658"/>
    </row>
    <row r="36" spans="1:6" x14ac:dyDescent="0.3">
      <c r="B36" s="635" t="s">
        <v>2884</v>
      </c>
      <c r="C36" s="635" t="s">
        <v>3001</v>
      </c>
    </row>
    <row r="37" spans="1:6" x14ac:dyDescent="0.3">
      <c r="B37" s="643">
        <v>172</v>
      </c>
      <c r="C37" s="662">
        <v>0.3125</v>
      </c>
    </row>
    <row r="38" spans="1:6" x14ac:dyDescent="0.3">
      <c r="B38" s="643">
        <v>106</v>
      </c>
      <c r="C38" s="662">
        <v>0.125</v>
      </c>
    </row>
    <row r="39" spans="1:6" x14ac:dyDescent="0.3">
      <c r="B39" s="643">
        <v>120</v>
      </c>
      <c r="C39" s="662">
        <v>0.125</v>
      </c>
    </row>
    <row r="40" spans="1:6" x14ac:dyDescent="0.3">
      <c r="B40" s="643">
        <v>165</v>
      </c>
      <c r="C40" s="662">
        <v>0.1</v>
      </c>
    </row>
    <row r="41" spans="1:6" x14ac:dyDescent="0.3">
      <c r="B41" s="643">
        <v>195</v>
      </c>
      <c r="C41" s="662">
        <v>8.7499999999999994E-2</v>
      </c>
    </row>
    <row r="42" spans="1:6" x14ac:dyDescent="0.3">
      <c r="B42" s="643">
        <v>240</v>
      </c>
      <c r="C42" s="662">
        <v>7.4999999999999997E-2</v>
      </c>
    </row>
    <row r="43" spans="1:6" x14ac:dyDescent="0.3">
      <c r="B43" s="643">
        <v>95</v>
      </c>
      <c r="C43" s="662">
        <v>6.25E-2</v>
      </c>
    </row>
    <row r="44" spans="1:6" x14ac:dyDescent="0.3">
      <c r="B44" s="643">
        <v>215</v>
      </c>
      <c r="C44" s="662">
        <v>0.05</v>
      </c>
    </row>
    <row r="45" spans="1:6" x14ac:dyDescent="0.3">
      <c r="B45" s="643">
        <v>76</v>
      </c>
      <c r="C45" s="662">
        <v>3.7499999999999999E-2</v>
      </c>
    </row>
    <row r="46" spans="1:6" x14ac:dyDescent="0.3">
      <c r="B46" s="643">
        <v>54</v>
      </c>
      <c r="C46" s="662">
        <v>2.5000000000000001E-2</v>
      </c>
    </row>
  </sheetData>
  <sortState ref="B37:C46">
    <sortCondition descending="1" ref="C36"/>
  </sortState>
  <mergeCells count="15">
    <mergeCell ref="D22:D23"/>
    <mergeCell ref="F22:F23"/>
    <mergeCell ref="A34:B34"/>
    <mergeCell ref="A22:A23"/>
    <mergeCell ref="B22:B23"/>
    <mergeCell ref="C22:C23"/>
    <mergeCell ref="F3:F4"/>
    <mergeCell ref="A1:E1"/>
    <mergeCell ref="A19:B19"/>
    <mergeCell ref="A2:E2"/>
    <mergeCell ref="A3:A4"/>
    <mergeCell ref="B3:B4"/>
    <mergeCell ref="C3:C4"/>
    <mergeCell ref="E3:E4"/>
    <mergeCell ref="D3:D4"/>
  </mergeCells>
  <pageMargins left="0.7" right="0.7" top="0.75" bottom="0.75" header="0.3" footer="0.3"/>
  <pageSetup paperSize="9" scale="7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24"/>
  <sheetViews>
    <sheetView view="pageBreakPreview" topLeftCell="M1" zoomScale="80" zoomScaleNormal="100" zoomScaleSheetLayoutView="80" workbookViewId="0">
      <pane ySplit="1" topLeftCell="A2" activePane="bottomLeft" state="frozen"/>
      <selection pane="bottomLeft" activeCell="S38" sqref="S38"/>
    </sheetView>
  </sheetViews>
  <sheetFormatPr defaultRowHeight="12.75" outlineLevelRow="1" x14ac:dyDescent="0.2"/>
  <cols>
    <col min="1" max="1" width="41.1640625" style="427" customWidth="1"/>
    <col min="2" max="2" width="16.1640625" style="331" bestFit="1" customWidth="1"/>
    <col min="3" max="5" width="13.5" style="331" bestFit="1" customWidth="1"/>
    <col min="6" max="6" width="16.6640625" style="331" bestFit="1" customWidth="1"/>
    <col min="7" max="7" width="19.1640625" style="331" customWidth="1"/>
    <col min="8" max="21" width="18.1640625" style="331" bestFit="1" customWidth="1"/>
    <col min="22" max="22" width="20.33203125" style="331" bestFit="1" customWidth="1"/>
    <col min="23" max="25" width="18.1640625" bestFit="1" customWidth="1"/>
    <col min="26" max="26" width="20" customWidth="1"/>
  </cols>
  <sheetData>
    <row r="1" spans="1:26" x14ac:dyDescent="0.2">
      <c r="A1" s="428"/>
      <c r="B1" s="369" t="s">
        <v>2816</v>
      </c>
      <c r="C1" s="369" t="s">
        <v>2817</v>
      </c>
      <c r="D1" s="369" t="s">
        <v>2818</v>
      </c>
      <c r="E1" s="369" t="s">
        <v>2819</v>
      </c>
      <c r="F1" s="369" t="s">
        <v>2820</v>
      </c>
      <c r="G1" s="369" t="s">
        <v>2821</v>
      </c>
      <c r="H1" s="369" t="s">
        <v>2822</v>
      </c>
      <c r="I1" s="369" t="s">
        <v>2823</v>
      </c>
      <c r="J1" s="369" t="s">
        <v>2824</v>
      </c>
      <c r="K1" s="369" t="s">
        <v>2825</v>
      </c>
      <c r="L1" s="369" t="s">
        <v>2826</v>
      </c>
      <c r="M1" s="369" t="s">
        <v>2827</v>
      </c>
      <c r="N1" s="369" t="s">
        <v>2828</v>
      </c>
      <c r="O1" s="369" t="s">
        <v>2829</v>
      </c>
      <c r="P1" s="369" t="s">
        <v>2830</v>
      </c>
      <c r="Q1" s="369" t="s">
        <v>2831</v>
      </c>
      <c r="R1" s="369" t="s">
        <v>2832</v>
      </c>
      <c r="S1" s="369" t="s">
        <v>2833</v>
      </c>
      <c r="T1" s="369" t="s">
        <v>2834</v>
      </c>
      <c r="U1" s="369" t="s">
        <v>2835</v>
      </c>
      <c r="V1" s="369" t="s">
        <v>2899</v>
      </c>
      <c r="W1" s="369" t="s">
        <v>2900</v>
      </c>
      <c r="X1" s="369" t="s">
        <v>2901</v>
      </c>
      <c r="Y1" s="369" t="s">
        <v>2902</v>
      </c>
      <c r="Z1" s="370" t="s">
        <v>2440</v>
      </c>
    </row>
    <row r="2" spans="1:26" x14ac:dyDescent="0.2">
      <c r="A2" s="429" t="s">
        <v>2836</v>
      </c>
      <c r="B2" s="366">
        <v>3</v>
      </c>
      <c r="C2" s="366">
        <v>3</v>
      </c>
      <c r="D2" s="366">
        <v>3</v>
      </c>
      <c r="E2" s="366">
        <v>3</v>
      </c>
      <c r="F2" s="366">
        <v>3</v>
      </c>
      <c r="G2" s="366">
        <v>3</v>
      </c>
      <c r="H2" s="366">
        <v>3</v>
      </c>
      <c r="I2" s="366">
        <v>3</v>
      </c>
      <c r="J2" s="366">
        <v>3</v>
      </c>
      <c r="K2" s="366">
        <v>3</v>
      </c>
      <c r="L2" s="366">
        <v>3</v>
      </c>
      <c r="M2" s="366">
        <v>3</v>
      </c>
      <c r="N2" s="366">
        <v>3</v>
      </c>
      <c r="O2" s="366">
        <v>3</v>
      </c>
      <c r="P2" s="366">
        <v>3</v>
      </c>
      <c r="Q2" s="366">
        <v>3</v>
      </c>
      <c r="R2" s="366">
        <v>3</v>
      </c>
      <c r="S2" s="366">
        <v>3</v>
      </c>
      <c r="T2" s="366">
        <v>3</v>
      </c>
      <c r="U2" s="366">
        <v>3</v>
      </c>
      <c r="V2" s="366">
        <v>3</v>
      </c>
      <c r="W2" s="366">
        <v>3</v>
      </c>
      <c r="X2" s="366">
        <v>3</v>
      </c>
      <c r="Y2" s="366">
        <v>3</v>
      </c>
      <c r="Z2" s="371"/>
    </row>
    <row r="3" spans="1:26" ht="13.5" customHeight="1" x14ac:dyDescent="0.2">
      <c r="A3" s="429" t="s">
        <v>2837</v>
      </c>
      <c r="B3" s="367">
        <v>0</v>
      </c>
      <c r="C3" s="367">
        <v>0</v>
      </c>
      <c r="D3" s="367">
        <v>0</v>
      </c>
      <c r="E3" s="367">
        <v>0</v>
      </c>
      <c r="F3" s="367">
        <v>0</v>
      </c>
      <c r="G3" s="367">
        <v>0.3</v>
      </c>
      <c r="H3" s="367">
        <v>0.5</v>
      </c>
      <c r="I3" s="367">
        <v>0.75</v>
      </c>
      <c r="J3" s="367">
        <v>1</v>
      </c>
      <c r="K3" s="367">
        <v>1</v>
      </c>
      <c r="L3" s="367">
        <v>1</v>
      </c>
      <c r="M3" s="367">
        <v>1</v>
      </c>
      <c r="N3" s="367">
        <v>1</v>
      </c>
      <c r="O3" s="367">
        <v>1</v>
      </c>
      <c r="P3" s="367">
        <v>1</v>
      </c>
      <c r="Q3" s="367">
        <v>1</v>
      </c>
      <c r="R3" s="367">
        <v>1</v>
      </c>
      <c r="S3" s="367">
        <v>1</v>
      </c>
      <c r="T3" s="367">
        <v>1</v>
      </c>
      <c r="U3" s="367">
        <v>1</v>
      </c>
      <c r="V3" s="367">
        <v>1</v>
      </c>
      <c r="W3" s="367">
        <v>1</v>
      </c>
      <c r="X3" s="367">
        <v>1</v>
      </c>
      <c r="Y3" s="367">
        <v>1</v>
      </c>
      <c r="Z3" s="371"/>
    </row>
    <row r="4" spans="1:26" s="457" customFormat="1" x14ac:dyDescent="0.2">
      <c r="A4" s="454" t="s">
        <v>2921</v>
      </c>
      <c r="B4" s="455"/>
      <c r="C4" s="455"/>
      <c r="D4" s="455"/>
      <c r="E4" s="455"/>
      <c r="F4" s="455"/>
      <c r="G4" s="455"/>
      <c r="H4" s="455"/>
      <c r="I4" s="455"/>
      <c r="J4" s="455"/>
      <c r="K4" s="455"/>
      <c r="L4" s="455"/>
      <c r="M4" s="455"/>
      <c r="N4" s="455"/>
      <c r="O4" s="455"/>
      <c r="P4" s="455"/>
      <c r="Q4" s="455"/>
      <c r="R4" s="455"/>
      <c r="S4" s="455"/>
      <c r="T4" s="455"/>
      <c r="U4" s="455"/>
      <c r="V4" s="455"/>
      <c r="W4" s="455"/>
      <c r="X4" s="455"/>
      <c r="Y4" s="455"/>
      <c r="Z4" s="456"/>
    </row>
    <row r="5" spans="1:26" hidden="1" outlineLevel="1" x14ac:dyDescent="0.2">
      <c r="A5" s="430" t="s">
        <v>2802</v>
      </c>
      <c r="B5" s="366">
        <f>продажи!$C$5*'Продажи 2'!B2*'Продажи 2'!B3</f>
        <v>0</v>
      </c>
      <c r="C5" s="366">
        <f>продажи!$C$5*'Продажи 2'!C2*'Продажи 2'!C3</f>
        <v>0</v>
      </c>
      <c r="D5" s="366">
        <f>продажи!$C$5*'Продажи 2'!D2*'Продажи 2'!D3</f>
        <v>0</v>
      </c>
      <c r="E5" s="366">
        <f>продажи!$C$5*'Продажи 2'!E2*'Продажи 2'!E3</f>
        <v>0</v>
      </c>
      <c r="F5" s="366">
        <f>продажи!$C$5*'Продажи 2'!F2*'Продажи 2'!F3</f>
        <v>0</v>
      </c>
      <c r="G5" s="366">
        <f>продажи!$C$5*'Продажи 2'!G2*'Продажи 2'!G3</f>
        <v>7.1999999999999993</v>
      </c>
      <c r="H5" s="366">
        <f>продажи!$C$5*'Продажи 2'!H2*'Продажи 2'!H3</f>
        <v>12</v>
      </c>
      <c r="I5" s="366">
        <f>продажи!$C$5*'Продажи 2'!I2*'Продажи 2'!I3</f>
        <v>18</v>
      </c>
      <c r="J5" s="366">
        <f>продажи!$C$5*'Продажи 2'!J2*'Продажи 2'!J3</f>
        <v>24</v>
      </c>
      <c r="K5" s="366">
        <f>продажи!$C$5*'Продажи 2'!K2*'Продажи 2'!K3</f>
        <v>24</v>
      </c>
      <c r="L5" s="366">
        <f>продажи!$C$5*'Продажи 2'!L2*'Продажи 2'!L3</f>
        <v>24</v>
      </c>
      <c r="M5" s="366">
        <f>продажи!$C$5*'Продажи 2'!M2*'Продажи 2'!M3</f>
        <v>24</v>
      </c>
      <c r="N5" s="366">
        <f>продажи!$C$5*'Продажи 2'!N2*'Продажи 2'!N3</f>
        <v>24</v>
      </c>
      <c r="O5" s="366">
        <f>продажи!$C$5*'Продажи 2'!O2*'Продажи 2'!O3</f>
        <v>24</v>
      </c>
      <c r="P5" s="366">
        <f>продажи!$C$5*'Продажи 2'!P2*'Продажи 2'!P3</f>
        <v>24</v>
      </c>
      <c r="Q5" s="366">
        <f>продажи!$C$5*'Продажи 2'!Q2*'Продажи 2'!Q3</f>
        <v>24</v>
      </c>
      <c r="R5" s="366">
        <f>продажи!$C$5*'Продажи 2'!R2*'Продажи 2'!R3</f>
        <v>24</v>
      </c>
      <c r="S5" s="366">
        <f>продажи!$C$5*'Продажи 2'!S2*'Продажи 2'!S3</f>
        <v>24</v>
      </c>
      <c r="T5" s="366">
        <f>продажи!$C$5*'Продажи 2'!T2*'Продажи 2'!T3</f>
        <v>24</v>
      </c>
      <c r="U5" s="366">
        <f>продажи!$C$5*'Продажи 2'!U2*'Продажи 2'!U3</f>
        <v>24</v>
      </c>
      <c r="V5" s="366">
        <f>продажи!$C$5*'Продажи 2'!V2*'Продажи 2'!V3</f>
        <v>24</v>
      </c>
      <c r="W5" s="366">
        <f>продажи!$C$5*'Продажи 2'!W2*'Продажи 2'!W3</f>
        <v>24</v>
      </c>
      <c r="X5" s="366">
        <f>продажи!$C$5*'Продажи 2'!X2*'Продажи 2'!X3</f>
        <v>24</v>
      </c>
      <c r="Y5" s="366">
        <f>продажи!$C$5*'Продажи 2'!Y2*'Продажи 2'!Y3</f>
        <v>24</v>
      </c>
      <c r="Z5" s="371"/>
    </row>
    <row r="6" spans="1:26" hidden="1" outlineLevel="1" x14ac:dyDescent="0.2">
      <c r="A6" s="430" t="s">
        <v>2803</v>
      </c>
      <c r="B6" s="366">
        <f>продажи!$C$6*'Продажи 2'!B2*'Продажи 2'!B3</f>
        <v>0</v>
      </c>
      <c r="C6" s="366">
        <f>продажи!$C$6*'Продажи 2'!C2*'Продажи 2'!C3</f>
        <v>0</v>
      </c>
      <c r="D6" s="366">
        <f>продажи!$C$6*'Продажи 2'!D2*'Продажи 2'!D3</f>
        <v>0</v>
      </c>
      <c r="E6" s="366">
        <f>продажи!$C$6*'Продажи 2'!E2*'Продажи 2'!E3</f>
        <v>0</v>
      </c>
      <c r="F6" s="366">
        <f>продажи!$C$6*'Продажи 2'!F2*'Продажи 2'!F3</f>
        <v>0</v>
      </c>
      <c r="G6" s="366">
        <f>продажи!$C$6*'Продажи 2'!G2*'Продажи 2'!G3</f>
        <v>9</v>
      </c>
      <c r="H6" s="366">
        <f>продажи!$C$6*'Продажи 2'!H2*'Продажи 2'!H3</f>
        <v>15</v>
      </c>
      <c r="I6" s="366">
        <f>продажи!$C$6*'Продажи 2'!I2*'Продажи 2'!I3</f>
        <v>22.5</v>
      </c>
      <c r="J6" s="366">
        <f>продажи!$C$6*'Продажи 2'!J2*'Продажи 2'!J3</f>
        <v>30</v>
      </c>
      <c r="K6" s="366">
        <f>продажи!$C$6*'Продажи 2'!K2*'Продажи 2'!K3</f>
        <v>30</v>
      </c>
      <c r="L6" s="366">
        <f>продажи!$C$6*'Продажи 2'!L2*'Продажи 2'!L3</f>
        <v>30</v>
      </c>
      <c r="M6" s="366">
        <f>продажи!$C$6*'Продажи 2'!M2*'Продажи 2'!M3</f>
        <v>30</v>
      </c>
      <c r="N6" s="366">
        <f>продажи!$C$6*'Продажи 2'!N2*'Продажи 2'!N3</f>
        <v>30</v>
      </c>
      <c r="O6" s="366">
        <f>продажи!$C$6*'Продажи 2'!O2*'Продажи 2'!O3</f>
        <v>30</v>
      </c>
      <c r="P6" s="366">
        <f>продажи!$C$6*'Продажи 2'!P2*'Продажи 2'!P3</f>
        <v>30</v>
      </c>
      <c r="Q6" s="366">
        <f>продажи!$C$6*'Продажи 2'!Q2*'Продажи 2'!Q3</f>
        <v>30</v>
      </c>
      <c r="R6" s="366">
        <f>продажи!$C$6*'Продажи 2'!R2*'Продажи 2'!R3</f>
        <v>30</v>
      </c>
      <c r="S6" s="366">
        <f>продажи!$C$6*'Продажи 2'!S2*'Продажи 2'!S3</f>
        <v>30</v>
      </c>
      <c r="T6" s="366">
        <f>продажи!$C$6*'Продажи 2'!T2*'Продажи 2'!T3</f>
        <v>30</v>
      </c>
      <c r="U6" s="366">
        <f>продажи!$C$6*'Продажи 2'!U2*'Продажи 2'!U3</f>
        <v>30</v>
      </c>
      <c r="V6" s="366">
        <f>продажи!$C$6*'Продажи 2'!V2*'Продажи 2'!V3</f>
        <v>30</v>
      </c>
      <c r="W6" s="366">
        <f>продажи!$C$6*'Продажи 2'!W2*'Продажи 2'!W3</f>
        <v>30</v>
      </c>
      <c r="X6" s="366">
        <f>продажи!$C$6*'Продажи 2'!X2*'Продажи 2'!X3</f>
        <v>30</v>
      </c>
      <c r="Y6" s="366">
        <f>продажи!$C$6*'Продажи 2'!Y2*'Продажи 2'!Y3</f>
        <v>30</v>
      </c>
      <c r="Z6" s="371"/>
    </row>
    <row r="7" spans="1:26" hidden="1" outlineLevel="1" x14ac:dyDescent="0.2">
      <c r="A7" s="430" t="s">
        <v>2804</v>
      </c>
      <c r="B7" s="366">
        <f>продажи!$C$7*'Продажи 2'!B2*'Продажи 2'!B3</f>
        <v>0</v>
      </c>
      <c r="C7" s="366">
        <f>продажи!$C$7*'Продажи 2'!C2*'Продажи 2'!C3</f>
        <v>0</v>
      </c>
      <c r="D7" s="366">
        <f>продажи!$C$7*'Продажи 2'!D2*'Продажи 2'!D3</f>
        <v>0</v>
      </c>
      <c r="E7" s="366">
        <f>продажи!$C$7*'Продажи 2'!E2*'Продажи 2'!E3</f>
        <v>0</v>
      </c>
      <c r="F7" s="366">
        <f>продажи!$C$7*'Продажи 2'!F2*'Продажи 2'!F3</f>
        <v>0</v>
      </c>
      <c r="G7" s="366">
        <f>продажи!$C$7*'Продажи 2'!G2*'Продажи 2'!G3</f>
        <v>9</v>
      </c>
      <c r="H7" s="366">
        <f>продажи!$C$7*'Продажи 2'!H2*'Продажи 2'!H3</f>
        <v>15</v>
      </c>
      <c r="I7" s="366">
        <f>продажи!$C$7*'Продажи 2'!I2*'Продажи 2'!I3</f>
        <v>22.5</v>
      </c>
      <c r="J7" s="366">
        <f>продажи!$C$7*'Продажи 2'!J2*'Продажи 2'!J3</f>
        <v>30</v>
      </c>
      <c r="K7" s="366">
        <f>продажи!$C$7*'Продажи 2'!K2*'Продажи 2'!K3</f>
        <v>30</v>
      </c>
      <c r="L7" s="366">
        <f>продажи!$C$7*'Продажи 2'!L2*'Продажи 2'!L3</f>
        <v>30</v>
      </c>
      <c r="M7" s="366">
        <f>продажи!$C$7*'Продажи 2'!M2*'Продажи 2'!M3</f>
        <v>30</v>
      </c>
      <c r="N7" s="366">
        <f>продажи!$C$7*'Продажи 2'!N2*'Продажи 2'!N3</f>
        <v>30</v>
      </c>
      <c r="O7" s="366">
        <f>продажи!$C$7*'Продажи 2'!O2*'Продажи 2'!O3</f>
        <v>30</v>
      </c>
      <c r="P7" s="366">
        <f>продажи!$C$7*'Продажи 2'!P2*'Продажи 2'!P3</f>
        <v>30</v>
      </c>
      <c r="Q7" s="366">
        <f>продажи!$C$7*'Продажи 2'!Q2*'Продажи 2'!Q3</f>
        <v>30</v>
      </c>
      <c r="R7" s="366">
        <f>продажи!$C$7*'Продажи 2'!R2*'Продажи 2'!R3</f>
        <v>30</v>
      </c>
      <c r="S7" s="366">
        <f>продажи!$C$7*'Продажи 2'!S2*'Продажи 2'!S3</f>
        <v>30</v>
      </c>
      <c r="T7" s="366">
        <f>продажи!$C$7*'Продажи 2'!T2*'Продажи 2'!T3</f>
        <v>30</v>
      </c>
      <c r="U7" s="366">
        <f>продажи!$C$7*'Продажи 2'!U2*'Продажи 2'!U3</f>
        <v>30</v>
      </c>
      <c r="V7" s="366">
        <f>продажи!$C$7*'Продажи 2'!V2*'Продажи 2'!V3</f>
        <v>30</v>
      </c>
      <c r="W7" s="366">
        <f>продажи!$C$7*'Продажи 2'!W2*'Продажи 2'!W3</f>
        <v>30</v>
      </c>
      <c r="X7" s="366">
        <f>продажи!$C$7*'Продажи 2'!X2*'Продажи 2'!X3</f>
        <v>30</v>
      </c>
      <c r="Y7" s="366">
        <f>продажи!$C$7*'Продажи 2'!Y2*'Продажи 2'!Y3</f>
        <v>30</v>
      </c>
      <c r="Z7" s="371"/>
    </row>
    <row r="8" spans="1:26" hidden="1" outlineLevel="1" x14ac:dyDescent="0.2">
      <c r="A8" s="430" t="s">
        <v>2805</v>
      </c>
      <c r="B8" s="366">
        <f>продажи!$C$8*'Продажи 2'!B2*'Продажи 2'!B3</f>
        <v>0</v>
      </c>
      <c r="C8" s="366">
        <f>продажи!$C$8*'Продажи 2'!C2*'Продажи 2'!C3</f>
        <v>0</v>
      </c>
      <c r="D8" s="366">
        <f>продажи!$C$8*'Продажи 2'!D2*'Продажи 2'!D3</f>
        <v>0</v>
      </c>
      <c r="E8" s="366">
        <f>продажи!$C$8*'Продажи 2'!E2*'Продажи 2'!E3</f>
        <v>0</v>
      </c>
      <c r="F8" s="366">
        <f>продажи!$C$8*'Продажи 2'!F2*'Продажи 2'!F3</f>
        <v>0</v>
      </c>
      <c r="G8" s="366">
        <f>продажи!$C$8*'Продажи 2'!G2*'Продажи 2'!G3</f>
        <v>9</v>
      </c>
      <c r="H8" s="366">
        <f>продажи!$C$8*'Продажи 2'!H2*'Продажи 2'!H3</f>
        <v>15</v>
      </c>
      <c r="I8" s="366">
        <f>продажи!$C$8*'Продажи 2'!I2*'Продажи 2'!I3</f>
        <v>22.5</v>
      </c>
      <c r="J8" s="366">
        <f>продажи!$C$8*'Продажи 2'!J2*'Продажи 2'!J3</f>
        <v>30</v>
      </c>
      <c r="K8" s="366">
        <f>продажи!$C$8*'Продажи 2'!K2*'Продажи 2'!K3</f>
        <v>30</v>
      </c>
      <c r="L8" s="366">
        <f>продажи!$C$8*'Продажи 2'!L2*'Продажи 2'!L3</f>
        <v>30</v>
      </c>
      <c r="M8" s="366">
        <f>продажи!$C$8*'Продажи 2'!M2*'Продажи 2'!M3</f>
        <v>30</v>
      </c>
      <c r="N8" s="366">
        <f>продажи!$C$8*'Продажи 2'!N2*'Продажи 2'!N3</f>
        <v>30</v>
      </c>
      <c r="O8" s="366">
        <f>продажи!$C$8*'Продажи 2'!O2*'Продажи 2'!O3</f>
        <v>30</v>
      </c>
      <c r="P8" s="366">
        <f>продажи!$C$8*'Продажи 2'!P2*'Продажи 2'!P3</f>
        <v>30</v>
      </c>
      <c r="Q8" s="366">
        <f>продажи!$C$8*'Продажи 2'!Q2*'Продажи 2'!Q3</f>
        <v>30</v>
      </c>
      <c r="R8" s="366">
        <f>продажи!$C$8*'Продажи 2'!R2*'Продажи 2'!R3</f>
        <v>30</v>
      </c>
      <c r="S8" s="366">
        <f>продажи!$C$8*'Продажи 2'!S2*'Продажи 2'!S3</f>
        <v>30</v>
      </c>
      <c r="T8" s="366">
        <f>продажи!$C$8*'Продажи 2'!T2*'Продажи 2'!T3</f>
        <v>30</v>
      </c>
      <c r="U8" s="366">
        <f>продажи!$C$8*'Продажи 2'!U2*'Продажи 2'!U3</f>
        <v>30</v>
      </c>
      <c r="V8" s="366">
        <f>продажи!$C$8*'Продажи 2'!V2*'Продажи 2'!V3</f>
        <v>30</v>
      </c>
      <c r="W8" s="366">
        <f>продажи!$C$8*'Продажи 2'!W2*'Продажи 2'!W3</f>
        <v>30</v>
      </c>
      <c r="X8" s="366">
        <f>продажи!$C$8*'Продажи 2'!X2*'Продажи 2'!X3</f>
        <v>30</v>
      </c>
      <c r="Y8" s="366">
        <f>продажи!$C$8*'Продажи 2'!Y2*'Продажи 2'!Y3</f>
        <v>30</v>
      </c>
      <c r="Z8" s="371"/>
    </row>
    <row r="9" spans="1:26" hidden="1" outlineLevel="1" x14ac:dyDescent="0.2">
      <c r="A9" s="430" t="s">
        <v>2806</v>
      </c>
      <c r="B9" s="366">
        <f>продажи!$C$9*'Продажи 2'!B2*'Продажи 2'!B3</f>
        <v>0</v>
      </c>
      <c r="C9" s="366">
        <f>продажи!$C$9*'Продажи 2'!C2*'Продажи 2'!C3</f>
        <v>0</v>
      </c>
      <c r="D9" s="366">
        <f>продажи!$C$9*'Продажи 2'!D2*'Продажи 2'!D3</f>
        <v>0</v>
      </c>
      <c r="E9" s="366">
        <f>продажи!$C$9*'Продажи 2'!E2*'Продажи 2'!E3</f>
        <v>0</v>
      </c>
      <c r="F9" s="366">
        <f>продажи!$C$9*'Продажи 2'!F2*'Продажи 2'!F3</f>
        <v>0</v>
      </c>
      <c r="G9" s="366">
        <f>продажи!$C$9*'Продажи 2'!G2*'Продажи 2'!G3</f>
        <v>9</v>
      </c>
      <c r="H9" s="366">
        <f>продажи!$C$9*'Продажи 2'!H2*'Продажи 2'!H3</f>
        <v>15</v>
      </c>
      <c r="I9" s="366">
        <f>продажи!$C$9*'Продажи 2'!I2*'Продажи 2'!I3</f>
        <v>22.5</v>
      </c>
      <c r="J9" s="366">
        <f>продажи!$C$9*'Продажи 2'!J2*'Продажи 2'!J3</f>
        <v>30</v>
      </c>
      <c r="K9" s="366">
        <f>продажи!$C$9*'Продажи 2'!K2*'Продажи 2'!K3</f>
        <v>30</v>
      </c>
      <c r="L9" s="366">
        <f>продажи!$C$9*'Продажи 2'!L2*'Продажи 2'!L3</f>
        <v>30</v>
      </c>
      <c r="M9" s="366">
        <f>продажи!$C$9*'Продажи 2'!M2*'Продажи 2'!M3</f>
        <v>30</v>
      </c>
      <c r="N9" s="366">
        <f>продажи!$C$9*'Продажи 2'!N2*'Продажи 2'!N3</f>
        <v>30</v>
      </c>
      <c r="O9" s="366">
        <f>продажи!$C$9*'Продажи 2'!O2*'Продажи 2'!O3</f>
        <v>30</v>
      </c>
      <c r="P9" s="366">
        <f>продажи!$C$9*'Продажи 2'!P2*'Продажи 2'!P3</f>
        <v>30</v>
      </c>
      <c r="Q9" s="366">
        <f>продажи!$C$9*'Продажи 2'!Q2*'Продажи 2'!Q3</f>
        <v>30</v>
      </c>
      <c r="R9" s="366">
        <f>продажи!$C$9*'Продажи 2'!R2*'Продажи 2'!R3</f>
        <v>30</v>
      </c>
      <c r="S9" s="366">
        <f>продажи!$C$9*'Продажи 2'!S2*'Продажи 2'!S3</f>
        <v>30</v>
      </c>
      <c r="T9" s="366">
        <f>продажи!$C$9*'Продажи 2'!T2*'Продажи 2'!T3</f>
        <v>30</v>
      </c>
      <c r="U9" s="366">
        <f>продажи!$C$9*'Продажи 2'!U2*'Продажи 2'!U3</f>
        <v>30</v>
      </c>
      <c r="V9" s="366">
        <f>продажи!$C$9*'Продажи 2'!V2*'Продажи 2'!V3</f>
        <v>30</v>
      </c>
      <c r="W9" s="366">
        <f>продажи!$C$9*'Продажи 2'!W2*'Продажи 2'!W3</f>
        <v>30</v>
      </c>
      <c r="X9" s="366">
        <f>продажи!$C$9*'Продажи 2'!X2*'Продажи 2'!X3</f>
        <v>30</v>
      </c>
      <c r="Y9" s="366">
        <f>продажи!$C$9*'Продажи 2'!Y2*'Продажи 2'!Y3</f>
        <v>30</v>
      </c>
      <c r="Z9" s="371"/>
    </row>
    <row r="10" spans="1:26" hidden="1" outlineLevel="1" x14ac:dyDescent="0.2">
      <c r="A10" s="430" t="s">
        <v>2807</v>
      </c>
      <c r="B10" s="366">
        <f>продажи!$C$10*'Продажи 2'!B2*'Продажи 2'!B3</f>
        <v>0</v>
      </c>
      <c r="C10" s="366">
        <f>продажи!$C$10*'Продажи 2'!C2*'Продажи 2'!C3</f>
        <v>0</v>
      </c>
      <c r="D10" s="366">
        <f>продажи!$C$10*'Продажи 2'!D2*'Продажи 2'!D3</f>
        <v>0</v>
      </c>
      <c r="E10" s="366">
        <f>продажи!$C$10*'Продажи 2'!E2*'Продажи 2'!E3</f>
        <v>0</v>
      </c>
      <c r="F10" s="366">
        <f>продажи!$C$10*'Продажи 2'!F2*'Продажи 2'!F3</f>
        <v>0</v>
      </c>
      <c r="G10" s="366">
        <f>продажи!$C$10*'Продажи 2'!G2*'Продажи 2'!G3</f>
        <v>3.5999999999999996</v>
      </c>
      <c r="H10" s="366">
        <f>продажи!$C$10*'Продажи 2'!H2*'Продажи 2'!H3</f>
        <v>6</v>
      </c>
      <c r="I10" s="366">
        <f>продажи!$C$10*'Продажи 2'!I2*'Продажи 2'!I3</f>
        <v>9</v>
      </c>
      <c r="J10" s="366">
        <f>продажи!$C$10*'Продажи 2'!J2*'Продажи 2'!J3</f>
        <v>12</v>
      </c>
      <c r="K10" s="366">
        <f>продажи!$C$10*'Продажи 2'!K2*'Продажи 2'!K3</f>
        <v>12</v>
      </c>
      <c r="L10" s="366">
        <f>продажи!$C$10*'Продажи 2'!L2*'Продажи 2'!L3</f>
        <v>12</v>
      </c>
      <c r="M10" s="366">
        <f>продажи!$C$10*'Продажи 2'!M2*'Продажи 2'!M3</f>
        <v>12</v>
      </c>
      <c r="N10" s="366">
        <f>продажи!$C$10*'Продажи 2'!N2*'Продажи 2'!N3</f>
        <v>12</v>
      </c>
      <c r="O10" s="366">
        <f>продажи!$C$10*'Продажи 2'!O2*'Продажи 2'!O3</f>
        <v>12</v>
      </c>
      <c r="P10" s="366">
        <f>продажи!$C$10*'Продажи 2'!P2*'Продажи 2'!P3</f>
        <v>12</v>
      </c>
      <c r="Q10" s="366">
        <f>продажи!$C$10*'Продажи 2'!Q2*'Продажи 2'!Q3</f>
        <v>12</v>
      </c>
      <c r="R10" s="366">
        <f>продажи!$C$10*'Продажи 2'!R2*'Продажи 2'!R3</f>
        <v>12</v>
      </c>
      <c r="S10" s="366">
        <f>продажи!$C$10*'Продажи 2'!S2*'Продажи 2'!S3</f>
        <v>12</v>
      </c>
      <c r="T10" s="366">
        <f>продажи!$C$10*'Продажи 2'!T2*'Продажи 2'!T3</f>
        <v>12</v>
      </c>
      <c r="U10" s="366">
        <f>продажи!$C$10*'Продажи 2'!U2*'Продажи 2'!U3</f>
        <v>12</v>
      </c>
      <c r="V10" s="366">
        <f>продажи!$C$10*'Продажи 2'!V2*'Продажи 2'!V3</f>
        <v>12</v>
      </c>
      <c r="W10" s="366">
        <f>продажи!$C$10*'Продажи 2'!W2*'Продажи 2'!W3</f>
        <v>12</v>
      </c>
      <c r="X10" s="366">
        <f>продажи!$C$10*'Продажи 2'!X2*'Продажи 2'!X3</f>
        <v>12</v>
      </c>
      <c r="Y10" s="366">
        <f>продажи!$C$10*'Продажи 2'!Y2*'Продажи 2'!Y3</f>
        <v>12</v>
      </c>
      <c r="Z10" s="371"/>
    </row>
    <row r="11" spans="1:26" hidden="1" outlineLevel="1" x14ac:dyDescent="0.2">
      <c r="A11" s="430" t="s">
        <v>2808</v>
      </c>
      <c r="B11" s="366">
        <f>продажи!$C$11*'Продажи 2'!B2*'Продажи 2'!B3</f>
        <v>0</v>
      </c>
      <c r="C11" s="366">
        <f>продажи!$C$11*'Продажи 2'!C2*'Продажи 2'!C3</f>
        <v>0</v>
      </c>
      <c r="D11" s="366">
        <f>продажи!$C$11*'Продажи 2'!D2*'Продажи 2'!D3</f>
        <v>0</v>
      </c>
      <c r="E11" s="366">
        <f>продажи!$C$11*'Продажи 2'!E2*'Продажи 2'!E3</f>
        <v>0</v>
      </c>
      <c r="F11" s="366">
        <f>продажи!$C$11*'Продажи 2'!F2*'Продажи 2'!F3</f>
        <v>0</v>
      </c>
      <c r="G11" s="366">
        <f>продажи!$C$11*'Продажи 2'!G2*'Продажи 2'!G3</f>
        <v>3.5999999999999996</v>
      </c>
      <c r="H11" s="366">
        <f>продажи!$C$11*'Продажи 2'!H2*'Продажи 2'!H3</f>
        <v>6</v>
      </c>
      <c r="I11" s="366">
        <f>продажи!$C$11*'Продажи 2'!I2*'Продажи 2'!I3</f>
        <v>9</v>
      </c>
      <c r="J11" s="366">
        <f>продажи!$C$11*'Продажи 2'!J2*'Продажи 2'!J3</f>
        <v>12</v>
      </c>
      <c r="K11" s="366">
        <f>продажи!$C$11*'Продажи 2'!K2*'Продажи 2'!K3</f>
        <v>12</v>
      </c>
      <c r="L11" s="366">
        <f>продажи!$C$11*'Продажи 2'!L2*'Продажи 2'!L3</f>
        <v>12</v>
      </c>
      <c r="M11" s="366">
        <f>продажи!$C$11*'Продажи 2'!M2*'Продажи 2'!M3</f>
        <v>12</v>
      </c>
      <c r="N11" s="366">
        <f>продажи!$C$11*'Продажи 2'!N2*'Продажи 2'!N3</f>
        <v>12</v>
      </c>
      <c r="O11" s="366">
        <f>продажи!$C$11*'Продажи 2'!O2*'Продажи 2'!O3</f>
        <v>12</v>
      </c>
      <c r="P11" s="366">
        <f>продажи!$C$11*'Продажи 2'!P2*'Продажи 2'!P3</f>
        <v>12</v>
      </c>
      <c r="Q11" s="366">
        <f>продажи!$C$11*'Продажи 2'!Q2*'Продажи 2'!Q3</f>
        <v>12</v>
      </c>
      <c r="R11" s="366">
        <f>продажи!$C$11*'Продажи 2'!R2*'Продажи 2'!R3</f>
        <v>12</v>
      </c>
      <c r="S11" s="366">
        <f>продажи!$C$11*'Продажи 2'!S2*'Продажи 2'!S3</f>
        <v>12</v>
      </c>
      <c r="T11" s="366">
        <f>продажи!$C$11*'Продажи 2'!T2*'Продажи 2'!T3</f>
        <v>12</v>
      </c>
      <c r="U11" s="366">
        <f>продажи!$C$11*'Продажи 2'!U2*'Продажи 2'!U3</f>
        <v>12</v>
      </c>
      <c r="V11" s="366">
        <f>продажи!$C$11*'Продажи 2'!V2*'Продажи 2'!V3</f>
        <v>12</v>
      </c>
      <c r="W11" s="366">
        <f>продажи!$C$11*'Продажи 2'!W2*'Продажи 2'!W3</f>
        <v>12</v>
      </c>
      <c r="X11" s="366">
        <f>продажи!$C$11*'Продажи 2'!X2*'Продажи 2'!X3</f>
        <v>12</v>
      </c>
      <c r="Y11" s="366">
        <f>продажи!$C$11*'Продажи 2'!Y2*'Продажи 2'!Y3</f>
        <v>12</v>
      </c>
      <c r="Z11" s="371"/>
    </row>
    <row r="12" spans="1:26" hidden="1" outlineLevel="1" x14ac:dyDescent="0.2">
      <c r="A12" s="430" t="s">
        <v>2809</v>
      </c>
      <c r="B12" s="366">
        <f>продажи!$C$12*'Продажи 2'!B2*'Продажи 2'!B3</f>
        <v>0</v>
      </c>
      <c r="C12" s="366">
        <f>продажи!$C$12*'Продажи 2'!C2*'Продажи 2'!C3</f>
        <v>0</v>
      </c>
      <c r="D12" s="366">
        <f>продажи!$C$12*'Продажи 2'!D2*'Продажи 2'!D3</f>
        <v>0</v>
      </c>
      <c r="E12" s="366">
        <f>продажи!$C$12*'Продажи 2'!E2*'Продажи 2'!E3</f>
        <v>0</v>
      </c>
      <c r="F12" s="366">
        <f>продажи!$C$12*'Продажи 2'!F2*'Продажи 2'!F3</f>
        <v>0</v>
      </c>
      <c r="G12" s="366">
        <f>продажи!$C$12*'Продажи 2'!G2*'Продажи 2'!G3</f>
        <v>3.5999999999999996</v>
      </c>
      <c r="H12" s="366">
        <f>продажи!$C$12*'Продажи 2'!H2*'Продажи 2'!H3</f>
        <v>6</v>
      </c>
      <c r="I12" s="366">
        <f>продажи!$C$12*'Продажи 2'!I2*'Продажи 2'!I3</f>
        <v>9</v>
      </c>
      <c r="J12" s="366">
        <f>продажи!$C$12*'Продажи 2'!J2*'Продажи 2'!J3</f>
        <v>12</v>
      </c>
      <c r="K12" s="366">
        <f>продажи!$C$12*'Продажи 2'!K2*'Продажи 2'!K3</f>
        <v>12</v>
      </c>
      <c r="L12" s="366">
        <f>продажи!$C$12*'Продажи 2'!L2*'Продажи 2'!L3</f>
        <v>12</v>
      </c>
      <c r="M12" s="366">
        <f>продажи!$C$12*'Продажи 2'!M2*'Продажи 2'!M3</f>
        <v>12</v>
      </c>
      <c r="N12" s="366">
        <f>продажи!$C$12*'Продажи 2'!N2*'Продажи 2'!N3</f>
        <v>12</v>
      </c>
      <c r="O12" s="366">
        <f>продажи!$C$12*'Продажи 2'!O2*'Продажи 2'!O3</f>
        <v>12</v>
      </c>
      <c r="P12" s="366">
        <f>продажи!$C$12*'Продажи 2'!P2*'Продажи 2'!P3</f>
        <v>12</v>
      </c>
      <c r="Q12" s="366">
        <f>продажи!$C$12*'Продажи 2'!Q2*'Продажи 2'!Q3</f>
        <v>12</v>
      </c>
      <c r="R12" s="366">
        <f>продажи!$C$12*'Продажи 2'!R2*'Продажи 2'!R3</f>
        <v>12</v>
      </c>
      <c r="S12" s="366">
        <f>продажи!$C$12*'Продажи 2'!S2*'Продажи 2'!S3</f>
        <v>12</v>
      </c>
      <c r="T12" s="366">
        <f>продажи!$C$12*'Продажи 2'!T2*'Продажи 2'!T3</f>
        <v>12</v>
      </c>
      <c r="U12" s="366">
        <f>продажи!$C$12*'Продажи 2'!U2*'Продажи 2'!U3</f>
        <v>12</v>
      </c>
      <c r="V12" s="366">
        <f>продажи!$C$12*'Продажи 2'!V2*'Продажи 2'!V3</f>
        <v>12</v>
      </c>
      <c r="W12" s="366">
        <f>продажи!$C$12*'Продажи 2'!W2*'Продажи 2'!W3</f>
        <v>12</v>
      </c>
      <c r="X12" s="366">
        <f>продажи!$C$12*'Продажи 2'!X2*'Продажи 2'!X3</f>
        <v>12</v>
      </c>
      <c r="Y12" s="366">
        <f>продажи!$C$12*'Продажи 2'!Y2*'Продажи 2'!Y3</f>
        <v>12</v>
      </c>
      <c r="Z12" s="371"/>
    </row>
    <row r="13" spans="1:26" hidden="1" outlineLevel="1" x14ac:dyDescent="0.2">
      <c r="A13" s="430" t="s">
        <v>2810</v>
      </c>
      <c r="B13" s="366">
        <f>продажи!$C$13*'Продажи 2'!B2*'Продажи 2'!B3</f>
        <v>0</v>
      </c>
      <c r="C13" s="366">
        <f>продажи!$C$13*'Продажи 2'!C2*'Продажи 2'!C3</f>
        <v>0</v>
      </c>
      <c r="D13" s="366">
        <f>продажи!$C$13*'Продажи 2'!D2*'Продажи 2'!D3</f>
        <v>0</v>
      </c>
      <c r="E13" s="366">
        <f>продажи!$C$13*'Продажи 2'!E2*'Продажи 2'!E3</f>
        <v>0</v>
      </c>
      <c r="F13" s="366">
        <f>продажи!$C$13*'Продажи 2'!F2*'Продажи 2'!F3</f>
        <v>0</v>
      </c>
      <c r="G13" s="366">
        <f>продажи!$C$13*'Продажи 2'!G2*'Продажи 2'!G3</f>
        <v>3.5999999999999996</v>
      </c>
      <c r="H13" s="366">
        <f>продажи!$C$13*'Продажи 2'!H2*'Продажи 2'!H3</f>
        <v>6</v>
      </c>
      <c r="I13" s="366">
        <f>продажи!$C$13*'Продажи 2'!I2*'Продажи 2'!I3</f>
        <v>9</v>
      </c>
      <c r="J13" s="366">
        <f>продажи!$C$13*'Продажи 2'!J2*'Продажи 2'!J3</f>
        <v>12</v>
      </c>
      <c r="K13" s="366">
        <f>продажи!$C$13*'Продажи 2'!K2*'Продажи 2'!K3</f>
        <v>12</v>
      </c>
      <c r="L13" s="366">
        <f>продажи!$C$13*'Продажи 2'!L2*'Продажи 2'!L3</f>
        <v>12</v>
      </c>
      <c r="M13" s="366">
        <f>продажи!$C$13*'Продажи 2'!M2*'Продажи 2'!M3</f>
        <v>12</v>
      </c>
      <c r="N13" s="366">
        <f>продажи!$C$13*'Продажи 2'!N2*'Продажи 2'!N3</f>
        <v>12</v>
      </c>
      <c r="O13" s="366">
        <f>продажи!$C$13*'Продажи 2'!O2*'Продажи 2'!O3</f>
        <v>12</v>
      </c>
      <c r="P13" s="366">
        <f>продажи!$C$13*'Продажи 2'!P2*'Продажи 2'!P3</f>
        <v>12</v>
      </c>
      <c r="Q13" s="366">
        <f>продажи!$C$13*'Продажи 2'!Q2*'Продажи 2'!Q3</f>
        <v>12</v>
      </c>
      <c r="R13" s="366">
        <f>продажи!$C$13*'Продажи 2'!R2*'Продажи 2'!R3</f>
        <v>12</v>
      </c>
      <c r="S13" s="366">
        <f>продажи!$C$13*'Продажи 2'!S2*'Продажи 2'!S3</f>
        <v>12</v>
      </c>
      <c r="T13" s="366">
        <f>продажи!$C$13*'Продажи 2'!T2*'Продажи 2'!T3</f>
        <v>12</v>
      </c>
      <c r="U13" s="366">
        <f>продажи!$C$13*'Продажи 2'!U2*'Продажи 2'!U3</f>
        <v>12</v>
      </c>
      <c r="V13" s="366">
        <f>продажи!$C$13*'Продажи 2'!V2*'Продажи 2'!V3</f>
        <v>12</v>
      </c>
      <c r="W13" s="366">
        <f>продажи!$C$13*'Продажи 2'!W2*'Продажи 2'!W3</f>
        <v>12</v>
      </c>
      <c r="X13" s="366">
        <f>продажи!$C$13*'Продажи 2'!X2*'Продажи 2'!X3</f>
        <v>12</v>
      </c>
      <c r="Y13" s="366">
        <f>продажи!$C$13*'Продажи 2'!Y2*'Продажи 2'!Y3</f>
        <v>12</v>
      </c>
      <c r="Z13" s="371"/>
    </row>
    <row r="14" spans="1:26" hidden="1" outlineLevel="1" x14ac:dyDescent="0.2">
      <c r="A14" s="430" t="s">
        <v>2811</v>
      </c>
      <c r="B14" s="366">
        <f>продажи!$C$14*'Продажи 2'!B2*'Продажи 2'!B3</f>
        <v>0</v>
      </c>
      <c r="C14" s="366">
        <f>продажи!$C$14*'Продажи 2'!C2*'Продажи 2'!C3</f>
        <v>0</v>
      </c>
      <c r="D14" s="366">
        <f>продажи!$C$14*'Продажи 2'!D2*'Продажи 2'!D3</f>
        <v>0</v>
      </c>
      <c r="E14" s="366">
        <f>продажи!$C$14*'Продажи 2'!E2*'Продажи 2'!E3</f>
        <v>0</v>
      </c>
      <c r="F14" s="366">
        <f>продажи!$C$14*'Продажи 2'!F2*'Продажи 2'!F3</f>
        <v>0</v>
      </c>
      <c r="G14" s="366">
        <f>продажи!$C$14*'Продажи 2'!G2*'Продажи 2'!G3</f>
        <v>3.5999999999999996</v>
      </c>
      <c r="H14" s="366">
        <f>продажи!$C$14*'Продажи 2'!H2*'Продажи 2'!H3</f>
        <v>6</v>
      </c>
      <c r="I14" s="366">
        <f>продажи!$C$14*'Продажи 2'!I2*'Продажи 2'!I3</f>
        <v>9</v>
      </c>
      <c r="J14" s="366">
        <f>продажи!$C$14*'Продажи 2'!J2*'Продажи 2'!J3</f>
        <v>12</v>
      </c>
      <c r="K14" s="366">
        <f>продажи!$C$14*'Продажи 2'!K2*'Продажи 2'!K3</f>
        <v>12</v>
      </c>
      <c r="L14" s="366">
        <f>продажи!$C$14*'Продажи 2'!L2*'Продажи 2'!L3</f>
        <v>12</v>
      </c>
      <c r="M14" s="366">
        <f>продажи!$C$14*'Продажи 2'!M2*'Продажи 2'!M3</f>
        <v>12</v>
      </c>
      <c r="N14" s="366">
        <f>продажи!$C$14*'Продажи 2'!N2*'Продажи 2'!N3</f>
        <v>12</v>
      </c>
      <c r="O14" s="366">
        <f>продажи!$C$14*'Продажи 2'!O2*'Продажи 2'!O3</f>
        <v>12</v>
      </c>
      <c r="P14" s="366">
        <f>продажи!$C$14*'Продажи 2'!P2*'Продажи 2'!P3</f>
        <v>12</v>
      </c>
      <c r="Q14" s="366">
        <f>продажи!$C$14*'Продажи 2'!Q2*'Продажи 2'!Q3</f>
        <v>12</v>
      </c>
      <c r="R14" s="366">
        <f>продажи!$C$14*'Продажи 2'!R2*'Продажи 2'!R3</f>
        <v>12</v>
      </c>
      <c r="S14" s="366">
        <f>продажи!$C$14*'Продажи 2'!S2*'Продажи 2'!S3</f>
        <v>12</v>
      </c>
      <c r="T14" s="366">
        <f>продажи!$C$14*'Продажи 2'!T2*'Продажи 2'!T3</f>
        <v>12</v>
      </c>
      <c r="U14" s="366">
        <f>продажи!$C$14*'Продажи 2'!U2*'Продажи 2'!U3</f>
        <v>12</v>
      </c>
      <c r="V14" s="366">
        <f>продажи!$C$14*'Продажи 2'!V2*'Продажи 2'!V3</f>
        <v>12</v>
      </c>
      <c r="W14" s="366">
        <f>продажи!$C$14*'Продажи 2'!W2*'Продажи 2'!W3</f>
        <v>12</v>
      </c>
      <c r="X14" s="366">
        <f>продажи!$C$14*'Продажи 2'!X2*'Продажи 2'!X3</f>
        <v>12</v>
      </c>
      <c r="Y14" s="366">
        <f>продажи!$C$14*'Продажи 2'!Y2*'Продажи 2'!Y3</f>
        <v>12</v>
      </c>
      <c r="Z14" s="371"/>
    </row>
    <row r="15" spans="1:26" hidden="1" outlineLevel="1" x14ac:dyDescent="0.2">
      <c r="A15" s="430" t="s">
        <v>2812</v>
      </c>
      <c r="B15" s="366">
        <f>продажи!$C$15*'Продажи 2'!B2*'Продажи 2'!B3</f>
        <v>0</v>
      </c>
      <c r="C15" s="366">
        <f>продажи!$C$15*'Продажи 2'!C2*'Продажи 2'!C3</f>
        <v>0</v>
      </c>
      <c r="D15" s="366">
        <f>продажи!$C$15*'Продажи 2'!D2*'Продажи 2'!D3</f>
        <v>0</v>
      </c>
      <c r="E15" s="366">
        <f>продажи!$C$15*'Продажи 2'!E2*'Продажи 2'!E3</f>
        <v>0</v>
      </c>
      <c r="F15" s="366">
        <f>продажи!$C$15*'Продажи 2'!F2*'Продажи 2'!F3</f>
        <v>0</v>
      </c>
      <c r="G15" s="366">
        <f>продажи!$C$15*'Продажи 2'!G2*'Продажи 2'!G3</f>
        <v>4.5</v>
      </c>
      <c r="H15" s="366">
        <f>продажи!$C$15*'Продажи 2'!H2*'Продажи 2'!H3</f>
        <v>7.5</v>
      </c>
      <c r="I15" s="366">
        <f>продажи!$C$15*'Продажи 2'!I2*'Продажи 2'!I3</f>
        <v>11.25</v>
      </c>
      <c r="J15" s="366">
        <f>продажи!$C$15*'Продажи 2'!J2*'Продажи 2'!J3</f>
        <v>15</v>
      </c>
      <c r="K15" s="366">
        <f>продажи!$C$15*'Продажи 2'!K2*'Продажи 2'!K3</f>
        <v>15</v>
      </c>
      <c r="L15" s="366">
        <f>продажи!$C$15*'Продажи 2'!L2*'Продажи 2'!L3</f>
        <v>15</v>
      </c>
      <c r="M15" s="366">
        <f>продажи!$C$15*'Продажи 2'!M2*'Продажи 2'!M3</f>
        <v>15</v>
      </c>
      <c r="N15" s="366">
        <f>продажи!$C$15*'Продажи 2'!N2*'Продажи 2'!N3</f>
        <v>15</v>
      </c>
      <c r="O15" s="366">
        <f>продажи!$C$15*'Продажи 2'!O2*'Продажи 2'!O3</f>
        <v>15</v>
      </c>
      <c r="P15" s="366">
        <f>продажи!$C$15*'Продажи 2'!P2*'Продажи 2'!P3</f>
        <v>15</v>
      </c>
      <c r="Q15" s="366">
        <f>продажи!$C$15*'Продажи 2'!Q2*'Продажи 2'!Q3</f>
        <v>15</v>
      </c>
      <c r="R15" s="366">
        <f>продажи!$C$15*'Продажи 2'!R2*'Продажи 2'!R3</f>
        <v>15</v>
      </c>
      <c r="S15" s="366">
        <f>продажи!$C$15*'Продажи 2'!S2*'Продажи 2'!S3</f>
        <v>15</v>
      </c>
      <c r="T15" s="366">
        <f>продажи!$C$15*'Продажи 2'!T2*'Продажи 2'!T3</f>
        <v>15</v>
      </c>
      <c r="U15" s="366">
        <f>продажи!$C$15*'Продажи 2'!U2*'Продажи 2'!U3</f>
        <v>15</v>
      </c>
      <c r="V15" s="366">
        <f>продажи!$C$15*'Продажи 2'!V2*'Продажи 2'!V3</f>
        <v>15</v>
      </c>
      <c r="W15" s="366">
        <f>продажи!$C$15*'Продажи 2'!W2*'Продажи 2'!W3</f>
        <v>15</v>
      </c>
      <c r="X15" s="366">
        <f>продажи!$C$15*'Продажи 2'!X2*'Продажи 2'!X3</f>
        <v>15</v>
      </c>
      <c r="Y15" s="366">
        <f>продажи!$C$15*'Продажи 2'!Y2*'Продажи 2'!Y3</f>
        <v>15</v>
      </c>
      <c r="Z15" s="371"/>
    </row>
    <row r="16" spans="1:26" hidden="1" outlineLevel="1" x14ac:dyDescent="0.2">
      <c r="A16" s="430" t="s">
        <v>2813</v>
      </c>
      <c r="B16" s="366">
        <f>продажи!$C$16*'Продажи 2'!B2*'Продажи 2'!B3</f>
        <v>0</v>
      </c>
      <c r="C16" s="366">
        <f>продажи!$C$16*'Продажи 2'!C2*'Продажи 2'!C3</f>
        <v>0</v>
      </c>
      <c r="D16" s="366">
        <f>продажи!$C$16*'Продажи 2'!D2*'Продажи 2'!D3</f>
        <v>0</v>
      </c>
      <c r="E16" s="366">
        <f>продажи!$C$16*'Продажи 2'!E2*'Продажи 2'!E3</f>
        <v>0</v>
      </c>
      <c r="F16" s="366">
        <f>продажи!$C$16*'Продажи 2'!F2*'Продажи 2'!F3</f>
        <v>0</v>
      </c>
      <c r="G16" s="366">
        <f>продажи!$C$16*'Продажи 2'!G2*'Продажи 2'!G3</f>
        <v>4.5</v>
      </c>
      <c r="H16" s="366">
        <f>продажи!$C$16*'Продажи 2'!H2*'Продажи 2'!H3</f>
        <v>7.5</v>
      </c>
      <c r="I16" s="366">
        <f>продажи!$C$16*'Продажи 2'!I2*'Продажи 2'!I3</f>
        <v>11.25</v>
      </c>
      <c r="J16" s="366">
        <f>продажи!$C$16*'Продажи 2'!J2*'Продажи 2'!J3</f>
        <v>15</v>
      </c>
      <c r="K16" s="366">
        <f>продажи!$C$16*'Продажи 2'!K2*'Продажи 2'!K3</f>
        <v>15</v>
      </c>
      <c r="L16" s="366">
        <f>продажи!$C$16*'Продажи 2'!L2*'Продажи 2'!L3</f>
        <v>15</v>
      </c>
      <c r="M16" s="366">
        <f>продажи!$C$16*'Продажи 2'!M2*'Продажи 2'!M3</f>
        <v>15</v>
      </c>
      <c r="N16" s="366">
        <f>продажи!$C$16*'Продажи 2'!N2*'Продажи 2'!N3</f>
        <v>15</v>
      </c>
      <c r="O16" s="366">
        <f>продажи!$C$16*'Продажи 2'!O2*'Продажи 2'!O3</f>
        <v>15</v>
      </c>
      <c r="P16" s="366">
        <f>продажи!$C$16*'Продажи 2'!P2*'Продажи 2'!P3</f>
        <v>15</v>
      </c>
      <c r="Q16" s="366">
        <f>продажи!$C$16*'Продажи 2'!Q2*'Продажи 2'!Q3</f>
        <v>15</v>
      </c>
      <c r="R16" s="366">
        <f>продажи!$C$16*'Продажи 2'!R2*'Продажи 2'!R3</f>
        <v>15</v>
      </c>
      <c r="S16" s="366">
        <f>продажи!$C$16*'Продажи 2'!S2*'Продажи 2'!S3</f>
        <v>15</v>
      </c>
      <c r="T16" s="366">
        <f>продажи!$C$16*'Продажи 2'!T2*'Продажи 2'!T3</f>
        <v>15</v>
      </c>
      <c r="U16" s="366">
        <f>продажи!$C$16*'Продажи 2'!U2*'Продажи 2'!U3</f>
        <v>15</v>
      </c>
      <c r="V16" s="366">
        <f>продажи!$C$16*'Продажи 2'!V2*'Продажи 2'!V3</f>
        <v>15</v>
      </c>
      <c r="W16" s="366">
        <f>продажи!$C$16*'Продажи 2'!W2*'Продажи 2'!W3</f>
        <v>15</v>
      </c>
      <c r="X16" s="366">
        <f>продажи!$C$16*'Продажи 2'!X2*'Продажи 2'!X3</f>
        <v>15</v>
      </c>
      <c r="Y16" s="366">
        <f>продажи!$C$16*'Продажи 2'!Y2*'Продажи 2'!Y3</f>
        <v>15</v>
      </c>
      <c r="Z16" s="371"/>
    </row>
    <row r="17" spans="1:26" hidden="1" outlineLevel="1" x14ac:dyDescent="0.2">
      <c r="A17" s="430" t="s">
        <v>2814</v>
      </c>
      <c r="B17" s="366">
        <f>продажи!$C$17*'Продажи 2'!B2*'Продажи 2'!B3</f>
        <v>0</v>
      </c>
      <c r="C17" s="366">
        <f>продажи!$C$17*'Продажи 2'!C2*'Продажи 2'!C3</f>
        <v>0</v>
      </c>
      <c r="D17" s="366">
        <f>продажи!$C$17*'Продажи 2'!D2*'Продажи 2'!D3</f>
        <v>0</v>
      </c>
      <c r="E17" s="366">
        <f>продажи!$C$17*'Продажи 2'!E2*'Продажи 2'!E3</f>
        <v>0</v>
      </c>
      <c r="F17" s="366">
        <f>продажи!$C$17*'Продажи 2'!F2*'Продажи 2'!F3</f>
        <v>0</v>
      </c>
      <c r="G17" s="366">
        <f>продажи!$C$17*'Продажи 2'!G2*'Продажи 2'!G3</f>
        <v>3.5999999999999996</v>
      </c>
      <c r="H17" s="366">
        <f>продажи!$C$17*'Продажи 2'!H2*'Продажи 2'!H3</f>
        <v>6</v>
      </c>
      <c r="I17" s="366">
        <f>продажи!$C$17*'Продажи 2'!I2*'Продажи 2'!I3</f>
        <v>9</v>
      </c>
      <c r="J17" s="366">
        <f>продажи!$C$17*'Продажи 2'!J2*'Продажи 2'!J3</f>
        <v>12</v>
      </c>
      <c r="K17" s="366">
        <f>продажи!$C$17*'Продажи 2'!K2*'Продажи 2'!K3</f>
        <v>12</v>
      </c>
      <c r="L17" s="366">
        <f>продажи!$C$17*'Продажи 2'!L2*'Продажи 2'!L3</f>
        <v>12</v>
      </c>
      <c r="M17" s="366">
        <f>продажи!$C$17*'Продажи 2'!M2*'Продажи 2'!M3</f>
        <v>12</v>
      </c>
      <c r="N17" s="366">
        <f>продажи!$C$17*'Продажи 2'!N2*'Продажи 2'!N3</f>
        <v>12</v>
      </c>
      <c r="O17" s="366">
        <f>продажи!$C$17*'Продажи 2'!O2*'Продажи 2'!O3</f>
        <v>12</v>
      </c>
      <c r="P17" s="366">
        <f>продажи!$C$17*'Продажи 2'!P2*'Продажи 2'!P3</f>
        <v>12</v>
      </c>
      <c r="Q17" s="366">
        <f>продажи!$C$17*'Продажи 2'!Q2*'Продажи 2'!Q3</f>
        <v>12</v>
      </c>
      <c r="R17" s="366">
        <f>продажи!$C$17*'Продажи 2'!R2*'Продажи 2'!R3</f>
        <v>12</v>
      </c>
      <c r="S17" s="366">
        <f>продажи!$C$17*'Продажи 2'!S2*'Продажи 2'!S3</f>
        <v>12</v>
      </c>
      <c r="T17" s="366">
        <f>продажи!$C$17*'Продажи 2'!T2*'Продажи 2'!T3</f>
        <v>12</v>
      </c>
      <c r="U17" s="366">
        <f>продажи!$C$17*'Продажи 2'!U2*'Продажи 2'!U3</f>
        <v>12</v>
      </c>
      <c r="V17" s="366">
        <f>продажи!$C$17*'Продажи 2'!V2*'Продажи 2'!V3</f>
        <v>12</v>
      </c>
      <c r="W17" s="366">
        <f>продажи!$C$17*'Продажи 2'!W2*'Продажи 2'!W3</f>
        <v>12</v>
      </c>
      <c r="X17" s="366">
        <f>продажи!$C$17*'Продажи 2'!X2*'Продажи 2'!X3</f>
        <v>12</v>
      </c>
      <c r="Y17" s="366">
        <f>продажи!$C$17*'Продажи 2'!Y2*'Продажи 2'!Y3</f>
        <v>12</v>
      </c>
      <c r="Z17" s="371"/>
    </row>
    <row r="18" spans="1:26" hidden="1" outlineLevel="1" x14ac:dyDescent="0.2">
      <c r="A18" s="430" t="s">
        <v>2815</v>
      </c>
      <c r="B18" s="366">
        <f>продажи!$C$18*'Продажи 2'!B2*'Продажи 2'!B3</f>
        <v>0</v>
      </c>
      <c r="C18" s="366">
        <f>продажи!$C$18*'Продажи 2'!C2*'Продажи 2'!C3</f>
        <v>0</v>
      </c>
      <c r="D18" s="366">
        <f>продажи!$C$18*'Продажи 2'!D2*'Продажи 2'!D3</f>
        <v>0</v>
      </c>
      <c r="E18" s="366">
        <f>продажи!$C$18*'Продажи 2'!E2*'Продажи 2'!E3</f>
        <v>0</v>
      </c>
      <c r="F18" s="366">
        <f>продажи!$C$18*'Продажи 2'!F2*'Продажи 2'!F3</f>
        <v>0</v>
      </c>
      <c r="G18" s="366">
        <f>продажи!$C$18*'Продажи 2'!G2*'Продажи 2'!G3</f>
        <v>7.1999999999999993</v>
      </c>
      <c r="H18" s="366">
        <f>продажи!$C$18*'Продажи 2'!H2*'Продажи 2'!H3</f>
        <v>12</v>
      </c>
      <c r="I18" s="366">
        <f>продажи!$C$18*'Продажи 2'!I2*'Продажи 2'!I3</f>
        <v>18</v>
      </c>
      <c r="J18" s="366">
        <f>продажи!$C$18*'Продажи 2'!J2*'Продажи 2'!J3</f>
        <v>24</v>
      </c>
      <c r="K18" s="366">
        <f>продажи!$C$18*'Продажи 2'!K2*'Продажи 2'!K3</f>
        <v>24</v>
      </c>
      <c r="L18" s="366">
        <f>продажи!$C$18*'Продажи 2'!L2*'Продажи 2'!L3</f>
        <v>24</v>
      </c>
      <c r="M18" s="366">
        <f>продажи!$C$18*'Продажи 2'!M2*'Продажи 2'!M3</f>
        <v>24</v>
      </c>
      <c r="N18" s="366">
        <f>продажи!$C$18*'Продажи 2'!N2*'Продажи 2'!N3</f>
        <v>24</v>
      </c>
      <c r="O18" s="366">
        <f>продажи!$C$18*'Продажи 2'!O2*'Продажи 2'!O3</f>
        <v>24</v>
      </c>
      <c r="P18" s="366">
        <f>продажи!$C$18*'Продажи 2'!P2*'Продажи 2'!P3</f>
        <v>24</v>
      </c>
      <c r="Q18" s="366">
        <f>продажи!$C$18*'Продажи 2'!Q2*'Продажи 2'!Q3</f>
        <v>24</v>
      </c>
      <c r="R18" s="366">
        <f>продажи!$C$18*'Продажи 2'!R2*'Продажи 2'!R3</f>
        <v>24</v>
      </c>
      <c r="S18" s="366">
        <f>продажи!$C$18*'Продажи 2'!S2*'Продажи 2'!S3</f>
        <v>24</v>
      </c>
      <c r="T18" s="366">
        <f>продажи!$C$18*'Продажи 2'!T2*'Продажи 2'!T3</f>
        <v>24</v>
      </c>
      <c r="U18" s="366">
        <f>продажи!$C$18*'Продажи 2'!U2*'Продажи 2'!U3</f>
        <v>24</v>
      </c>
      <c r="V18" s="366">
        <f>продажи!$C$18*'Продажи 2'!V2*'Продажи 2'!V3</f>
        <v>24</v>
      </c>
      <c r="W18" s="366">
        <f>продажи!$C$18*'Продажи 2'!W2*'Продажи 2'!W3</f>
        <v>24</v>
      </c>
      <c r="X18" s="366">
        <f>продажи!$C$18*'Продажи 2'!X2*'Продажи 2'!X3</f>
        <v>24</v>
      </c>
      <c r="Y18" s="366">
        <f>продажи!$C$18*'Продажи 2'!Y2*'Продажи 2'!Y3</f>
        <v>24</v>
      </c>
      <c r="Z18" s="371"/>
    </row>
    <row r="19" spans="1:26" collapsed="1" x14ac:dyDescent="0.2">
      <c r="A19" s="431" t="s">
        <v>2920</v>
      </c>
      <c r="B19" s="375"/>
      <c r="C19" s="375"/>
      <c r="D19" s="375"/>
      <c r="E19" s="375"/>
      <c r="F19" s="375"/>
      <c r="G19" s="375"/>
      <c r="H19" s="375"/>
      <c r="I19" s="375"/>
      <c r="J19" s="375"/>
      <c r="K19" s="375"/>
      <c r="L19" s="375"/>
      <c r="M19" s="375"/>
      <c r="N19" s="375"/>
      <c r="O19" s="375"/>
      <c r="P19" s="375"/>
      <c r="Q19" s="375"/>
      <c r="R19" s="375"/>
      <c r="S19" s="375"/>
      <c r="T19" s="375"/>
      <c r="U19" s="375"/>
      <c r="V19" s="375"/>
      <c r="W19" s="375"/>
      <c r="X19" s="375"/>
      <c r="Y19" s="375"/>
      <c r="Z19" s="376"/>
    </row>
    <row r="20" spans="1:26" x14ac:dyDescent="0.2">
      <c r="A20" s="430" t="s">
        <v>2802</v>
      </c>
      <c r="B20" s="366">
        <f t="shared" ref="B20" si="0">ROUND(B5,0)</f>
        <v>0</v>
      </c>
      <c r="C20" s="366">
        <f t="shared" ref="C20:U20" si="1">ROUND(C5,0)</f>
        <v>0</v>
      </c>
      <c r="D20" s="366">
        <f t="shared" si="1"/>
        <v>0</v>
      </c>
      <c r="E20" s="366">
        <f t="shared" si="1"/>
        <v>0</v>
      </c>
      <c r="F20" s="366">
        <f t="shared" si="1"/>
        <v>0</v>
      </c>
      <c r="G20" s="366">
        <f t="shared" si="1"/>
        <v>7</v>
      </c>
      <c r="H20" s="366">
        <f t="shared" si="1"/>
        <v>12</v>
      </c>
      <c r="I20" s="366">
        <f t="shared" si="1"/>
        <v>18</v>
      </c>
      <c r="J20" s="366">
        <f t="shared" si="1"/>
        <v>24</v>
      </c>
      <c r="K20" s="366">
        <f t="shared" si="1"/>
        <v>24</v>
      </c>
      <c r="L20" s="366">
        <f t="shared" si="1"/>
        <v>24</v>
      </c>
      <c r="M20" s="366">
        <f t="shared" si="1"/>
        <v>24</v>
      </c>
      <c r="N20" s="366">
        <f t="shared" si="1"/>
        <v>24</v>
      </c>
      <c r="O20" s="366">
        <f t="shared" si="1"/>
        <v>24</v>
      </c>
      <c r="P20" s="366">
        <f t="shared" si="1"/>
        <v>24</v>
      </c>
      <c r="Q20" s="366">
        <f t="shared" si="1"/>
        <v>24</v>
      </c>
      <c r="R20" s="366">
        <f t="shared" si="1"/>
        <v>24</v>
      </c>
      <c r="S20" s="366">
        <f t="shared" si="1"/>
        <v>24</v>
      </c>
      <c r="T20" s="366">
        <f t="shared" si="1"/>
        <v>24</v>
      </c>
      <c r="U20" s="366">
        <f t="shared" si="1"/>
        <v>24</v>
      </c>
      <c r="V20" s="366">
        <f t="shared" ref="V20:Y20" si="2">ROUND(V5,0)</f>
        <v>24</v>
      </c>
      <c r="W20" s="366">
        <f t="shared" si="2"/>
        <v>24</v>
      </c>
      <c r="X20" s="366">
        <f t="shared" si="2"/>
        <v>24</v>
      </c>
      <c r="Y20" s="366">
        <f t="shared" si="2"/>
        <v>24</v>
      </c>
      <c r="Z20" s="371"/>
    </row>
    <row r="21" spans="1:26" x14ac:dyDescent="0.2">
      <c r="A21" s="430" t="s">
        <v>2803</v>
      </c>
      <c r="B21" s="366">
        <f t="shared" ref="B21:U21" si="3">ROUND(B6,0)</f>
        <v>0</v>
      </c>
      <c r="C21" s="366">
        <f t="shared" si="3"/>
        <v>0</v>
      </c>
      <c r="D21" s="366">
        <f t="shared" si="3"/>
        <v>0</v>
      </c>
      <c r="E21" s="366">
        <f t="shared" si="3"/>
        <v>0</v>
      </c>
      <c r="F21" s="366">
        <f t="shared" si="3"/>
        <v>0</v>
      </c>
      <c r="G21" s="366">
        <f t="shared" si="3"/>
        <v>9</v>
      </c>
      <c r="H21" s="366">
        <f t="shared" si="3"/>
        <v>15</v>
      </c>
      <c r="I21" s="366">
        <f t="shared" si="3"/>
        <v>23</v>
      </c>
      <c r="J21" s="366">
        <f t="shared" si="3"/>
        <v>30</v>
      </c>
      <c r="K21" s="366">
        <f t="shared" si="3"/>
        <v>30</v>
      </c>
      <c r="L21" s="366">
        <f t="shared" si="3"/>
        <v>30</v>
      </c>
      <c r="M21" s="366">
        <f t="shared" si="3"/>
        <v>30</v>
      </c>
      <c r="N21" s="366">
        <f t="shared" si="3"/>
        <v>30</v>
      </c>
      <c r="O21" s="366">
        <f t="shared" si="3"/>
        <v>30</v>
      </c>
      <c r="P21" s="366">
        <f t="shared" si="3"/>
        <v>30</v>
      </c>
      <c r="Q21" s="366">
        <f t="shared" si="3"/>
        <v>30</v>
      </c>
      <c r="R21" s="366">
        <f t="shared" si="3"/>
        <v>30</v>
      </c>
      <c r="S21" s="366">
        <f t="shared" si="3"/>
        <v>30</v>
      </c>
      <c r="T21" s="366">
        <f t="shared" si="3"/>
        <v>30</v>
      </c>
      <c r="U21" s="366">
        <f t="shared" si="3"/>
        <v>30</v>
      </c>
      <c r="V21" s="366">
        <f t="shared" ref="V21:Y21" si="4">ROUND(V6,0)</f>
        <v>30</v>
      </c>
      <c r="W21" s="366">
        <f t="shared" si="4"/>
        <v>30</v>
      </c>
      <c r="X21" s="366">
        <f t="shared" si="4"/>
        <v>30</v>
      </c>
      <c r="Y21" s="366">
        <f t="shared" si="4"/>
        <v>30</v>
      </c>
      <c r="Z21" s="371"/>
    </row>
    <row r="22" spans="1:26" x14ac:dyDescent="0.2">
      <c r="A22" s="430" t="s">
        <v>2804</v>
      </c>
      <c r="B22" s="366">
        <f t="shared" ref="B22:U22" si="5">ROUND(B7,0)</f>
        <v>0</v>
      </c>
      <c r="C22" s="366">
        <f t="shared" si="5"/>
        <v>0</v>
      </c>
      <c r="D22" s="366">
        <f t="shared" si="5"/>
        <v>0</v>
      </c>
      <c r="E22" s="366">
        <f t="shared" si="5"/>
        <v>0</v>
      </c>
      <c r="F22" s="366">
        <f t="shared" si="5"/>
        <v>0</v>
      </c>
      <c r="G22" s="366">
        <f t="shared" si="5"/>
        <v>9</v>
      </c>
      <c r="H22" s="366">
        <f t="shared" si="5"/>
        <v>15</v>
      </c>
      <c r="I22" s="366">
        <f t="shared" si="5"/>
        <v>23</v>
      </c>
      <c r="J22" s="366">
        <f t="shared" si="5"/>
        <v>30</v>
      </c>
      <c r="K22" s="366">
        <f t="shared" si="5"/>
        <v>30</v>
      </c>
      <c r="L22" s="366">
        <f t="shared" si="5"/>
        <v>30</v>
      </c>
      <c r="M22" s="366">
        <f t="shared" si="5"/>
        <v>30</v>
      </c>
      <c r="N22" s="366">
        <f t="shared" si="5"/>
        <v>30</v>
      </c>
      <c r="O22" s="366">
        <f t="shared" si="5"/>
        <v>30</v>
      </c>
      <c r="P22" s="366">
        <f t="shared" si="5"/>
        <v>30</v>
      </c>
      <c r="Q22" s="366">
        <f t="shared" si="5"/>
        <v>30</v>
      </c>
      <c r="R22" s="366">
        <f t="shared" si="5"/>
        <v>30</v>
      </c>
      <c r="S22" s="366">
        <f t="shared" si="5"/>
        <v>30</v>
      </c>
      <c r="T22" s="366">
        <f t="shared" si="5"/>
        <v>30</v>
      </c>
      <c r="U22" s="366">
        <f t="shared" si="5"/>
        <v>30</v>
      </c>
      <c r="V22" s="366">
        <f t="shared" ref="V22:Y22" si="6">ROUND(V7,0)</f>
        <v>30</v>
      </c>
      <c r="W22" s="366">
        <f t="shared" si="6"/>
        <v>30</v>
      </c>
      <c r="X22" s="366">
        <f t="shared" si="6"/>
        <v>30</v>
      </c>
      <c r="Y22" s="366">
        <f t="shared" si="6"/>
        <v>30</v>
      </c>
      <c r="Z22" s="371"/>
    </row>
    <row r="23" spans="1:26" x14ac:dyDescent="0.2">
      <c r="A23" s="430" t="s">
        <v>2805</v>
      </c>
      <c r="B23" s="366">
        <f t="shared" ref="B23:U23" si="7">ROUND(B8,0)</f>
        <v>0</v>
      </c>
      <c r="C23" s="366">
        <f t="shared" si="7"/>
        <v>0</v>
      </c>
      <c r="D23" s="366">
        <f t="shared" si="7"/>
        <v>0</v>
      </c>
      <c r="E23" s="366">
        <f t="shared" si="7"/>
        <v>0</v>
      </c>
      <c r="F23" s="366">
        <f t="shared" si="7"/>
        <v>0</v>
      </c>
      <c r="G23" s="366">
        <f t="shared" si="7"/>
        <v>9</v>
      </c>
      <c r="H23" s="366">
        <f t="shared" si="7"/>
        <v>15</v>
      </c>
      <c r="I23" s="366">
        <f t="shared" si="7"/>
        <v>23</v>
      </c>
      <c r="J23" s="366">
        <f t="shared" si="7"/>
        <v>30</v>
      </c>
      <c r="K23" s="366">
        <f t="shared" si="7"/>
        <v>30</v>
      </c>
      <c r="L23" s="366">
        <f t="shared" si="7"/>
        <v>30</v>
      </c>
      <c r="M23" s="366">
        <f t="shared" si="7"/>
        <v>30</v>
      </c>
      <c r="N23" s="366">
        <f t="shared" si="7"/>
        <v>30</v>
      </c>
      <c r="O23" s="366">
        <f t="shared" si="7"/>
        <v>30</v>
      </c>
      <c r="P23" s="366">
        <f t="shared" si="7"/>
        <v>30</v>
      </c>
      <c r="Q23" s="366">
        <f t="shared" si="7"/>
        <v>30</v>
      </c>
      <c r="R23" s="366">
        <f t="shared" si="7"/>
        <v>30</v>
      </c>
      <c r="S23" s="366">
        <f t="shared" si="7"/>
        <v>30</v>
      </c>
      <c r="T23" s="366">
        <f t="shared" si="7"/>
        <v>30</v>
      </c>
      <c r="U23" s="366">
        <f t="shared" si="7"/>
        <v>30</v>
      </c>
      <c r="V23" s="366">
        <f t="shared" ref="V23:Y23" si="8">ROUND(V8,0)</f>
        <v>30</v>
      </c>
      <c r="W23" s="366">
        <f t="shared" si="8"/>
        <v>30</v>
      </c>
      <c r="X23" s="366">
        <f t="shared" si="8"/>
        <v>30</v>
      </c>
      <c r="Y23" s="366">
        <f t="shared" si="8"/>
        <v>30</v>
      </c>
      <c r="Z23" s="371"/>
    </row>
    <row r="24" spans="1:26" x14ac:dyDescent="0.2">
      <c r="A24" s="430" t="s">
        <v>2806</v>
      </c>
      <c r="B24" s="366">
        <f t="shared" ref="B24:U24" si="9">ROUND(B9,0)</f>
        <v>0</v>
      </c>
      <c r="C24" s="366">
        <f t="shared" si="9"/>
        <v>0</v>
      </c>
      <c r="D24" s="366">
        <f t="shared" si="9"/>
        <v>0</v>
      </c>
      <c r="E24" s="366">
        <f t="shared" si="9"/>
        <v>0</v>
      </c>
      <c r="F24" s="366">
        <f t="shared" si="9"/>
        <v>0</v>
      </c>
      <c r="G24" s="366">
        <f t="shared" si="9"/>
        <v>9</v>
      </c>
      <c r="H24" s="366">
        <f t="shared" si="9"/>
        <v>15</v>
      </c>
      <c r="I24" s="366">
        <f t="shared" si="9"/>
        <v>23</v>
      </c>
      <c r="J24" s="366">
        <f t="shared" si="9"/>
        <v>30</v>
      </c>
      <c r="K24" s="366">
        <f t="shared" si="9"/>
        <v>30</v>
      </c>
      <c r="L24" s="366">
        <f t="shared" si="9"/>
        <v>30</v>
      </c>
      <c r="M24" s="366">
        <f t="shared" si="9"/>
        <v>30</v>
      </c>
      <c r="N24" s="366">
        <f t="shared" si="9"/>
        <v>30</v>
      </c>
      <c r="O24" s="366">
        <f t="shared" si="9"/>
        <v>30</v>
      </c>
      <c r="P24" s="366">
        <f t="shared" si="9"/>
        <v>30</v>
      </c>
      <c r="Q24" s="366">
        <f t="shared" si="9"/>
        <v>30</v>
      </c>
      <c r="R24" s="366">
        <f t="shared" si="9"/>
        <v>30</v>
      </c>
      <c r="S24" s="366">
        <f t="shared" si="9"/>
        <v>30</v>
      </c>
      <c r="T24" s="366">
        <f t="shared" si="9"/>
        <v>30</v>
      </c>
      <c r="U24" s="366">
        <f t="shared" si="9"/>
        <v>30</v>
      </c>
      <c r="V24" s="366">
        <f t="shared" ref="V24:Y24" si="10">ROUND(V9,0)</f>
        <v>30</v>
      </c>
      <c r="W24" s="366">
        <f t="shared" si="10"/>
        <v>30</v>
      </c>
      <c r="X24" s="366">
        <f t="shared" si="10"/>
        <v>30</v>
      </c>
      <c r="Y24" s="366">
        <f t="shared" si="10"/>
        <v>30</v>
      </c>
      <c r="Z24" s="371"/>
    </row>
    <row r="25" spans="1:26" x14ac:dyDescent="0.2">
      <c r="A25" s="430" t="s">
        <v>2807</v>
      </c>
      <c r="B25" s="366">
        <f t="shared" ref="B25:U25" si="11">ROUND(B10,0)</f>
        <v>0</v>
      </c>
      <c r="C25" s="366">
        <f t="shared" si="11"/>
        <v>0</v>
      </c>
      <c r="D25" s="366">
        <f t="shared" si="11"/>
        <v>0</v>
      </c>
      <c r="E25" s="366">
        <f t="shared" si="11"/>
        <v>0</v>
      </c>
      <c r="F25" s="366">
        <f t="shared" si="11"/>
        <v>0</v>
      </c>
      <c r="G25" s="366">
        <f t="shared" si="11"/>
        <v>4</v>
      </c>
      <c r="H25" s="366">
        <f t="shared" si="11"/>
        <v>6</v>
      </c>
      <c r="I25" s="366">
        <f t="shared" si="11"/>
        <v>9</v>
      </c>
      <c r="J25" s="366">
        <f t="shared" si="11"/>
        <v>12</v>
      </c>
      <c r="K25" s="366">
        <f t="shared" si="11"/>
        <v>12</v>
      </c>
      <c r="L25" s="366">
        <f t="shared" si="11"/>
        <v>12</v>
      </c>
      <c r="M25" s="366">
        <f t="shared" si="11"/>
        <v>12</v>
      </c>
      <c r="N25" s="366">
        <f t="shared" si="11"/>
        <v>12</v>
      </c>
      <c r="O25" s="366">
        <f t="shared" si="11"/>
        <v>12</v>
      </c>
      <c r="P25" s="366">
        <f t="shared" si="11"/>
        <v>12</v>
      </c>
      <c r="Q25" s="366">
        <f t="shared" si="11"/>
        <v>12</v>
      </c>
      <c r="R25" s="366">
        <f t="shared" si="11"/>
        <v>12</v>
      </c>
      <c r="S25" s="366">
        <f t="shared" si="11"/>
        <v>12</v>
      </c>
      <c r="T25" s="366">
        <f t="shared" si="11"/>
        <v>12</v>
      </c>
      <c r="U25" s="366">
        <f t="shared" si="11"/>
        <v>12</v>
      </c>
      <c r="V25" s="366">
        <f t="shared" ref="V25:Y25" si="12">ROUND(V10,0)</f>
        <v>12</v>
      </c>
      <c r="W25" s="366">
        <f t="shared" si="12"/>
        <v>12</v>
      </c>
      <c r="X25" s="366">
        <f t="shared" si="12"/>
        <v>12</v>
      </c>
      <c r="Y25" s="366">
        <f t="shared" si="12"/>
        <v>12</v>
      </c>
      <c r="Z25" s="371"/>
    </row>
    <row r="26" spans="1:26" x14ac:dyDescent="0.2">
      <c r="A26" s="430" t="s">
        <v>2808</v>
      </c>
      <c r="B26" s="366">
        <f t="shared" ref="B26:U26" si="13">ROUND(B11,0)</f>
        <v>0</v>
      </c>
      <c r="C26" s="366">
        <f t="shared" si="13"/>
        <v>0</v>
      </c>
      <c r="D26" s="366">
        <f t="shared" si="13"/>
        <v>0</v>
      </c>
      <c r="E26" s="366">
        <f t="shared" si="13"/>
        <v>0</v>
      </c>
      <c r="F26" s="366">
        <f t="shared" si="13"/>
        <v>0</v>
      </c>
      <c r="G26" s="366">
        <f t="shared" si="13"/>
        <v>4</v>
      </c>
      <c r="H26" s="366">
        <f t="shared" si="13"/>
        <v>6</v>
      </c>
      <c r="I26" s="366">
        <f t="shared" si="13"/>
        <v>9</v>
      </c>
      <c r="J26" s="366">
        <f t="shared" si="13"/>
        <v>12</v>
      </c>
      <c r="K26" s="366">
        <f t="shared" si="13"/>
        <v>12</v>
      </c>
      <c r="L26" s="366">
        <f t="shared" si="13"/>
        <v>12</v>
      </c>
      <c r="M26" s="366">
        <f t="shared" si="13"/>
        <v>12</v>
      </c>
      <c r="N26" s="366">
        <f t="shared" si="13"/>
        <v>12</v>
      </c>
      <c r="O26" s="366">
        <f t="shared" si="13"/>
        <v>12</v>
      </c>
      <c r="P26" s="366">
        <f t="shared" si="13"/>
        <v>12</v>
      </c>
      <c r="Q26" s="366">
        <f t="shared" si="13"/>
        <v>12</v>
      </c>
      <c r="R26" s="366">
        <f t="shared" si="13"/>
        <v>12</v>
      </c>
      <c r="S26" s="366">
        <f t="shared" si="13"/>
        <v>12</v>
      </c>
      <c r="T26" s="366">
        <f t="shared" si="13"/>
        <v>12</v>
      </c>
      <c r="U26" s="366">
        <f t="shared" si="13"/>
        <v>12</v>
      </c>
      <c r="V26" s="366">
        <f t="shared" ref="V26:Y26" si="14">ROUND(V11,0)</f>
        <v>12</v>
      </c>
      <c r="W26" s="366">
        <f t="shared" si="14"/>
        <v>12</v>
      </c>
      <c r="X26" s="366">
        <f t="shared" si="14"/>
        <v>12</v>
      </c>
      <c r="Y26" s="366">
        <f t="shared" si="14"/>
        <v>12</v>
      </c>
      <c r="Z26" s="371"/>
    </row>
    <row r="27" spans="1:26" x14ac:dyDescent="0.2">
      <c r="A27" s="430" t="s">
        <v>2809</v>
      </c>
      <c r="B27" s="366">
        <f t="shared" ref="B27:U27" si="15">ROUND(B12,0)</f>
        <v>0</v>
      </c>
      <c r="C27" s="366">
        <f t="shared" si="15"/>
        <v>0</v>
      </c>
      <c r="D27" s="366">
        <f t="shared" si="15"/>
        <v>0</v>
      </c>
      <c r="E27" s="366">
        <f t="shared" si="15"/>
        <v>0</v>
      </c>
      <c r="F27" s="366">
        <f t="shared" si="15"/>
        <v>0</v>
      </c>
      <c r="G27" s="366">
        <f t="shared" si="15"/>
        <v>4</v>
      </c>
      <c r="H27" s="366">
        <f t="shared" si="15"/>
        <v>6</v>
      </c>
      <c r="I27" s="366">
        <f t="shared" si="15"/>
        <v>9</v>
      </c>
      <c r="J27" s="366">
        <f t="shared" si="15"/>
        <v>12</v>
      </c>
      <c r="K27" s="366">
        <f t="shared" si="15"/>
        <v>12</v>
      </c>
      <c r="L27" s="366">
        <f t="shared" si="15"/>
        <v>12</v>
      </c>
      <c r="M27" s="366">
        <f t="shared" si="15"/>
        <v>12</v>
      </c>
      <c r="N27" s="366">
        <f t="shared" si="15"/>
        <v>12</v>
      </c>
      <c r="O27" s="366">
        <f t="shared" si="15"/>
        <v>12</v>
      </c>
      <c r="P27" s="366">
        <f t="shared" si="15"/>
        <v>12</v>
      </c>
      <c r="Q27" s="366">
        <f t="shared" si="15"/>
        <v>12</v>
      </c>
      <c r="R27" s="366">
        <f t="shared" si="15"/>
        <v>12</v>
      </c>
      <c r="S27" s="366">
        <f t="shared" si="15"/>
        <v>12</v>
      </c>
      <c r="T27" s="366">
        <f t="shared" si="15"/>
        <v>12</v>
      </c>
      <c r="U27" s="366">
        <f t="shared" si="15"/>
        <v>12</v>
      </c>
      <c r="V27" s="366">
        <f t="shared" ref="V27:Y27" si="16">ROUND(V12,0)</f>
        <v>12</v>
      </c>
      <c r="W27" s="366">
        <f t="shared" si="16"/>
        <v>12</v>
      </c>
      <c r="X27" s="366">
        <f t="shared" si="16"/>
        <v>12</v>
      </c>
      <c r="Y27" s="366">
        <f t="shared" si="16"/>
        <v>12</v>
      </c>
      <c r="Z27" s="371"/>
    </row>
    <row r="28" spans="1:26" x14ac:dyDescent="0.2">
      <c r="A28" s="430" t="s">
        <v>2810</v>
      </c>
      <c r="B28" s="366">
        <f t="shared" ref="B28:U28" si="17">ROUND(B13,0)</f>
        <v>0</v>
      </c>
      <c r="C28" s="366">
        <f t="shared" si="17"/>
        <v>0</v>
      </c>
      <c r="D28" s="366">
        <f t="shared" si="17"/>
        <v>0</v>
      </c>
      <c r="E28" s="366">
        <f t="shared" si="17"/>
        <v>0</v>
      </c>
      <c r="F28" s="366">
        <f t="shared" si="17"/>
        <v>0</v>
      </c>
      <c r="G28" s="366">
        <f t="shared" si="17"/>
        <v>4</v>
      </c>
      <c r="H28" s="366">
        <f t="shared" si="17"/>
        <v>6</v>
      </c>
      <c r="I28" s="366">
        <f t="shared" si="17"/>
        <v>9</v>
      </c>
      <c r="J28" s="366">
        <f t="shared" si="17"/>
        <v>12</v>
      </c>
      <c r="K28" s="366">
        <f t="shared" si="17"/>
        <v>12</v>
      </c>
      <c r="L28" s="366">
        <f t="shared" si="17"/>
        <v>12</v>
      </c>
      <c r="M28" s="366">
        <f t="shared" si="17"/>
        <v>12</v>
      </c>
      <c r="N28" s="366">
        <f t="shared" si="17"/>
        <v>12</v>
      </c>
      <c r="O28" s="366">
        <f t="shared" si="17"/>
        <v>12</v>
      </c>
      <c r="P28" s="366">
        <f t="shared" si="17"/>
        <v>12</v>
      </c>
      <c r="Q28" s="366">
        <f t="shared" si="17"/>
        <v>12</v>
      </c>
      <c r="R28" s="366">
        <f t="shared" si="17"/>
        <v>12</v>
      </c>
      <c r="S28" s="366">
        <f t="shared" si="17"/>
        <v>12</v>
      </c>
      <c r="T28" s="366">
        <f t="shared" si="17"/>
        <v>12</v>
      </c>
      <c r="U28" s="366">
        <f t="shared" si="17"/>
        <v>12</v>
      </c>
      <c r="V28" s="366">
        <f t="shared" ref="V28:Y28" si="18">ROUND(V13,0)</f>
        <v>12</v>
      </c>
      <c r="W28" s="366">
        <f t="shared" si="18"/>
        <v>12</v>
      </c>
      <c r="X28" s="366">
        <f t="shared" si="18"/>
        <v>12</v>
      </c>
      <c r="Y28" s="366">
        <f t="shared" si="18"/>
        <v>12</v>
      </c>
      <c r="Z28" s="371"/>
    </row>
    <row r="29" spans="1:26" x14ac:dyDescent="0.2">
      <c r="A29" s="430" t="s">
        <v>2811</v>
      </c>
      <c r="B29" s="366">
        <f t="shared" ref="B29:U29" si="19">ROUND(B14,0)</f>
        <v>0</v>
      </c>
      <c r="C29" s="366">
        <f t="shared" si="19"/>
        <v>0</v>
      </c>
      <c r="D29" s="366">
        <f t="shared" si="19"/>
        <v>0</v>
      </c>
      <c r="E29" s="366">
        <f t="shared" si="19"/>
        <v>0</v>
      </c>
      <c r="F29" s="366">
        <f t="shared" si="19"/>
        <v>0</v>
      </c>
      <c r="G29" s="366">
        <f t="shared" si="19"/>
        <v>4</v>
      </c>
      <c r="H29" s="366">
        <f t="shared" si="19"/>
        <v>6</v>
      </c>
      <c r="I29" s="366">
        <f t="shared" si="19"/>
        <v>9</v>
      </c>
      <c r="J29" s="366">
        <f t="shared" si="19"/>
        <v>12</v>
      </c>
      <c r="K29" s="366">
        <f t="shared" si="19"/>
        <v>12</v>
      </c>
      <c r="L29" s="366">
        <f t="shared" si="19"/>
        <v>12</v>
      </c>
      <c r="M29" s="366">
        <f t="shared" si="19"/>
        <v>12</v>
      </c>
      <c r="N29" s="366">
        <f t="shared" si="19"/>
        <v>12</v>
      </c>
      <c r="O29" s="366">
        <f t="shared" si="19"/>
        <v>12</v>
      </c>
      <c r="P29" s="366">
        <f t="shared" si="19"/>
        <v>12</v>
      </c>
      <c r="Q29" s="366">
        <f t="shared" si="19"/>
        <v>12</v>
      </c>
      <c r="R29" s="366">
        <f t="shared" si="19"/>
        <v>12</v>
      </c>
      <c r="S29" s="366">
        <f t="shared" si="19"/>
        <v>12</v>
      </c>
      <c r="T29" s="366">
        <f t="shared" si="19"/>
        <v>12</v>
      </c>
      <c r="U29" s="366">
        <f t="shared" si="19"/>
        <v>12</v>
      </c>
      <c r="V29" s="366">
        <f t="shared" ref="V29:Y29" si="20">ROUND(V14,0)</f>
        <v>12</v>
      </c>
      <c r="W29" s="366">
        <f t="shared" si="20"/>
        <v>12</v>
      </c>
      <c r="X29" s="366">
        <f t="shared" si="20"/>
        <v>12</v>
      </c>
      <c r="Y29" s="366">
        <f t="shared" si="20"/>
        <v>12</v>
      </c>
      <c r="Z29" s="371"/>
    </row>
    <row r="30" spans="1:26" x14ac:dyDescent="0.2">
      <c r="A30" s="430" t="s">
        <v>2812</v>
      </c>
      <c r="B30" s="366">
        <f t="shared" ref="B30:U30" si="21">ROUND(B15,0)</f>
        <v>0</v>
      </c>
      <c r="C30" s="366">
        <f t="shared" si="21"/>
        <v>0</v>
      </c>
      <c r="D30" s="366">
        <f t="shared" si="21"/>
        <v>0</v>
      </c>
      <c r="E30" s="366">
        <f t="shared" si="21"/>
        <v>0</v>
      </c>
      <c r="F30" s="366">
        <f t="shared" si="21"/>
        <v>0</v>
      </c>
      <c r="G30" s="366">
        <f t="shared" si="21"/>
        <v>5</v>
      </c>
      <c r="H30" s="366">
        <f t="shared" si="21"/>
        <v>8</v>
      </c>
      <c r="I30" s="366">
        <f t="shared" si="21"/>
        <v>11</v>
      </c>
      <c r="J30" s="366">
        <f t="shared" si="21"/>
        <v>15</v>
      </c>
      <c r="K30" s="366">
        <f t="shared" si="21"/>
        <v>15</v>
      </c>
      <c r="L30" s="366">
        <f t="shared" si="21"/>
        <v>15</v>
      </c>
      <c r="M30" s="366">
        <f t="shared" si="21"/>
        <v>15</v>
      </c>
      <c r="N30" s="366">
        <f t="shared" si="21"/>
        <v>15</v>
      </c>
      <c r="O30" s="366">
        <f t="shared" si="21"/>
        <v>15</v>
      </c>
      <c r="P30" s="366">
        <f t="shared" si="21"/>
        <v>15</v>
      </c>
      <c r="Q30" s="366">
        <f t="shared" si="21"/>
        <v>15</v>
      </c>
      <c r="R30" s="366">
        <f t="shared" si="21"/>
        <v>15</v>
      </c>
      <c r="S30" s="366">
        <f t="shared" si="21"/>
        <v>15</v>
      </c>
      <c r="T30" s="366">
        <f t="shared" si="21"/>
        <v>15</v>
      </c>
      <c r="U30" s="366">
        <f t="shared" si="21"/>
        <v>15</v>
      </c>
      <c r="V30" s="366">
        <f t="shared" ref="V30:Y30" si="22">ROUND(V15,0)</f>
        <v>15</v>
      </c>
      <c r="W30" s="366">
        <f t="shared" si="22"/>
        <v>15</v>
      </c>
      <c r="X30" s="366">
        <f t="shared" si="22"/>
        <v>15</v>
      </c>
      <c r="Y30" s="366">
        <f t="shared" si="22"/>
        <v>15</v>
      </c>
      <c r="Z30" s="371"/>
    </row>
    <row r="31" spans="1:26" x14ac:dyDescent="0.2">
      <c r="A31" s="430" t="s">
        <v>2813</v>
      </c>
      <c r="B31" s="366">
        <f t="shared" ref="B31:U33" si="23">ROUND(B16,0)</f>
        <v>0</v>
      </c>
      <c r="C31" s="366">
        <f t="shared" si="23"/>
        <v>0</v>
      </c>
      <c r="D31" s="366">
        <f t="shared" si="23"/>
        <v>0</v>
      </c>
      <c r="E31" s="366">
        <f t="shared" si="23"/>
        <v>0</v>
      </c>
      <c r="F31" s="366">
        <f t="shared" si="23"/>
        <v>0</v>
      </c>
      <c r="G31" s="366">
        <f t="shared" si="23"/>
        <v>5</v>
      </c>
      <c r="H31" s="366">
        <f t="shared" si="23"/>
        <v>8</v>
      </c>
      <c r="I31" s="366">
        <f t="shared" si="23"/>
        <v>11</v>
      </c>
      <c r="J31" s="366">
        <f t="shared" si="23"/>
        <v>15</v>
      </c>
      <c r="K31" s="366">
        <f t="shared" si="23"/>
        <v>15</v>
      </c>
      <c r="L31" s="366">
        <f t="shared" si="23"/>
        <v>15</v>
      </c>
      <c r="M31" s="366">
        <f t="shared" si="23"/>
        <v>15</v>
      </c>
      <c r="N31" s="366">
        <f t="shared" si="23"/>
        <v>15</v>
      </c>
      <c r="O31" s="366">
        <f t="shared" si="23"/>
        <v>15</v>
      </c>
      <c r="P31" s="366">
        <f t="shared" si="23"/>
        <v>15</v>
      </c>
      <c r="Q31" s="366">
        <f t="shared" si="23"/>
        <v>15</v>
      </c>
      <c r="R31" s="366">
        <f t="shared" si="23"/>
        <v>15</v>
      </c>
      <c r="S31" s="366">
        <f t="shared" si="23"/>
        <v>15</v>
      </c>
      <c r="T31" s="366">
        <f t="shared" si="23"/>
        <v>15</v>
      </c>
      <c r="U31" s="366">
        <f t="shared" si="23"/>
        <v>15</v>
      </c>
      <c r="V31" s="366">
        <f t="shared" ref="V31:Y31" si="24">ROUND(V16,0)</f>
        <v>15</v>
      </c>
      <c r="W31" s="366">
        <f t="shared" si="24"/>
        <v>15</v>
      </c>
      <c r="X31" s="366">
        <f t="shared" si="24"/>
        <v>15</v>
      </c>
      <c r="Y31" s="366">
        <f t="shared" si="24"/>
        <v>15</v>
      </c>
      <c r="Z31" s="371"/>
    </row>
    <row r="32" spans="1:26" x14ac:dyDescent="0.2">
      <c r="A32" s="430" t="s">
        <v>2814</v>
      </c>
      <c r="B32" s="366">
        <f t="shared" ref="B32:Q33" si="25">ROUND(B17,0)</f>
        <v>0</v>
      </c>
      <c r="C32" s="366">
        <f t="shared" si="25"/>
        <v>0</v>
      </c>
      <c r="D32" s="366">
        <f t="shared" si="25"/>
        <v>0</v>
      </c>
      <c r="E32" s="366">
        <f t="shared" si="25"/>
        <v>0</v>
      </c>
      <c r="F32" s="366">
        <f t="shared" si="25"/>
        <v>0</v>
      </c>
      <c r="G32" s="366">
        <f t="shared" si="25"/>
        <v>4</v>
      </c>
      <c r="H32" s="366">
        <f t="shared" si="25"/>
        <v>6</v>
      </c>
      <c r="I32" s="366">
        <f t="shared" si="25"/>
        <v>9</v>
      </c>
      <c r="J32" s="366">
        <f t="shared" si="25"/>
        <v>12</v>
      </c>
      <c r="K32" s="366">
        <f t="shared" si="25"/>
        <v>12</v>
      </c>
      <c r="L32" s="366">
        <f t="shared" si="25"/>
        <v>12</v>
      </c>
      <c r="M32" s="366">
        <f t="shared" si="25"/>
        <v>12</v>
      </c>
      <c r="N32" s="366">
        <f t="shared" si="25"/>
        <v>12</v>
      </c>
      <c r="O32" s="366">
        <f t="shared" si="25"/>
        <v>12</v>
      </c>
      <c r="P32" s="366">
        <f t="shared" si="25"/>
        <v>12</v>
      </c>
      <c r="Q32" s="366">
        <f t="shared" si="25"/>
        <v>12</v>
      </c>
      <c r="R32" s="366">
        <f t="shared" si="23"/>
        <v>12</v>
      </c>
      <c r="S32" s="366">
        <f t="shared" si="23"/>
        <v>12</v>
      </c>
      <c r="T32" s="366">
        <f t="shared" si="23"/>
        <v>12</v>
      </c>
      <c r="U32" s="366">
        <f t="shared" si="23"/>
        <v>12</v>
      </c>
      <c r="V32" s="366">
        <f t="shared" ref="V32:Y32" si="26">ROUND(V17,0)</f>
        <v>12</v>
      </c>
      <c r="W32" s="366">
        <f t="shared" si="26"/>
        <v>12</v>
      </c>
      <c r="X32" s="366">
        <f t="shared" si="26"/>
        <v>12</v>
      </c>
      <c r="Y32" s="366">
        <f t="shared" si="26"/>
        <v>12</v>
      </c>
      <c r="Z32" s="371"/>
    </row>
    <row r="33" spans="1:26" x14ac:dyDescent="0.2">
      <c r="A33" s="430" t="s">
        <v>2815</v>
      </c>
      <c r="B33" s="366">
        <f t="shared" si="25"/>
        <v>0</v>
      </c>
      <c r="C33" s="366">
        <f t="shared" si="23"/>
        <v>0</v>
      </c>
      <c r="D33" s="366">
        <f t="shared" si="23"/>
        <v>0</v>
      </c>
      <c r="E33" s="366">
        <f t="shared" si="23"/>
        <v>0</v>
      </c>
      <c r="F33" s="366">
        <f t="shared" si="23"/>
        <v>0</v>
      </c>
      <c r="G33" s="366">
        <f t="shared" si="23"/>
        <v>7</v>
      </c>
      <c r="H33" s="366">
        <f t="shared" si="23"/>
        <v>12</v>
      </c>
      <c r="I33" s="366">
        <f t="shared" si="23"/>
        <v>18</v>
      </c>
      <c r="J33" s="366">
        <f t="shared" si="23"/>
        <v>24</v>
      </c>
      <c r="K33" s="366">
        <f t="shared" si="23"/>
        <v>24</v>
      </c>
      <c r="L33" s="366">
        <f t="shared" si="23"/>
        <v>24</v>
      </c>
      <c r="M33" s="366">
        <f t="shared" si="23"/>
        <v>24</v>
      </c>
      <c r="N33" s="366">
        <f t="shared" si="23"/>
        <v>24</v>
      </c>
      <c r="O33" s="366">
        <f t="shared" si="23"/>
        <v>24</v>
      </c>
      <c r="P33" s="366">
        <f t="shared" si="23"/>
        <v>24</v>
      </c>
      <c r="Q33" s="366">
        <f t="shared" si="23"/>
        <v>24</v>
      </c>
      <c r="R33" s="366">
        <f t="shared" si="23"/>
        <v>24</v>
      </c>
      <c r="S33" s="366">
        <f t="shared" si="23"/>
        <v>24</v>
      </c>
      <c r="T33" s="366">
        <f t="shared" si="23"/>
        <v>24</v>
      </c>
      <c r="U33" s="366">
        <f t="shared" si="23"/>
        <v>24</v>
      </c>
      <c r="V33" s="366">
        <f t="shared" ref="V33:Y33" si="27">ROUND(V18,0)</f>
        <v>24</v>
      </c>
      <c r="W33" s="366">
        <f t="shared" si="27"/>
        <v>24</v>
      </c>
      <c r="X33" s="366">
        <f t="shared" si="27"/>
        <v>24</v>
      </c>
      <c r="Y33" s="366">
        <f t="shared" si="27"/>
        <v>24</v>
      </c>
      <c r="Z33" s="371"/>
    </row>
    <row r="34" spans="1:26" x14ac:dyDescent="0.2">
      <c r="A34" s="431" t="s">
        <v>2915</v>
      </c>
      <c r="B34" s="375"/>
      <c r="C34" s="375"/>
      <c r="D34" s="375"/>
      <c r="E34" s="375"/>
      <c r="F34" s="375"/>
      <c r="G34" s="375"/>
      <c r="H34" s="375"/>
      <c r="I34" s="375"/>
      <c r="J34" s="375"/>
      <c r="K34" s="375"/>
      <c r="L34" s="375"/>
      <c r="M34" s="375"/>
      <c r="N34" s="375"/>
      <c r="O34" s="375"/>
      <c r="P34" s="375"/>
      <c r="Q34" s="375"/>
      <c r="R34" s="375"/>
      <c r="S34" s="375"/>
      <c r="T34" s="375"/>
      <c r="U34" s="375"/>
      <c r="V34" s="375"/>
      <c r="W34" s="375"/>
      <c r="X34" s="375"/>
      <c r="Y34" s="375"/>
      <c r="Z34" s="376"/>
    </row>
    <row r="35" spans="1:26" x14ac:dyDescent="0.2">
      <c r="A35" s="430" t="s">
        <v>2802</v>
      </c>
      <c r="B35" s="451">
        <f>B20*продажи!$F$5</f>
        <v>0</v>
      </c>
      <c r="C35" s="451">
        <f>C20*продажи!$F$5</f>
        <v>0</v>
      </c>
      <c r="D35" s="451">
        <f>D20*продажи!$F$5</f>
        <v>0</v>
      </c>
      <c r="E35" s="451">
        <f>E20*продажи!$F$5</f>
        <v>0</v>
      </c>
      <c r="F35" s="451">
        <f>F20*продажи!$F$5</f>
        <v>0</v>
      </c>
      <c r="G35" s="451">
        <f>G20*продажи!$F$5</f>
        <v>45493.708545943497</v>
      </c>
      <c r="H35" s="451">
        <f>H20*продажи!$F$5</f>
        <v>77989.214650188849</v>
      </c>
      <c r="I35" s="451">
        <f>I20*продажи!$F$5</f>
        <v>116983.82197528328</v>
      </c>
      <c r="J35" s="451">
        <f>J20*продажи!$F$5</f>
        <v>155978.4293003777</v>
      </c>
      <c r="K35" s="451">
        <f>K20*продажи!$F$5</f>
        <v>155978.4293003777</v>
      </c>
      <c r="L35" s="451">
        <f>L20*продажи!$F$5</f>
        <v>155978.4293003777</v>
      </c>
      <c r="M35" s="451">
        <f>M20*продажи!$F$5</f>
        <v>155978.4293003777</v>
      </c>
      <c r="N35" s="451">
        <f>N20*продажи!$F$5</f>
        <v>155978.4293003777</v>
      </c>
      <c r="O35" s="451">
        <f>O20*продажи!$F$5</f>
        <v>155978.4293003777</v>
      </c>
      <c r="P35" s="451">
        <f>P20*продажи!$F$5</f>
        <v>155978.4293003777</v>
      </c>
      <c r="Q35" s="451">
        <f>Q20*продажи!$F$5</f>
        <v>155978.4293003777</v>
      </c>
      <c r="R35" s="451">
        <f>R20*продажи!$F$5</f>
        <v>155978.4293003777</v>
      </c>
      <c r="S35" s="451">
        <f>S20*продажи!$F$5</f>
        <v>155978.4293003777</v>
      </c>
      <c r="T35" s="451">
        <f>T20*продажи!$F$5</f>
        <v>155978.4293003777</v>
      </c>
      <c r="U35" s="451">
        <f>U20*продажи!$F$5</f>
        <v>155978.4293003777</v>
      </c>
      <c r="V35" s="451">
        <f>V20*продажи!$F$5</f>
        <v>155978.4293003777</v>
      </c>
      <c r="W35" s="451">
        <f>W20*продажи!$F$5</f>
        <v>155978.4293003777</v>
      </c>
      <c r="X35" s="451">
        <f>X20*продажи!$F$5</f>
        <v>155978.4293003777</v>
      </c>
      <c r="Y35" s="451">
        <f>Y20*продажи!$F$5</f>
        <v>155978.4293003777</v>
      </c>
      <c r="Z35" s="452">
        <f>SUM(B35:Y35)</f>
        <v>2736121.6139774583</v>
      </c>
    </row>
    <row r="36" spans="1:26" x14ac:dyDescent="0.2">
      <c r="A36" s="430" t="s">
        <v>2803</v>
      </c>
      <c r="B36" s="451">
        <f>B21*продажи!$F$6</f>
        <v>0</v>
      </c>
      <c r="C36" s="451">
        <f>C21*продажи!$F$6</f>
        <v>0</v>
      </c>
      <c r="D36" s="451">
        <f>D21*продажи!$F$6</f>
        <v>0</v>
      </c>
      <c r="E36" s="451">
        <f>E21*продажи!$F$6</f>
        <v>0</v>
      </c>
      <c r="F36" s="451">
        <f>F21*продажи!$F$6</f>
        <v>0</v>
      </c>
      <c r="G36" s="451">
        <f>G21*продажи!$F$6</f>
        <v>50215.761480519999</v>
      </c>
      <c r="H36" s="451">
        <f>H21*продажи!$F$6</f>
        <v>83692.93580086666</v>
      </c>
      <c r="I36" s="451">
        <f>I21*продажи!$F$6</f>
        <v>128329.16822799556</v>
      </c>
      <c r="J36" s="451">
        <f>J21*продажи!$F$6</f>
        <v>167385.87160173332</v>
      </c>
      <c r="K36" s="451">
        <f>K21*продажи!$F$6</f>
        <v>167385.87160173332</v>
      </c>
      <c r="L36" s="451">
        <f>L21*продажи!$F$6</f>
        <v>167385.87160173332</v>
      </c>
      <c r="M36" s="451">
        <f>M21*продажи!$F$6</f>
        <v>167385.87160173332</v>
      </c>
      <c r="N36" s="451">
        <f>N21*продажи!$F$6</f>
        <v>167385.87160173332</v>
      </c>
      <c r="O36" s="451">
        <f>O21*продажи!$F$6</f>
        <v>167385.87160173332</v>
      </c>
      <c r="P36" s="451">
        <f>P21*продажи!$F$6</f>
        <v>167385.87160173332</v>
      </c>
      <c r="Q36" s="451">
        <f>Q21*продажи!$F$6</f>
        <v>167385.87160173332</v>
      </c>
      <c r="R36" s="451">
        <f>R21*продажи!$F$6</f>
        <v>167385.87160173332</v>
      </c>
      <c r="S36" s="451">
        <f>S21*продажи!$F$6</f>
        <v>167385.87160173332</v>
      </c>
      <c r="T36" s="451">
        <f>T21*продажи!$F$6</f>
        <v>167385.87160173332</v>
      </c>
      <c r="U36" s="451">
        <f>U21*продажи!$F$6</f>
        <v>167385.87160173332</v>
      </c>
      <c r="V36" s="451">
        <f>V21*продажи!$F$6</f>
        <v>167385.87160173332</v>
      </c>
      <c r="W36" s="451">
        <f>W21*продажи!$F$6</f>
        <v>167385.87160173332</v>
      </c>
      <c r="X36" s="451">
        <f>X21*продажи!$F$6</f>
        <v>167385.87160173332</v>
      </c>
      <c r="Y36" s="451">
        <f>Y21*продажи!$F$6</f>
        <v>167385.87160173332</v>
      </c>
      <c r="Z36" s="452">
        <f t="shared" ref="Z36:Z48" si="28">SUM(B36:Y36)</f>
        <v>2940411.811137116</v>
      </c>
    </row>
    <row r="37" spans="1:26" x14ac:dyDescent="0.2">
      <c r="A37" s="430" t="s">
        <v>2804</v>
      </c>
      <c r="B37" s="451">
        <f>B22*продажи!$F$7</f>
        <v>0</v>
      </c>
      <c r="C37" s="451">
        <f>C22*продажи!$F$7</f>
        <v>0</v>
      </c>
      <c r="D37" s="451">
        <f>D22*продажи!$F$7</f>
        <v>0</v>
      </c>
      <c r="E37" s="451">
        <f>E22*продажи!$F$7</f>
        <v>0</v>
      </c>
      <c r="F37" s="451">
        <f>F22*продажи!$F$7</f>
        <v>0</v>
      </c>
      <c r="G37" s="451">
        <f>G22*продажи!$F$7</f>
        <v>58090.627211715146</v>
      </c>
      <c r="H37" s="451">
        <f>H22*продажи!$F$7</f>
        <v>96817.71201952525</v>
      </c>
      <c r="I37" s="451">
        <f>I22*продажи!$F$7</f>
        <v>148453.82509660537</v>
      </c>
      <c r="J37" s="451">
        <f>J22*продажи!$F$7</f>
        <v>193635.4240390505</v>
      </c>
      <c r="K37" s="451">
        <f>K22*продажи!$F$7</f>
        <v>193635.4240390505</v>
      </c>
      <c r="L37" s="451">
        <f>L22*продажи!$F$7</f>
        <v>193635.4240390505</v>
      </c>
      <c r="M37" s="451">
        <f>M22*продажи!$F$7</f>
        <v>193635.4240390505</v>
      </c>
      <c r="N37" s="451">
        <f>N22*продажи!$F$7</f>
        <v>193635.4240390505</v>
      </c>
      <c r="O37" s="451">
        <f>O22*продажи!$F$7</f>
        <v>193635.4240390505</v>
      </c>
      <c r="P37" s="451">
        <f>P22*продажи!$F$7</f>
        <v>193635.4240390505</v>
      </c>
      <c r="Q37" s="451">
        <f>Q22*продажи!$F$7</f>
        <v>193635.4240390505</v>
      </c>
      <c r="R37" s="451">
        <f>R22*продажи!$F$7</f>
        <v>193635.4240390505</v>
      </c>
      <c r="S37" s="451">
        <f>S22*продажи!$F$7</f>
        <v>193635.4240390505</v>
      </c>
      <c r="T37" s="451">
        <f>T22*продажи!$F$7</f>
        <v>193635.4240390505</v>
      </c>
      <c r="U37" s="451">
        <f>U22*продажи!$F$7</f>
        <v>193635.4240390505</v>
      </c>
      <c r="V37" s="451">
        <f>V22*продажи!$F$7</f>
        <v>193635.4240390505</v>
      </c>
      <c r="W37" s="451">
        <f>W22*продажи!$F$7</f>
        <v>193635.4240390505</v>
      </c>
      <c r="X37" s="451">
        <f>X22*продажи!$F$7</f>
        <v>193635.4240390505</v>
      </c>
      <c r="Y37" s="451">
        <f>Y22*продажи!$F$7</f>
        <v>193635.4240390505</v>
      </c>
      <c r="Z37" s="452">
        <f t="shared" si="28"/>
        <v>3401528.9489526534</v>
      </c>
    </row>
    <row r="38" spans="1:26" x14ac:dyDescent="0.2">
      <c r="A38" s="430" t="s">
        <v>2805</v>
      </c>
      <c r="B38" s="451">
        <f>B23*продажи!$F$8</f>
        <v>0</v>
      </c>
      <c r="C38" s="451">
        <f>C23*продажи!$F$8</f>
        <v>0</v>
      </c>
      <c r="D38" s="451">
        <f>D23*продажи!$F$8</f>
        <v>0</v>
      </c>
      <c r="E38" s="451">
        <f>E23*продажи!$F$8</f>
        <v>0</v>
      </c>
      <c r="F38" s="451">
        <f>F23*продажи!$F$8</f>
        <v>0</v>
      </c>
      <c r="G38" s="451">
        <f>G23*продажи!$F$8</f>
        <v>65528.76917863464</v>
      </c>
      <c r="H38" s="451">
        <f>H23*продажи!$F$8</f>
        <v>109214.61529772441</v>
      </c>
      <c r="I38" s="451">
        <f>I23*продажи!$F$8</f>
        <v>167462.41012317743</v>
      </c>
      <c r="J38" s="451">
        <f>J23*продажи!$F$8</f>
        <v>218429.23059544881</v>
      </c>
      <c r="K38" s="451">
        <f>K23*продажи!$F$8</f>
        <v>218429.23059544881</v>
      </c>
      <c r="L38" s="451">
        <f>L23*продажи!$F$8</f>
        <v>218429.23059544881</v>
      </c>
      <c r="M38" s="451">
        <f>M23*продажи!$F$8</f>
        <v>218429.23059544881</v>
      </c>
      <c r="N38" s="451">
        <f>N23*продажи!$F$8</f>
        <v>218429.23059544881</v>
      </c>
      <c r="O38" s="451">
        <f>O23*продажи!$F$8</f>
        <v>218429.23059544881</v>
      </c>
      <c r="P38" s="451">
        <f>P23*продажи!$F$8</f>
        <v>218429.23059544881</v>
      </c>
      <c r="Q38" s="451">
        <f>Q23*продажи!$F$8</f>
        <v>218429.23059544881</v>
      </c>
      <c r="R38" s="451">
        <f>R23*продажи!$F$8</f>
        <v>218429.23059544881</v>
      </c>
      <c r="S38" s="451">
        <f>S23*продажи!$F$8</f>
        <v>218429.23059544881</v>
      </c>
      <c r="T38" s="451">
        <f>T23*продажи!$F$8</f>
        <v>218429.23059544881</v>
      </c>
      <c r="U38" s="451">
        <f>U23*продажи!$F$8</f>
        <v>218429.23059544881</v>
      </c>
      <c r="V38" s="451">
        <f>V23*продажи!$F$8</f>
        <v>218429.23059544881</v>
      </c>
      <c r="W38" s="451">
        <f>W23*продажи!$F$8</f>
        <v>218429.23059544881</v>
      </c>
      <c r="X38" s="451">
        <f>X23*продажи!$F$8</f>
        <v>218429.23059544881</v>
      </c>
      <c r="Y38" s="451">
        <f>Y23*продажи!$F$8</f>
        <v>218429.23059544881</v>
      </c>
      <c r="Z38" s="452">
        <f t="shared" si="28"/>
        <v>3837073.4841267182</v>
      </c>
    </row>
    <row r="39" spans="1:26" x14ac:dyDescent="0.2">
      <c r="A39" s="430" t="s">
        <v>2806</v>
      </c>
      <c r="B39" s="451">
        <f>B24*продажи!$F$9</f>
        <v>0</v>
      </c>
      <c r="C39" s="451">
        <f>C24*продажи!$F$9</f>
        <v>0</v>
      </c>
      <c r="D39" s="451">
        <f>D24*продажи!$F$9</f>
        <v>0</v>
      </c>
      <c r="E39" s="451">
        <f>E24*продажи!$F$9</f>
        <v>0</v>
      </c>
      <c r="F39" s="451">
        <f>F24*продажи!$F$9</f>
        <v>0</v>
      </c>
      <c r="G39" s="451">
        <f>G24*продажи!$F$9</f>
        <v>75248.295854262469</v>
      </c>
      <c r="H39" s="451">
        <f>H24*продажи!$F$9</f>
        <v>125413.82642377079</v>
      </c>
      <c r="I39" s="451">
        <f>I24*продажи!$F$9</f>
        <v>192301.20051644853</v>
      </c>
      <c r="J39" s="451">
        <f>J24*продажи!$F$9</f>
        <v>250827.65284754158</v>
      </c>
      <c r="K39" s="451">
        <f>K24*продажи!$F$9</f>
        <v>250827.65284754158</v>
      </c>
      <c r="L39" s="451">
        <f>L24*продажи!$F$9</f>
        <v>250827.65284754158</v>
      </c>
      <c r="M39" s="451">
        <f>M24*продажи!$F$9</f>
        <v>250827.65284754158</v>
      </c>
      <c r="N39" s="451">
        <f>N24*продажи!$F$9</f>
        <v>250827.65284754158</v>
      </c>
      <c r="O39" s="451">
        <f>O24*продажи!$F$9</f>
        <v>250827.65284754158</v>
      </c>
      <c r="P39" s="451">
        <f>P24*продажи!$F$9</f>
        <v>250827.65284754158</v>
      </c>
      <c r="Q39" s="451">
        <f>Q24*продажи!$F$9</f>
        <v>250827.65284754158</v>
      </c>
      <c r="R39" s="451">
        <f>R24*продажи!$F$9</f>
        <v>250827.65284754158</v>
      </c>
      <c r="S39" s="451">
        <f>S24*продажи!$F$9</f>
        <v>250827.65284754158</v>
      </c>
      <c r="T39" s="451">
        <f>T24*продажи!$F$9</f>
        <v>250827.65284754158</v>
      </c>
      <c r="U39" s="451">
        <f>U24*продажи!$F$9</f>
        <v>250827.65284754158</v>
      </c>
      <c r="V39" s="451">
        <f>V24*продажи!$F$9</f>
        <v>250827.65284754158</v>
      </c>
      <c r="W39" s="451">
        <f>W24*продажи!$F$9</f>
        <v>250827.65284754158</v>
      </c>
      <c r="X39" s="451">
        <f>X24*продажи!$F$9</f>
        <v>250827.65284754158</v>
      </c>
      <c r="Y39" s="451">
        <f>Y24*продажи!$F$9</f>
        <v>250827.65284754158</v>
      </c>
      <c r="Z39" s="452">
        <f t="shared" si="28"/>
        <v>4406205.7683551461</v>
      </c>
    </row>
    <row r="40" spans="1:26" x14ac:dyDescent="0.2">
      <c r="A40" s="430" t="s">
        <v>2807</v>
      </c>
      <c r="B40" s="451">
        <f>B25*продажи!$F$10</f>
        <v>0</v>
      </c>
      <c r="C40" s="451">
        <f>C25*продажи!$F$10</f>
        <v>0</v>
      </c>
      <c r="D40" s="451">
        <f>D25*продажи!$F$10</f>
        <v>0</v>
      </c>
      <c r="E40" s="451">
        <f>E25*продажи!$F$10</f>
        <v>0</v>
      </c>
      <c r="F40" s="451">
        <f>F25*продажи!$F$10</f>
        <v>0</v>
      </c>
      <c r="G40" s="451">
        <f>G25*продажи!$F$10</f>
        <v>22318.116213564444</v>
      </c>
      <c r="H40" s="451">
        <f>H25*продажи!$F$10</f>
        <v>33477.174320346669</v>
      </c>
      <c r="I40" s="451">
        <f>I25*продажи!$F$10</f>
        <v>50215.761480519999</v>
      </c>
      <c r="J40" s="451">
        <f>J25*продажи!$F$10</f>
        <v>66954.348640693337</v>
      </c>
      <c r="K40" s="451">
        <f>K25*продажи!$F$10</f>
        <v>66954.348640693337</v>
      </c>
      <c r="L40" s="451">
        <f>L25*продажи!$F$10</f>
        <v>66954.348640693337</v>
      </c>
      <c r="M40" s="451">
        <f>M25*продажи!$F$10</f>
        <v>66954.348640693337</v>
      </c>
      <c r="N40" s="451">
        <f>N25*продажи!$F$10</f>
        <v>66954.348640693337</v>
      </c>
      <c r="O40" s="451">
        <f>O25*продажи!$F$10</f>
        <v>66954.348640693337</v>
      </c>
      <c r="P40" s="451">
        <f>P25*продажи!$F$10</f>
        <v>66954.348640693337</v>
      </c>
      <c r="Q40" s="451">
        <f>Q25*продажи!$F$10</f>
        <v>66954.348640693337</v>
      </c>
      <c r="R40" s="451">
        <f>R25*продажи!$F$10</f>
        <v>66954.348640693337</v>
      </c>
      <c r="S40" s="451">
        <f>S25*продажи!$F$10</f>
        <v>66954.348640693337</v>
      </c>
      <c r="T40" s="451">
        <f>T25*продажи!$F$10</f>
        <v>66954.348640693337</v>
      </c>
      <c r="U40" s="451">
        <f>U25*продажи!$F$10</f>
        <v>66954.348640693337</v>
      </c>
      <c r="V40" s="451">
        <f>V25*продажи!$F$10</f>
        <v>66954.348640693337</v>
      </c>
      <c r="W40" s="451">
        <f>W25*продажи!$F$10</f>
        <v>66954.348640693337</v>
      </c>
      <c r="X40" s="451">
        <f>X25*продажи!$F$10</f>
        <v>66954.348640693337</v>
      </c>
      <c r="Y40" s="451">
        <f>Y25*продажи!$F$10</f>
        <v>66954.348640693337</v>
      </c>
      <c r="Z40" s="452">
        <f t="shared" si="28"/>
        <v>1177280.6302655246</v>
      </c>
    </row>
    <row r="41" spans="1:26" x14ac:dyDescent="0.2">
      <c r="A41" s="430" t="s">
        <v>2808</v>
      </c>
      <c r="B41" s="451">
        <f>B26*продажи!$F$11</f>
        <v>0</v>
      </c>
      <c r="C41" s="451">
        <f>C26*продажи!$F$11</f>
        <v>0</v>
      </c>
      <c r="D41" s="451">
        <f>D26*продажи!$F$11</f>
        <v>0</v>
      </c>
      <c r="E41" s="451">
        <f>E26*продажи!$F$11</f>
        <v>0</v>
      </c>
      <c r="F41" s="451">
        <f>F26*продажи!$F$11</f>
        <v>0</v>
      </c>
      <c r="G41" s="451">
        <f>G26*продажи!$F$11</f>
        <v>25818.056538540066</v>
      </c>
      <c r="H41" s="451">
        <f>H26*продажи!$F$11</f>
        <v>38727.084807810097</v>
      </c>
      <c r="I41" s="451">
        <f>I26*продажи!$F$11</f>
        <v>58090.627211715146</v>
      </c>
      <c r="J41" s="451">
        <f>J26*продажи!$F$11</f>
        <v>77454.169615620194</v>
      </c>
      <c r="K41" s="451">
        <f>K26*продажи!$F$11</f>
        <v>77454.169615620194</v>
      </c>
      <c r="L41" s="451">
        <f>L26*продажи!$F$11</f>
        <v>77454.169615620194</v>
      </c>
      <c r="M41" s="451">
        <f>M26*продажи!$F$11</f>
        <v>77454.169615620194</v>
      </c>
      <c r="N41" s="451">
        <f>N26*продажи!$F$11</f>
        <v>77454.169615620194</v>
      </c>
      <c r="O41" s="451">
        <f>O26*продажи!$F$11</f>
        <v>77454.169615620194</v>
      </c>
      <c r="P41" s="451">
        <f>P26*продажи!$F$11</f>
        <v>77454.169615620194</v>
      </c>
      <c r="Q41" s="451">
        <f>Q26*продажи!$F$11</f>
        <v>77454.169615620194</v>
      </c>
      <c r="R41" s="451">
        <f>R26*продажи!$F$11</f>
        <v>77454.169615620194</v>
      </c>
      <c r="S41" s="451">
        <f>S26*продажи!$F$11</f>
        <v>77454.169615620194</v>
      </c>
      <c r="T41" s="451">
        <f>T26*продажи!$F$11</f>
        <v>77454.169615620194</v>
      </c>
      <c r="U41" s="451">
        <f>U26*продажи!$F$11</f>
        <v>77454.169615620194</v>
      </c>
      <c r="V41" s="451">
        <f>V26*продажи!$F$11</f>
        <v>77454.169615620194</v>
      </c>
      <c r="W41" s="451">
        <f>W26*продажи!$F$11</f>
        <v>77454.169615620194</v>
      </c>
      <c r="X41" s="451">
        <f>X26*продажи!$F$11</f>
        <v>77454.169615620194</v>
      </c>
      <c r="Y41" s="451">
        <f>Y26*продажи!$F$11</f>
        <v>77454.169615620194</v>
      </c>
      <c r="Z41" s="452">
        <f t="shared" si="28"/>
        <v>1361902.4824079885</v>
      </c>
    </row>
    <row r="42" spans="1:26" x14ac:dyDescent="0.2">
      <c r="A42" s="430" t="s">
        <v>2809</v>
      </c>
      <c r="B42" s="451">
        <f>B27*продажи!$F$12</f>
        <v>0</v>
      </c>
      <c r="C42" s="451">
        <f>C27*продажи!$F$12</f>
        <v>0</v>
      </c>
      <c r="D42" s="451">
        <f>D27*продажи!$F$12</f>
        <v>0</v>
      </c>
      <c r="E42" s="451">
        <f>E27*продажи!$F$12</f>
        <v>0</v>
      </c>
      <c r="F42" s="451">
        <f>F27*продажи!$F$12</f>
        <v>0</v>
      </c>
      <c r="G42" s="451">
        <f>G27*продажи!$F$12</f>
        <v>29123.897412726506</v>
      </c>
      <c r="H42" s="451">
        <f>H27*продажи!$F$12</f>
        <v>43685.846119089758</v>
      </c>
      <c r="I42" s="451">
        <f>I27*продажи!$F$12</f>
        <v>65528.76917863464</v>
      </c>
      <c r="J42" s="451">
        <f>J27*продажи!$F$12</f>
        <v>87371.692238179516</v>
      </c>
      <c r="K42" s="451">
        <f>K27*продажи!$F$12</f>
        <v>87371.692238179516</v>
      </c>
      <c r="L42" s="451">
        <f>L27*продажи!$F$12</f>
        <v>87371.692238179516</v>
      </c>
      <c r="M42" s="451">
        <f>M27*продажи!$F$12</f>
        <v>87371.692238179516</v>
      </c>
      <c r="N42" s="451">
        <f>N27*продажи!$F$12</f>
        <v>87371.692238179516</v>
      </c>
      <c r="O42" s="451">
        <f>O27*продажи!$F$12</f>
        <v>87371.692238179516</v>
      </c>
      <c r="P42" s="451">
        <f>P27*продажи!$F$12</f>
        <v>87371.692238179516</v>
      </c>
      <c r="Q42" s="451">
        <f>Q27*продажи!$F$12</f>
        <v>87371.692238179516</v>
      </c>
      <c r="R42" s="451">
        <f>R27*продажи!$F$12</f>
        <v>87371.692238179516</v>
      </c>
      <c r="S42" s="451">
        <f>S27*продажи!$F$12</f>
        <v>87371.692238179516</v>
      </c>
      <c r="T42" s="451">
        <f>T27*продажи!$F$12</f>
        <v>87371.692238179516</v>
      </c>
      <c r="U42" s="451">
        <f>U27*продажи!$F$12</f>
        <v>87371.692238179516</v>
      </c>
      <c r="V42" s="451">
        <f>V27*продажи!$F$12</f>
        <v>87371.692238179516</v>
      </c>
      <c r="W42" s="451">
        <f>W27*продажи!$F$12</f>
        <v>87371.692238179516</v>
      </c>
      <c r="X42" s="451">
        <f>X27*продажи!$F$12</f>
        <v>87371.692238179516</v>
      </c>
      <c r="Y42" s="451">
        <f>Y27*продажи!$F$12</f>
        <v>87371.692238179516</v>
      </c>
      <c r="Z42" s="452">
        <f t="shared" si="28"/>
        <v>1536285.5885213229</v>
      </c>
    </row>
    <row r="43" spans="1:26" x14ac:dyDescent="0.2">
      <c r="A43" s="430" t="s">
        <v>2810</v>
      </c>
      <c r="B43" s="451">
        <f>B28*продажи!$F$13</f>
        <v>0</v>
      </c>
      <c r="C43" s="451">
        <f>C28*продажи!$F$13</f>
        <v>0</v>
      </c>
      <c r="D43" s="451">
        <f>D28*продажи!$F$13</f>
        <v>0</v>
      </c>
      <c r="E43" s="451">
        <f>E28*продажи!$F$13</f>
        <v>0</v>
      </c>
      <c r="F43" s="451">
        <f>F28*продажи!$F$13</f>
        <v>0</v>
      </c>
      <c r="G43" s="451">
        <f>G28*продажи!$F$13</f>
        <v>33443.687046338877</v>
      </c>
      <c r="H43" s="451">
        <f>H28*продажи!$F$13</f>
        <v>50165.530569508315</v>
      </c>
      <c r="I43" s="451">
        <f>I28*продажи!$F$13</f>
        <v>75248.295854262469</v>
      </c>
      <c r="J43" s="451">
        <f>J28*продажи!$F$13</f>
        <v>100331.06113901663</v>
      </c>
      <c r="K43" s="451">
        <f>K28*продажи!$F$13</f>
        <v>100331.06113901663</v>
      </c>
      <c r="L43" s="451">
        <f>L28*продажи!$F$13</f>
        <v>100331.06113901663</v>
      </c>
      <c r="M43" s="451">
        <f>M28*продажи!$F$13</f>
        <v>100331.06113901663</v>
      </c>
      <c r="N43" s="451">
        <f>N28*продажи!$F$13</f>
        <v>100331.06113901663</v>
      </c>
      <c r="O43" s="451">
        <f>O28*продажи!$F$13</f>
        <v>100331.06113901663</v>
      </c>
      <c r="P43" s="451">
        <f>P28*продажи!$F$13</f>
        <v>100331.06113901663</v>
      </c>
      <c r="Q43" s="451">
        <f>Q28*продажи!$F$13</f>
        <v>100331.06113901663</v>
      </c>
      <c r="R43" s="451">
        <f>R28*продажи!$F$13</f>
        <v>100331.06113901663</v>
      </c>
      <c r="S43" s="451">
        <f>S28*продажи!$F$13</f>
        <v>100331.06113901663</v>
      </c>
      <c r="T43" s="451">
        <f>T28*продажи!$F$13</f>
        <v>100331.06113901663</v>
      </c>
      <c r="U43" s="451">
        <f>U28*продажи!$F$13</f>
        <v>100331.06113901663</v>
      </c>
      <c r="V43" s="451">
        <f>V28*продажи!$F$13</f>
        <v>100331.06113901663</v>
      </c>
      <c r="W43" s="451">
        <f>W28*продажи!$F$13</f>
        <v>100331.06113901663</v>
      </c>
      <c r="X43" s="451">
        <f>X28*продажи!$F$13</f>
        <v>100331.06113901663</v>
      </c>
      <c r="Y43" s="451">
        <f>Y28*продажи!$F$13</f>
        <v>100331.06113901663</v>
      </c>
      <c r="Z43" s="452">
        <f t="shared" si="28"/>
        <v>1764154.4916943759</v>
      </c>
    </row>
    <row r="44" spans="1:26" x14ac:dyDescent="0.2">
      <c r="A44" s="430" t="s">
        <v>2811</v>
      </c>
      <c r="B44" s="451">
        <f>B29*продажи!$F$14</f>
        <v>0</v>
      </c>
      <c r="C44" s="451">
        <f>C29*продажи!$F$14</f>
        <v>0</v>
      </c>
      <c r="D44" s="451">
        <f>D29*продажи!$F$14</f>
        <v>0</v>
      </c>
      <c r="E44" s="451">
        <f>E29*продажи!$F$14</f>
        <v>0</v>
      </c>
      <c r="F44" s="451">
        <f>F29*продажи!$F$14</f>
        <v>0</v>
      </c>
      <c r="G44" s="451">
        <f>G29*продажи!$F$14</f>
        <v>38572.046751070528</v>
      </c>
      <c r="H44" s="451">
        <f>H29*продажи!$F$14</f>
        <v>57858.070126605788</v>
      </c>
      <c r="I44" s="451">
        <f>I29*продажи!$F$14</f>
        <v>86787.105189908689</v>
      </c>
      <c r="J44" s="451">
        <f>J29*продажи!$F$14</f>
        <v>115716.14025321158</v>
      </c>
      <c r="K44" s="451">
        <f>K29*продажи!$F$14</f>
        <v>115716.14025321158</v>
      </c>
      <c r="L44" s="451">
        <f>L29*продажи!$F$14</f>
        <v>115716.14025321158</v>
      </c>
      <c r="M44" s="451">
        <f>M29*продажи!$F$14</f>
        <v>115716.14025321158</v>
      </c>
      <c r="N44" s="451">
        <f>N29*продажи!$F$14</f>
        <v>115716.14025321158</v>
      </c>
      <c r="O44" s="451">
        <f>O29*продажи!$F$14</f>
        <v>115716.14025321158</v>
      </c>
      <c r="P44" s="451">
        <f>P29*продажи!$F$14</f>
        <v>115716.14025321158</v>
      </c>
      <c r="Q44" s="451">
        <f>Q29*продажи!$F$14</f>
        <v>115716.14025321158</v>
      </c>
      <c r="R44" s="451">
        <f>R29*продажи!$F$14</f>
        <v>115716.14025321158</v>
      </c>
      <c r="S44" s="451">
        <f>S29*продажи!$F$14</f>
        <v>115716.14025321158</v>
      </c>
      <c r="T44" s="451">
        <f>T29*продажи!$F$14</f>
        <v>115716.14025321158</v>
      </c>
      <c r="U44" s="451">
        <f>U29*продажи!$F$14</f>
        <v>115716.14025321158</v>
      </c>
      <c r="V44" s="451">
        <f>V29*продажи!$F$14</f>
        <v>115716.14025321158</v>
      </c>
      <c r="W44" s="451">
        <f>W29*продажи!$F$14</f>
        <v>115716.14025321158</v>
      </c>
      <c r="X44" s="451">
        <f>X29*продажи!$F$14</f>
        <v>115716.14025321158</v>
      </c>
      <c r="Y44" s="451">
        <f>Y29*продажи!$F$14</f>
        <v>115716.14025321158</v>
      </c>
      <c r="Z44" s="452">
        <f t="shared" si="28"/>
        <v>2034675.4661189707</v>
      </c>
    </row>
    <row r="45" spans="1:26" x14ac:dyDescent="0.2">
      <c r="A45" s="430" t="s">
        <v>2812</v>
      </c>
      <c r="B45" s="451">
        <f>B30*продажи!$F$15</f>
        <v>0</v>
      </c>
      <c r="C45" s="451">
        <f>C30*продажи!$F$15</f>
        <v>0</v>
      </c>
      <c r="D45" s="451">
        <f>D30*продажи!$F$15</f>
        <v>0</v>
      </c>
      <c r="E45" s="451">
        <f>E30*продажи!$F$15</f>
        <v>0</v>
      </c>
      <c r="F45" s="451">
        <f>F30*продажи!$F$15</f>
        <v>0</v>
      </c>
      <c r="G45" s="451">
        <f>G30*продажи!$F$15</f>
        <v>57050.542610589902</v>
      </c>
      <c r="H45" s="451">
        <f>H30*продажи!$F$15</f>
        <v>91280.868176943841</v>
      </c>
      <c r="I45" s="451">
        <f>I30*продажи!$F$15</f>
        <v>125511.19374329779</v>
      </c>
      <c r="J45" s="451">
        <f>J30*продажи!$F$15</f>
        <v>171151.6278317697</v>
      </c>
      <c r="K45" s="451">
        <f>K30*продажи!$F$15</f>
        <v>171151.6278317697</v>
      </c>
      <c r="L45" s="451">
        <f>L30*продажи!$F$15</f>
        <v>171151.6278317697</v>
      </c>
      <c r="M45" s="451">
        <f>M30*продажи!$F$15</f>
        <v>171151.6278317697</v>
      </c>
      <c r="N45" s="451">
        <f>N30*продажи!$F$15</f>
        <v>171151.6278317697</v>
      </c>
      <c r="O45" s="451">
        <f>O30*продажи!$F$15</f>
        <v>171151.6278317697</v>
      </c>
      <c r="P45" s="451">
        <f>P30*продажи!$F$15</f>
        <v>171151.6278317697</v>
      </c>
      <c r="Q45" s="451">
        <f>Q30*продажи!$F$15</f>
        <v>171151.6278317697</v>
      </c>
      <c r="R45" s="451">
        <f>R30*продажи!$F$15</f>
        <v>171151.6278317697</v>
      </c>
      <c r="S45" s="451">
        <f>S30*продажи!$F$15</f>
        <v>171151.6278317697</v>
      </c>
      <c r="T45" s="451">
        <f>T30*продажи!$F$15</f>
        <v>171151.6278317697</v>
      </c>
      <c r="U45" s="451">
        <f>U30*продажи!$F$15</f>
        <v>171151.6278317697</v>
      </c>
      <c r="V45" s="451">
        <f>V30*продажи!$F$15</f>
        <v>171151.6278317697</v>
      </c>
      <c r="W45" s="451">
        <f>W30*продажи!$F$15</f>
        <v>171151.6278317697</v>
      </c>
      <c r="X45" s="451">
        <f>X30*продажи!$F$15</f>
        <v>171151.6278317697</v>
      </c>
      <c r="Y45" s="451">
        <f>Y30*продажи!$F$15</f>
        <v>171151.6278317697</v>
      </c>
      <c r="Z45" s="452">
        <f t="shared" si="28"/>
        <v>3012268.6498391461</v>
      </c>
    </row>
    <row r="46" spans="1:26" x14ac:dyDescent="0.2">
      <c r="A46" s="430" t="s">
        <v>2813</v>
      </c>
      <c r="B46" s="451">
        <f>B31*продажи!$F$16</f>
        <v>0</v>
      </c>
      <c r="C46" s="451">
        <f>C31*продажи!$F$16</f>
        <v>0</v>
      </c>
      <c r="D46" s="451">
        <f>D31*продажи!$F$16</f>
        <v>0</v>
      </c>
      <c r="E46" s="451">
        <f>E31*продажи!$F$16</f>
        <v>0</v>
      </c>
      <c r="F46" s="451">
        <f>F31*продажи!$F$16</f>
        <v>0</v>
      </c>
      <c r="G46" s="451">
        <f>G31*продажи!$F$16</f>
        <v>58904.815533982706</v>
      </c>
      <c r="H46" s="451">
        <f>H31*продажи!$F$16</f>
        <v>94247.704854372336</v>
      </c>
      <c r="I46" s="451">
        <f>I31*продажи!$F$16</f>
        <v>129590.59417476197</v>
      </c>
      <c r="J46" s="451">
        <f>J31*продажи!$F$16</f>
        <v>176714.44660194812</v>
      </c>
      <c r="K46" s="451">
        <f>K31*продажи!$F$16</f>
        <v>176714.44660194812</v>
      </c>
      <c r="L46" s="451">
        <f>L31*продажи!$F$16</f>
        <v>176714.44660194812</v>
      </c>
      <c r="M46" s="451">
        <f>M31*продажи!$F$16</f>
        <v>176714.44660194812</v>
      </c>
      <c r="N46" s="451">
        <f>N31*продажи!$F$16</f>
        <v>176714.44660194812</v>
      </c>
      <c r="O46" s="451">
        <f>O31*продажи!$F$16</f>
        <v>176714.44660194812</v>
      </c>
      <c r="P46" s="451">
        <f>P31*продажи!$F$16</f>
        <v>176714.44660194812</v>
      </c>
      <c r="Q46" s="451">
        <f>Q31*продажи!$F$16</f>
        <v>176714.44660194812</v>
      </c>
      <c r="R46" s="451">
        <f>R31*продажи!$F$16</f>
        <v>176714.44660194812</v>
      </c>
      <c r="S46" s="451">
        <f>S31*продажи!$F$16</f>
        <v>176714.44660194812</v>
      </c>
      <c r="T46" s="451">
        <f>T31*продажи!$F$16</f>
        <v>176714.44660194812</v>
      </c>
      <c r="U46" s="451">
        <f>U31*продажи!$F$16</f>
        <v>176714.44660194812</v>
      </c>
      <c r="V46" s="451">
        <f>V31*продажи!$F$16</f>
        <v>176714.44660194812</v>
      </c>
      <c r="W46" s="451">
        <f>W31*продажи!$F$16</f>
        <v>176714.44660194812</v>
      </c>
      <c r="X46" s="451">
        <f>X31*продажи!$F$16</f>
        <v>176714.44660194812</v>
      </c>
      <c r="Y46" s="451">
        <f>Y31*продажи!$F$16</f>
        <v>176714.44660194812</v>
      </c>
      <c r="Z46" s="452">
        <f t="shared" si="28"/>
        <v>3110174.2601942881</v>
      </c>
    </row>
    <row r="47" spans="1:26" x14ac:dyDescent="0.2">
      <c r="A47" s="430" t="s">
        <v>2814</v>
      </c>
      <c r="B47" s="451">
        <f>B32*продажи!$F$17</f>
        <v>0</v>
      </c>
      <c r="C47" s="451">
        <f>C32*продажи!$F$17</f>
        <v>0</v>
      </c>
      <c r="D47" s="451">
        <f>D32*продажи!$F$17</f>
        <v>0</v>
      </c>
      <c r="E47" s="451">
        <f>E32*продажи!$F$17</f>
        <v>0</v>
      </c>
      <c r="F47" s="451">
        <f>F32*продажи!$F$17</f>
        <v>0</v>
      </c>
      <c r="G47" s="451">
        <f>G32*продажи!$F$17</f>
        <v>46798.166745886047</v>
      </c>
      <c r="H47" s="451">
        <f>H32*продажи!$F$17</f>
        <v>70197.250118829077</v>
      </c>
      <c r="I47" s="451">
        <f>I32*продажи!$F$17</f>
        <v>105295.8751782436</v>
      </c>
      <c r="J47" s="451">
        <f>J32*продажи!$F$17</f>
        <v>140394.50023765815</v>
      </c>
      <c r="K47" s="451">
        <f>K32*продажи!$F$17</f>
        <v>140394.50023765815</v>
      </c>
      <c r="L47" s="451">
        <f>L32*продажи!$F$17</f>
        <v>140394.50023765815</v>
      </c>
      <c r="M47" s="451">
        <f>M32*продажи!$F$17</f>
        <v>140394.50023765815</v>
      </c>
      <c r="N47" s="451">
        <f>N32*продажи!$F$17</f>
        <v>140394.50023765815</v>
      </c>
      <c r="O47" s="451">
        <f>O32*продажи!$F$17</f>
        <v>140394.50023765815</v>
      </c>
      <c r="P47" s="451">
        <f>P32*продажи!$F$17</f>
        <v>140394.50023765815</v>
      </c>
      <c r="Q47" s="451">
        <f>Q32*продажи!$F$17</f>
        <v>140394.50023765815</v>
      </c>
      <c r="R47" s="451">
        <f>R32*продажи!$F$17</f>
        <v>140394.50023765815</v>
      </c>
      <c r="S47" s="451">
        <f>S32*продажи!$F$17</f>
        <v>140394.50023765815</v>
      </c>
      <c r="T47" s="451">
        <f>T32*продажи!$F$17</f>
        <v>140394.50023765815</v>
      </c>
      <c r="U47" s="451">
        <f>U32*продажи!$F$17</f>
        <v>140394.50023765815</v>
      </c>
      <c r="V47" s="451">
        <f>V32*продажи!$F$17</f>
        <v>140394.50023765815</v>
      </c>
      <c r="W47" s="451">
        <f>W32*продажи!$F$17</f>
        <v>140394.50023765815</v>
      </c>
      <c r="X47" s="451">
        <f>X32*продажи!$F$17</f>
        <v>140394.50023765815</v>
      </c>
      <c r="Y47" s="451">
        <f>Y32*продажи!$F$17</f>
        <v>140394.50023765815</v>
      </c>
      <c r="Z47" s="452">
        <f t="shared" si="28"/>
        <v>2468603.295845489</v>
      </c>
    </row>
    <row r="48" spans="1:26" x14ac:dyDescent="0.2">
      <c r="A48" s="430" t="s">
        <v>2815</v>
      </c>
      <c r="B48" s="451">
        <f>B33*продажи!$F$18</f>
        <v>0</v>
      </c>
      <c r="C48" s="451">
        <f>C33*продажи!$F$18</f>
        <v>0</v>
      </c>
      <c r="D48" s="451">
        <f>D33*продажи!$F$18</f>
        <v>0</v>
      </c>
      <c r="E48" s="451">
        <f>E33*продажи!$F$18</f>
        <v>0</v>
      </c>
      <c r="F48" s="451">
        <f>F33*продажи!$F$18</f>
        <v>0</v>
      </c>
      <c r="G48" s="451">
        <f>G33*продажи!$F$18</f>
        <v>107954.43356750476</v>
      </c>
      <c r="H48" s="451">
        <f>H33*продажи!$F$18</f>
        <v>185064.74325857958</v>
      </c>
      <c r="I48" s="451">
        <f>I33*продажи!$F$18</f>
        <v>277597.11488786939</v>
      </c>
      <c r="J48" s="451">
        <f>J33*продажи!$F$18</f>
        <v>370129.48651715915</v>
      </c>
      <c r="K48" s="451">
        <f>K33*продажи!$F$18</f>
        <v>370129.48651715915</v>
      </c>
      <c r="L48" s="451">
        <f>L33*продажи!$F$18</f>
        <v>370129.48651715915</v>
      </c>
      <c r="M48" s="451">
        <f>M33*продажи!$F$18</f>
        <v>370129.48651715915</v>
      </c>
      <c r="N48" s="451">
        <f>N33*продажи!$F$18</f>
        <v>370129.48651715915</v>
      </c>
      <c r="O48" s="451">
        <f>O33*продажи!$F$18</f>
        <v>370129.48651715915</v>
      </c>
      <c r="P48" s="451">
        <f>P33*продажи!$F$18</f>
        <v>370129.48651715915</v>
      </c>
      <c r="Q48" s="451">
        <f>Q33*продажи!$F$18</f>
        <v>370129.48651715915</v>
      </c>
      <c r="R48" s="451">
        <f>R33*продажи!$F$18</f>
        <v>370129.48651715915</v>
      </c>
      <c r="S48" s="451">
        <f>S33*продажи!$F$18</f>
        <v>370129.48651715915</v>
      </c>
      <c r="T48" s="451">
        <f>T33*продажи!$F$18</f>
        <v>370129.48651715915</v>
      </c>
      <c r="U48" s="451">
        <f>U33*продажи!$F$18</f>
        <v>370129.48651715915</v>
      </c>
      <c r="V48" s="451">
        <f>V33*продажи!$F$18</f>
        <v>370129.48651715915</v>
      </c>
      <c r="W48" s="451">
        <f>W33*продажи!$F$18</f>
        <v>370129.48651715915</v>
      </c>
      <c r="X48" s="451">
        <f>X33*продажи!$F$18</f>
        <v>370129.48651715915</v>
      </c>
      <c r="Y48" s="451">
        <f>Y33*продажи!$F$18</f>
        <v>370129.48651715915</v>
      </c>
      <c r="Z48" s="452">
        <f t="shared" si="28"/>
        <v>6492688.0759885013</v>
      </c>
    </row>
    <row r="49" spans="1:26" ht="13.5" thickBot="1" x14ac:dyDescent="0.25">
      <c r="A49" s="374" t="s">
        <v>2923</v>
      </c>
      <c r="B49" s="453">
        <f>SUM(B35:B48)</f>
        <v>0</v>
      </c>
      <c r="C49" s="453">
        <f t="shared" ref="C49:U49" si="29">SUM(C35:C48)</f>
        <v>0</v>
      </c>
      <c r="D49" s="453">
        <f t="shared" si="29"/>
        <v>0</v>
      </c>
      <c r="E49" s="453">
        <f t="shared" si="29"/>
        <v>0</v>
      </c>
      <c r="F49" s="453">
        <f t="shared" si="29"/>
        <v>0</v>
      </c>
      <c r="G49" s="453">
        <f t="shared" si="29"/>
        <v>714560.92469127965</v>
      </c>
      <c r="H49" s="453">
        <f t="shared" si="29"/>
        <v>1157832.5765441614</v>
      </c>
      <c r="I49" s="453">
        <f t="shared" si="29"/>
        <v>1727395.7628387238</v>
      </c>
      <c r="J49" s="453">
        <f t="shared" si="29"/>
        <v>2292474.0814594082</v>
      </c>
      <c r="K49" s="453">
        <f t="shared" si="29"/>
        <v>2292474.0814594082</v>
      </c>
      <c r="L49" s="453">
        <f t="shared" si="29"/>
        <v>2292474.0814594082</v>
      </c>
      <c r="M49" s="453">
        <f t="shared" si="29"/>
        <v>2292474.0814594082</v>
      </c>
      <c r="N49" s="453">
        <f t="shared" si="29"/>
        <v>2292474.0814594082</v>
      </c>
      <c r="O49" s="453">
        <f t="shared" si="29"/>
        <v>2292474.0814594082</v>
      </c>
      <c r="P49" s="453">
        <f t="shared" si="29"/>
        <v>2292474.0814594082</v>
      </c>
      <c r="Q49" s="453">
        <f t="shared" si="29"/>
        <v>2292474.0814594082</v>
      </c>
      <c r="R49" s="453">
        <f t="shared" si="29"/>
        <v>2292474.0814594082</v>
      </c>
      <c r="S49" s="453">
        <f t="shared" si="29"/>
        <v>2292474.0814594082</v>
      </c>
      <c r="T49" s="453">
        <f t="shared" si="29"/>
        <v>2292474.0814594082</v>
      </c>
      <c r="U49" s="453">
        <f t="shared" si="29"/>
        <v>2292474.0814594082</v>
      </c>
      <c r="V49" s="453">
        <f t="shared" ref="V49:Y49" si="30">SUM(V35:V48)</f>
        <v>2292474.0814594082</v>
      </c>
      <c r="W49" s="453">
        <f t="shared" si="30"/>
        <v>2292474.0814594082</v>
      </c>
      <c r="X49" s="453">
        <f t="shared" si="30"/>
        <v>2292474.0814594082</v>
      </c>
      <c r="Y49" s="453">
        <f t="shared" si="30"/>
        <v>2292474.0814594082</v>
      </c>
      <c r="Z49" s="453">
        <f>SUM(Z35:Z48)</f>
        <v>40279374.5674247</v>
      </c>
    </row>
    <row r="50" spans="1:26" s="457" customFormat="1" x14ac:dyDescent="0.2">
      <c r="A50" s="454" t="s">
        <v>2919</v>
      </c>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6"/>
    </row>
    <row r="51" spans="1:26" hidden="1" outlineLevel="1" x14ac:dyDescent="0.2">
      <c r="A51" s="458">
        <f>продажи!B24</f>
        <v>54</v>
      </c>
      <c r="B51" s="366">
        <f>B2*B3*продажи!$C$24</f>
        <v>0</v>
      </c>
      <c r="C51" s="366">
        <f>C2*C3*продажи!$C$24</f>
        <v>0</v>
      </c>
      <c r="D51" s="366">
        <f>D2*D3*продажи!$C$24</f>
        <v>0</v>
      </c>
      <c r="E51" s="366">
        <f>E2*E3*продажи!$C$24</f>
        <v>0</v>
      </c>
      <c r="F51" s="366">
        <f>F2*F3*продажи!$C$24</f>
        <v>0</v>
      </c>
      <c r="G51" s="366">
        <v>0</v>
      </c>
      <c r="H51" s="366">
        <v>1.7999999999999998</v>
      </c>
      <c r="I51" s="366">
        <v>3</v>
      </c>
      <c r="J51" s="366">
        <v>4.5</v>
      </c>
      <c r="K51" s="366">
        <f>K2*K3*продажи!$C$24</f>
        <v>6</v>
      </c>
      <c r="L51" s="366">
        <f>L2*L3*продажи!$C$24</f>
        <v>6</v>
      </c>
      <c r="M51" s="366">
        <f>M2*M3*продажи!$C$24</f>
        <v>6</v>
      </c>
      <c r="N51" s="366">
        <f>N2*N3*продажи!$C$24</f>
        <v>6</v>
      </c>
      <c r="O51" s="366">
        <f>O2*O3*продажи!$C$24</f>
        <v>6</v>
      </c>
      <c r="P51" s="366">
        <f>P2*P3*продажи!$C$24</f>
        <v>6</v>
      </c>
      <c r="Q51" s="366">
        <f>Q2*Q3*продажи!$C$24</f>
        <v>6</v>
      </c>
      <c r="R51" s="366">
        <f>R2*R3*продажи!$C$24</f>
        <v>6</v>
      </c>
      <c r="S51" s="366">
        <f>S2*S3*продажи!$C$24</f>
        <v>6</v>
      </c>
      <c r="T51" s="366">
        <f>T2*T3*продажи!$C$24</f>
        <v>6</v>
      </c>
      <c r="U51" s="366">
        <f>U2*U3*продажи!$C$24</f>
        <v>6</v>
      </c>
      <c r="V51" s="366">
        <f>V2*V3*продажи!$C$24</f>
        <v>6</v>
      </c>
      <c r="W51" s="366">
        <f>W2*W3*продажи!$C$24</f>
        <v>6</v>
      </c>
      <c r="X51" s="366">
        <f>X2*X3*продажи!$C$24</f>
        <v>6</v>
      </c>
      <c r="Y51" s="366">
        <f>Y2*Y3*продажи!$C$24</f>
        <v>6</v>
      </c>
      <c r="Z51" s="371"/>
    </row>
    <row r="52" spans="1:26" hidden="1" outlineLevel="1" x14ac:dyDescent="0.2">
      <c r="A52" s="458">
        <f>продажи!B25</f>
        <v>76</v>
      </c>
      <c r="B52" s="366">
        <f>B2*B3*продажи!$C$25</f>
        <v>0</v>
      </c>
      <c r="C52" s="366">
        <f>C2*C3*продажи!$C$25</f>
        <v>0</v>
      </c>
      <c r="D52" s="366">
        <f>D2*D3*продажи!$C$25</f>
        <v>0</v>
      </c>
      <c r="E52" s="366">
        <f>E2*E3*продажи!$C$25</f>
        <v>0</v>
      </c>
      <c r="F52" s="366">
        <f>F2*F3*продажи!$C$25</f>
        <v>0</v>
      </c>
      <c r="G52" s="366">
        <v>0</v>
      </c>
      <c r="H52" s="366">
        <v>2.6999999999999997</v>
      </c>
      <c r="I52" s="366">
        <v>4.5</v>
      </c>
      <c r="J52" s="366">
        <v>6.75</v>
      </c>
      <c r="K52" s="366">
        <f>K2*K3*продажи!$C$25</f>
        <v>9</v>
      </c>
      <c r="L52" s="366">
        <f>L2*L3*продажи!$C$25</f>
        <v>9</v>
      </c>
      <c r="M52" s="366">
        <f>M2*M3*продажи!$C$25</f>
        <v>9</v>
      </c>
      <c r="N52" s="366">
        <f>N2*N3*продажи!$C$25</f>
        <v>9</v>
      </c>
      <c r="O52" s="366">
        <f>O2*O3*продажи!$C$25</f>
        <v>9</v>
      </c>
      <c r="P52" s="366">
        <f>P2*P3*продажи!$C$25</f>
        <v>9</v>
      </c>
      <c r="Q52" s="366">
        <f>Q2*Q3*продажи!$C$25</f>
        <v>9</v>
      </c>
      <c r="R52" s="366">
        <f>R2*R3*продажи!$C$25</f>
        <v>9</v>
      </c>
      <c r="S52" s="366">
        <f>S2*S3*продажи!$C$25</f>
        <v>9</v>
      </c>
      <c r="T52" s="366">
        <f>T2*T3*продажи!$C$25</f>
        <v>9</v>
      </c>
      <c r="U52" s="366">
        <f>U2*U3*продажи!$C$25</f>
        <v>9</v>
      </c>
      <c r="V52" s="366">
        <f>V2*V3*продажи!$C$25</f>
        <v>9</v>
      </c>
      <c r="W52" s="366">
        <f>W2*W3*продажи!$C$25</f>
        <v>9</v>
      </c>
      <c r="X52" s="366">
        <f>X2*X3*продажи!$C$25</f>
        <v>9</v>
      </c>
      <c r="Y52" s="366">
        <f>Y2*Y3*продажи!$C$25</f>
        <v>9</v>
      </c>
      <c r="Z52" s="371"/>
    </row>
    <row r="53" spans="1:26" hidden="1" outlineLevel="1" x14ac:dyDescent="0.2">
      <c r="A53" s="458">
        <f>продажи!B26</f>
        <v>95</v>
      </c>
      <c r="B53" s="366">
        <f>B2*B3*продажи!$C$26</f>
        <v>0</v>
      </c>
      <c r="C53" s="366">
        <f>C2*C3*продажи!$C$26</f>
        <v>0</v>
      </c>
      <c r="D53" s="366">
        <f>D2*D3*продажи!$C$26</f>
        <v>0</v>
      </c>
      <c r="E53" s="366">
        <f>E2*E3*продажи!$C$26</f>
        <v>0</v>
      </c>
      <c r="F53" s="366">
        <f>F2*F3*продажи!$C$26</f>
        <v>0</v>
      </c>
      <c r="G53" s="366">
        <v>0</v>
      </c>
      <c r="H53" s="366">
        <v>4.5</v>
      </c>
      <c r="I53" s="366">
        <v>7.5</v>
      </c>
      <c r="J53" s="366">
        <v>11.25</v>
      </c>
      <c r="K53" s="366">
        <f>K2*K3*продажи!$C$26</f>
        <v>15</v>
      </c>
      <c r="L53" s="366">
        <f>L2*L3*продажи!$C$26</f>
        <v>15</v>
      </c>
      <c r="M53" s="366">
        <f>M2*M3*продажи!$C$26</f>
        <v>15</v>
      </c>
      <c r="N53" s="366">
        <f>N2*N3*продажи!$C$26</f>
        <v>15</v>
      </c>
      <c r="O53" s="366">
        <f>O2*O3*продажи!$C$26</f>
        <v>15</v>
      </c>
      <c r="P53" s="366">
        <f>P2*P3*продажи!$C$26</f>
        <v>15</v>
      </c>
      <c r="Q53" s="366">
        <f>Q2*Q3*продажи!$C$26</f>
        <v>15</v>
      </c>
      <c r="R53" s="366">
        <f>R2*R3*продажи!$C$26</f>
        <v>15</v>
      </c>
      <c r="S53" s="366">
        <f>S2*S3*продажи!$C$26</f>
        <v>15</v>
      </c>
      <c r="T53" s="366">
        <f>T2*T3*продажи!$C$26</f>
        <v>15</v>
      </c>
      <c r="U53" s="366">
        <f>U2*U3*продажи!$C$26</f>
        <v>15</v>
      </c>
      <c r="V53" s="366">
        <f>V2*V3*продажи!$C$26</f>
        <v>15</v>
      </c>
      <c r="W53" s="366">
        <f>W2*W3*продажи!$C$26</f>
        <v>15</v>
      </c>
      <c r="X53" s="366">
        <f>X2*X3*продажи!$C$26</f>
        <v>15</v>
      </c>
      <c r="Y53" s="366">
        <f>Y2*Y3*продажи!$C$26</f>
        <v>15</v>
      </c>
      <c r="Z53" s="371"/>
    </row>
    <row r="54" spans="1:26" hidden="1" outlineLevel="1" x14ac:dyDescent="0.2">
      <c r="A54" s="458">
        <f>продажи!B27</f>
        <v>106</v>
      </c>
      <c r="B54" s="366">
        <f>B2*B3*продажи!$C$27</f>
        <v>0</v>
      </c>
      <c r="C54" s="366">
        <f>C2*C3*продажи!$C$27</f>
        <v>0</v>
      </c>
      <c r="D54" s="366">
        <f>D2*D3*продажи!$C$27</f>
        <v>0</v>
      </c>
      <c r="E54" s="366">
        <f>E2*E3*продажи!$C$27</f>
        <v>0</v>
      </c>
      <c r="F54" s="366">
        <f>F2*F3*продажи!$C$27</f>
        <v>0</v>
      </c>
      <c r="G54" s="366">
        <v>0</v>
      </c>
      <c r="H54" s="366">
        <v>9</v>
      </c>
      <c r="I54" s="366">
        <v>15</v>
      </c>
      <c r="J54" s="366">
        <v>22.5</v>
      </c>
      <c r="K54" s="366">
        <f>K2*K3*продажи!$C$27</f>
        <v>30</v>
      </c>
      <c r="L54" s="366">
        <f>L2*L3*продажи!$C$27</f>
        <v>30</v>
      </c>
      <c r="M54" s="366">
        <f>M2*M3*продажи!$C$27</f>
        <v>30</v>
      </c>
      <c r="N54" s="366">
        <f>N2*N3*продажи!$C$27</f>
        <v>30</v>
      </c>
      <c r="O54" s="366">
        <f>O2*O3*продажи!$C$27</f>
        <v>30</v>
      </c>
      <c r="P54" s="366">
        <f>P2*P3*продажи!$C$27</f>
        <v>30</v>
      </c>
      <c r="Q54" s="366">
        <f>Q2*Q3*продажи!$C$27</f>
        <v>30</v>
      </c>
      <c r="R54" s="366">
        <f>R2*R3*продажи!$C$27</f>
        <v>30</v>
      </c>
      <c r="S54" s="366">
        <f>S2*S3*продажи!$C$27</f>
        <v>30</v>
      </c>
      <c r="T54" s="366">
        <f>T2*T3*продажи!$C$27</f>
        <v>30</v>
      </c>
      <c r="U54" s="366">
        <f>U2*U3*продажи!$C$27</f>
        <v>30</v>
      </c>
      <c r="V54" s="366">
        <f>V2*V3*продажи!$C$27</f>
        <v>30</v>
      </c>
      <c r="W54" s="366">
        <f>W2*W3*продажи!$C$27</f>
        <v>30</v>
      </c>
      <c r="X54" s="366">
        <f>X2*X3*продажи!$C$27</f>
        <v>30</v>
      </c>
      <c r="Y54" s="366">
        <f>Y2*Y3*продажи!$C$27</f>
        <v>30</v>
      </c>
      <c r="Z54" s="371"/>
    </row>
    <row r="55" spans="1:26" hidden="1" outlineLevel="1" x14ac:dyDescent="0.2">
      <c r="A55" s="458">
        <f>продажи!B28</f>
        <v>120</v>
      </c>
      <c r="B55" s="366">
        <f>B2*B3*продажи!$C$28</f>
        <v>0</v>
      </c>
      <c r="C55" s="366">
        <f>C2*C3*продажи!$C$28</f>
        <v>0</v>
      </c>
      <c r="D55" s="366">
        <f>D2*D3*продажи!$C$28</f>
        <v>0</v>
      </c>
      <c r="E55" s="366">
        <f>E2*E3*продажи!$C$28</f>
        <v>0</v>
      </c>
      <c r="F55" s="366">
        <f>F2*F3*продажи!$C$28</f>
        <v>0</v>
      </c>
      <c r="G55" s="366">
        <v>0</v>
      </c>
      <c r="H55" s="366">
        <v>9</v>
      </c>
      <c r="I55" s="366">
        <v>15</v>
      </c>
      <c r="J55" s="366">
        <v>22.5</v>
      </c>
      <c r="K55" s="366">
        <f>K2*K3*продажи!$C$28</f>
        <v>30</v>
      </c>
      <c r="L55" s="366">
        <f>L2*L3*продажи!$C$28</f>
        <v>30</v>
      </c>
      <c r="M55" s="366">
        <f>M2*M3*продажи!$C$28</f>
        <v>30</v>
      </c>
      <c r="N55" s="366">
        <f>N2*N3*продажи!$C$28</f>
        <v>30</v>
      </c>
      <c r="O55" s="366">
        <f>O2*O3*продажи!$C$28</f>
        <v>30</v>
      </c>
      <c r="P55" s="366">
        <f>P2*P3*продажи!$C$28</f>
        <v>30</v>
      </c>
      <c r="Q55" s="366">
        <f>Q2*Q3*продажи!$C$28</f>
        <v>30</v>
      </c>
      <c r="R55" s="366">
        <f>R2*R3*продажи!$C$28</f>
        <v>30</v>
      </c>
      <c r="S55" s="366">
        <f>S2*S3*продажи!$C$28</f>
        <v>30</v>
      </c>
      <c r="T55" s="366">
        <f>T2*T3*продажи!$C$28</f>
        <v>30</v>
      </c>
      <c r="U55" s="366">
        <f>U2*U3*продажи!$C$28</f>
        <v>30</v>
      </c>
      <c r="V55" s="366">
        <f>V2*V3*продажи!$C$28</f>
        <v>30</v>
      </c>
      <c r="W55" s="366">
        <f>W2*W3*продажи!$C$28</f>
        <v>30</v>
      </c>
      <c r="X55" s="366">
        <f>X2*X3*продажи!$C$28</f>
        <v>30</v>
      </c>
      <c r="Y55" s="366">
        <f>Y2*Y3*продажи!$C$28</f>
        <v>30</v>
      </c>
      <c r="Z55" s="371"/>
    </row>
    <row r="56" spans="1:26" hidden="1" outlineLevel="1" x14ac:dyDescent="0.2">
      <c r="A56" s="458">
        <f>продажи!B29</f>
        <v>165</v>
      </c>
      <c r="B56" s="366">
        <f>B2*B3*продажи!$C$29</f>
        <v>0</v>
      </c>
      <c r="C56" s="366">
        <f>C2*C3*продажи!$C$29</f>
        <v>0</v>
      </c>
      <c r="D56" s="366">
        <f>D2*D3*продажи!$C$29</f>
        <v>0</v>
      </c>
      <c r="E56" s="366">
        <f>E2*E3*продажи!$C$29</f>
        <v>0</v>
      </c>
      <c r="F56" s="366">
        <f>F2*F3*продажи!$C$29</f>
        <v>0</v>
      </c>
      <c r="G56" s="366">
        <v>0</v>
      </c>
      <c r="H56" s="366">
        <v>7.1999999999999993</v>
      </c>
      <c r="I56" s="366">
        <v>12</v>
      </c>
      <c r="J56" s="366">
        <v>18</v>
      </c>
      <c r="K56" s="366">
        <f>K2*K3*продажи!$C$29</f>
        <v>24</v>
      </c>
      <c r="L56" s="366">
        <f>L2*L3*продажи!$C$29</f>
        <v>24</v>
      </c>
      <c r="M56" s="366">
        <f>M2*M3*продажи!$C$29</f>
        <v>24</v>
      </c>
      <c r="N56" s="366">
        <f>N2*N3*продажи!$C$29</f>
        <v>24</v>
      </c>
      <c r="O56" s="366">
        <f>O2*O3*продажи!$C$29</f>
        <v>24</v>
      </c>
      <c r="P56" s="366">
        <f>P2*P3*продажи!$C$29</f>
        <v>24</v>
      </c>
      <c r="Q56" s="366">
        <f>Q2*Q3*продажи!$C$29</f>
        <v>24</v>
      </c>
      <c r="R56" s="366">
        <f>R2*R3*продажи!$C$29</f>
        <v>24</v>
      </c>
      <c r="S56" s="366">
        <f>S2*S3*продажи!$C$29</f>
        <v>24</v>
      </c>
      <c r="T56" s="366">
        <f>T2*T3*продажи!$C$29</f>
        <v>24</v>
      </c>
      <c r="U56" s="366">
        <f>U2*U3*продажи!$C$29</f>
        <v>24</v>
      </c>
      <c r="V56" s="366">
        <f>V2*V3*продажи!$C$29</f>
        <v>24</v>
      </c>
      <c r="W56" s="366">
        <f>W2*W3*продажи!$C$29</f>
        <v>24</v>
      </c>
      <c r="X56" s="366">
        <f>X2*X3*продажи!$C$29</f>
        <v>24</v>
      </c>
      <c r="Y56" s="366">
        <f>Y2*Y3*продажи!$C$29</f>
        <v>24</v>
      </c>
      <c r="Z56" s="371"/>
    </row>
    <row r="57" spans="1:26" hidden="1" outlineLevel="1" x14ac:dyDescent="0.2">
      <c r="A57" s="458">
        <f>продажи!B30</f>
        <v>172</v>
      </c>
      <c r="B57" s="366">
        <f>B2*B3*продажи!$C$30</f>
        <v>0</v>
      </c>
      <c r="C57" s="366">
        <f>C2*C3*продажи!$C$30</f>
        <v>0</v>
      </c>
      <c r="D57" s="366">
        <f>D2*D3*продажи!$C$30</f>
        <v>0</v>
      </c>
      <c r="E57" s="366">
        <f>E2*E3*продажи!$C$30</f>
        <v>0</v>
      </c>
      <c r="F57" s="366">
        <f>F2*F3*продажи!$C$30</f>
        <v>0</v>
      </c>
      <c r="G57" s="366">
        <v>0</v>
      </c>
      <c r="H57" s="366">
        <v>22.499999999999996</v>
      </c>
      <c r="I57" s="366">
        <v>37.5</v>
      </c>
      <c r="J57" s="366">
        <v>56.25</v>
      </c>
      <c r="K57" s="366">
        <f>K2*K3*продажи!$C$30</f>
        <v>75</v>
      </c>
      <c r="L57" s="366">
        <f>L2*L3*продажи!$C$30</f>
        <v>75</v>
      </c>
      <c r="M57" s="366">
        <f>M2*M3*продажи!$C$30</f>
        <v>75</v>
      </c>
      <c r="N57" s="366">
        <f>N2*N3*продажи!$C$30</f>
        <v>75</v>
      </c>
      <c r="O57" s="366">
        <f>O2*O3*продажи!$C$30</f>
        <v>75</v>
      </c>
      <c r="P57" s="366">
        <f>P2*P3*продажи!$C$30</f>
        <v>75</v>
      </c>
      <c r="Q57" s="366">
        <f>Q2*Q3*продажи!$C$30</f>
        <v>75</v>
      </c>
      <c r="R57" s="366">
        <f>R2*R3*продажи!$C$30</f>
        <v>75</v>
      </c>
      <c r="S57" s="366">
        <f>S2*S3*продажи!$C$30</f>
        <v>75</v>
      </c>
      <c r="T57" s="366">
        <f>T2*T3*продажи!$C$30</f>
        <v>75</v>
      </c>
      <c r="U57" s="366">
        <f>U2*U3*продажи!$C$30</f>
        <v>75</v>
      </c>
      <c r="V57" s="366">
        <f>V2*V3*продажи!$C$30</f>
        <v>75</v>
      </c>
      <c r="W57" s="366">
        <f>W2*W3*продажи!$C$30</f>
        <v>75</v>
      </c>
      <c r="X57" s="366">
        <f>X2*X3*продажи!$C$30</f>
        <v>75</v>
      </c>
      <c r="Y57" s="366">
        <f>Y2*Y3*продажи!$C$30</f>
        <v>75</v>
      </c>
      <c r="Z57" s="371"/>
    </row>
    <row r="58" spans="1:26" hidden="1" outlineLevel="1" x14ac:dyDescent="0.2">
      <c r="A58" s="458">
        <f>продажи!B31</f>
        <v>195</v>
      </c>
      <c r="B58" s="366">
        <f>B2*B3*продажи!$C$31</f>
        <v>0</v>
      </c>
      <c r="C58" s="366">
        <f>C2*C3*продажи!$C$31</f>
        <v>0</v>
      </c>
      <c r="D58" s="366">
        <f>D2*D3*продажи!$C$31</f>
        <v>0</v>
      </c>
      <c r="E58" s="366">
        <f>E2*E3*продажи!$C$31</f>
        <v>0</v>
      </c>
      <c r="F58" s="366">
        <f>F2*F3*продажи!$C$31</f>
        <v>0</v>
      </c>
      <c r="G58" s="366">
        <v>0</v>
      </c>
      <c r="H58" s="366">
        <v>6.2999999999999989</v>
      </c>
      <c r="I58" s="366">
        <v>10.5</v>
      </c>
      <c r="J58" s="366">
        <v>15.75</v>
      </c>
      <c r="K58" s="366">
        <f>K2*K3*продажи!$C$31</f>
        <v>21</v>
      </c>
      <c r="L58" s="366">
        <f>L2*L3*продажи!$C$31</f>
        <v>21</v>
      </c>
      <c r="M58" s="366">
        <f>M2*M3*продажи!$C$31</f>
        <v>21</v>
      </c>
      <c r="N58" s="366">
        <f>N2*N3*продажи!$C$31</f>
        <v>21</v>
      </c>
      <c r="O58" s="366">
        <f>O2*O3*продажи!$C$31</f>
        <v>21</v>
      </c>
      <c r="P58" s="366">
        <f>P2*P3*продажи!$C$31</f>
        <v>21</v>
      </c>
      <c r="Q58" s="366">
        <f>Q2*Q3*продажи!$C$31</f>
        <v>21</v>
      </c>
      <c r="R58" s="366">
        <f>R2*R3*продажи!$C$31</f>
        <v>21</v>
      </c>
      <c r="S58" s="366">
        <f>S2*S3*продажи!$C$31</f>
        <v>21</v>
      </c>
      <c r="T58" s="366">
        <f>T2*T3*продажи!$C$31</f>
        <v>21</v>
      </c>
      <c r="U58" s="366">
        <f>U2*U3*продажи!$C$31</f>
        <v>21</v>
      </c>
      <c r="V58" s="366">
        <f>V2*V3*продажи!$C$31</f>
        <v>21</v>
      </c>
      <c r="W58" s="366">
        <f>W2*W3*продажи!$C$31</f>
        <v>21</v>
      </c>
      <c r="X58" s="366">
        <f>X2*X3*продажи!$C$31</f>
        <v>21</v>
      </c>
      <c r="Y58" s="366">
        <f>Y2*Y3*продажи!$C$31</f>
        <v>21</v>
      </c>
      <c r="Z58" s="371"/>
    </row>
    <row r="59" spans="1:26" hidden="1" outlineLevel="1" x14ac:dyDescent="0.2">
      <c r="A59" s="458">
        <f>продажи!B32</f>
        <v>215</v>
      </c>
      <c r="B59" s="366">
        <f>B2*B3*продажи!$C$32</f>
        <v>0</v>
      </c>
      <c r="C59" s="366">
        <f>C2*C3*продажи!$C$32</f>
        <v>0</v>
      </c>
      <c r="D59" s="366">
        <f>D2*D3*продажи!$C$32</f>
        <v>0</v>
      </c>
      <c r="E59" s="366">
        <f>E2*E3*продажи!$C$32</f>
        <v>0</v>
      </c>
      <c r="F59" s="366">
        <f>F2*F3*продажи!$C$32</f>
        <v>0</v>
      </c>
      <c r="G59" s="366">
        <v>0</v>
      </c>
      <c r="H59" s="366">
        <v>3.5999999999999996</v>
      </c>
      <c r="I59" s="366">
        <v>6</v>
      </c>
      <c r="J59" s="366">
        <v>9</v>
      </c>
      <c r="K59" s="366">
        <f>K2*K3*продажи!$C$32</f>
        <v>12</v>
      </c>
      <c r="L59" s="366">
        <f>L2*L3*продажи!$C$32</f>
        <v>12</v>
      </c>
      <c r="M59" s="366">
        <f>M2*M3*продажи!$C$32</f>
        <v>12</v>
      </c>
      <c r="N59" s="366">
        <f>N2*N3*продажи!$C$32</f>
        <v>12</v>
      </c>
      <c r="O59" s="366">
        <f>O2*O3*продажи!$C$32</f>
        <v>12</v>
      </c>
      <c r="P59" s="366">
        <f>P2*P3*продажи!$C$32</f>
        <v>12</v>
      </c>
      <c r="Q59" s="366">
        <f>Q2*Q3*продажи!$C$32</f>
        <v>12</v>
      </c>
      <c r="R59" s="366">
        <f>R2*R3*продажи!$C$32</f>
        <v>12</v>
      </c>
      <c r="S59" s="366">
        <f>S2*S3*продажи!$C$32</f>
        <v>12</v>
      </c>
      <c r="T59" s="366">
        <f>T2*T3*продажи!$C$32</f>
        <v>12</v>
      </c>
      <c r="U59" s="366">
        <f>U2*U3*продажи!$C$32</f>
        <v>12</v>
      </c>
      <c r="V59" s="366">
        <f>V2*V3*продажи!$C$32</f>
        <v>12</v>
      </c>
      <c r="W59" s="366">
        <f>W2*W3*продажи!$C$32</f>
        <v>12</v>
      </c>
      <c r="X59" s="366">
        <f>X2*X3*продажи!$C$32</f>
        <v>12</v>
      </c>
      <c r="Y59" s="366">
        <f>Y2*Y3*продажи!$C$32</f>
        <v>12</v>
      </c>
      <c r="Z59" s="371"/>
    </row>
    <row r="60" spans="1:26" hidden="1" outlineLevel="1" x14ac:dyDescent="0.2">
      <c r="A60" s="458">
        <f>продажи!B33</f>
        <v>240</v>
      </c>
      <c r="B60" s="366">
        <f>B2*B3*продажи!$C$33</f>
        <v>0</v>
      </c>
      <c r="C60" s="366">
        <f>C2*C3*продажи!$C$33</f>
        <v>0</v>
      </c>
      <c r="D60" s="366">
        <f>D2*D3*продажи!$C$33</f>
        <v>0</v>
      </c>
      <c r="E60" s="366">
        <f>E2*E3*продажи!$C$33</f>
        <v>0</v>
      </c>
      <c r="F60" s="366">
        <f>F2*F3*продажи!$C$33</f>
        <v>0</v>
      </c>
      <c r="G60" s="366">
        <v>0</v>
      </c>
      <c r="H60" s="366">
        <v>5.3999999999999995</v>
      </c>
      <c r="I60" s="366">
        <v>9</v>
      </c>
      <c r="J60" s="366">
        <v>13.5</v>
      </c>
      <c r="K60" s="366">
        <f>K2*K3*продажи!$C$33</f>
        <v>18</v>
      </c>
      <c r="L60" s="366">
        <f>L2*L3*продажи!$C$33</f>
        <v>18</v>
      </c>
      <c r="M60" s="366">
        <f>M2*M3*продажи!$C$33</f>
        <v>18</v>
      </c>
      <c r="N60" s="366">
        <f>N2*N3*продажи!$C$33</f>
        <v>18</v>
      </c>
      <c r="O60" s="366">
        <f>O2*O3*продажи!$C$33</f>
        <v>18</v>
      </c>
      <c r="P60" s="366">
        <f>P2*P3*продажи!$C$33</f>
        <v>18</v>
      </c>
      <c r="Q60" s="366">
        <f>Q2*Q3*продажи!$C$33</f>
        <v>18</v>
      </c>
      <c r="R60" s="366">
        <f>R2*R3*продажи!$C$33</f>
        <v>18</v>
      </c>
      <c r="S60" s="366">
        <f>S2*S3*продажи!$C$33</f>
        <v>18</v>
      </c>
      <c r="T60" s="366">
        <f>T2*T3*продажи!$C$33</f>
        <v>18</v>
      </c>
      <c r="U60" s="366">
        <f>U2*U3*продажи!$C$33</f>
        <v>18</v>
      </c>
      <c r="V60" s="366">
        <f>V2*V3*продажи!$C$33</f>
        <v>18</v>
      </c>
      <c r="W60" s="366">
        <f>W2*W3*продажи!$C$33</f>
        <v>18</v>
      </c>
      <c r="X60" s="366">
        <f>X2*X3*продажи!$C$33</f>
        <v>18</v>
      </c>
      <c r="Y60" s="366">
        <f>Y2*Y3*продажи!$C$33</f>
        <v>18</v>
      </c>
      <c r="Z60" s="371"/>
    </row>
    <row r="61" spans="1:26" collapsed="1" x14ac:dyDescent="0.2">
      <c r="A61" s="459" t="s">
        <v>2922</v>
      </c>
      <c r="B61" s="375"/>
      <c r="C61" s="375"/>
      <c r="D61" s="375"/>
      <c r="E61" s="375"/>
      <c r="F61" s="375"/>
      <c r="G61" s="375"/>
      <c r="H61" s="375"/>
      <c r="I61" s="375"/>
      <c r="J61" s="375"/>
      <c r="K61" s="375"/>
      <c r="L61" s="375"/>
      <c r="M61" s="375"/>
      <c r="N61" s="375"/>
      <c r="O61" s="375"/>
      <c r="P61" s="375"/>
      <c r="Q61" s="375"/>
      <c r="R61" s="375"/>
      <c r="S61" s="375"/>
      <c r="T61" s="375"/>
      <c r="U61" s="375"/>
      <c r="V61" s="375"/>
      <c r="W61" s="375"/>
      <c r="X61" s="375"/>
      <c r="Y61" s="375"/>
      <c r="Z61" s="376"/>
    </row>
    <row r="62" spans="1:26" x14ac:dyDescent="0.2">
      <c r="A62" s="458">
        <f>A51</f>
        <v>54</v>
      </c>
      <c r="B62" s="366">
        <f t="shared" ref="B62:Y62" si="31">ROUND(B51,0)</f>
        <v>0</v>
      </c>
      <c r="C62" s="366">
        <f t="shared" si="31"/>
        <v>0</v>
      </c>
      <c r="D62" s="366">
        <f t="shared" si="31"/>
        <v>0</v>
      </c>
      <c r="E62" s="366">
        <f t="shared" si="31"/>
        <v>0</v>
      </c>
      <c r="F62" s="366">
        <f t="shared" si="31"/>
        <v>0</v>
      </c>
      <c r="G62" s="366">
        <f t="shared" si="31"/>
        <v>0</v>
      </c>
      <c r="H62" s="366">
        <f t="shared" si="31"/>
        <v>2</v>
      </c>
      <c r="I62" s="366">
        <f t="shared" si="31"/>
        <v>3</v>
      </c>
      <c r="J62" s="366">
        <f t="shared" si="31"/>
        <v>5</v>
      </c>
      <c r="K62" s="366">
        <f t="shared" si="31"/>
        <v>6</v>
      </c>
      <c r="L62" s="366">
        <f t="shared" si="31"/>
        <v>6</v>
      </c>
      <c r="M62" s="366">
        <f t="shared" si="31"/>
        <v>6</v>
      </c>
      <c r="N62" s="366">
        <f t="shared" si="31"/>
        <v>6</v>
      </c>
      <c r="O62" s="366">
        <f t="shared" si="31"/>
        <v>6</v>
      </c>
      <c r="P62" s="366">
        <f t="shared" si="31"/>
        <v>6</v>
      </c>
      <c r="Q62" s="366">
        <f t="shared" si="31"/>
        <v>6</v>
      </c>
      <c r="R62" s="366">
        <f t="shared" si="31"/>
        <v>6</v>
      </c>
      <c r="S62" s="366">
        <f t="shared" si="31"/>
        <v>6</v>
      </c>
      <c r="T62" s="366">
        <f t="shared" si="31"/>
        <v>6</v>
      </c>
      <c r="U62" s="366">
        <f t="shared" si="31"/>
        <v>6</v>
      </c>
      <c r="V62" s="366">
        <f t="shared" si="31"/>
        <v>6</v>
      </c>
      <c r="W62" s="366">
        <f t="shared" si="31"/>
        <v>6</v>
      </c>
      <c r="X62" s="366">
        <f t="shared" si="31"/>
        <v>6</v>
      </c>
      <c r="Y62" s="366">
        <f t="shared" si="31"/>
        <v>6</v>
      </c>
      <c r="Z62" s="371"/>
    </row>
    <row r="63" spans="1:26" x14ac:dyDescent="0.2">
      <c r="A63" s="458">
        <f t="shared" ref="A63:A71" si="32">A52</f>
        <v>76</v>
      </c>
      <c r="B63" s="366">
        <f t="shared" ref="B63:Y63" si="33">ROUND(B52,0)</f>
        <v>0</v>
      </c>
      <c r="C63" s="366">
        <f t="shared" si="33"/>
        <v>0</v>
      </c>
      <c r="D63" s="366">
        <f t="shared" si="33"/>
        <v>0</v>
      </c>
      <c r="E63" s="366">
        <f t="shared" si="33"/>
        <v>0</v>
      </c>
      <c r="F63" s="366">
        <f t="shared" si="33"/>
        <v>0</v>
      </c>
      <c r="G63" s="366">
        <f t="shared" si="33"/>
        <v>0</v>
      </c>
      <c r="H63" s="366">
        <f t="shared" si="33"/>
        <v>3</v>
      </c>
      <c r="I63" s="366">
        <f t="shared" si="33"/>
        <v>5</v>
      </c>
      <c r="J63" s="366">
        <f t="shared" si="33"/>
        <v>7</v>
      </c>
      <c r="K63" s="366">
        <f t="shared" si="33"/>
        <v>9</v>
      </c>
      <c r="L63" s="366">
        <f t="shared" si="33"/>
        <v>9</v>
      </c>
      <c r="M63" s="366">
        <f t="shared" si="33"/>
        <v>9</v>
      </c>
      <c r="N63" s="366">
        <f t="shared" si="33"/>
        <v>9</v>
      </c>
      <c r="O63" s="366">
        <f t="shared" si="33"/>
        <v>9</v>
      </c>
      <c r="P63" s="366">
        <f t="shared" si="33"/>
        <v>9</v>
      </c>
      <c r="Q63" s="366">
        <f t="shared" si="33"/>
        <v>9</v>
      </c>
      <c r="R63" s="366">
        <f t="shared" si="33"/>
        <v>9</v>
      </c>
      <c r="S63" s="366">
        <f t="shared" si="33"/>
        <v>9</v>
      </c>
      <c r="T63" s="366">
        <f t="shared" si="33"/>
        <v>9</v>
      </c>
      <c r="U63" s="366">
        <f t="shared" si="33"/>
        <v>9</v>
      </c>
      <c r="V63" s="366">
        <f t="shared" si="33"/>
        <v>9</v>
      </c>
      <c r="W63" s="366">
        <f t="shared" si="33"/>
        <v>9</v>
      </c>
      <c r="X63" s="366">
        <f t="shared" si="33"/>
        <v>9</v>
      </c>
      <c r="Y63" s="366">
        <f t="shared" si="33"/>
        <v>9</v>
      </c>
      <c r="Z63" s="371"/>
    </row>
    <row r="64" spans="1:26" x14ac:dyDescent="0.2">
      <c r="A64" s="458">
        <f t="shared" si="32"/>
        <v>95</v>
      </c>
      <c r="B64" s="366">
        <f t="shared" ref="B64:Y64" si="34">ROUND(B53,0)</f>
        <v>0</v>
      </c>
      <c r="C64" s="366">
        <f t="shared" si="34"/>
        <v>0</v>
      </c>
      <c r="D64" s="366">
        <f t="shared" si="34"/>
        <v>0</v>
      </c>
      <c r="E64" s="366">
        <f t="shared" si="34"/>
        <v>0</v>
      </c>
      <c r="F64" s="366">
        <f t="shared" si="34"/>
        <v>0</v>
      </c>
      <c r="G64" s="366">
        <f t="shared" si="34"/>
        <v>0</v>
      </c>
      <c r="H64" s="366">
        <f t="shared" si="34"/>
        <v>5</v>
      </c>
      <c r="I64" s="366">
        <f t="shared" si="34"/>
        <v>8</v>
      </c>
      <c r="J64" s="366">
        <f t="shared" si="34"/>
        <v>11</v>
      </c>
      <c r="K64" s="366">
        <f t="shared" si="34"/>
        <v>15</v>
      </c>
      <c r="L64" s="366">
        <f t="shared" si="34"/>
        <v>15</v>
      </c>
      <c r="M64" s="366">
        <f t="shared" si="34"/>
        <v>15</v>
      </c>
      <c r="N64" s="366">
        <f t="shared" si="34"/>
        <v>15</v>
      </c>
      <c r="O64" s="366">
        <f t="shared" si="34"/>
        <v>15</v>
      </c>
      <c r="P64" s="366">
        <f t="shared" si="34"/>
        <v>15</v>
      </c>
      <c r="Q64" s="366">
        <f t="shared" si="34"/>
        <v>15</v>
      </c>
      <c r="R64" s="366">
        <f t="shared" si="34"/>
        <v>15</v>
      </c>
      <c r="S64" s="366">
        <f t="shared" si="34"/>
        <v>15</v>
      </c>
      <c r="T64" s="366">
        <f t="shared" si="34"/>
        <v>15</v>
      </c>
      <c r="U64" s="366">
        <f t="shared" si="34"/>
        <v>15</v>
      </c>
      <c r="V64" s="366">
        <f t="shared" si="34"/>
        <v>15</v>
      </c>
      <c r="W64" s="366">
        <f t="shared" si="34"/>
        <v>15</v>
      </c>
      <c r="X64" s="366">
        <f t="shared" si="34"/>
        <v>15</v>
      </c>
      <c r="Y64" s="366">
        <f t="shared" si="34"/>
        <v>15</v>
      </c>
      <c r="Z64" s="371"/>
    </row>
    <row r="65" spans="1:26" x14ac:dyDescent="0.2">
      <c r="A65" s="458">
        <f t="shared" si="32"/>
        <v>106</v>
      </c>
      <c r="B65" s="366">
        <f t="shared" ref="B65:Y65" si="35">ROUND(B54,0)</f>
        <v>0</v>
      </c>
      <c r="C65" s="366">
        <f t="shared" si="35"/>
        <v>0</v>
      </c>
      <c r="D65" s="366">
        <f t="shared" si="35"/>
        <v>0</v>
      </c>
      <c r="E65" s="366">
        <f t="shared" si="35"/>
        <v>0</v>
      </c>
      <c r="F65" s="366">
        <f t="shared" si="35"/>
        <v>0</v>
      </c>
      <c r="G65" s="366">
        <f t="shared" si="35"/>
        <v>0</v>
      </c>
      <c r="H65" s="366">
        <f t="shared" si="35"/>
        <v>9</v>
      </c>
      <c r="I65" s="366">
        <f t="shared" si="35"/>
        <v>15</v>
      </c>
      <c r="J65" s="366">
        <f t="shared" si="35"/>
        <v>23</v>
      </c>
      <c r="K65" s="366">
        <f t="shared" si="35"/>
        <v>30</v>
      </c>
      <c r="L65" s="366">
        <f t="shared" si="35"/>
        <v>30</v>
      </c>
      <c r="M65" s="366">
        <f t="shared" si="35"/>
        <v>30</v>
      </c>
      <c r="N65" s="366">
        <f t="shared" si="35"/>
        <v>30</v>
      </c>
      <c r="O65" s="366">
        <f t="shared" si="35"/>
        <v>30</v>
      </c>
      <c r="P65" s="366">
        <f t="shared" si="35"/>
        <v>30</v>
      </c>
      <c r="Q65" s="366">
        <f t="shared" si="35"/>
        <v>30</v>
      </c>
      <c r="R65" s="366">
        <f t="shared" si="35"/>
        <v>30</v>
      </c>
      <c r="S65" s="366">
        <f t="shared" si="35"/>
        <v>30</v>
      </c>
      <c r="T65" s="366">
        <f t="shared" si="35"/>
        <v>30</v>
      </c>
      <c r="U65" s="366">
        <f t="shared" si="35"/>
        <v>30</v>
      </c>
      <c r="V65" s="366">
        <f t="shared" si="35"/>
        <v>30</v>
      </c>
      <c r="W65" s="366">
        <f t="shared" si="35"/>
        <v>30</v>
      </c>
      <c r="X65" s="366">
        <f t="shared" si="35"/>
        <v>30</v>
      </c>
      <c r="Y65" s="366">
        <f t="shared" si="35"/>
        <v>30</v>
      </c>
      <c r="Z65" s="371"/>
    </row>
    <row r="66" spans="1:26" x14ac:dyDescent="0.2">
      <c r="A66" s="458">
        <f t="shared" si="32"/>
        <v>120</v>
      </c>
      <c r="B66" s="366">
        <f t="shared" ref="B66:Y66" si="36">ROUND(B55,0)</f>
        <v>0</v>
      </c>
      <c r="C66" s="366">
        <f t="shared" si="36"/>
        <v>0</v>
      </c>
      <c r="D66" s="366">
        <f t="shared" si="36"/>
        <v>0</v>
      </c>
      <c r="E66" s="366">
        <f t="shared" si="36"/>
        <v>0</v>
      </c>
      <c r="F66" s="366">
        <f t="shared" si="36"/>
        <v>0</v>
      </c>
      <c r="G66" s="366">
        <f t="shared" si="36"/>
        <v>0</v>
      </c>
      <c r="H66" s="366">
        <f t="shared" si="36"/>
        <v>9</v>
      </c>
      <c r="I66" s="366">
        <f t="shared" si="36"/>
        <v>15</v>
      </c>
      <c r="J66" s="366">
        <f t="shared" si="36"/>
        <v>23</v>
      </c>
      <c r="K66" s="366">
        <f t="shared" si="36"/>
        <v>30</v>
      </c>
      <c r="L66" s="366">
        <f t="shared" si="36"/>
        <v>30</v>
      </c>
      <c r="M66" s="366">
        <f t="shared" si="36"/>
        <v>30</v>
      </c>
      <c r="N66" s="366">
        <f t="shared" si="36"/>
        <v>30</v>
      </c>
      <c r="O66" s="366">
        <f t="shared" si="36"/>
        <v>30</v>
      </c>
      <c r="P66" s="366">
        <f t="shared" si="36"/>
        <v>30</v>
      </c>
      <c r="Q66" s="366">
        <f t="shared" si="36"/>
        <v>30</v>
      </c>
      <c r="R66" s="366">
        <f t="shared" si="36"/>
        <v>30</v>
      </c>
      <c r="S66" s="366">
        <f t="shared" si="36"/>
        <v>30</v>
      </c>
      <c r="T66" s="366">
        <f t="shared" si="36"/>
        <v>30</v>
      </c>
      <c r="U66" s="366">
        <f t="shared" si="36"/>
        <v>30</v>
      </c>
      <c r="V66" s="366">
        <f t="shared" si="36"/>
        <v>30</v>
      </c>
      <c r="W66" s="366">
        <f t="shared" si="36"/>
        <v>30</v>
      </c>
      <c r="X66" s="366">
        <f t="shared" si="36"/>
        <v>30</v>
      </c>
      <c r="Y66" s="366">
        <f t="shared" si="36"/>
        <v>30</v>
      </c>
      <c r="Z66" s="371"/>
    </row>
    <row r="67" spans="1:26" x14ac:dyDescent="0.2">
      <c r="A67" s="458">
        <f t="shared" si="32"/>
        <v>165</v>
      </c>
      <c r="B67" s="366">
        <f t="shared" ref="B67:Y67" si="37">ROUND(B56,0)</f>
        <v>0</v>
      </c>
      <c r="C67" s="366">
        <f t="shared" si="37"/>
        <v>0</v>
      </c>
      <c r="D67" s="366">
        <f t="shared" si="37"/>
        <v>0</v>
      </c>
      <c r="E67" s="366">
        <f t="shared" si="37"/>
        <v>0</v>
      </c>
      <c r="F67" s="366">
        <f t="shared" si="37"/>
        <v>0</v>
      </c>
      <c r="G67" s="366">
        <f t="shared" si="37"/>
        <v>0</v>
      </c>
      <c r="H67" s="366">
        <f t="shared" si="37"/>
        <v>7</v>
      </c>
      <c r="I67" s="366">
        <f t="shared" si="37"/>
        <v>12</v>
      </c>
      <c r="J67" s="366">
        <f t="shared" si="37"/>
        <v>18</v>
      </c>
      <c r="K67" s="366">
        <f t="shared" si="37"/>
        <v>24</v>
      </c>
      <c r="L67" s="366">
        <f t="shared" si="37"/>
        <v>24</v>
      </c>
      <c r="M67" s="366">
        <f t="shared" si="37"/>
        <v>24</v>
      </c>
      <c r="N67" s="366">
        <f t="shared" si="37"/>
        <v>24</v>
      </c>
      <c r="O67" s="366">
        <f t="shared" si="37"/>
        <v>24</v>
      </c>
      <c r="P67" s="366">
        <f t="shared" si="37"/>
        <v>24</v>
      </c>
      <c r="Q67" s="366">
        <f t="shared" si="37"/>
        <v>24</v>
      </c>
      <c r="R67" s="366">
        <f t="shared" si="37"/>
        <v>24</v>
      </c>
      <c r="S67" s="366">
        <f t="shared" si="37"/>
        <v>24</v>
      </c>
      <c r="T67" s="366">
        <f t="shared" si="37"/>
        <v>24</v>
      </c>
      <c r="U67" s="366">
        <f t="shared" si="37"/>
        <v>24</v>
      </c>
      <c r="V67" s="366">
        <f t="shared" si="37"/>
        <v>24</v>
      </c>
      <c r="W67" s="366">
        <f t="shared" si="37"/>
        <v>24</v>
      </c>
      <c r="X67" s="366">
        <f t="shared" si="37"/>
        <v>24</v>
      </c>
      <c r="Y67" s="366">
        <f t="shared" si="37"/>
        <v>24</v>
      </c>
      <c r="Z67" s="371"/>
    </row>
    <row r="68" spans="1:26" x14ac:dyDescent="0.2">
      <c r="A68" s="458">
        <f t="shared" si="32"/>
        <v>172</v>
      </c>
      <c r="B68" s="366">
        <f t="shared" ref="B68:Y68" si="38">ROUND(B57,0)</f>
        <v>0</v>
      </c>
      <c r="C68" s="366">
        <f t="shared" si="38"/>
        <v>0</v>
      </c>
      <c r="D68" s="366">
        <f t="shared" si="38"/>
        <v>0</v>
      </c>
      <c r="E68" s="366">
        <f t="shared" si="38"/>
        <v>0</v>
      </c>
      <c r="F68" s="366">
        <f t="shared" si="38"/>
        <v>0</v>
      </c>
      <c r="G68" s="366">
        <f t="shared" si="38"/>
        <v>0</v>
      </c>
      <c r="H68" s="366">
        <f t="shared" si="38"/>
        <v>23</v>
      </c>
      <c r="I68" s="366">
        <f t="shared" si="38"/>
        <v>38</v>
      </c>
      <c r="J68" s="366">
        <f t="shared" si="38"/>
        <v>56</v>
      </c>
      <c r="K68" s="366">
        <f t="shared" si="38"/>
        <v>75</v>
      </c>
      <c r="L68" s="366">
        <f t="shared" si="38"/>
        <v>75</v>
      </c>
      <c r="M68" s="366">
        <f t="shared" si="38"/>
        <v>75</v>
      </c>
      <c r="N68" s="366">
        <f t="shared" si="38"/>
        <v>75</v>
      </c>
      <c r="O68" s="366">
        <f t="shared" si="38"/>
        <v>75</v>
      </c>
      <c r="P68" s="366">
        <f t="shared" si="38"/>
        <v>75</v>
      </c>
      <c r="Q68" s="366">
        <f t="shared" si="38"/>
        <v>75</v>
      </c>
      <c r="R68" s="366">
        <f t="shared" si="38"/>
        <v>75</v>
      </c>
      <c r="S68" s="366">
        <f t="shared" si="38"/>
        <v>75</v>
      </c>
      <c r="T68" s="366">
        <f t="shared" si="38"/>
        <v>75</v>
      </c>
      <c r="U68" s="366">
        <f t="shared" si="38"/>
        <v>75</v>
      </c>
      <c r="V68" s="366">
        <f t="shared" si="38"/>
        <v>75</v>
      </c>
      <c r="W68" s="366">
        <f t="shared" si="38"/>
        <v>75</v>
      </c>
      <c r="X68" s="366">
        <f t="shared" si="38"/>
        <v>75</v>
      </c>
      <c r="Y68" s="366">
        <f t="shared" si="38"/>
        <v>75</v>
      </c>
      <c r="Z68" s="371"/>
    </row>
    <row r="69" spans="1:26" x14ac:dyDescent="0.2">
      <c r="A69" s="458">
        <f t="shared" si="32"/>
        <v>195</v>
      </c>
      <c r="B69" s="366">
        <f t="shared" ref="B69:Y69" si="39">ROUND(B58,0)</f>
        <v>0</v>
      </c>
      <c r="C69" s="366">
        <f t="shared" si="39"/>
        <v>0</v>
      </c>
      <c r="D69" s="366">
        <f t="shared" si="39"/>
        <v>0</v>
      </c>
      <c r="E69" s="366">
        <f t="shared" si="39"/>
        <v>0</v>
      </c>
      <c r="F69" s="366">
        <f t="shared" si="39"/>
        <v>0</v>
      </c>
      <c r="G69" s="366">
        <f t="shared" si="39"/>
        <v>0</v>
      </c>
      <c r="H69" s="366">
        <f t="shared" si="39"/>
        <v>6</v>
      </c>
      <c r="I69" s="366">
        <f t="shared" si="39"/>
        <v>11</v>
      </c>
      <c r="J69" s="366">
        <f t="shared" si="39"/>
        <v>16</v>
      </c>
      <c r="K69" s="366">
        <f t="shared" si="39"/>
        <v>21</v>
      </c>
      <c r="L69" s="366">
        <f t="shared" si="39"/>
        <v>21</v>
      </c>
      <c r="M69" s="366">
        <f t="shared" si="39"/>
        <v>21</v>
      </c>
      <c r="N69" s="366">
        <f t="shared" si="39"/>
        <v>21</v>
      </c>
      <c r="O69" s="366">
        <f t="shared" si="39"/>
        <v>21</v>
      </c>
      <c r="P69" s="366">
        <f t="shared" si="39"/>
        <v>21</v>
      </c>
      <c r="Q69" s="366">
        <f t="shared" si="39"/>
        <v>21</v>
      </c>
      <c r="R69" s="366">
        <f t="shared" si="39"/>
        <v>21</v>
      </c>
      <c r="S69" s="366">
        <f t="shared" si="39"/>
        <v>21</v>
      </c>
      <c r="T69" s="366">
        <f t="shared" si="39"/>
        <v>21</v>
      </c>
      <c r="U69" s="366">
        <f t="shared" si="39"/>
        <v>21</v>
      </c>
      <c r="V69" s="366">
        <f t="shared" si="39"/>
        <v>21</v>
      </c>
      <c r="W69" s="366">
        <f t="shared" si="39"/>
        <v>21</v>
      </c>
      <c r="X69" s="366">
        <f t="shared" si="39"/>
        <v>21</v>
      </c>
      <c r="Y69" s="366">
        <f t="shared" si="39"/>
        <v>21</v>
      </c>
      <c r="Z69" s="371"/>
    </row>
    <row r="70" spans="1:26" x14ac:dyDescent="0.2">
      <c r="A70" s="458">
        <f t="shared" si="32"/>
        <v>215</v>
      </c>
      <c r="B70" s="366">
        <f t="shared" ref="B70:Y70" si="40">ROUND(B59,0)</f>
        <v>0</v>
      </c>
      <c r="C70" s="366">
        <f t="shared" si="40"/>
        <v>0</v>
      </c>
      <c r="D70" s="366">
        <f t="shared" si="40"/>
        <v>0</v>
      </c>
      <c r="E70" s="366">
        <f t="shared" si="40"/>
        <v>0</v>
      </c>
      <c r="F70" s="366">
        <f t="shared" si="40"/>
        <v>0</v>
      </c>
      <c r="G70" s="366">
        <f t="shared" si="40"/>
        <v>0</v>
      </c>
      <c r="H70" s="366">
        <f t="shared" si="40"/>
        <v>4</v>
      </c>
      <c r="I70" s="366">
        <f t="shared" si="40"/>
        <v>6</v>
      </c>
      <c r="J70" s="366">
        <f t="shared" si="40"/>
        <v>9</v>
      </c>
      <c r="K70" s="366">
        <f t="shared" si="40"/>
        <v>12</v>
      </c>
      <c r="L70" s="366">
        <f t="shared" si="40"/>
        <v>12</v>
      </c>
      <c r="M70" s="366">
        <f t="shared" si="40"/>
        <v>12</v>
      </c>
      <c r="N70" s="366">
        <f t="shared" si="40"/>
        <v>12</v>
      </c>
      <c r="O70" s="366">
        <f t="shared" si="40"/>
        <v>12</v>
      </c>
      <c r="P70" s="366">
        <f t="shared" si="40"/>
        <v>12</v>
      </c>
      <c r="Q70" s="366">
        <f t="shared" si="40"/>
        <v>12</v>
      </c>
      <c r="R70" s="366">
        <f t="shared" si="40"/>
        <v>12</v>
      </c>
      <c r="S70" s="366">
        <f t="shared" si="40"/>
        <v>12</v>
      </c>
      <c r="T70" s="366">
        <f t="shared" si="40"/>
        <v>12</v>
      </c>
      <c r="U70" s="366">
        <f t="shared" si="40"/>
        <v>12</v>
      </c>
      <c r="V70" s="366">
        <f t="shared" si="40"/>
        <v>12</v>
      </c>
      <c r="W70" s="366">
        <f t="shared" si="40"/>
        <v>12</v>
      </c>
      <c r="X70" s="366">
        <f t="shared" si="40"/>
        <v>12</v>
      </c>
      <c r="Y70" s="366">
        <f t="shared" si="40"/>
        <v>12</v>
      </c>
      <c r="Z70" s="371"/>
    </row>
    <row r="71" spans="1:26" x14ac:dyDescent="0.2">
      <c r="A71" s="458">
        <f t="shared" si="32"/>
        <v>240</v>
      </c>
      <c r="B71" s="366">
        <f t="shared" ref="B71:Y71" si="41">ROUND(B60,0)</f>
        <v>0</v>
      </c>
      <c r="C71" s="366">
        <f t="shared" si="41"/>
        <v>0</v>
      </c>
      <c r="D71" s="366">
        <f t="shared" si="41"/>
        <v>0</v>
      </c>
      <c r="E71" s="366">
        <f t="shared" si="41"/>
        <v>0</v>
      </c>
      <c r="F71" s="366">
        <f t="shared" si="41"/>
        <v>0</v>
      </c>
      <c r="G71" s="366">
        <f t="shared" si="41"/>
        <v>0</v>
      </c>
      <c r="H71" s="366">
        <f t="shared" si="41"/>
        <v>5</v>
      </c>
      <c r="I71" s="366">
        <f t="shared" si="41"/>
        <v>9</v>
      </c>
      <c r="J71" s="366">
        <f t="shared" si="41"/>
        <v>14</v>
      </c>
      <c r="K71" s="366">
        <f t="shared" si="41"/>
        <v>18</v>
      </c>
      <c r="L71" s="366">
        <f t="shared" si="41"/>
        <v>18</v>
      </c>
      <c r="M71" s="366">
        <f t="shared" si="41"/>
        <v>18</v>
      </c>
      <c r="N71" s="366">
        <f t="shared" si="41"/>
        <v>18</v>
      </c>
      <c r="O71" s="366">
        <f t="shared" si="41"/>
        <v>18</v>
      </c>
      <c r="P71" s="366">
        <f t="shared" si="41"/>
        <v>18</v>
      </c>
      <c r="Q71" s="366">
        <f t="shared" si="41"/>
        <v>18</v>
      </c>
      <c r="R71" s="366">
        <f t="shared" si="41"/>
        <v>18</v>
      </c>
      <c r="S71" s="366">
        <f t="shared" si="41"/>
        <v>18</v>
      </c>
      <c r="T71" s="366">
        <f t="shared" si="41"/>
        <v>18</v>
      </c>
      <c r="U71" s="366">
        <f t="shared" si="41"/>
        <v>18</v>
      </c>
      <c r="V71" s="366">
        <f t="shared" si="41"/>
        <v>18</v>
      </c>
      <c r="W71" s="366">
        <f t="shared" si="41"/>
        <v>18</v>
      </c>
      <c r="X71" s="366">
        <f t="shared" si="41"/>
        <v>18</v>
      </c>
      <c r="Y71" s="366">
        <f t="shared" si="41"/>
        <v>18</v>
      </c>
      <c r="Z71" s="371"/>
    </row>
    <row r="72" spans="1:26" x14ac:dyDescent="0.2">
      <c r="A72" s="459" t="s">
        <v>2915</v>
      </c>
      <c r="B72" s="375"/>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6"/>
    </row>
    <row r="73" spans="1:26" x14ac:dyDescent="0.2">
      <c r="A73" s="458">
        <f>A62</f>
        <v>54</v>
      </c>
      <c r="B73" s="451">
        <f>B62*продажи!$F$24</f>
        <v>0</v>
      </c>
      <c r="C73" s="451">
        <f>C62*продажи!$F$24</f>
        <v>0</v>
      </c>
      <c r="D73" s="451">
        <f>D62*продажи!$F$24</f>
        <v>0</v>
      </c>
      <c r="E73" s="451">
        <f>E62*продажи!$F$24</f>
        <v>0</v>
      </c>
      <c r="F73" s="451">
        <f>F62*продажи!$F$24</f>
        <v>0</v>
      </c>
      <c r="G73" s="451">
        <f>G62*продажи!$F$24</f>
        <v>0</v>
      </c>
      <c r="H73" s="451">
        <f>H62*продажи!$F$24</f>
        <v>4451.8924740650409</v>
      </c>
      <c r="I73" s="451">
        <f>I62*продажи!$F$24</f>
        <v>6677.8387110975618</v>
      </c>
      <c r="J73" s="451">
        <f>J62*продажи!$F$24</f>
        <v>11129.731185162602</v>
      </c>
      <c r="K73" s="451">
        <f>K62*продажи!$F$24</f>
        <v>13355.677422195124</v>
      </c>
      <c r="L73" s="451">
        <f>L62*продажи!$F$24</f>
        <v>13355.677422195124</v>
      </c>
      <c r="M73" s="451">
        <f>M62*продажи!$F$24</f>
        <v>13355.677422195124</v>
      </c>
      <c r="N73" s="451">
        <f>N62*продажи!$F$24</f>
        <v>13355.677422195124</v>
      </c>
      <c r="O73" s="451">
        <f>O62*продажи!$F$24</f>
        <v>13355.677422195124</v>
      </c>
      <c r="P73" s="451">
        <f>P62*продажи!$F$24</f>
        <v>13355.677422195124</v>
      </c>
      <c r="Q73" s="451">
        <f>Q62*продажи!$F$24</f>
        <v>13355.677422195124</v>
      </c>
      <c r="R73" s="451">
        <f>R62*продажи!$F$24</f>
        <v>13355.677422195124</v>
      </c>
      <c r="S73" s="451">
        <f>S62*продажи!$F$24</f>
        <v>13355.677422195124</v>
      </c>
      <c r="T73" s="451">
        <f>T62*продажи!$F$24</f>
        <v>13355.677422195124</v>
      </c>
      <c r="U73" s="451">
        <f>U62*продажи!$F$24</f>
        <v>13355.677422195124</v>
      </c>
      <c r="V73" s="451">
        <f>V62*продажи!$F$24</f>
        <v>13355.677422195124</v>
      </c>
      <c r="W73" s="451">
        <f>W62*продажи!$F$24</f>
        <v>13355.677422195124</v>
      </c>
      <c r="X73" s="451">
        <f>X62*продажи!$F$24</f>
        <v>13355.677422195124</v>
      </c>
      <c r="Y73" s="451">
        <f>Y62*продажи!$F$24</f>
        <v>13355.677422195124</v>
      </c>
      <c r="Z73" s="452">
        <f>SUM(B73:Y73)</f>
        <v>222594.62370325203</v>
      </c>
    </row>
    <row r="74" spans="1:26" x14ac:dyDescent="0.2">
      <c r="A74" s="458">
        <f t="shared" ref="A74:A82" si="42">A63</f>
        <v>76</v>
      </c>
      <c r="B74" s="451">
        <f>B63*продажи!$F$25</f>
        <v>0</v>
      </c>
      <c r="C74" s="451">
        <f>C63*продажи!$F$25</f>
        <v>0</v>
      </c>
      <c r="D74" s="451">
        <f>D63*продажи!$F$25</f>
        <v>0</v>
      </c>
      <c r="E74" s="451">
        <f>E63*продажи!$F$25</f>
        <v>0</v>
      </c>
      <c r="F74" s="451">
        <f>F63*продажи!$F$25</f>
        <v>0</v>
      </c>
      <c r="G74" s="451">
        <f>G63*продажи!$F$25</f>
        <v>0</v>
      </c>
      <c r="H74" s="451">
        <f>H63*продажи!$F$25</f>
        <v>15602.142468513517</v>
      </c>
      <c r="I74" s="451">
        <f>I63*продажи!$F$25</f>
        <v>26003.570780855862</v>
      </c>
      <c r="J74" s="451">
        <f>J63*продажи!$F$25</f>
        <v>36404.999093198203</v>
      </c>
      <c r="K74" s="451">
        <f>K63*продажи!$F$25</f>
        <v>46806.427405540555</v>
      </c>
      <c r="L74" s="451">
        <f>L63*продажи!$F$25</f>
        <v>46806.427405540555</v>
      </c>
      <c r="M74" s="451">
        <f>M63*продажи!$F$25</f>
        <v>46806.427405540555</v>
      </c>
      <c r="N74" s="451">
        <f>N63*продажи!$F$25</f>
        <v>46806.427405540555</v>
      </c>
      <c r="O74" s="451">
        <f>O63*продажи!$F$25</f>
        <v>46806.427405540555</v>
      </c>
      <c r="P74" s="451">
        <f>P63*продажи!$F$25</f>
        <v>46806.427405540555</v>
      </c>
      <c r="Q74" s="451">
        <f>Q63*продажи!$F$25</f>
        <v>46806.427405540555</v>
      </c>
      <c r="R74" s="451">
        <f>R63*продажи!$F$25</f>
        <v>46806.427405540555</v>
      </c>
      <c r="S74" s="451">
        <f>S63*продажи!$F$25</f>
        <v>46806.427405540555</v>
      </c>
      <c r="T74" s="451">
        <f>T63*продажи!$F$25</f>
        <v>46806.427405540555</v>
      </c>
      <c r="U74" s="451">
        <f>U63*продажи!$F$25</f>
        <v>46806.427405540555</v>
      </c>
      <c r="V74" s="451">
        <f>V63*продажи!$F$25</f>
        <v>46806.427405540555</v>
      </c>
      <c r="W74" s="451">
        <f>W63*продажи!$F$25</f>
        <v>46806.427405540555</v>
      </c>
      <c r="X74" s="451">
        <f>X63*продажи!$F$25</f>
        <v>46806.427405540555</v>
      </c>
      <c r="Y74" s="451">
        <f>Y63*продажи!$F$25</f>
        <v>46806.427405540555</v>
      </c>
      <c r="Z74" s="452">
        <f t="shared" ref="Z74:Z82" si="43">SUM(B74:Y74)</f>
        <v>780107.12342567602</v>
      </c>
    </row>
    <row r="75" spans="1:26" x14ac:dyDescent="0.2">
      <c r="A75" s="458">
        <f t="shared" si="42"/>
        <v>95</v>
      </c>
      <c r="B75" s="451">
        <f>B64*продажи!$F$26</f>
        <v>0</v>
      </c>
      <c r="C75" s="451">
        <f>C64*продажи!$F$26</f>
        <v>0</v>
      </c>
      <c r="D75" s="451">
        <f>D64*продажи!$F$26</f>
        <v>0</v>
      </c>
      <c r="E75" s="451">
        <f>E64*продажи!$F$26</f>
        <v>0</v>
      </c>
      <c r="F75" s="451">
        <f>F64*продажи!$F$26</f>
        <v>0</v>
      </c>
      <c r="G75" s="451">
        <f>G64*продажи!$F$26</f>
        <v>0</v>
      </c>
      <c r="H75" s="451">
        <f>H64*продажи!$F$26</f>
        <v>38548.254252900791</v>
      </c>
      <c r="I75" s="451">
        <f>I64*продажи!$F$26</f>
        <v>61677.206804641261</v>
      </c>
      <c r="J75" s="451">
        <f>J64*продажи!$F$26</f>
        <v>84806.15935638173</v>
      </c>
      <c r="K75" s="451">
        <f>K64*продажи!$F$26</f>
        <v>115644.76275870236</v>
      </c>
      <c r="L75" s="451">
        <f>L64*продажи!$F$26</f>
        <v>115644.76275870236</v>
      </c>
      <c r="M75" s="451">
        <f>M64*продажи!$F$26</f>
        <v>115644.76275870236</v>
      </c>
      <c r="N75" s="451">
        <f>N64*продажи!$F$26</f>
        <v>115644.76275870236</v>
      </c>
      <c r="O75" s="451">
        <f>O64*продажи!$F$26</f>
        <v>115644.76275870236</v>
      </c>
      <c r="P75" s="451">
        <f>P64*продажи!$F$26</f>
        <v>115644.76275870236</v>
      </c>
      <c r="Q75" s="451">
        <f>Q64*продажи!$F$26</f>
        <v>115644.76275870236</v>
      </c>
      <c r="R75" s="451">
        <f>R64*продажи!$F$26</f>
        <v>115644.76275870236</v>
      </c>
      <c r="S75" s="451">
        <f>S64*продажи!$F$26</f>
        <v>115644.76275870236</v>
      </c>
      <c r="T75" s="451">
        <f>T64*продажи!$F$26</f>
        <v>115644.76275870236</v>
      </c>
      <c r="U75" s="451">
        <f>U64*продажи!$F$26</f>
        <v>115644.76275870236</v>
      </c>
      <c r="V75" s="451">
        <f>V64*продажи!$F$26</f>
        <v>115644.76275870236</v>
      </c>
      <c r="W75" s="451">
        <f>W64*продажи!$F$26</f>
        <v>115644.76275870236</v>
      </c>
      <c r="X75" s="451">
        <f>X64*продажи!$F$26</f>
        <v>115644.76275870236</v>
      </c>
      <c r="Y75" s="451">
        <f>Y64*продажи!$F$26</f>
        <v>115644.76275870236</v>
      </c>
      <c r="Z75" s="452">
        <f t="shared" si="43"/>
        <v>1919703.0617944587</v>
      </c>
    </row>
    <row r="76" spans="1:26" x14ac:dyDescent="0.2">
      <c r="A76" s="458">
        <f t="shared" si="42"/>
        <v>106</v>
      </c>
      <c r="B76" s="451">
        <f>B65*продажи!$F$27</f>
        <v>0</v>
      </c>
      <c r="C76" s="451">
        <f>C65*продажи!$F$27</f>
        <v>0</v>
      </c>
      <c r="D76" s="451">
        <f>D65*продажи!$F$27</f>
        <v>0</v>
      </c>
      <c r="E76" s="451">
        <f>E65*продажи!$F$27</f>
        <v>0</v>
      </c>
      <c r="F76" s="451">
        <f>F65*продажи!$F$27</f>
        <v>0</v>
      </c>
      <c r="G76" s="451">
        <f>G65*продажи!$F$27</f>
        <v>0</v>
      </c>
      <c r="H76" s="451">
        <f>H65*продажи!$F$27</f>
        <v>88591.38546513184</v>
      </c>
      <c r="I76" s="451">
        <f>I65*продажи!$F$27</f>
        <v>147652.30910855308</v>
      </c>
      <c r="J76" s="451">
        <f>J65*продажи!$F$27</f>
        <v>226400.20729978138</v>
      </c>
      <c r="K76" s="451">
        <f>K65*продажи!$F$27</f>
        <v>295304.61821710615</v>
      </c>
      <c r="L76" s="451">
        <f>L65*продажи!$F$27</f>
        <v>295304.61821710615</v>
      </c>
      <c r="M76" s="451">
        <f>M65*продажи!$F$27</f>
        <v>295304.61821710615</v>
      </c>
      <c r="N76" s="451">
        <f>N65*продажи!$F$27</f>
        <v>295304.61821710615</v>
      </c>
      <c r="O76" s="451">
        <f>O65*продажи!$F$27</f>
        <v>295304.61821710615</v>
      </c>
      <c r="P76" s="451">
        <f>P65*продажи!$F$27</f>
        <v>295304.61821710615</v>
      </c>
      <c r="Q76" s="451">
        <f>Q65*продажи!$F$27</f>
        <v>295304.61821710615</v>
      </c>
      <c r="R76" s="451">
        <f>R65*продажи!$F$27</f>
        <v>295304.61821710615</v>
      </c>
      <c r="S76" s="451">
        <f>S65*продажи!$F$27</f>
        <v>295304.61821710615</v>
      </c>
      <c r="T76" s="451">
        <f>T65*продажи!$F$27</f>
        <v>295304.61821710615</v>
      </c>
      <c r="U76" s="451">
        <f>U65*продажи!$F$27</f>
        <v>295304.61821710615</v>
      </c>
      <c r="V76" s="451">
        <f>V65*продажи!$F$27</f>
        <v>295304.61821710615</v>
      </c>
      <c r="W76" s="451">
        <f>W65*продажи!$F$27</f>
        <v>295304.61821710615</v>
      </c>
      <c r="X76" s="451">
        <f>X65*продажи!$F$27</f>
        <v>295304.61821710615</v>
      </c>
      <c r="Y76" s="451">
        <f>Y65*продажи!$F$27</f>
        <v>295304.61821710615</v>
      </c>
      <c r="Z76" s="452">
        <f t="shared" si="43"/>
        <v>4892213.1751300571</v>
      </c>
    </row>
    <row r="77" spans="1:26" x14ac:dyDescent="0.2">
      <c r="A77" s="458">
        <f t="shared" si="42"/>
        <v>120</v>
      </c>
      <c r="B77" s="451">
        <f>B66*продажи!$F$28</f>
        <v>0</v>
      </c>
      <c r="C77" s="451">
        <f>C66*продажи!$F$28</f>
        <v>0</v>
      </c>
      <c r="D77" s="451">
        <f>D66*продажи!$F$28</f>
        <v>0</v>
      </c>
      <c r="E77" s="451">
        <f>E66*продажи!$F$28</f>
        <v>0</v>
      </c>
      <c r="F77" s="451">
        <f>F66*продажи!$F$28</f>
        <v>0</v>
      </c>
      <c r="G77" s="451">
        <f>G66*продажи!$F$28</f>
        <v>0</v>
      </c>
      <c r="H77" s="451">
        <f>H66*продажи!$F$28</f>
        <v>109244.12108807186</v>
      </c>
      <c r="I77" s="451">
        <f>I66*продажи!$F$28</f>
        <v>182073.53514678642</v>
      </c>
      <c r="J77" s="451">
        <f>J66*продажи!$F$28</f>
        <v>279179.42055840587</v>
      </c>
      <c r="K77" s="451">
        <f>K66*продажи!$F$28</f>
        <v>364147.07029357285</v>
      </c>
      <c r="L77" s="451">
        <f>L66*продажи!$F$28</f>
        <v>364147.07029357285</v>
      </c>
      <c r="M77" s="451">
        <f>M66*продажи!$F$28</f>
        <v>364147.07029357285</v>
      </c>
      <c r="N77" s="451">
        <f>N66*продажи!$F$28</f>
        <v>364147.07029357285</v>
      </c>
      <c r="O77" s="451">
        <f>O66*продажи!$F$28</f>
        <v>364147.07029357285</v>
      </c>
      <c r="P77" s="451">
        <f>P66*продажи!$F$28</f>
        <v>364147.07029357285</v>
      </c>
      <c r="Q77" s="451">
        <f>Q66*продажи!$F$28</f>
        <v>364147.07029357285</v>
      </c>
      <c r="R77" s="451">
        <f>R66*продажи!$F$28</f>
        <v>364147.07029357285</v>
      </c>
      <c r="S77" s="451">
        <f>S66*продажи!$F$28</f>
        <v>364147.07029357285</v>
      </c>
      <c r="T77" s="451">
        <f>T66*продажи!$F$28</f>
        <v>364147.07029357285</v>
      </c>
      <c r="U77" s="451">
        <f>U66*продажи!$F$28</f>
        <v>364147.07029357285</v>
      </c>
      <c r="V77" s="451">
        <f>V66*продажи!$F$28</f>
        <v>364147.07029357285</v>
      </c>
      <c r="W77" s="451">
        <f>W66*продажи!$F$28</f>
        <v>364147.07029357285</v>
      </c>
      <c r="X77" s="451">
        <f>X66*продажи!$F$28</f>
        <v>364147.07029357285</v>
      </c>
      <c r="Y77" s="451">
        <f>Y66*продажи!$F$28</f>
        <v>364147.07029357285</v>
      </c>
      <c r="Z77" s="452">
        <f t="shared" si="43"/>
        <v>6032703.1311968556</v>
      </c>
    </row>
    <row r="78" spans="1:26" x14ac:dyDescent="0.2">
      <c r="A78" s="458">
        <f t="shared" si="42"/>
        <v>165</v>
      </c>
      <c r="B78" s="451">
        <f>B67*продажи!$F$29</f>
        <v>0</v>
      </c>
      <c r="C78" s="451">
        <f>C67*продажи!$F$29</f>
        <v>0</v>
      </c>
      <c r="D78" s="451">
        <f>D67*продажи!$F$29</f>
        <v>0</v>
      </c>
      <c r="E78" s="451">
        <f>E67*продажи!$F$29</f>
        <v>0</v>
      </c>
      <c r="F78" s="451">
        <f>F67*продажи!$F$29</f>
        <v>0</v>
      </c>
      <c r="G78" s="451">
        <f>G67*продажи!$F$29</f>
        <v>0</v>
      </c>
      <c r="H78" s="451">
        <f>H67*продажи!$F$29</f>
        <v>167507.3039241127</v>
      </c>
      <c r="I78" s="451">
        <f>I67*продажи!$F$29</f>
        <v>287155.37815562176</v>
      </c>
      <c r="J78" s="451">
        <f>J67*продажи!$F$29</f>
        <v>430733.06723343267</v>
      </c>
      <c r="K78" s="451">
        <f>K67*продажи!$F$29</f>
        <v>574310.75631124352</v>
      </c>
      <c r="L78" s="451">
        <f>L67*продажи!$F$29</f>
        <v>574310.75631124352</v>
      </c>
      <c r="M78" s="451">
        <f>M67*продажи!$F$29</f>
        <v>574310.75631124352</v>
      </c>
      <c r="N78" s="451">
        <f>N67*продажи!$F$29</f>
        <v>574310.75631124352</v>
      </c>
      <c r="O78" s="451">
        <f>O67*продажи!$F$29</f>
        <v>574310.75631124352</v>
      </c>
      <c r="P78" s="451">
        <f>P67*продажи!$F$29</f>
        <v>574310.75631124352</v>
      </c>
      <c r="Q78" s="451">
        <f>Q67*продажи!$F$29</f>
        <v>574310.75631124352</v>
      </c>
      <c r="R78" s="451">
        <f>R67*продажи!$F$29</f>
        <v>574310.75631124352</v>
      </c>
      <c r="S78" s="451">
        <f>S67*продажи!$F$29</f>
        <v>574310.75631124352</v>
      </c>
      <c r="T78" s="451">
        <f>T67*продажи!$F$29</f>
        <v>574310.75631124352</v>
      </c>
      <c r="U78" s="451">
        <f>U67*продажи!$F$29</f>
        <v>574310.75631124352</v>
      </c>
      <c r="V78" s="451">
        <f>V67*продажи!$F$29</f>
        <v>574310.75631124352</v>
      </c>
      <c r="W78" s="451">
        <f>W67*продажи!$F$29</f>
        <v>574310.75631124352</v>
      </c>
      <c r="X78" s="451">
        <f>X67*продажи!$F$29</f>
        <v>574310.75631124352</v>
      </c>
      <c r="Y78" s="451">
        <f>Y67*продажи!$F$29</f>
        <v>574310.75631124352</v>
      </c>
      <c r="Z78" s="452">
        <f t="shared" si="43"/>
        <v>9500057.0939818192</v>
      </c>
    </row>
    <row r="79" spans="1:26" x14ac:dyDescent="0.2">
      <c r="A79" s="458">
        <f t="shared" si="42"/>
        <v>172</v>
      </c>
      <c r="B79" s="451">
        <f>B68*продажи!$F$30</f>
        <v>0</v>
      </c>
      <c r="C79" s="451">
        <f>C68*продажи!$F$30</f>
        <v>0</v>
      </c>
      <c r="D79" s="451">
        <f>D68*продажи!$F$30</f>
        <v>0</v>
      </c>
      <c r="E79" s="451">
        <f>E68*продажи!$F$30</f>
        <v>0</v>
      </c>
      <c r="F79" s="451">
        <f>F68*продажи!$F$30</f>
        <v>0</v>
      </c>
      <c r="G79" s="451">
        <f>G68*продажи!$F$30</f>
        <v>0</v>
      </c>
      <c r="H79" s="451">
        <f>H68*продажи!$F$30</f>
        <v>608694.54053327837</v>
      </c>
      <c r="I79" s="451">
        <f>I68*продажи!$F$30</f>
        <v>1005669.2408810686</v>
      </c>
      <c r="J79" s="451">
        <f>J68*продажи!$F$30</f>
        <v>1482038.881298417</v>
      </c>
      <c r="K79" s="451">
        <f>K68*продажи!$F$30</f>
        <v>1984873.5017389513</v>
      </c>
      <c r="L79" s="451">
        <f>L68*продажи!$F$30</f>
        <v>1984873.5017389513</v>
      </c>
      <c r="M79" s="451">
        <f>M68*продажи!$F$30</f>
        <v>1984873.5017389513</v>
      </c>
      <c r="N79" s="451">
        <f>N68*продажи!$F$30</f>
        <v>1984873.5017389513</v>
      </c>
      <c r="O79" s="451">
        <f>O68*продажи!$F$30</f>
        <v>1984873.5017389513</v>
      </c>
      <c r="P79" s="451">
        <f>P68*продажи!$F$30</f>
        <v>1984873.5017389513</v>
      </c>
      <c r="Q79" s="451">
        <f>Q68*продажи!$F$30</f>
        <v>1984873.5017389513</v>
      </c>
      <c r="R79" s="451">
        <f>R68*продажи!$F$30</f>
        <v>1984873.5017389513</v>
      </c>
      <c r="S79" s="451">
        <f>S68*продажи!$F$30</f>
        <v>1984873.5017389513</v>
      </c>
      <c r="T79" s="451">
        <f>T68*продажи!$F$30</f>
        <v>1984873.5017389513</v>
      </c>
      <c r="U79" s="451">
        <f>U68*продажи!$F$30</f>
        <v>1984873.5017389513</v>
      </c>
      <c r="V79" s="451">
        <f>V68*продажи!$F$30</f>
        <v>1984873.5017389513</v>
      </c>
      <c r="W79" s="451">
        <f>W68*продажи!$F$30</f>
        <v>1984873.5017389513</v>
      </c>
      <c r="X79" s="451">
        <f>X68*продажи!$F$30</f>
        <v>1984873.5017389513</v>
      </c>
      <c r="Y79" s="451">
        <f>Y68*продажи!$F$30</f>
        <v>1984873.5017389513</v>
      </c>
      <c r="Z79" s="452">
        <f t="shared" si="43"/>
        <v>32869505.188797027</v>
      </c>
    </row>
    <row r="80" spans="1:26" x14ac:dyDescent="0.2">
      <c r="A80" s="458">
        <f t="shared" si="42"/>
        <v>195</v>
      </c>
      <c r="B80" s="451">
        <f>B69*продажи!$F$31</f>
        <v>0</v>
      </c>
      <c r="C80" s="451">
        <f>C69*продажи!$F$31</f>
        <v>0</v>
      </c>
      <c r="D80" s="451">
        <f>D69*продажи!$F$31</f>
        <v>0</v>
      </c>
      <c r="E80" s="451">
        <f>E69*продажи!$F$31</f>
        <v>0</v>
      </c>
      <c r="F80" s="451">
        <f>F69*продажи!$F$31</f>
        <v>0</v>
      </c>
      <c r="G80" s="451">
        <f>G69*продажи!$F$31</f>
        <v>0</v>
      </c>
      <c r="H80" s="451">
        <f>H69*продажи!$F$31</f>
        <v>217721.20643752621</v>
      </c>
      <c r="I80" s="451">
        <f>I69*продажи!$F$31</f>
        <v>399155.54513546475</v>
      </c>
      <c r="J80" s="451">
        <f>J69*продажи!$F$31</f>
        <v>580589.88383340323</v>
      </c>
      <c r="K80" s="451">
        <f>K69*продажи!$F$31</f>
        <v>762024.22253134171</v>
      </c>
      <c r="L80" s="451">
        <f>L69*продажи!$F$31</f>
        <v>762024.22253134171</v>
      </c>
      <c r="M80" s="451">
        <f>M69*продажи!$F$31</f>
        <v>762024.22253134171</v>
      </c>
      <c r="N80" s="451">
        <f>N69*продажи!$F$31</f>
        <v>762024.22253134171</v>
      </c>
      <c r="O80" s="451">
        <f>O69*продажи!$F$31</f>
        <v>762024.22253134171</v>
      </c>
      <c r="P80" s="451">
        <f>P69*продажи!$F$31</f>
        <v>762024.22253134171</v>
      </c>
      <c r="Q80" s="451">
        <f>Q69*продажи!$F$31</f>
        <v>762024.22253134171</v>
      </c>
      <c r="R80" s="451">
        <f>R69*продажи!$F$31</f>
        <v>762024.22253134171</v>
      </c>
      <c r="S80" s="451">
        <f>S69*продажи!$F$31</f>
        <v>762024.22253134171</v>
      </c>
      <c r="T80" s="451">
        <f>T69*продажи!$F$31</f>
        <v>762024.22253134171</v>
      </c>
      <c r="U80" s="451">
        <f>U69*продажи!$F$31</f>
        <v>762024.22253134171</v>
      </c>
      <c r="V80" s="451">
        <f>V69*продажи!$F$31</f>
        <v>762024.22253134171</v>
      </c>
      <c r="W80" s="451">
        <f>W69*продажи!$F$31</f>
        <v>762024.22253134171</v>
      </c>
      <c r="X80" s="451">
        <f>X69*продажи!$F$31</f>
        <v>762024.22253134171</v>
      </c>
      <c r="Y80" s="451">
        <f>Y69*продажи!$F$31</f>
        <v>762024.22253134171</v>
      </c>
      <c r="Z80" s="452">
        <f t="shared" si="43"/>
        <v>12627829.973376518</v>
      </c>
    </row>
    <row r="81" spans="1:26" x14ac:dyDescent="0.2">
      <c r="A81" s="458">
        <f t="shared" si="42"/>
        <v>215</v>
      </c>
      <c r="B81" s="451">
        <f>B70*продажи!$F$32</f>
        <v>0</v>
      </c>
      <c r="C81" s="451">
        <f>C70*продажи!$F$32</f>
        <v>0</v>
      </c>
      <c r="D81" s="451">
        <f>D70*продажи!$F$32</f>
        <v>0</v>
      </c>
      <c r="E81" s="451">
        <f>E70*продажи!$F$32</f>
        <v>0</v>
      </c>
      <c r="F81" s="451">
        <f>F70*продажи!$F$32</f>
        <v>0</v>
      </c>
      <c r="G81" s="451">
        <f>G70*продажи!$F$32</f>
        <v>0</v>
      </c>
      <c r="H81" s="451">
        <f>H70*продажи!$F$32</f>
        <v>143984.45502339143</v>
      </c>
      <c r="I81" s="451">
        <f>I70*продажи!$F$32</f>
        <v>215976.68253508717</v>
      </c>
      <c r="J81" s="451">
        <f>J70*продажи!$F$32</f>
        <v>323965.02380263072</v>
      </c>
      <c r="K81" s="451">
        <f>K70*продажи!$F$32</f>
        <v>431953.36507017433</v>
      </c>
      <c r="L81" s="451">
        <f>L70*продажи!$F$32</f>
        <v>431953.36507017433</v>
      </c>
      <c r="M81" s="451">
        <f>M70*продажи!$F$32</f>
        <v>431953.36507017433</v>
      </c>
      <c r="N81" s="451">
        <f>N70*продажи!$F$32</f>
        <v>431953.36507017433</v>
      </c>
      <c r="O81" s="451">
        <f>O70*продажи!$F$32</f>
        <v>431953.36507017433</v>
      </c>
      <c r="P81" s="451">
        <f>P70*продажи!$F$32</f>
        <v>431953.36507017433</v>
      </c>
      <c r="Q81" s="451">
        <f>Q70*продажи!$F$32</f>
        <v>431953.36507017433</v>
      </c>
      <c r="R81" s="451">
        <f>R70*продажи!$F$32</f>
        <v>431953.36507017433</v>
      </c>
      <c r="S81" s="451">
        <f>S70*продажи!$F$32</f>
        <v>431953.36507017433</v>
      </c>
      <c r="T81" s="451">
        <f>T70*продажи!$F$32</f>
        <v>431953.36507017433</v>
      </c>
      <c r="U81" s="451">
        <f>U70*продажи!$F$32</f>
        <v>431953.36507017433</v>
      </c>
      <c r="V81" s="451">
        <f>V70*продажи!$F$32</f>
        <v>431953.36507017433</v>
      </c>
      <c r="W81" s="451">
        <f>W70*продажи!$F$32</f>
        <v>431953.36507017433</v>
      </c>
      <c r="X81" s="451">
        <f>X70*продажи!$F$32</f>
        <v>431953.36507017433</v>
      </c>
      <c r="Y81" s="451">
        <f>Y70*продажи!$F$32</f>
        <v>431953.36507017433</v>
      </c>
      <c r="Z81" s="452">
        <f t="shared" si="43"/>
        <v>7163226.6374137253</v>
      </c>
    </row>
    <row r="82" spans="1:26" x14ac:dyDescent="0.2">
      <c r="A82" s="458">
        <f t="shared" si="42"/>
        <v>240</v>
      </c>
      <c r="B82" s="451">
        <f>B71*продажи!$F$33</f>
        <v>0</v>
      </c>
      <c r="C82" s="451">
        <f>C71*продажи!$F$33</f>
        <v>0</v>
      </c>
      <c r="D82" s="451">
        <f>D71*продажи!$F$33</f>
        <v>0</v>
      </c>
      <c r="E82" s="451">
        <f>E71*продажи!$F$33</f>
        <v>0</v>
      </c>
      <c r="F82" s="451">
        <f>F71*продажи!$F$33</f>
        <v>0</v>
      </c>
      <c r="G82" s="451">
        <f>G71*продажи!$F$33</f>
        <v>0</v>
      </c>
      <c r="H82" s="451">
        <f>H71*продажи!$F$33</f>
        <v>179035.40810250031</v>
      </c>
      <c r="I82" s="451">
        <f>I71*продажи!$F$33</f>
        <v>322263.73458450055</v>
      </c>
      <c r="J82" s="451">
        <f>J71*продажи!$F$33</f>
        <v>501299.1426870008</v>
      </c>
      <c r="K82" s="451">
        <f>K71*продажи!$F$33</f>
        <v>644527.46916900109</v>
      </c>
      <c r="L82" s="451">
        <f>L71*продажи!$F$33</f>
        <v>644527.46916900109</v>
      </c>
      <c r="M82" s="451">
        <f>M71*продажи!$F$33</f>
        <v>644527.46916900109</v>
      </c>
      <c r="N82" s="451">
        <f>N71*продажи!$F$33</f>
        <v>644527.46916900109</v>
      </c>
      <c r="O82" s="451">
        <f>O71*продажи!$F$33</f>
        <v>644527.46916900109</v>
      </c>
      <c r="P82" s="451">
        <f>P71*продажи!$F$33</f>
        <v>644527.46916900109</v>
      </c>
      <c r="Q82" s="451">
        <f>Q71*продажи!$F$33</f>
        <v>644527.46916900109</v>
      </c>
      <c r="R82" s="451">
        <f>R71*продажи!$F$33</f>
        <v>644527.46916900109</v>
      </c>
      <c r="S82" s="451">
        <f>S71*продажи!$F$33</f>
        <v>644527.46916900109</v>
      </c>
      <c r="T82" s="451">
        <f>T71*продажи!$F$33</f>
        <v>644527.46916900109</v>
      </c>
      <c r="U82" s="451">
        <f>U71*продажи!$F$33</f>
        <v>644527.46916900109</v>
      </c>
      <c r="V82" s="451">
        <f>V71*продажи!$F$33</f>
        <v>644527.46916900109</v>
      </c>
      <c r="W82" s="451">
        <f>W71*продажи!$F$33</f>
        <v>644527.46916900109</v>
      </c>
      <c r="X82" s="451">
        <f>X71*продажи!$F$33</f>
        <v>644527.46916900109</v>
      </c>
      <c r="Y82" s="451">
        <f>Y71*продажи!$F$33</f>
        <v>644527.46916900109</v>
      </c>
      <c r="Z82" s="452">
        <f t="shared" si="43"/>
        <v>10670510.32290902</v>
      </c>
    </row>
    <row r="83" spans="1:26" ht="13.5" thickBot="1" x14ac:dyDescent="0.25">
      <c r="A83" s="374" t="s">
        <v>2924</v>
      </c>
      <c r="B83" s="453">
        <f t="shared" ref="B83:Z83" si="44">SUM(B73:B82)</f>
        <v>0</v>
      </c>
      <c r="C83" s="453">
        <f t="shared" si="44"/>
        <v>0</v>
      </c>
      <c r="D83" s="453">
        <f t="shared" si="44"/>
        <v>0</v>
      </c>
      <c r="E83" s="453">
        <f t="shared" si="44"/>
        <v>0</v>
      </c>
      <c r="F83" s="453">
        <f t="shared" si="44"/>
        <v>0</v>
      </c>
      <c r="G83" s="453">
        <f t="shared" si="44"/>
        <v>0</v>
      </c>
      <c r="H83" s="453">
        <f t="shared" si="44"/>
        <v>1573380.709769492</v>
      </c>
      <c r="I83" s="453">
        <f t="shared" si="44"/>
        <v>2654305.0418436769</v>
      </c>
      <c r="J83" s="453">
        <f t="shared" si="44"/>
        <v>3956546.5163478144</v>
      </c>
      <c r="K83" s="453">
        <f t="shared" si="44"/>
        <v>5232947.8709178297</v>
      </c>
      <c r="L83" s="453">
        <f t="shared" si="44"/>
        <v>5232947.8709178297</v>
      </c>
      <c r="M83" s="453">
        <f t="shared" si="44"/>
        <v>5232947.8709178297</v>
      </c>
      <c r="N83" s="453">
        <f t="shared" si="44"/>
        <v>5232947.8709178297</v>
      </c>
      <c r="O83" s="453">
        <f t="shared" si="44"/>
        <v>5232947.8709178297</v>
      </c>
      <c r="P83" s="453">
        <f t="shared" si="44"/>
        <v>5232947.8709178297</v>
      </c>
      <c r="Q83" s="453">
        <f t="shared" si="44"/>
        <v>5232947.8709178297</v>
      </c>
      <c r="R83" s="453">
        <f t="shared" si="44"/>
        <v>5232947.8709178297</v>
      </c>
      <c r="S83" s="453">
        <f t="shared" si="44"/>
        <v>5232947.8709178297</v>
      </c>
      <c r="T83" s="453">
        <f t="shared" si="44"/>
        <v>5232947.8709178297</v>
      </c>
      <c r="U83" s="453">
        <f t="shared" si="44"/>
        <v>5232947.8709178297</v>
      </c>
      <c r="V83" s="453">
        <f t="shared" si="44"/>
        <v>5232947.8709178297</v>
      </c>
      <c r="W83" s="453">
        <f t="shared" si="44"/>
        <v>5232947.8709178297</v>
      </c>
      <c r="X83" s="453">
        <f t="shared" si="44"/>
        <v>5232947.8709178297</v>
      </c>
      <c r="Y83" s="453">
        <f t="shared" si="44"/>
        <v>5232947.8709178297</v>
      </c>
      <c r="Z83" s="453">
        <f t="shared" si="44"/>
        <v>86678450.331728399</v>
      </c>
    </row>
    <row r="84" spans="1:26" s="462" customFormat="1" ht="13.5" thickBot="1" x14ac:dyDescent="0.25">
      <c r="A84" s="460" t="s">
        <v>2925</v>
      </c>
      <c r="B84" s="461">
        <f>B83+B49</f>
        <v>0</v>
      </c>
      <c r="C84" s="461">
        <f t="shared" ref="C84:Z84" si="45">C83+C49</f>
        <v>0</v>
      </c>
      <c r="D84" s="461">
        <f t="shared" si="45"/>
        <v>0</v>
      </c>
      <c r="E84" s="461">
        <f t="shared" si="45"/>
        <v>0</v>
      </c>
      <c r="F84" s="461">
        <f t="shared" si="45"/>
        <v>0</v>
      </c>
      <c r="G84" s="461">
        <f t="shared" si="45"/>
        <v>714560.92469127965</v>
      </c>
      <c r="H84" s="461">
        <f t="shared" si="45"/>
        <v>2731213.2863136535</v>
      </c>
      <c r="I84" s="461">
        <f t="shared" si="45"/>
        <v>4381700.804682401</v>
      </c>
      <c r="J84" s="461">
        <f t="shared" si="45"/>
        <v>6249020.597807223</v>
      </c>
      <c r="K84" s="461">
        <f t="shared" si="45"/>
        <v>7525421.9523772374</v>
      </c>
      <c r="L84" s="461">
        <f t="shared" si="45"/>
        <v>7525421.9523772374</v>
      </c>
      <c r="M84" s="461">
        <f t="shared" si="45"/>
        <v>7525421.9523772374</v>
      </c>
      <c r="N84" s="461">
        <f t="shared" si="45"/>
        <v>7525421.9523772374</v>
      </c>
      <c r="O84" s="461">
        <f t="shared" si="45"/>
        <v>7525421.9523772374</v>
      </c>
      <c r="P84" s="461">
        <f t="shared" si="45"/>
        <v>7525421.9523772374</v>
      </c>
      <c r="Q84" s="461">
        <f t="shared" si="45"/>
        <v>7525421.9523772374</v>
      </c>
      <c r="R84" s="461">
        <f t="shared" si="45"/>
        <v>7525421.9523772374</v>
      </c>
      <c r="S84" s="461">
        <f t="shared" si="45"/>
        <v>7525421.9523772374</v>
      </c>
      <c r="T84" s="461">
        <f t="shared" si="45"/>
        <v>7525421.9523772374</v>
      </c>
      <c r="U84" s="461">
        <f t="shared" si="45"/>
        <v>7525421.9523772374</v>
      </c>
      <c r="V84" s="461">
        <f t="shared" si="45"/>
        <v>7525421.9523772374</v>
      </c>
      <c r="W84" s="461">
        <f t="shared" si="45"/>
        <v>7525421.9523772374</v>
      </c>
      <c r="X84" s="461">
        <f t="shared" si="45"/>
        <v>7525421.9523772374</v>
      </c>
      <c r="Y84" s="461">
        <f t="shared" si="45"/>
        <v>7525421.9523772374</v>
      </c>
      <c r="Z84" s="461">
        <f t="shared" si="45"/>
        <v>126957824.8991531</v>
      </c>
    </row>
    <row r="87" spans="1:26" x14ac:dyDescent="0.2">
      <c r="A87" s="427" t="s">
        <v>2884</v>
      </c>
      <c r="B87" s="331" t="s">
        <v>2884</v>
      </c>
    </row>
    <row r="88" spans="1:26" ht="18" thickBot="1" x14ac:dyDescent="0.4">
      <c r="A88" s="637" t="s">
        <v>2735</v>
      </c>
      <c r="B88" s="451">
        <v>6798539.8490056572</v>
      </c>
    </row>
    <row r="89" spans="1:26" ht="17.25" x14ac:dyDescent="0.35">
      <c r="A89" s="641" t="s">
        <v>2726</v>
      </c>
      <c r="B89" s="451">
        <v>4576577.946102689</v>
      </c>
    </row>
    <row r="90" spans="1:26" ht="17.25" x14ac:dyDescent="0.35">
      <c r="A90" s="644" t="s">
        <v>2725</v>
      </c>
      <c r="B90" s="451">
        <v>3975047.2396221645</v>
      </c>
    </row>
    <row r="91" spans="1:26" ht="17.25" x14ac:dyDescent="0.35">
      <c r="A91" s="644" t="s">
        <v>2724</v>
      </c>
      <c r="B91" s="451">
        <v>3514708.8978917049</v>
      </c>
    </row>
    <row r="92" spans="1:26" ht="18" thickBot="1" x14ac:dyDescent="0.4">
      <c r="A92" s="647" t="s">
        <v>2733</v>
      </c>
      <c r="B92" s="451">
        <v>3246588.7470962359</v>
      </c>
    </row>
    <row r="93" spans="1:26" ht="17.25" x14ac:dyDescent="0.35">
      <c r="A93" s="650" t="s">
        <v>2732</v>
      </c>
      <c r="B93" s="451">
        <v>3143120.3179709166</v>
      </c>
    </row>
    <row r="94" spans="1:26" ht="17.25" x14ac:dyDescent="0.35">
      <c r="A94" s="644" t="s">
        <v>2723</v>
      </c>
      <c r="B94" s="451">
        <v>3027342.2076388486</v>
      </c>
    </row>
    <row r="95" spans="1:26" ht="17.25" x14ac:dyDescent="0.35">
      <c r="A95" s="644" t="s">
        <v>2722</v>
      </c>
      <c r="B95" s="451">
        <v>2827822.3297778377</v>
      </c>
    </row>
    <row r="96" spans="1:26" ht="18" thickBot="1" x14ac:dyDescent="0.4">
      <c r="A96" s="653" t="s">
        <v>2734</v>
      </c>
      <c r="B96" s="451">
        <v>2576786.7171831476</v>
      </c>
    </row>
    <row r="97" spans="1:3" ht="17.25" x14ac:dyDescent="0.35">
      <c r="A97" s="641" t="s">
        <v>2731</v>
      </c>
      <c r="B97" s="451">
        <v>2118180.5274721826</v>
      </c>
    </row>
    <row r="98" spans="1:3" ht="17.25" x14ac:dyDescent="0.35">
      <c r="A98" s="644" t="s">
        <v>2730</v>
      </c>
      <c r="B98" s="451">
        <v>1832274.4739333931</v>
      </c>
    </row>
    <row r="99" spans="1:3" ht="17.25" x14ac:dyDescent="0.35">
      <c r="A99" s="644" t="s">
        <v>2729</v>
      </c>
      <c r="B99" s="451">
        <v>1591446.2018595035</v>
      </c>
    </row>
    <row r="100" spans="1:3" ht="18" thickBot="1" x14ac:dyDescent="0.4">
      <c r="A100" s="647" t="s">
        <v>2728</v>
      </c>
      <c r="B100" s="451">
        <v>1407145.573123608</v>
      </c>
    </row>
    <row r="101" spans="1:3" ht="18" thickBot="1" x14ac:dyDescent="0.4">
      <c r="A101" s="656" t="s">
        <v>2727</v>
      </c>
      <c r="B101" s="451">
        <v>1212023.9000062174</v>
      </c>
    </row>
    <row r="111" spans="1:3" x14ac:dyDescent="0.2">
      <c r="A111" s="427" t="s">
        <v>3002</v>
      </c>
      <c r="B111" s="331" t="s">
        <v>3002</v>
      </c>
    </row>
    <row r="112" spans="1:3" x14ac:dyDescent="0.2">
      <c r="A112" s="427">
        <v>172</v>
      </c>
      <c r="B112" s="663">
        <v>35949804.793434933</v>
      </c>
      <c r="C112" s="664">
        <f>B112/$B$124</f>
        <v>0.38124238634470914</v>
      </c>
    </row>
    <row r="113" spans="1:3" x14ac:dyDescent="0.2">
      <c r="A113" s="427">
        <v>195</v>
      </c>
      <c r="B113" s="663">
        <v>13902679.793764198</v>
      </c>
      <c r="C113" s="664">
        <f t="shared" ref="C113:C121" si="46">B113/$B$124</f>
        <v>0.14743587208932377</v>
      </c>
    </row>
    <row r="114" spans="1:3" x14ac:dyDescent="0.2">
      <c r="A114" s="427">
        <v>240</v>
      </c>
      <c r="B114" s="663">
        <v>11746149.003192019</v>
      </c>
      <c r="C114" s="664">
        <f t="shared" si="46"/>
        <v>0.12456618059732098</v>
      </c>
    </row>
    <row r="115" spans="1:3" x14ac:dyDescent="0.2">
      <c r="A115" s="427">
        <v>165</v>
      </c>
      <c r="B115" s="663">
        <v>10364336.58614181</v>
      </c>
      <c r="C115" s="664">
        <f t="shared" si="46"/>
        <v>0.10991226338180453</v>
      </c>
    </row>
    <row r="116" spans="1:3" x14ac:dyDescent="0.2">
      <c r="A116" s="427">
        <v>215</v>
      </c>
      <c r="B116" s="663">
        <v>7884642.8719065767</v>
      </c>
      <c r="C116" s="664">
        <f t="shared" si="46"/>
        <v>8.3615476669025066E-2</v>
      </c>
    </row>
    <row r="117" spans="1:3" x14ac:dyDescent="0.2">
      <c r="A117" s="427">
        <v>120</v>
      </c>
      <c r="B117" s="663">
        <v>6405090.518081503</v>
      </c>
      <c r="C117" s="664">
        <f t="shared" si="46"/>
        <v>6.7925041815893081E-2</v>
      </c>
    </row>
    <row r="118" spans="1:3" x14ac:dyDescent="0.2">
      <c r="A118" s="427">
        <v>106</v>
      </c>
      <c r="B118" s="663">
        <v>5126915.6578617729</v>
      </c>
      <c r="C118" s="664">
        <f t="shared" si="46"/>
        <v>5.4370185630276929E-2</v>
      </c>
    </row>
    <row r="119" spans="1:3" x14ac:dyDescent="0.2">
      <c r="A119" s="427">
        <v>95</v>
      </c>
      <c r="B119" s="663">
        <v>1972719.7250443632</v>
      </c>
      <c r="C119" s="664">
        <f t="shared" si="46"/>
        <v>2.09204022076508E-2</v>
      </c>
    </row>
    <row r="120" spans="1:3" x14ac:dyDescent="0.2">
      <c r="A120" s="427">
        <v>76</v>
      </c>
      <c r="B120" s="663">
        <v>766372.87837675656</v>
      </c>
      <c r="C120" s="664">
        <f t="shared" si="46"/>
        <v>8.1272715293178536E-3</v>
      </c>
    </row>
    <row r="121" spans="1:3" x14ac:dyDescent="0.2">
      <c r="A121" s="427">
        <v>54</v>
      </c>
      <c r="B121" s="663">
        <v>177741.24530764224</v>
      </c>
      <c r="C121" s="664">
        <f t="shared" si="46"/>
        <v>1.8849197346779609E-3</v>
      </c>
    </row>
    <row r="124" spans="1:3" x14ac:dyDescent="0.2">
      <c r="B124" s="663">
        <f>SUM(B112:B123)</f>
        <v>94296453.073111564</v>
      </c>
    </row>
  </sheetData>
  <sortState ref="A112:B121">
    <sortCondition descending="1" ref="B111"/>
  </sortState>
  <pageMargins left="0.7" right="0.7" top="0.75" bottom="0.75" header="0.3" footer="0.3"/>
  <pageSetup paperSize="9" scale="22" orientation="portrait" r:id="rId1"/>
  <colBreaks count="4" manualBreakCount="4">
    <brk id="5" max="1048575" man="1"/>
    <brk id="9" max="1048575" man="1"/>
    <brk id="13" max="1048575" man="1"/>
    <brk id="1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7"/>
  <sheetViews>
    <sheetView view="pageBreakPreview" topLeftCell="A10" zoomScale="90" zoomScaleNormal="100" zoomScaleSheetLayoutView="90" workbookViewId="0">
      <selection activeCell="E14" sqref="E14"/>
    </sheetView>
  </sheetViews>
  <sheetFormatPr defaultRowHeight="11.25" x14ac:dyDescent="0.2"/>
  <cols>
    <col min="1" max="1" width="71.33203125" customWidth="1"/>
    <col min="2" max="2" width="16.33203125" customWidth="1"/>
    <col min="4" max="4" width="10.6640625" bestFit="1" customWidth="1"/>
    <col min="5" max="5" width="12.1640625" customWidth="1"/>
    <col min="6" max="6" width="11.5" customWidth="1"/>
  </cols>
  <sheetData>
    <row r="1" spans="1:4" ht="12.75" x14ac:dyDescent="0.2">
      <c r="A1" s="685" t="s">
        <v>2876</v>
      </c>
      <c r="B1" s="685"/>
    </row>
    <row r="2" spans="1:4" ht="12" thickBot="1" x14ac:dyDescent="0.25"/>
    <row r="3" spans="1:4" ht="12.75" x14ac:dyDescent="0.2">
      <c r="A3" s="412" t="s">
        <v>2739</v>
      </c>
      <c r="B3" s="413" t="s">
        <v>2738</v>
      </c>
    </row>
    <row r="4" spans="1:4" ht="12.75" x14ac:dyDescent="0.2">
      <c r="A4" s="414"/>
      <c r="B4" s="415"/>
    </row>
    <row r="5" spans="1:4" ht="12.75" x14ac:dyDescent="0.2">
      <c r="A5" s="416" t="s">
        <v>2842</v>
      </c>
      <c r="B5" s="417">
        <v>74</v>
      </c>
    </row>
    <row r="6" spans="1:4" ht="12.75" x14ac:dyDescent="0.2">
      <c r="A6" s="416" t="s">
        <v>2843</v>
      </c>
      <c r="B6" s="417">
        <v>66</v>
      </c>
    </row>
    <row r="7" spans="1:4" ht="12.75" x14ac:dyDescent="0.2">
      <c r="A7" s="416" t="s">
        <v>2907</v>
      </c>
      <c r="B7" s="446">
        <v>4.3</v>
      </c>
    </row>
    <row r="8" spans="1:4" ht="12.75" x14ac:dyDescent="0.2">
      <c r="A8" s="416" t="s">
        <v>2926</v>
      </c>
      <c r="B8" s="446">
        <v>3.8</v>
      </c>
    </row>
    <row r="9" spans="1:4" ht="12.75" x14ac:dyDescent="0.2">
      <c r="A9" s="416" t="s">
        <v>2844</v>
      </c>
      <c r="B9" s="418">
        <v>0</v>
      </c>
    </row>
    <row r="10" spans="1:4" ht="12.75" customHeight="1" x14ac:dyDescent="0.2">
      <c r="A10" s="416" t="s">
        <v>2865</v>
      </c>
      <c r="B10" s="420">
        <v>2E-3</v>
      </c>
    </row>
    <row r="11" spans="1:4" ht="12.75" x14ac:dyDescent="0.2">
      <c r="A11" s="416" t="s">
        <v>2867</v>
      </c>
      <c r="B11" s="420">
        <v>4.0000000000000001E-3</v>
      </c>
      <c r="D11" s="411"/>
    </row>
    <row r="12" spans="1:4" ht="12.75" x14ac:dyDescent="0.2">
      <c r="A12" s="416" t="s">
        <v>2737</v>
      </c>
      <c r="B12" s="419">
        <v>5.0000000000000001E-3</v>
      </c>
    </row>
    <row r="13" spans="1:4" ht="12.75" x14ac:dyDescent="0.2">
      <c r="A13" s="421" t="s">
        <v>2866</v>
      </c>
      <c r="B13" s="422">
        <v>0.01</v>
      </c>
    </row>
    <row r="14" spans="1:4" ht="12.75" x14ac:dyDescent="0.2">
      <c r="A14" s="421" t="s">
        <v>2736</v>
      </c>
      <c r="B14" s="422">
        <v>2.5000000000000001E-2</v>
      </c>
    </row>
    <row r="15" spans="1:4" ht="12.75" x14ac:dyDescent="0.2">
      <c r="A15" s="421" t="s">
        <v>2913</v>
      </c>
      <c r="B15" s="450">
        <v>0</v>
      </c>
    </row>
    <row r="16" spans="1:4" ht="12.75" x14ac:dyDescent="0.2">
      <c r="A16" s="421" t="s">
        <v>2914</v>
      </c>
      <c r="B16" s="449">
        <f>72*126</f>
        <v>9072</v>
      </c>
    </row>
    <row r="17" spans="1:2" ht="12.75" x14ac:dyDescent="0.2">
      <c r="A17" s="421"/>
      <c r="B17" s="422"/>
    </row>
  </sheetData>
  <mergeCells count="1">
    <mergeCell ref="A1:B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246</vt:i4>
      </vt:variant>
    </vt:vector>
  </HeadingPairs>
  <TitlesOfParts>
    <vt:vector size="259" baseType="lpstr">
      <vt:lpstr>Проект</vt:lpstr>
      <vt:lpstr>Портфель</vt:lpstr>
      <vt:lpstr>Отчет</vt:lpstr>
      <vt:lpstr>Language</vt:lpstr>
      <vt:lpstr>Инвестиции</vt:lpstr>
      <vt:lpstr>продажи</vt:lpstr>
      <vt:lpstr>Продажи 2</vt:lpstr>
      <vt:lpstr>Расходы</vt:lpstr>
      <vt:lpstr>Расходники</vt:lpstr>
      <vt:lpstr>Лист1</vt:lpstr>
      <vt:lpstr>Металл</vt:lpstr>
      <vt:lpstr>Персонал</vt:lpstr>
      <vt:lpstr>Калькуляция</vt:lpstr>
      <vt:lpstr>__ESTATE</vt:lpstr>
      <vt:lpstr>Проект!_NPV1</vt:lpstr>
      <vt:lpstr>Проект!_NPV2</vt:lpstr>
      <vt:lpstr>Проект!_NPV3</vt:lpstr>
      <vt:lpstr>AI_Version</vt:lpstr>
      <vt:lpstr>CalcMethod</vt:lpstr>
      <vt:lpstr>Проект!Cash_At_End</vt:lpstr>
      <vt:lpstr>Проект!Cash_Dividends</vt:lpstr>
      <vt:lpstr>Проект!Cash_Finance</vt:lpstr>
      <vt:lpstr>Проект!Cash_Grant</vt:lpstr>
      <vt:lpstr>Проект!Cash_Interest</vt:lpstr>
      <vt:lpstr>Проект!Cash_Invest</vt:lpstr>
      <vt:lpstr>Проект!Cash_Leasing</vt:lpstr>
      <vt:lpstr>Проект!Cash_LoanOut</vt:lpstr>
      <vt:lpstr>Проект!Cash_Oper</vt:lpstr>
      <vt:lpstr>Проект!Cash_Share</vt:lpstr>
      <vt:lpstr>Проект!Cash_Total</vt:lpstr>
      <vt:lpstr>Портфель!Chart_1</vt:lpstr>
      <vt:lpstr>Проект!Chart_1</vt:lpstr>
      <vt:lpstr>Портфель!Chart_10</vt:lpstr>
      <vt:lpstr>Проект!Chart_10</vt:lpstr>
      <vt:lpstr>Портфель!Chart_11</vt:lpstr>
      <vt:lpstr>Проект!Chart_11</vt:lpstr>
      <vt:lpstr>Портфель!Chart_12</vt:lpstr>
      <vt:lpstr>Проект!Chart_12</vt:lpstr>
      <vt:lpstr>Портфель!Chart_13</vt:lpstr>
      <vt:lpstr>Проект!Chart_13</vt:lpstr>
      <vt:lpstr>Портфель!Chart_14</vt:lpstr>
      <vt:lpstr>Проект!Chart_14</vt:lpstr>
      <vt:lpstr>Портфель!Chart_15</vt:lpstr>
      <vt:lpstr>Проект!Chart_15</vt:lpstr>
      <vt:lpstr>Проект!Chart_16</vt:lpstr>
      <vt:lpstr>Портфель!Chart_2</vt:lpstr>
      <vt:lpstr>Проект!Chart_2</vt:lpstr>
      <vt:lpstr>Портфель!Chart_3</vt:lpstr>
      <vt:lpstr>Проект!Chart_3</vt:lpstr>
      <vt:lpstr>Портфель!Chart_4</vt:lpstr>
      <vt:lpstr>Проект!Chart_4</vt:lpstr>
      <vt:lpstr>Портфель!Chart_5</vt:lpstr>
      <vt:lpstr>Проект!Chart_5</vt:lpstr>
      <vt:lpstr>Портфель!Chart_6</vt:lpstr>
      <vt:lpstr>Проект!Chart_6</vt:lpstr>
      <vt:lpstr>Портфель!Chart_7</vt:lpstr>
      <vt:lpstr>Проект!Chart_7</vt:lpstr>
      <vt:lpstr>Портфель!Chart_8</vt:lpstr>
      <vt:lpstr>Проект!Chart_8</vt:lpstr>
      <vt:lpstr>Портфель!Chart_9</vt:lpstr>
      <vt:lpstr>Проект!Chart_9</vt:lpstr>
      <vt:lpstr>Проект!Count_Assets_1</vt:lpstr>
      <vt:lpstr>Проект!Count_Assets_2</vt:lpstr>
      <vt:lpstr>Проект!Count_Assets_3</vt:lpstr>
      <vt:lpstr>Проект!Count_Assets_4</vt:lpstr>
      <vt:lpstr>Проект!Count_Assets_5</vt:lpstr>
      <vt:lpstr>Проект!Count_Assets_6</vt:lpstr>
      <vt:lpstr>Проект!Count_Expenses_1</vt:lpstr>
      <vt:lpstr>Проект!Count_Expenses_2</vt:lpstr>
      <vt:lpstr>Проект!Count_Expenses_3</vt:lpstr>
      <vt:lpstr>Проект!Count_Expenses_4</vt:lpstr>
      <vt:lpstr>Проект!Count_Leasing</vt:lpstr>
      <vt:lpstr>Проект!Count_Loans</vt:lpstr>
      <vt:lpstr>Проект!Count_Personnel_1</vt:lpstr>
      <vt:lpstr>Проект!Count_Personnel_2</vt:lpstr>
      <vt:lpstr>Проект!Count_Personnel_3</vt:lpstr>
      <vt:lpstr>Проект!Count_Personnel_4</vt:lpstr>
      <vt:lpstr>Проект!Count_Taxes_1</vt:lpstr>
      <vt:lpstr>Проект!Count_Taxes_2</vt:lpstr>
      <vt:lpstr>Проект!CUR_Foreign</vt:lpstr>
      <vt:lpstr>Проект!CUR_I_Foreign</vt:lpstr>
      <vt:lpstr>Проект!CUR_I_Main</vt:lpstr>
      <vt:lpstr>Портфель!CUR_I_Report</vt:lpstr>
      <vt:lpstr>Проект!CUR_I_Report</vt:lpstr>
      <vt:lpstr>Проект!CUR_Main</vt:lpstr>
      <vt:lpstr>Портфель!CUR_Report</vt:lpstr>
      <vt:lpstr>Проект!CUR_Report</vt:lpstr>
      <vt:lpstr>Проект!CurrencyRate</vt:lpstr>
      <vt:lpstr>Проект!Height_Assets_1</vt:lpstr>
      <vt:lpstr>Проект!Height_Assets_2</vt:lpstr>
      <vt:lpstr>Проект!Height_Assets_3</vt:lpstr>
      <vt:lpstr>Проект!Height_Assets_4</vt:lpstr>
      <vt:lpstr>Проект!Height_Assets_5</vt:lpstr>
      <vt:lpstr>Проект!Height_Assets_6</vt:lpstr>
      <vt:lpstr>Проект!Height_Expenses_1</vt:lpstr>
      <vt:lpstr>Проект!Height_Expenses_2</vt:lpstr>
      <vt:lpstr>Проект!Height_Expenses_3</vt:lpstr>
      <vt:lpstr>Проект!Height_Expenses_4</vt:lpstr>
      <vt:lpstr>Проект!Height_Leasing</vt:lpstr>
      <vt:lpstr>Проект!Height_Loans</vt:lpstr>
      <vt:lpstr>Проект!Height_Personnel_1</vt:lpstr>
      <vt:lpstr>Проект!Height_Personnel_2</vt:lpstr>
      <vt:lpstr>Проект!Height_Personnel_3</vt:lpstr>
      <vt:lpstr>Проект!Height_Personnel_4</vt:lpstr>
      <vt:lpstr>Проект!Height_Taxes_1</vt:lpstr>
      <vt:lpstr>Проект!Height_Taxes_2</vt:lpstr>
      <vt:lpstr>IS_BUILT</vt:lpstr>
      <vt:lpstr>IS_DEMO</vt:lpstr>
      <vt:lpstr>IS_ESTATE</vt:lpstr>
      <vt:lpstr>IS_SUMM</vt:lpstr>
      <vt:lpstr>IS_TRIAL</vt:lpstr>
      <vt:lpstr>LanguageID</vt:lpstr>
      <vt:lpstr>Портфель!LAST_COLUMN</vt:lpstr>
      <vt:lpstr>Проект!LAST_COLUMN</vt:lpstr>
      <vt:lpstr>Портфель!LIFE_PRJ</vt:lpstr>
      <vt:lpstr>LNG_CurList</vt:lpstr>
      <vt:lpstr>Проект!NWC_T_Cr_AdvK</vt:lpstr>
      <vt:lpstr>Проект!NWC_T_Cr_AdvT</vt:lpstr>
      <vt:lpstr>Проект!NWC_T_Cr_CrdK</vt:lpstr>
      <vt:lpstr>Проект!NWC_T_Cr_CrdT</vt:lpstr>
      <vt:lpstr>Проект!NWC_T_Cycle</vt:lpstr>
      <vt:lpstr>Проект!NWC_T_Db_AdvK</vt:lpstr>
      <vt:lpstr>Проект!NWC_T_Db_AdvT</vt:lpstr>
      <vt:lpstr>Проект!NWC_T_Db_CrdK</vt:lpstr>
      <vt:lpstr>Проект!NWC_T_Db_CrdT</vt:lpstr>
      <vt:lpstr>Проект!NWC_T_Goods</vt:lpstr>
      <vt:lpstr>Проект!NWC_T_Mat</vt:lpstr>
      <vt:lpstr>Портфель!PeriodTitle</vt:lpstr>
      <vt:lpstr>'Продажи 2'!PeriodTitle</vt:lpstr>
      <vt:lpstr>Проект!PeriodTitle</vt:lpstr>
      <vt:lpstr>PORT_Consolidated_1</vt:lpstr>
      <vt:lpstr>Портфель!PORT_ExtPrjCount</vt:lpstr>
      <vt:lpstr>Портфель!PORT_ExtUpdatedTime</vt:lpstr>
      <vt:lpstr>Портфель!PORT_IntPrjCount</vt:lpstr>
      <vt:lpstr>Портфель!PORT_Name</vt:lpstr>
      <vt:lpstr>PORT_PRJ_COUNT</vt:lpstr>
      <vt:lpstr>Портфель!PORT_PrjList</vt:lpstr>
      <vt:lpstr>PORT_PrjPeriods</vt:lpstr>
      <vt:lpstr>Портфель!PRJ_Len</vt:lpstr>
      <vt:lpstr>Проект!PRJ_Len</vt:lpstr>
      <vt:lpstr>Проект!PRJ_Name</vt:lpstr>
      <vt:lpstr>Проект!PRJ_Protected</vt:lpstr>
      <vt:lpstr>Портфель!PRJ_StartDate</vt:lpstr>
      <vt:lpstr>Проект!PRJ_StartDate</vt:lpstr>
      <vt:lpstr>Портфель!PRJ_StartMon</vt:lpstr>
      <vt:lpstr>Проект!PRJ_StartMon</vt:lpstr>
      <vt:lpstr>Портфель!PRJ_StartYear</vt:lpstr>
      <vt:lpstr>Проект!PRJ_StartYear</vt:lpstr>
      <vt:lpstr>Портфель!PRJ_Step</vt:lpstr>
      <vt:lpstr>Проект!PRJ_Step</vt:lpstr>
      <vt:lpstr>Портфель!PRJ_Step_SName</vt:lpstr>
      <vt:lpstr>Проект!PRJ_Step_SName</vt:lpstr>
      <vt:lpstr>Портфель!PRJ_StepType</vt:lpstr>
      <vt:lpstr>Проект!PRJ_StepType</vt:lpstr>
      <vt:lpstr>Проект!Product_Count</vt:lpstr>
      <vt:lpstr>Проект!Product_Height_1</vt:lpstr>
      <vt:lpstr>Проект!Product_Height_10</vt:lpstr>
      <vt:lpstr>Проект!Product_Height_10_After</vt:lpstr>
      <vt:lpstr>Проект!Product_Height_2</vt:lpstr>
      <vt:lpstr>Проект!Product_Height_2_After</vt:lpstr>
      <vt:lpstr>Проект!Product_Height_3</vt:lpstr>
      <vt:lpstr>Проект!Product_Height_3_After</vt:lpstr>
      <vt:lpstr>Проект!Product_Height_4</vt:lpstr>
      <vt:lpstr>Проект!Product_Height_4_After</vt:lpstr>
      <vt:lpstr>Проект!Product_Height_5</vt:lpstr>
      <vt:lpstr>Проект!Product_Height_5_After</vt:lpstr>
      <vt:lpstr>Проект!Product_Height_6</vt:lpstr>
      <vt:lpstr>Проект!Product_Height_6_After</vt:lpstr>
      <vt:lpstr>Проект!Product_Height_7</vt:lpstr>
      <vt:lpstr>Проект!Product_Height_7_After</vt:lpstr>
      <vt:lpstr>Проект!Product_Height_8</vt:lpstr>
      <vt:lpstr>Проект!Product_Height_8_After</vt:lpstr>
      <vt:lpstr>Проект!Product_Height_9</vt:lpstr>
      <vt:lpstr>Проект!Product_Height_9_After</vt:lpstr>
      <vt:lpstr>Проект!ProfitTax</vt:lpstr>
      <vt:lpstr>Проект!SENS_Costs</vt:lpstr>
      <vt:lpstr>Проект!SENS_Discount</vt:lpstr>
      <vt:lpstr>Проект!SENS_From</vt:lpstr>
      <vt:lpstr>Проект!SENS_Invest</vt:lpstr>
      <vt:lpstr>Проект!SENS_PList_Result</vt:lpstr>
      <vt:lpstr>Проект!SENS_PList_Source</vt:lpstr>
      <vt:lpstr>Проект!SENS_Price</vt:lpstr>
      <vt:lpstr>Проект!SENS_Result</vt:lpstr>
      <vt:lpstr>Проект!SENS_Sales</vt:lpstr>
      <vt:lpstr>Проект!SENS_Source</vt:lpstr>
      <vt:lpstr>Проект!SENS_Step</vt:lpstr>
      <vt:lpstr>Проект!SENS_Table</vt:lpstr>
      <vt:lpstr>ShowAbout</vt:lpstr>
      <vt:lpstr>Проект!ShowRealDates</vt:lpstr>
      <vt:lpstr>Проект!SUMM_Only_Money1</vt:lpstr>
      <vt:lpstr>Проект!SUMM_Only_Money2</vt:lpstr>
      <vt:lpstr>Проект!SUMM_Only_Money3</vt:lpstr>
      <vt:lpstr>Портфель!Table_1</vt:lpstr>
      <vt:lpstr>Проект!Table_1</vt:lpstr>
      <vt:lpstr>Портфель!Table_10</vt:lpstr>
      <vt:lpstr>Проект!Table_10</vt:lpstr>
      <vt:lpstr>Портфель!Table_11</vt:lpstr>
      <vt:lpstr>Проект!Table_11</vt:lpstr>
      <vt:lpstr>Портфель!Table_12</vt:lpstr>
      <vt:lpstr>Проект!Table_12</vt:lpstr>
      <vt:lpstr>Проект!Table_13</vt:lpstr>
      <vt:lpstr>Проект!Table_14</vt:lpstr>
      <vt:lpstr>Проект!Table_15</vt:lpstr>
      <vt:lpstr>Проект!Table_16</vt:lpstr>
      <vt:lpstr>Проект!Table_17</vt:lpstr>
      <vt:lpstr>Проект!Table_18</vt:lpstr>
      <vt:lpstr>Проект!Table_19</vt:lpstr>
      <vt:lpstr>Портфель!Table_2</vt:lpstr>
      <vt:lpstr>Проект!Table_2</vt:lpstr>
      <vt:lpstr>Проект!Table_20</vt:lpstr>
      <vt:lpstr>Проект!Table_21</vt:lpstr>
      <vt:lpstr>Проект!Table_22</vt:lpstr>
      <vt:lpstr>Проект!Table_23</vt:lpstr>
      <vt:lpstr>Проект!Table_24</vt:lpstr>
      <vt:lpstr>Проект!Table_25</vt:lpstr>
      <vt:lpstr>Проект!Table_26</vt:lpstr>
      <vt:lpstr>Проект!Table_27</vt:lpstr>
      <vt:lpstr>Проект!Table_28</vt:lpstr>
      <vt:lpstr>Проект!Table_29</vt:lpstr>
      <vt:lpstr>Портфель!Table_3</vt:lpstr>
      <vt:lpstr>Проект!Table_3</vt:lpstr>
      <vt:lpstr>Проект!Table_30</vt:lpstr>
      <vt:lpstr>Проект!Table_31</vt:lpstr>
      <vt:lpstr>Проект!Table_32</vt:lpstr>
      <vt:lpstr>Проект!Table_33</vt:lpstr>
      <vt:lpstr>Проект!Table_34</vt:lpstr>
      <vt:lpstr>Проект!Table_35</vt:lpstr>
      <vt:lpstr>Портфель!Table_4</vt:lpstr>
      <vt:lpstr>Проект!Table_4</vt:lpstr>
      <vt:lpstr>Портфель!Table_5</vt:lpstr>
      <vt:lpstr>Проект!Table_5</vt:lpstr>
      <vt:lpstr>Портфель!Table_6</vt:lpstr>
      <vt:lpstr>Проект!Table_6</vt:lpstr>
      <vt:lpstr>Портфель!Table_7</vt:lpstr>
      <vt:lpstr>Проект!Table_7</vt:lpstr>
      <vt:lpstr>Портфель!Table_8</vt:lpstr>
      <vt:lpstr>Проект!Table_8</vt:lpstr>
      <vt:lpstr>Портфель!Table_9</vt:lpstr>
      <vt:lpstr>Проект!Table_9</vt:lpstr>
      <vt:lpstr>ToBuild_Demo</vt:lpstr>
      <vt:lpstr>ToBuild_Estate</vt:lpstr>
      <vt:lpstr>ToBuild_Lang</vt:lpstr>
      <vt:lpstr>ToBuild_Summ</vt:lpstr>
      <vt:lpstr>Проект!TotalProfit</vt:lpstr>
      <vt:lpstr>TRIAL_DATE</vt:lpstr>
      <vt:lpstr>Портфель!VAT</vt:lpstr>
      <vt:lpstr>Проект!VAT</vt:lpstr>
      <vt:lpstr>Проект!VAT_Period</vt:lpstr>
      <vt:lpstr>Проект!VAT_Repay</vt:lpstr>
      <vt:lpstr>Ver_BuildDate</vt:lpstr>
      <vt:lpstr>Инвестиции!Область_печати</vt:lpstr>
      <vt:lpstr>Калькуляция!Область_печати</vt:lpstr>
      <vt:lpstr>Металл!Область_печати</vt:lpstr>
      <vt:lpstr>Отчет!Область_печати</vt:lpstr>
      <vt:lpstr>Персонал!Область_печати</vt:lpstr>
      <vt:lpstr>продажи!Область_печати</vt:lpstr>
      <vt:lpstr>'Продажи 2'!Область_печати</vt:lpstr>
      <vt:lpstr>Расходники!Область_печати</vt:lpstr>
      <vt:lpstr>Расходы!Область_печати</vt:lpstr>
    </vt:vector>
  </TitlesOfParts>
  <Company>Альт-Инвест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Назаренко</dc:creator>
  <cp:lastModifiedBy>Пользователь</cp:lastModifiedBy>
  <dcterms:created xsi:type="dcterms:W3CDTF">2008-07-10T14:34:54Z</dcterms:created>
  <dcterms:modified xsi:type="dcterms:W3CDTF">2023-07-08T10:35:56Z</dcterms:modified>
</cp:coreProperties>
</file>